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codeName="ThisWorkbook"/>
  <xr:revisionPtr revIDLastSave="0" documentId="13_ncr:1_{78D59FFF-0240-4D9B-AC0C-30DB636ABC37}" xr6:coauthVersionLast="47" xr6:coauthVersionMax="47" xr10:uidLastSave="{00000000-0000-0000-0000-000000000000}"/>
  <bookViews>
    <workbookView xWindow="-21578" yWindow="-16297" windowWidth="28995" windowHeight="15675" tabRatio="745" xr2:uid="{00000000-000D-0000-FFFF-FFFF00000000}"/>
  </bookViews>
  <sheets>
    <sheet name="CoverSheet" sheetId="20" r:id="rId1"/>
    <sheet name="Description" sheetId="34" r:id="rId2"/>
    <sheet name="Table of Contents" sheetId="35" r:id="rId3"/>
    <sheet name="Inputs from R" sheetId="2" r:id="rId4"/>
    <sheet name="Other Inputs" sheetId="14" r:id="rId5"/>
    <sheet name="Calculations" sheetId="12" r:id="rId6"/>
    <sheet name="Calculations-Chartbook" sheetId="19" r:id="rId7"/>
    <sheet name="Output" sheetId="13" r:id="rId8"/>
    <sheet name="Chart book" sheetId="15" r:id="rId9"/>
  </sheets>
  <externalReferences>
    <externalReference r:id="rId10"/>
  </externalReferences>
  <definedNames>
    <definedName name="Inputs_from_R_model">'Inputs from R'!$A$1</definedName>
    <definedName name="Inputs_that_are_specific_to_individual_distributors">'Other Inputs'!$A$29</definedName>
    <definedName name="Planned_disruption_standards">'Inputs from R'!$A$27</definedName>
    <definedName name="_xlnm.Print_Area" localSheetId="5">Calculations!$A$1:$L$230</definedName>
    <definedName name="_xlnm.Print_Area" localSheetId="6">'Calculations-Chartbook'!$A$1:$H$19</definedName>
    <definedName name="_xlnm.Print_Area" localSheetId="8">'Chart book'!$A$1:$I$309</definedName>
    <definedName name="_xlnm.Print_Area" localSheetId="0">CoverSheet!$A$1:$D$18</definedName>
    <definedName name="_xlnm.Print_Area" localSheetId="1">Description!$A$1:$F$29</definedName>
    <definedName name="_xlnm.Print_Area" localSheetId="3">'Inputs from R'!$A$1:$L$50</definedName>
    <definedName name="_xlnm.Print_Area" localSheetId="4">'Other Inputs'!$A$1:$I$180</definedName>
    <definedName name="_xlnm.Print_Area" localSheetId="7">Output!$A$1:$R$96</definedName>
    <definedName name="_xlnm.Print_Area" localSheetId="2">'Table of Contents'!$A$1:$D$21</definedName>
    <definedName name="Tables_for_Draft_Determination">'Chart book'!$A$197</definedName>
    <definedName name="Unplanned_disruption_standards">'Inputs from R'!$A$4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0" i="12" l="1"/>
  <c r="K129" i="12"/>
  <c r="F49" i="14"/>
  <c r="B178" i="15" a="1"/>
  <c r="B178" i="15" s="1"/>
  <c r="C178" i="15"/>
  <c r="D178" i="15"/>
  <c r="E178" i="15" s="1"/>
  <c r="F178" i="15" a="1"/>
  <c r="F178" i="15" s="1"/>
  <c r="G178" i="15"/>
  <c r="H178" i="15"/>
  <c r="J178" i="15" a="1"/>
  <c r="J178" i="15" s="1"/>
  <c r="C179" i="15"/>
  <c r="D179" i="15"/>
  <c r="G179" i="15"/>
  <c r="H179" i="15"/>
  <c r="I179" i="15" s="1"/>
  <c r="C180" i="15"/>
  <c r="E180" i="15" s="1"/>
  <c r="D180" i="15"/>
  <c r="G180" i="15"/>
  <c r="H180" i="15"/>
  <c r="C181" i="15"/>
  <c r="D181" i="15"/>
  <c r="G181" i="15"/>
  <c r="H181" i="15"/>
  <c r="C182" i="15"/>
  <c r="D182" i="15"/>
  <c r="E182" i="15" s="1"/>
  <c r="G182" i="15"/>
  <c r="H182" i="15"/>
  <c r="C183" i="15"/>
  <c r="D183" i="15"/>
  <c r="G183" i="15"/>
  <c r="H183" i="15"/>
  <c r="I183" i="15" s="1"/>
  <c r="C184" i="15"/>
  <c r="D184" i="15"/>
  <c r="E184" i="15" s="1"/>
  <c r="G184" i="15"/>
  <c r="H184" i="15"/>
  <c r="I184" i="15" s="1"/>
  <c r="C185" i="15"/>
  <c r="D185" i="15"/>
  <c r="G185" i="15"/>
  <c r="H185" i="15"/>
  <c r="C186" i="15"/>
  <c r="D186" i="15"/>
  <c r="E186" i="15" s="1"/>
  <c r="G186" i="15"/>
  <c r="H186" i="15"/>
  <c r="C187" i="15"/>
  <c r="D187" i="15"/>
  <c r="E187" i="15" s="1"/>
  <c r="G187" i="15"/>
  <c r="H187" i="15"/>
  <c r="C188" i="15"/>
  <c r="D188" i="15"/>
  <c r="E188" i="15" s="1"/>
  <c r="G188" i="15"/>
  <c r="H188" i="15"/>
  <c r="I188" i="15" s="1"/>
  <c r="C189" i="15"/>
  <c r="D189" i="15"/>
  <c r="G189" i="15"/>
  <c r="H189" i="15"/>
  <c r="C190" i="15"/>
  <c r="E190" i="15" s="1"/>
  <c r="D190" i="15"/>
  <c r="G190" i="15"/>
  <c r="H190" i="15"/>
  <c r="C191" i="15"/>
  <c r="D191" i="15"/>
  <c r="G191" i="15"/>
  <c r="H191" i="15"/>
  <c r="C192" i="15"/>
  <c r="D192" i="15"/>
  <c r="E192" i="15"/>
  <c r="G192" i="15"/>
  <c r="H192" i="15"/>
  <c r="C193" i="15"/>
  <c r="D193" i="15"/>
  <c r="G193" i="15"/>
  <c r="H193" i="15"/>
  <c r="B155" i="15" a="1"/>
  <c r="B155" i="15" s="1"/>
  <c r="C155" i="15"/>
  <c r="D155" i="15"/>
  <c r="E155" i="15" a="1"/>
  <c r="E155" i="15" s="1"/>
  <c r="F155" i="15" a="1"/>
  <c r="F155" i="15" s="1"/>
  <c r="C156" i="15"/>
  <c r="D156" i="15"/>
  <c r="C157" i="15"/>
  <c r="D157" i="15"/>
  <c r="C158" i="15"/>
  <c r="D158" i="15"/>
  <c r="C159" i="15"/>
  <c r="D159" i="15"/>
  <c r="C160" i="15"/>
  <c r="D160" i="15"/>
  <c r="C161" i="15"/>
  <c r="D161" i="15"/>
  <c r="C162" i="15"/>
  <c r="D162" i="15"/>
  <c r="C163" i="15"/>
  <c r="D163" i="15"/>
  <c r="C164" i="15"/>
  <c r="D164" i="15"/>
  <c r="C165" i="15"/>
  <c r="D165" i="15"/>
  <c r="C166" i="15"/>
  <c r="D166" i="15"/>
  <c r="C167" i="15"/>
  <c r="D167" i="15"/>
  <c r="C168" i="15"/>
  <c r="D168" i="15"/>
  <c r="C169" i="15"/>
  <c r="D169" i="15"/>
  <c r="C170" i="15"/>
  <c r="D170" i="15"/>
  <c r="B81" i="15" a="1"/>
  <c r="B81" i="15" s="1"/>
  <c r="C81" i="15"/>
  <c r="D81" i="15"/>
  <c r="F81" i="15" a="1"/>
  <c r="F81" i="15" s="1"/>
  <c r="G81" i="15"/>
  <c r="H81" i="15"/>
  <c r="J81" i="15" a="1"/>
  <c r="J81" i="15" s="1"/>
  <c r="C82" i="15"/>
  <c r="D82" i="15"/>
  <c r="G82" i="15"/>
  <c r="H82" i="15"/>
  <c r="C83" i="15"/>
  <c r="D83" i="15"/>
  <c r="G83" i="15"/>
  <c r="H83" i="15"/>
  <c r="C84" i="15"/>
  <c r="D84" i="15"/>
  <c r="G84" i="15"/>
  <c r="H84" i="15"/>
  <c r="C85" i="15"/>
  <c r="D85" i="15"/>
  <c r="G85" i="15"/>
  <c r="H85" i="15"/>
  <c r="C86" i="15"/>
  <c r="D86" i="15"/>
  <c r="G86" i="15"/>
  <c r="H86" i="15"/>
  <c r="C87" i="15"/>
  <c r="D87" i="15"/>
  <c r="G87" i="15"/>
  <c r="H87" i="15"/>
  <c r="C88" i="15"/>
  <c r="D88" i="15"/>
  <c r="G88" i="15"/>
  <c r="H88" i="15"/>
  <c r="C89" i="15"/>
  <c r="D89" i="15"/>
  <c r="G89" i="15"/>
  <c r="H89" i="15"/>
  <c r="C90" i="15"/>
  <c r="D90" i="15"/>
  <c r="G90" i="15"/>
  <c r="H90" i="15"/>
  <c r="C91" i="15"/>
  <c r="D91" i="15"/>
  <c r="G91" i="15"/>
  <c r="H91" i="15"/>
  <c r="C92" i="15"/>
  <c r="D92" i="15"/>
  <c r="G92" i="15"/>
  <c r="H92" i="15"/>
  <c r="C93" i="15"/>
  <c r="D93" i="15"/>
  <c r="G93" i="15"/>
  <c r="H93" i="15"/>
  <c r="C94" i="15"/>
  <c r="D94" i="15"/>
  <c r="E94" i="15" s="1"/>
  <c r="G94" i="15"/>
  <c r="H94" i="15"/>
  <c r="C95" i="15"/>
  <c r="D95" i="15"/>
  <c r="G95" i="15"/>
  <c r="H95" i="15"/>
  <c r="C96" i="15"/>
  <c r="D96" i="15"/>
  <c r="E96" i="15" s="1"/>
  <c r="G96" i="15"/>
  <c r="H96" i="15"/>
  <c r="D18" i="12"/>
  <c r="E191" i="15" l="1"/>
  <c r="E183" i="15"/>
  <c r="I181" i="15"/>
  <c r="I178" i="15"/>
  <c r="E189" i="15"/>
  <c r="I192" i="15"/>
  <c r="I193" i="15"/>
  <c r="I186" i="15"/>
  <c r="I191" i="15"/>
  <c r="I189" i="15"/>
  <c r="I180" i="15"/>
  <c r="E185" i="15"/>
  <c r="E193" i="15"/>
  <c r="I182" i="15"/>
  <c r="E181" i="15"/>
  <c r="I91" i="15"/>
  <c r="I187" i="15"/>
  <c r="E179" i="15"/>
  <c r="I190" i="15"/>
  <c r="I185" i="15"/>
  <c r="I81" i="15"/>
  <c r="E84" i="15"/>
  <c r="E91" i="15"/>
  <c r="E89" i="15"/>
  <c r="E83" i="15"/>
  <c r="E92" i="15"/>
  <c r="I92" i="15"/>
  <c r="I90" i="15"/>
  <c r="I86" i="15"/>
  <c r="I82" i="15"/>
  <c r="I95" i="15"/>
  <c r="I94" i="15"/>
  <c r="I84" i="15"/>
  <c r="E88" i="15"/>
  <c r="E86" i="15"/>
  <c r="I93" i="15"/>
  <c r="E90" i="15"/>
  <c r="I87" i="15"/>
  <c r="I85" i="15"/>
  <c r="E82" i="15"/>
  <c r="E81" i="15"/>
  <c r="I89" i="15"/>
  <c r="I88" i="15"/>
  <c r="I96" i="15"/>
  <c r="E95" i="15"/>
  <c r="E87" i="15"/>
  <c r="E93" i="15"/>
  <c r="E85" i="15"/>
  <c r="I83" i="15"/>
  <c r="B308" i="15"/>
  <c r="B307" i="15"/>
  <c r="B306" i="15"/>
  <c r="B305" i="15"/>
  <c r="B304" i="15"/>
  <c r="B303" i="15"/>
  <c r="B302" i="15"/>
  <c r="B301" i="15"/>
  <c r="B300" i="15"/>
  <c r="B299" i="15"/>
  <c r="B298" i="15"/>
  <c r="B297" i="15"/>
  <c r="B296" i="15"/>
  <c r="B295" i="15"/>
  <c r="B294" i="15"/>
  <c r="B293" i="15"/>
  <c r="B286" i="15"/>
  <c r="B285" i="15"/>
  <c r="B284" i="15"/>
  <c r="B283" i="15"/>
  <c r="B282" i="15"/>
  <c r="B281" i="15"/>
  <c r="B280" i="15"/>
  <c r="B279" i="15"/>
  <c r="B278" i="15"/>
  <c r="B277" i="15"/>
  <c r="B276" i="15"/>
  <c r="B275" i="15"/>
  <c r="B274" i="15"/>
  <c r="B273" i="15"/>
  <c r="B272" i="15"/>
  <c r="B271" i="15"/>
  <c r="B264" i="15"/>
  <c r="B263" i="15"/>
  <c r="B262" i="15"/>
  <c r="B261" i="15"/>
  <c r="B260" i="15"/>
  <c r="B259" i="15"/>
  <c r="B258" i="15"/>
  <c r="B257" i="15"/>
  <c r="B256" i="15"/>
  <c r="B255" i="15"/>
  <c r="B254" i="15"/>
  <c r="B253" i="15"/>
  <c r="B252" i="15"/>
  <c r="B251" i="15"/>
  <c r="B250" i="15"/>
  <c r="B249" i="15"/>
  <c r="B228" i="15"/>
  <c r="D77" i="14" l="1" a="1"/>
  <c r="E77" i="14" s="1"/>
  <c r="F91" i="14" l="1"/>
  <c r="E88" i="14"/>
  <c r="D85" i="14"/>
  <c r="H81" i="14"/>
  <c r="G78" i="14"/>
  <c r="H77" i="14"/>
  <c r="G77" i="14"/>
  <c r="H89" i="14"/>
  <c r="G86" i="14"/>
  <c r="F83" i="14"/>
  <c r="E80" i="14"/>
  <c r="D77" i="14"/>
  <c r="H92" i="14"/>
  <c r="E91" i="14"/>
  <c r="G89" i="14"/>
  <c r="D88" i="14"/>
  <c r="F86" i="14"/>
  <c r="H84" i="14"/>
  <c r="E83" i="14"/>
  <c r="G81" i="14"/>
  <c r="D80" i="14"/>
  <c r="F78" i="14"/>
  <c r="G92" i="14"/>
  <c r="D91" i="14"/>
  <c r="F89" i="14"/>
  <c r="H87" i="14"/>
  <c r="E86" i="14"/>
  <c r="G84" i="14"/>
  <c r="D83" i="14"/>
  <c r="F81" i="14"/>
  <c r="H79" i="14"/>
  <c r="E78" i="14"/>
  <c r="F92" i="14"/>
  <c r="H90" i="14"/>
  <c r="E89" i="14"/>
  <c r="G87" i="14"/>
  <c r="D86" i="14"/>
  <c r="F84" i="14"/>
  <c r="H82" i="14"/>
  <c r="E81" i="14"/>
  <c r="G79" i="14"/>
  <c r="D78" i="14"/>
  <c r="E92" i="14"/>
  <c r="G90" i="14"/>
  <c r="D89" i="14"/>
  <c r="F87" i="14"/>
  <c r="H85" i="14"/>
  <c r="E84" i="14"/>
  <c r="G82" i="14"/>
  <c r="D81" i="14"/>
  <c r="F79" i="14"/>
  <c r="D92" i="14"/>
  <c r="F90" i="14"/>
  <c r="H88" i="14"/>
  <c r="E87" i="14"/>
  <c r="G85" i="14"/>
  <c r="D84" i="14"/>
  <c r="F82" i="14"/>
  <c r="H80" i="14"/>
  <c r="E79" i="14"/>
  <c r="H91" i="14"/>
  <c r="E90" i="14"/>
  <c r="G88" i="14"/>
  <c r="D87" i="14"/>
  <c r="F85" i="14"/>
  <c r="H83" i="14"/>
  <c r="E82" i="14"/>
  <c r="G80" i="14"/>
  <c r="D79" i="14"/>
  <c r="F77" i="14"/>
  <c r="G91" i="14"/>
  <c r="D90" i="14"/>
  <c r="F88" i="14"/>
  <c r="H86" i="14"/>
  <c r="E85" i="14"/>
  <c r="G83" i="14"/>
  <c r="D82" i="14"/>
  <c r="F80" i="14"/>
  <c r="H78" i="14"/>
  <c r="D20" i="12" l="1"/>
  <c r="B54" i="12" l="1"/>
  <c r="B50" i="12"/>
  <c r="D16" i="12" l="1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B226" i="15" l="1"/>
  <c r="B12" i="15" a="1"/>
  <c r="B12" i="15" l="1"/>
  <c r="E168" i="14" l="1"/>
  <c r="D168" i="14"/>
  <c r="E167" i="14"/>
  <c r="D167" i="14"/>
  <c r="F142" i="14"/>
  <c r="E142" i="14" s="1"/>
  <c r="C142" i="14"/>
  <c r="B142" i="14" s="1"/>
  <c r="F141" i="14"/>
  <c r="E141" i="14" s="1"/>
  <c r="C141" i="14"/>
  <c r="B141" i="14" s="1"/>
  <c r="C74" i="13" a="1"/>
  <c r="C74" i="13" s="1"/>
  <c r="B37" i="13"/>
  <c r="A205" i="12"/>
  <c r="A41" i="13" s="1"/>
  <c r="A204" i="12"/>
  <c r="A40" i="13" s="1"/>
  <c r="A203" i="12"/>
  <c r="A39" i="13" s="1"/>
  <c r="A202" i="12"/>
  <c r="A38" i="13" s="1"/>
  <c r="A201" i="12"/>
  <c r="A200" i="12"/>
  <c r="A199" i="12"/>
  <c r="A198" i="12"/>
  <c r="A33" i="13" s="1"/>
  <c r="E179" i="14"/>
  <c r="E178" i="14"/>
  <c r="E177" i="14"/>
  <c r="E176" i="14"/>
  <c r="E175" i="14"/>
  <c r="E174" i="14"/>
  <c r="E173" i="14"/>
  <c r="E172" i="14"/>
  <c r="E171" i="14"/>
  <c r="E170" i="14"/>
  <c r="E169" i="14"/>
  <c r="E166" i="14"/>
  <c r="E165" i="14"/>
  <c r="E164" i="14"/>
  <c r="E98" i="14" l="1"/>
  <c r="A19" i="12" l="1"/>
  <c r="A20" i="12"/>
  <c r="D249" i="15" l="1" a="1"/>
  <c r="D271" i="15" a="1"/>
  <c r="D249" i="15" l="1"/>
  <c r="D271" i="15"/>
  <c r="C293" i="15" l="1" a="1"/>
  <c r="E271" i="15" a="1"/>
  <c r="C271" i="15" a="1"/>
  <c r="E249" i="15" a="1"/>
  <c r="C249" i="15" a="1"/>
  <c r="B124" i="15" a="1"/>
  <c r="B102" i="15" a="1"/>
  <c r="B58" i="15" a="1"/>
  <c r="B37" i="15" a="1"/>
  <c r="B58" i="15" l="1"/>
  <c r="B102" i="15"/>
  <c r="B124" i="15"/>
  <c r="B37" i="15"/>
  <c r="C293" i="15"/>
  <c r="E271" i="15"/>
  <c r="C249" i="15"/>
  <c r="E249" i="15"/>
  <c r="C271" i="15"/>
  <c r="H124" i="15" l="1" a="1"/>
  <c r="G124" i="15" a="1"/>
  <c r="F124" i="15" a="1"/>
  <c r="E124" i="15" a="1"/>
  <c r="D124" i="15" a="1"/>
  <c r="C124" i="15" a="1"/>
  <c r="C124" i="15" l="1"/>
  <c r="D124" i="15"/>
  <c r="E124" i="15"/>
  <c r="F124" i="15"/>
  <c r="G124" i="15"/>
  <c r="H124" i="15"/>
  <c r="B241" i="15" l="1"/>
  <c r="B240" i="15"/>
  <c r="B239" i="15"/>
  <c r="B238" i="15"/>
  <c r="B237" i="15"/>
  <c r="B236" i="15"/>
  <c r="B235" i="15"/>
  <c r="B234" i="15"/>
  <c r="B233" i="15"/>
  <c r="B232" i="15"/>
  <c r="B231" i="15"/>
  <c r="B230" i="15"/>
  <c r="B229" i="15"/>
  <c r="B227" i="15"/>
  <c r="C76" i="13" l="1" a="1"/>
  <c r="C138" i="14"/>
  <c r="B138" i="14" s="1"/>
  <c r="F138" i="14"/>
  <c r="E138" i="14" s="1"/>
  <c r="C139" i="14"/>
  <c r="F139" i="14"/>
  <c r="E139" i="14" s="1"/>
  <c r="C140" i="14"/>
  <c r="B140" i="14" s="1"/>
  <c r="F140" i="14"/>
  <c r="E140" i="14" s="1"/>
  <c r="C143" i="14"/>
  <c r="B143" i="14" s="1"/>
  <c r="F143" i="14"/>
  <c r="E143" i="14" s="1"/>
  <c r="C144" i="14"/>
  <c r="B144" i="14" s="1"/>
  <c r="F144" i="14"/>
  <c r="E144" i="14" s="1"/>
  <c r="C145" i="14"/>
  <c r="B145" i="14" s="1"/>
  <c r="F145" i="14"/>
  <c r="E145" i="14" s="1"/>
  <c r="C146" i="14"/>
  <c r="B146" i="14" s="1"/>
  <c r="F146" i="14"/>
  <c r="E146" i="14" s="1"/>
  <c r="C147" i="14"/>
  <c r="B147" i="14" s="1"/>
  <c r="F147" i="14"/>
  <c r="E147" i="14" s="1"/>
  <c r="C148" i="14"/>
  <c r="B148" i="14" s="1"/>
  <c r="F148" i="14"/>
  <c r="E148" i="14" s="1"/>
  <c r="C149" i="14"/>
  <c r="B149" i="14" s="1"/>
  <c r="F149" i="14"/>
  <c r="E149" i="14" s="1"/>
  <c r="C150" i="14"/>
  <c r="B150" i="14" s="1"/>
  <c r="F150" i="14"/>
  <c r="E150" i="14" s="1"/>
  <c r="C151" i="14"/>
  <c r="B151" i="14" s="1"/>
  <c r="F151" i="14"/>
  <c r="E151" i="14" s="1"/>
  <c r="C152" i="14"/>
  <c r="B152" i="14" s="1"/>
  <c r="F152" i="14"/>
  <c r="E152" i="14" s="1"/>
  <c r="C153" i="14"/>
  <c r="B153" i="14" s="1"/>
  <c r="F153" i="14"/>
  <c r="E153" i="14" s="1"/>
  <c r="K88" i="12"/>
  <c r="K81" i="12"/>
  <c r="F226" i="15" l="1" a="1"/>
  <c r="C76" i="13"/>
  <c r="E226" i="15" l="1" a="1"/>
  <c r="F226" i="15"/>
  <c r="K45" i="12"/>
  <c r="K47" i="12"/>
  <c r="K48" i="12"/>
  <c r="K49" i="12"/>
  <c r="K50" i="12"/>
  <c r="K32" i="12"/>
  <c r="D58" i="15" a="1"/>
  <c r="C58" i="15" a="1"/>
  <c r="D37" i="15" a="1"/>
  <c r="C37" i="15" a="1"/>
  <c r="G12" i="15" a="1"/>
  <c r="F12" i="15" a="1"/>
  <c r="E12" i="15" a="1"/>
  <c r="D12" i="15" a="1"/>
  <c r="C12" i="15" a="1"/>
  <c r="O11" i="15"/>
  <c r="N11" i="15"/>
  <c r="M11" i="15"/>
  <c r="L11" i="15"/>
  <c r="E226" i="15" l="1"/>
  <c r="P15" i="15"/>
  <c r="P16" i="15"/>
  <c r="P17" i="15"/>
  <c r="P18" i="15"/>
  <c r="P26" i="15"/>
  <c r="P27" i="15"/>
  <c r="P22" i="15"/>
  <c r="P23" i="15"/>
  <c r="P25" i="15"/>
  <c r="P19" i="15"/>
  <c r="P20" i="15"/>
  <c r="P21" i="15"/>
  <c r="P24" i="15"/>
  <c r="P13" i="15"/>
  <c r="P14" i="15"/>
  <c r="F12" i="15"/>
  <c r="G12" i="15"/>
  <c r="C37" i="15"/>
  <c r="D37" i="15"/>
  <c r="C58" i="15"/>
  <c r="D58" i="15"/>
  <c r="E12" i="15"/>
  <c r="C12" i="15"/>
  <c r="D12" i="15"/>
  <c r="D207" i="15"/>
  <c r="D215" i="15"/>
  <c r="D219" i="15"/>
  <c r="D211" i="15"/>
  <c r="D236" i="15"/>
  <c r="C211" i="15"/>
  <c r="C236" i="15"/>
  <c r="C232" i="15"/>
  <c r="D216" i="15"/>
  <c r="D212" i="15"/>
  <c r="D208" i="15"/>
  <c r="D237" i="15"/>
  <c r="D233" i="15"/>
  <c r="D229" i="15"/>
  <c r="D232" i="15"/>
  <c r="C216" i="15"/>
  <c r="C212" i="15"/>
  <c r="C208" i="15"/>
  <c r="C237" i="15"/>
  <c r="C233" i="15"/>
  <c r="C229" i="15"/>
  <c r="D228" i="15"/>
  <c r="D218" i="15"/>
  <c r="D214" i="15"/>
  <c r="D210" i="15"/>
  <c r="D206" i="15"/>
  <c r="D239" i="15"/>
  <c r="D235" i="15"/>
  <c r="D231" i="15"/>
  <c r="D227" i="15"/>
  <c r="D240" i="15"/>
  <c r="C219" i="15"/>
  <c r="C218" i="15"/>
  <c r="C214" i="15"/>
  <c r="C210" i="15"/>
  <c r="C206" i="15"/>
  <c r="C239" i="15"/>
  <c r="C235" i="15"/>
  <c r="C231" i="15"/>
  <c r="C227" i="15"/>
  <c r="C207" i="15"/>
  <c r="C240" i="15"/>
  <c r="C228" i="15"/>
  <c r="D217" i="15"/>
  <c r="D213" i="15"/>
  <c r="D209" i="15"/>
  <c r="D205" i="15"/>
  <c r="D238" i="15"/>
  <c r="D234" i="15"/>
  <c r="D230" i="15"/>
  <c r="D241" i="15"/>
  <c r="C215" i="15"/>
  <c r="C217" i="15"/>
  <c r="C213" i="15"/>
  <c r="C209" i="15"/>
  <c r="C205" i="15"/>
  <c r="C238" i="15"/>
  <c r="C234" i="15"/>
  <c r="C230" i="15"/>
  <c r="C241" i="15"/>
  <c r="L17" i="15"/>
  <c r="L13" i="15"/>
  <c r="L23" i="15"/>
  <c r="L25" i="15"/>
  <c r="M22" i="15"/>
  <c r="M14" i="15"/>
  <c r="L18" i="15"/>
  <c r="L21" i="15"/>
  <c r="L22" i="15"/>
  <c r="L24" i="15"/>
  <c r="L15" i="15"/>
  <c r="L26" i="15"/>
  <c r="L16" i="15"/>
  <c r="M21" i="15"/>
  <c r="O17" i="15"/>
  <c r="O20" i="15"/>
  <c r="O25" i="15"/>
  <c r="K25" i="15"/>
  <c r="N20" i="15"/>
  <c r="K16" i="15"/>
  <c r="N23" i="15"/>
  <c r="N15" i="15"/>
  <c r="K26" i="15"/>
  <c r="K19" i="15"/>
  <c r="M15" i="15"/>
  <c r="L19" i="15"/>
  <c r="L27" i="15"/>
  <c r="M17" i="15"/>
  <c r="M25" i="15"/>
  <c r="N13" i="15"/>
  <c r="O18" i="15"/>
  <c r="N21" i="15"/>
  <c r="O26" i="15"/>
  <c r="K27" i="15"/>
  <c r="M23" i="15"/>
  <c r="K20" i="15"/>
  <c r="M16" i="15"/>
  <c r="M24" i="15"/>
  <c r="O15" i="15"/>
  <c r="N18" i="15"/>
  <c r="O23" i="15"/>
  <c r="N26" i="15"/>
  <c r="K13" i="15"/>
  <c r="K21" i="15"/>
  <c r="K14" i="15"/>
  <c r="K22" i="15"/>
  <c r="L20" i="15"/>
  <c r="M18" i="15"/>
  <c r="M26" i="15"/>
  <c r="O13" i="15"/>
  <c r="N16" i="15"/>
  <c r="O21" i="15"/>
  <c r="N24" i="15"/>
  <c r="K15" i="15"/>
  <c r="K23" i="15"/>
  <c r="M19" i="15"/>
  <c r="M27" i="15"/>
  <c r="O16" i="15"/>
  <c r="N19" i="15"/>
  <c r="O24" i="15"/>
  <c r="N27" i="15"/>
  <c r="K24" i="15"/>
  <c r="L14" i="15"/>
  <c r="M20" i="15"/>
  <c r="N14" i="15"/>
  <c r="O19" i="15"/>
  <c r="N22" i="15"/>
  <c r="O27" i="15"/>
  <c r="K18" i="15"/>
  <c r="K17" i="15"/>
  <c r="M13" i="15"/>
  <c r="O14" i="15"/>
  <c r="N17" i="15"/>
  <c r="O22" i="15"/>
  <c r="N25" i="15"/>
  <c r="M12" i="15" l="1"/>
  <c r="L12" i="15"/>
  <c r="P12" i="15"/>
  <c r="C204" i="15"/>
  <c r="D204" i="15"/>
  <c r="K12" i="15"/>
  <c r="D226" i="15"/>
  <c r="C226" i="15"/>
  <c r="N12" i="15"/>
  <c r="O12" i="15"/>
  <c r="B45" i="13"/>
  <c r="B18" i="13"/>
  <c r="B14" i="13"/>
  <c r="A210" i="12"/>
  <c r="A209" i="12"/>
  <c r="A216" i="12"/>
  <c r="D165" i="14"/>
  <c r="D166" i="14"/>
  <c r="D169" i="14"/>
  <c r="D170" i="14"/>
  <c r="D171" i="14"/>
  <c r="D172" i="14"/>
  <c r="D173" i="14"/>
  <c r="D174" i="14"/>
  <c r="D175" i="14"/>
  <c r="D176" i="14"/>
  <c r="D177" i="14"/>
  <c r="D178" i="14"/>
  <c r="D179" i="14"/>
  <c r="D164" i="14"/>
  <c r="B43" i="13"/>
  <c r="B42" i="13"/>
  <c r="B23" i="13"/>
  <c r="C176" i="12"/>
  <c r="C177" i="12"/>
  <c r="C178" i="12"/>
  <c r="A177" i="12"/>
  <c r="A16" i="13" s="1"/>
  <c r="C173" i="12"/>
  <c r="C172" i="12"/>
  <c r="C171" i="12"/>
  <c r="A176" i="12"/>
  <c r="A15" i="13" s="1"/>
  <c r="A183" i="12"/>
  <c r="A22" i="13" s="1"/>
  <c r="A182" i="12"/>
  <c r="A21" i="13" s="1"/>
  <c r="A181" i="12"/>
  <c r="A20" i="13" s="1"/>
  <c r="A180" i="12"/>
  <c r="A19" i="13" s="1"/>
  <c r="A172" i="12"/>
  <c r="A11" i="13" s="1"/>
  <c r="A173" i="12"/>
  <c r="A12" i="13" s="1"/>
  <c r="A171" i="12"/>
  <c r="A10" i="13" s="1"/>
  <c r="I1" i="12" l="1"/>
  <c r="D54" i="12" l="1" a="1"/>
  <c r="D54" i="12" s="1"/>
  <c r="D50" i="12" a="1"/>
  <c r="D50" i="12" s="1"/>
  <c r="E35" i="12"/>
  <c r="D44" i="12" a="1"/>
  <c r="D44" i="12" s="1"/>
  <c r="D121" i="12" s="1"/>
  <c r="D210" i="12" s="1"/>
  <c r="B49" i="13" s="1"/>
  <c r="D43" i="12" a="1"/>
  <c r="D43" i="12" s="1"/>
  <c r="D120" i="12" s="1"/>
  <c r="D209" i="12" l="1"/>
  <c r="B48" i="13" s="1"/>
  <c r="D102" i="15" a="1"/>
  <c r="C102" i="15" a="1"/>
  <c r="C102" i="15" l="1"/>
  <c r="D102" i="15"/>
  <c r="C87" i="13" l="1" a="1"/>
  <c r="A87" i="13" a="1"/>
  <c r="A76" i="13" a="1"/>
  <c r="D19" i="12"/>
  <c r="C87" i="13" l="1"/>
  <c r="A76" i="13"/>
  <c r="A87" i="13"/>
  <c r="B59" i="12" l="1"/>
  <c r="B58" i="12"/>
  <c r="A59" i="12"/>
  <c r="A58" i="12"/>
  <c r="B71" i="12"/>
  <c r="B70" i="12"/>
  <c r="B65" i="12" l="1"/>
  <c r="A71" i="12"/>
  <c r="A70" i="12"/>
  <c r="A68" i="12"/>
  <c r="A69" i="12"/>
  <c r="B69" i="12"/>
  <c r="B68" i="12"/>
  <c r="E40" i="12"/>
  <c r="A57" i="12"/>
  <c r="A56" i="12"/>
  <c r="D28" i="12" l="1"/>
  <c r="D29" i="12"/>
  <c r="D30" i="12"/>
  <c r="D31" i="12"/>
  <c r="A28" i="12"/>
  <c r="A29" i="12"/>
  <c r="A30" i="12"/>
  <c r="A31" i="12"/>
  <c r="K106" i="12" l="1"/>
  <c r="K98" i="12"/>
  <c r="K95" i="12"/>
  <c r="K103" i="12"/>
  <c r="K107" i="12"/>
  <c r="K99" i="12"/>
  <c r="F37" i="12" l="1"/>
  <c r="G37" i="12"/>
  <c r="H37" i="12"/>
  <c r="I37" i="12"/>
  <c r="E37" i="12"/>
  <c r="H98" i="14" l="1"/>
  <c r="I40" i="12" s="1"/>
  <c r="G98" i="14"/>
  <c r="H40" i="12" s="1"/>
  <c r="F40" i="12"/>
  <c r="F98" i="14"/>
  <c r="G40" i="12" s="1"/>
  <c r="B46" i="13" l="1"/>
  <c r="E97" i="14" l="1"/>
  <c r="F97" i="14" s="1"/>
  <c r="G97" i="14" s="1"/>
  <c r="H97" i="14" s="1"/>
  <c r="F34" i="12" l="1"/>
  <c r="G34" i="12"/>
  <c r="E34" i="12"/>
  <c r="A24" i="12" l="1"/>
  <c r="D24" i="12"/>
  <c r="K87" i="12" l="1"/>
  <c r="K80" i="12"/>
  <c r="A187" i="12"/>
  <c r="A44" i="13" s="1"/>
  <c r="A23" i="12"/>
  <c r="D23" i="12"/>
  <c r="G10" i="15" l="1"/>
  <c r="B14" i="19" l="1"/>
  <c r="B8" i="19"/>
  <c r="B16" i="19" s="1"/>
  <c r="C8" i="19"/>
  <c r="C16" i="19" s="1"/>
  <c r="C7" i="19"/>
  <c r="C15" i="19" s="1"/>
  <c r="B7" i="19"/>
  <c r="B15" i="19" s="1"/>
  <c r="C6" i="19"/>
  <c r="C14" i="19" s="1"/>
  <c r="B5" i="19"/>
  <c r="D15" i="19" l="1"/>
  <c r="E15" i="19"/>
  <c r="D16" i="19"/>
  <c r="E16" i="19"/>
  <c r="C148" i="15" l="1"/>
  <c r="B148" i="15"/>
  <c r="C147" i="15"/>
  <c r="B147" i="15"/>
  <c r="E146" i="15"/>
  <c r="D146" i="15"/>
  <c r="C146" i="15"/>
  <c r="E148" i="15" l="1"/>
  <c r="D147" i="15"/>
  <c r="E147" i="15"/>
  <c r="D148" i="15"/>
  <c r="B32" i="13"/>
  <c r="A46" i="13" l="1"/>
  <c r="A211" i="12"/>
  <c r="A50" i="13" s="1"/>
  <c r="A212" i="12"/>
  <c r="A51" i="13" s="1"/>
  <c r="A208" i="12"/>
  <c r="A47" i="13" s="1"/>
  <c r="A155" i="12" l="1"/>
  <c r="B53" i="12" l="1"/>
  <c r="D53" i="12" s="1" a="1"/>
  <c r="D53" i="12" s="1"/>
  <c r="B52" i="12"/>
  <c r="D52" i="12" s="1" a="1"/>
  <c r="D52" i="12" s="1"/>
  <c r="D17" i="12"/>
  <c r="A18" i="12"/>
  <c r="B66" i="12"/>
  <c r="B57" i="12"/>
  <c r="B56" i="12"/>
  <c r="B51" i="12"/>
  <c r="D51" i="12" s="1" a="1"/>
  <c r="D51" i="12" s="1"/>
  <c r="A218" i="12" l="1"/>
  <c r="A36" i="13"/>
  <c r="A35" i="13"/>
  <c r="A34" i="13"/>
  <c r="A75" i="13"/>
  <c r="A86" i="13"/>
  <c r="A57" i="13" l="1"/>
  <c r="B28" i="13"/>
  <c r="B24" i="13"/>
  <c r="A195" i="12"/>
  <c r="A30" i="13" s="1"/>
  <c r="A196" i="12"/>
  <c r="A31" i="13" s="1"/>
  <c r="A194" i="12"/>
  <c r="A29" i="13" s="1"/>
  <c r="A191" i="12"/>
  <c r="A26" i="13" s="1"/>
  <c r="A192" i="12"/>
  <c r="A27" i="13" s="1"/>
  <c r="A190" i="12"/>
  <c r="A25" i="13" s="1"/>
  <c r="C10" i="15" l="1"/>
  <c r="D10" i="15"/>
  <c r="D36" i="15"/>
  <c r="C36" i="15"/>
  <c r="A215" i="12"/>
  <c r="A217" i="12"/>
  <c r="A214" i="12"/>
  <c r="A178" i="12"/>
  <c r="A17" i="13" s="1"/>
  <c r="A174" i="12"/>
  <c r="F10" i="15" l="1"/>
  <c r="M10" i="15"/>
  <c r="L10" i="15"/>
  <c r="B64" i="12"/>
  <c r="B63" i="12"/>
  <c r="B62" i="12"/>
  <c r="B49" i="12"/>
  <c r="D49" i="12" s="1" a="1"/>
  <c r="D49" i="12" s="1"/>
  <c r="B48" i="12"/>
  <c r="D48" i="12" s="1" a="1"/>
  <c r="D48" i="12" s="1"/>
  <c r="B47" i="12"/>
  <c r="D47" i="12" s="1" a="1"/>
  <c r="D47" i="12" s="1"/>
  <c r="A58" i="13"/>
  <c r="A52" i="13"/>
  <c r="A9" i="13"/>
  <c r="B9" i="13"/>
  <c r="A54" i="13"/>
  <c r="A56" i="13"/>
  <c r="A53" i="13"/>
  <c r="A13" i="13"/>
  <c r="A36" i="12"/>
  <c r="A35" i="12"/>
  <c r="A16" i="12"/>
  <c r="A21" i="12"/>
  <c r="A22" i="12"/>
  <c r="A25" i="12"/>
  <c r="A26" i="12"/>
  <c r="A27" i="12"/>
  <c r="A15" i="12"/>
  <c r="A11" i="12"/>
  <c r="A12" i="12"/>
  <c r="A10" i="12"/>
  <c r="E10" i="15" l="1"/>
  <c r="O10" i="15"/>
  <c r="C57" i="15"/>
  <c r="D57" i="15"/>
  <c r="B64" i="13"/>
  <c r="B61" i="13"/>
  <c r="B58" i="13"/>
  <c r="B52" i="13"/>
  <c r="A220" i="12"/>
  <c r="A59" i="13" s="1"/>
  <c r="A221" i="12"/>
  <c r="A60" i="13" s="1"/>
  <c r="A223" i="12"/>
  <c r="A62" i="13" s="1"/>
  <c r="A224" i="12"/>
  <c r="A63" i="13" s="1"/>
  <c r="A226" i="12"/>
  <c r="A65" i="13" s="1"/>
  <c r="A227" i="12"/>
  <c r="A66" i="13" s="1"/>
  <c r="D26" i="12"/>
  <c r="D27" i="12"/>
  <c r="N10" i="15" l="1"/>
  <c r="K90" i="12"/>
  <c r="K83" i="12"/>
  <c r="K84" i="12"/>
  <c r="K91" i="12"/>
  <c r="H123" i="15"/>
  <c r="E123" i="15"/>
  <c r="D123" i="15"/>
  <c r="G123" i="15"/>
  <c r="F123" i="15"/>
  <c r="C123" i="15"/>
  <c r="D42" i="12" a="1"/>
  <c r="D42" i="12" s="1"/>
  <c r="D117" i="12" s="1"/>
  <c r="D11" i="12"/>
  <c r="D12" i="12"/>
  <c r="D15" i="12"/>
  <c r="D21" i="12"/>
  <c r="D22" i="12"/>
  <c r="D25" i="12"/>
  <c r="D10" i="12"/>
  <c r="D124" i="12" l="1"/>
  <c r="D58" i="12"/>
  <c r="D59" i="12"/>
  <c r="D65" i="12"/>
  <c r="D102" i="12" s="1"/>
  <c r="D70" i="12" a="1"/>
  <c r="D70" i="12" s="1"/>
  <c r="D71" i="12" a="1"/>
  <c r="D71" i="12" s="1"/>
  <c r="D68" i="12" a="1"/>
  <c r="D68" i="12" s="1"/>
  <c r="D69" i="12" a="1"/>
  <c r="D69" i="12" s="1"/>
  <c r="I39" i="12"/>
  <c r="H39" i="12"/>
  <c r="G39" i="12"/>
  <c r="F39" i="12"/>
  <c r="E39" i="12"/>
  <c r="E38" i="12" s="1"/>
  <c r="D56" i="12" a="1"/>
  <c r="D56" i="12" s="1"/>
  <c r="D76" i="12"/>
  <c r="D57" i="12"/>
  <c r="D80" i="12"/>
  <c r="D145" i="12"/>
  <c r="D87" i="12"/>
  <c r="D151" i="12"/>
  <c r="D64" i="12"/>
  <c r="G36" i="12"/>
  <c r="D112" i="12" s="1"/>
  <c r="F35" i="12"/>
  <c r="D63" i="12"/>
  <c r="F36" i="12"/>
  <c r="D62" i="12"/>
  <c r="E36" i="12"/>
  <c r="D66" i="12"/>
  <c r="G35" i="12"/>
  <c r="D126" i="12" l="1"/>
  <c r="D127" i="12" s="1"/>
  <c r="D137" i="12"/>
  <c r="D148" i="12"/>
  <c r="D149" i="12" s="1"/>
  <c r="D201" i="12" s="1"/>
  <c r="D142" i="12"/>
  <c r="D198" i="12" s="1"/>
  <c r="D79" i="12"/>
  <c r="D81" i="12" s="1"/>
  <c r="D138" i="12"/>
  <c r="D94" i="12"/>
  <c r="D135" i="12"/>
  <c r="D125" i="12"/>
  <c r="D116" i="12"/>
  <c r="D119" i="12" s="1"/>
  <c r="D103" i="12"/>
  <c r="D104" i="12" s="1"/>
  <c r="D105" i="12" s="1"/>
  <c r="D106" i="12" s="1"/>
  <c r="D176" i="12"/>
  <c r="B15" i="13" s="1"/>
  <c r="D86" i="12"/>
  <c r="D88" i="12" s="1"/>
  <c r="I38" i="12"/>
  <c r="H38" i="12"/>
  <c r="F38" i="12"/>
  <c r="G38" i="12"/>
  <c r="D111" i="12"/>
  <c r="D186" i="12" s="1"/>
  <c r="D187" i="12"/>
  <c r="C111" i="12"/>
  <c r="A186" i="12" s="1"/>
  <c r="D115" i="12"/>
  <c r="D95" i="12" l="1"/>
  <c r="D96" i="12" s="1"/>
  <c r="D130" i="12"/>
  <c r="D216" i="12" s="1"/>
  <c r="B55" i="13" s="1"/>
  <c r="D129" i="12"/>
  <c r="D166" i="12"/>
  <c r="D218" i="12" s="1"/>
  <c r="B57" i="13" s="1"/>
  <c r="D171" i="12"/>
  <c r="B10" i="13" s="1"/>
  <c r="D172" i="12"/>
  <c r="B11" i="13" s="1"/>
  <c r="D150" i="12"/>
  <c r="D82" i="12"/>
  <c r="D183" i="12"/>
  <c r="B22" i="13" s="1"/>
  <c r="D182" i="12"/>
  <c r="B21" i="13" s="1"/>
  <c r="D214" i="12"/>
  <c r="D143" i="12"/>
  <c r="D144" i="12" s="1"/>
  <c r="D89" i="12"/>
  <c r="D155" i="12"/>
  <c r="B44" i="13"/>
  <c r="D200" i="12"/>
  <c r="B35" i="13" s="1"/>
  <c r="D195" i="12"/>
  <c r="D161" i="12" l="1"/>
  <c r="D97" i="12"/>
  <c r="D180" i="12" s="1"/>
  <c r="B19" i="13" s="1"/>
  <c r="D158" i="12"/>
  <c r="D190" i="12"/>
  <c r="D83" i="12"/>
  <c r="D202" i="12"/>
  <c r="B38" i="13" s="1"/>
  <c r="D90" i="12"/>
  <c r="D204" i="12"/>
  <c r="B40" i="13" s="1"/>
  <c r="D107" i="12"/>
  <c r="B33" i="13"/>
  <c r="B30" i="13"/>
  <c r="B53" i="13"/>
  <c r="D191" i="12"/>
  <c r="D199" i="12"/>
  <c r="D128" i="12"/>
  <c r="D217" i="12" s="1"/>
  <c r="D98" i="12" l="1"/>
  <c r="D181" i="12" s="1"/>
  <c r="B20" i="13" s="1"/>
  <c r="D203" i="12"/>
  <c r="B39" i="13" s="1"/>
  <c r="D84" i="12"/>
  <c r="D146" i="12" s="1"/>
  <c r="D157" i="12" s="1"/>
  <c r="D91" i="12"/>
  <c r="D152" i="12" s="1"/>
  <c r="D196" i="12" s="1"/>
  <c r="D205" i="12"/>
  <c r="B41" i="13" s="1"/>
  <c r="D108" i="12"/>
  <c r="D178" i="12" s="1"/>
  <c r="B17" i="13" s="1"/>
  <c r="D177" i="12"/>
  <c r="B16" i="13" s="1"/>
  <c r="D164" i="12"/>
  <c r="B34" i="13"/>
  <c r="B26" i="13"/>
  <c r="B36" i="13"/>
  <c r="B56" i="13"/>
  <c r="D194" i="12"/>
  <c r="D215" i="12"/>
  <c r="D99" i="12" l="1"/>
  <c r="D100" i="12" s="1"/>
  <c r="D174" i="12" s="1"/>
  <c r="B13" i="13" s="1"/>
  <c r="D192" i="12"/>
  <c r="B27" i="13" s="1"/>
  <c r="B54" i="13"/>
  <c r="B31" i="13"/>
  <c r="B29" i="13"/>
  <c r="B25" i="13"/>
  <c r="D139" i="12" l="1"/>
  <c r="D160" i="12" s="1"/>
  <c r="D163" i="12" l="1"/>
  <c r="D226" i="12" s="1"/>
  <c r="D173" i="12"/>
  <c r="B12" i="13" s="1"/>
  <c r="D212" i="12"/>
  <c r="B51" i="13" s="1"/>
  <c r="D118" i="12"/>
  <c r="D211" i="12" s="1"/>
  <c r="B50" i="13" s="1"/>
  <c r="D208" i="12"/>
  <c r="B47" i="13" s="1"/>
  <c r="D224" i="12"/>
  <c r="D223" i="12" l="1"/>
  <c r="B62" i="13" s="1"/>
  <c r="B63" i="13"/>
  <c r="D221" i="12"/>
  <c r="D227" i="12"/>
  <c r="D220" i="12"/>
  <c r="B59" i="13" l="1"/>
  <c r="B65" i="13"/>
  <c r="B66" i="13"/>
  <c r="B60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<sst xmlns="http://schemas.openxmlformats.org/spreadsheetml/2006/main" count="794" uniqueCount="409">
  <si>
    <t>Description</t>
  </si>
  <si>
    <t>Table of Contents</t>
  </si>
  <si>
    <t>Sheet Name</t>
  </si>
  <si>
    <t>Link</t>
  </si>
  <si>
    <t>Inputs</t>
  </si>
  <si>
    <t>Calculations</t>
  </si>
  <si>
    <t>Outputs</t>
  </si>
  <si>
    <t>Output</t>
  </si>
  <si>
    <t>Electricity Distribution Business</t>
  </si>
  <si>
    <t>Notes</t>
  </si>
  <si>
    <t>Alpine Energy</t>
  </si>
  <si>
    <t>Aurora Energy</t>
  </si>
  <si>
    <t>EA Networks</t>
  </si>
  <si>
    <t>Electricity Invercargill</t>
  </si>
  <si>
    <t>Horizon Energy</t>
  </si>
  <si>
    <t>Nelson Electricity</t>
  </si>
  <si>
    <t>Network Tasman</t>
  </si>
  <si>
    <t>Orion NZ</t>
  </si>
  <si>
    <t>OtagoNet</t>
  </si>
  <si>
    <t>Powerco</t>
  </si>
  <si>
    <t>The Lines Company</t>
  </si>
  <si>
    <t>Top Energy</t>
  </si>
  <si>
    <t>Unison Networks</t>
  </si>
  <si>
    <t>Vector Lines</t>
  </si>
  <si>
    <t>Wellington Electricity</t>
  </si>
  <si>
    <t>Other Inputs</t>
  </si>
  <si>
    <t>Multiplier</t>
  </si>
  <si>
    <t>IRIS retention rate</t>
  </si>
  <si>
    <t>Days per year</t>
  </si>
  <si>
    <t>Minutes per hour</t>
  </si>
  <si>
    <t>Hours per day</t>
  </si>
  <si>
    <t>Value</t>
  </si>
  <si>
    <t>Value of lost load</t>
  </si>
  <si>
    <t>ICPs</t>
  </si>
  <si>
    <t>Other inputs</t>
  </si>
  <si>
    <t>Incentive Rate per customer</t>
  </si>
  <si>
    <t>Scenario</t>
  </si>
  <si>
    <t>Active EDB</t>
  </si>
  <si>
    <t>Active EDB outputs</t>
  </si>
  <si>
    <t>Years in regulatory period</t>
  </si>
  <si>
    <t>DPP3</t>
  </si>
  <si>
    <t>Constants</t>
  </si>
  <si>
    <t>EDB-specific inputs</t>
  </si>
  <si>
    <t>Energy delivered (GWh)</t>
  </si>
  <si>
    <t>Planned SAIDI standards are set for the five-year regulatory period</t>
  </si>
  <si>
    <t>Planned SAIFI standards are set for the five-year regulatory period</t>
  </si>
  <si>
    <t>minutes</t>
  </si>
  <si>
    <t>$ / minute</t>
  </si>
  <si>
    <t>$ / minute / ICP</t>
  </si>
  <si>
    <t>1000 * years / minute</t>
  </si>
  <si>
    <t>These calculations repeat those from above for SAIFI</t>
  </si>
  <si>
    <t>The incentive rate is calculated using the three-year average of energy delivered by the network</t>
  </si>
  <si>
    <t>Commission-defined constants</t>
  </si>
  <si>
    <t>Outputs Chart book</t>
  </si>
  <si>
    <t>Distributor</t>
  </si>
  <si>
    <t>(1-year)</t>
  </si>
  <si>
    <t>(5-year)</t>
  </si>
  <si>
    <t>Incentive rate</t>
  </si>
  <si>
    <t>Reduced frequency of major events</t>
  </si>
  <si>
    <t>Implied VoLL</t>
  </si>
  <si>
    <t>Implied value of lost load</t>
  </si>
  <si>
    <t>$ nominal</t>
  </si>
  <si>
    <t>Chart book</t>
  </si>
  <si>
    <t>MAR or net allowable revenue</t>
  </si>
  <si>
    <t>Non-exempt EDB</t>
  </si>
  <si>
    <t>Alpine Energy Limited</t>
  </si>
  <si>
    <t>Aurora Energy Limited</t>
  </si>
  <si>
    <t>Electricity Ashburton Limited</t>
  </si>
  <si>
    <t>Electricity Invercargill Limited</t>
  </si>
  <si>
    <t>Horizon Energy Distribution Limited</t>
  </si>
  <si>
    <t>Nelson Electricity Limited</t>
  </si>
  <si>
    <t>Network Tasman Limited</t>
  </si>
  <si>
    <t>Orion New Zealand Limited</t>
  </si>
  <si>
    <t>OtagoNet Joint Venture</t>
  </si>
  <si>
    <t>Powerco Limited</t>
  </si>
  <si>
    <t>The Lines Company Limited</t>
  </si>
  <si>
    <t>Top Energy Limited</t>
  </si>
  <si>
    <t>Unison Networks Limited</t>
  </si>
  <si>
    <t>Vector Limited</t>
  </si>
  <si>
    <t>Wellington Electricity Lines Limited</t>
  </si>
  <si>
    <t>SAIDI unplanned interruption target</t>
  </si>
  <si>
    <t>SAIDI unplanned interruption collar</t>
  </si>
  <si>
    <t>SAIDI unplanned interruption cap</t>
  </si>
  <si>
    <t>Table 4.3: Incentive rates for the</t>
  </si>
  <si>
    <t>SAIDI planned interruption collar</t>
  </si>
  <si>
    <t>SAIDI planned interruption Target</t>
  </si>
  <si>
    <t>SAIDI planned interruption cap</t>
  </si>
  <si>
    <t>$ / MWh</t>
  </si>
  <si>
    <t>Planned</t>
  </si>
  <si>
    <t>Calculations Chartbook</t>
  </si>
  <si>
    <t>Circuit Length</t>
  </si>
  <si>
    <t>Units</t>
  </si>
  <si>
    <t>Result</t>
  </si>
  <si>
    <t>percent</t>
  </si>
  <si>
    <t>Planned: Maximum revenue loss</t>
  </si>
  <si>
    <t>Total: Maximum revenue loss</t>
  </si>
  <si>
    <t>Unplanned: Maximum revenue gain</t>
  </si>
  <si>
    <t>Unplanned: Maximum revenue loss</t>
  </si>
  <si>
    <t>Planned: Maximum revenue gain</t>
  </si>
  <si>
    <t>Total: Maximum revenue gain</t>
  </si>
  <si>
    <t>percent of MAR</t>
  </si>
  <si>
    <t>$/MWh</t>
  </si>
  <si>
    <t>The SAIDI incentive rate is a function of VoLL, and measures the value of losses from each SAIDI minute</t>
  </si>
  <si>
    <t>This adjusts the SAIDI target if the +/- 5% cap is reached</t>
  </si>
  <si>
    <t>This adjusts the SAIDI collar if the +/- 5% cap is reached</t>
  </si>
  <si>
    <t>This calculates the maximum loss for unplanned disruptions as a proportion of the MAR</t>
  </si>
  <si>
    <t>This calculates the maximum gain for unplanned disruptions as a proportion of the MAR</t>
  </si>
  <si>
    <t>This calculates the maximum loss for planned disruptions as a proportion of the MAR</t>
  </si>
  <si>
    <t>This calculates the maximum gain for planned disruptions as a proportion of the MAR</t>
  </si>
  <si>
    <t>This calculates the maximum loss for all disruptions as a proportion of the MAR (with cap applied)</t>
  </si>
  <si>
    <t>This calculates the maximum gain for all disruptions as a proportion of the MAR (with cap applied)</t>
  </si>
  <si>
    <t>Reliability standards and incentives model</t>
  </si>
  <si>
    <t>General description</t>
  </si>
  <si>
    <t>Model suite</t>
  </si>
  <si>
    <t>This sheet uses Excel's data table facility to display the quality standards for each EDB.</t>
  </si>
  <si>
    <t>The calculations are for the distributor selected in the 'Output' sheet.</t>
  </si>
  <si>
    <t>Calculations-Chartbook</t>
  </si>
  <si>
    <t>Maximum loss</t>
  </si>
  <si>
    <t>Maximum gain</t>
  </si>
  <si>
    <t>Source</t>
  </si>
  <si>
    <t>Major events (compared to 23)</t>
  </si>
  <si>
    <t>‘Major half hours’ (compared to 1104)</t>
  </si>
  <si>
    <t>Extreme event standard―SAIDI</t>
  </si>
  <si>
    <t>The extreme event standard is set at 120 SAIDI minutes or 6,000,000 customer minutes (whichever is lower)</t>
  </si>
  <si>
    <t>Extreme event standard</t>
  </si>
  <si>
    <t>Extreme event standard―approx SAIDI equivalent</t>
  </si>
  <si>
    <t>SAIDI minutes</t>
  </si>
  <si>
    <t>frequency</t>
  </si>
  <si>
    <t>Unplanned standard deviation multiplier</t>
  </si>
  <si>
    <t>Unplanned reliability standards</t>
  </si>
  <si>
    <t>Planned reliability standards</t>
  </si>
  <si>
    <t>Interruption penalties and rewards</t>
  </si>
  <si>
    <t>Planned reliability standard―SAIDI (5-year regulatory period limit)</t>
  </si>
  <si>
    <t>Planned reliability standard―SAIFI (5-year regulatory period limit)</t>
  </si>
  <si>
    <t>GWh / year</t>
  </si>
  <si>
    <t>The estimated amount of SAIDI incentives paid per MWh of electricity foregone</t>
  </si>
  <si>
    <t>This is the three-year average of ICPs to calculate the incentive rate per customer</t>
  </si>
  <si>
    <t>This is the three-year average of electricity volumes to calculate the implied VoLL</t>
  </si>
  <si>
    <t>Unplanned incentive rate</t>
  </si>
  <si>
    <t>Planned incentive rate</t>
  </si>
  <si>
    <t>Unplanned incentive rate per customer</t>
  </si>
  <si>
    <t>Revenue at risk constraint</t>
  </si>
  <si>
    <t>Number of minutes in a year</t>
  </si>
  <si>
    <t>SAIDI boundary value</t>
  </si>
  <si>
    <t>SAIDI average</t>
  </si>
  <si>
    <t>SAIDI collar</t>
  </si>
  <si>
    <t>SAIDI cap pre-adjustment</t>
  </si>
  <si>
    <t>SAIDI standard deviation</t>
  </si>
  <si>
    <t>SAIFI boundary value</t>
  </si>
  <si>
    <t>SAIFI average</t>
  </si>
  <si>
    <t>SAIFI collar</t>
  </si>
  <si>
    <t>SAIFI cap pre-adjustment</t>
  </si>
  <si>
    <t>SAIFI standard deviation</t>
  </si>
  <si>
    <t>SAIFI cap</t>
  </si>
  <si>
    <t>SAIDI standard</t>
  </si>
  <si>
    <t>SAIFI standard</t>
  </si>
  <si>
    <t>SAIDI cap</t>
  </si>
  <si>
    <t>Table 3.1.1</t>
  </si>
  <si>
    <t>Table 3.2.1</t>
  </si>
  <si>
    <t>Table 4.1</t>
  </si>
  <si>
    <t>Table 4.2</t>
  </si>
  <si>
    <t>Table 4.3</t>
  </si>
  <si>
    <t>EDBs</t>
  </si>
  <si>
    <t>Price-Quality Regulation 1 April 2025 DPP Reset</t>
  </si>
  <si>
    <t>Inputs from R model</t>
  </si>
  <si>
    <t>DPP4</t>
  </si>
  <si>
    <t>Maximum allowable revenue for Aurora CPP ($000 nominal)</t>
  </si>
  <si>
    <t>Inputs from R</t>
  </si>
  <si>
    <t>If 6,000,000/ICPs at end &lt;120 mins, then take 120mins, or else use  6,000,000/ICPs</t>
  </si>
  <si>
    <t>SAIDI incentives rates for DPP3 ($/SAIDI)</t>
  </si>
  <si>
    <t>Table 4.3 Incentive rates for the DPP regulatory period, in the DPP3 Determination</t>
  </si>
  <si>
    <t>Unplanned SAIDI collar</t>
  </si>
  <si>
    <t>Unplanned SAIDI target</t>
  </si>
  <si>
    <t>Unplanned SAIDI cap</t>
  </si>
  <si>
    <t>Unplanned</t>
  </si>
  <si>
    <t>DPP3 unplanned</t>
  </si>
  <si>
    <t>DPP3 planned</t>
  </si>
  <si>
    <t>Unplanned SAIDI % increase/decrease cap (for target and limit)</t>
  </si>
  <si>
    <t>Unplanned SAIFI % increase/decrease cap (for target and limit)</t>
  </si>
  <si>
    <t>Source: Aurora-Energy-Limited-Electricity-Distribution-Customised-Price-Quality-Path-Determination-2021-with-IM-variations-31-March-2021.pdf, Schedule 1.3.</t>
  </si>
  <si>
    <t>SAIDI buffer</t>
  </si>
  <si>
    <t>SAIDI unadjusted cap</t>
  </si>
  <si>
    <t>Revenue loss/gain</t>
  </si>
  <si>
    <t>Planned SAIDI percent increase in DPP4 vs DPP3</t>
  </si>
  <si>
    <t>Planned SAIDI scaling adjustment</t>
  </si>
  <si>
    <t>Planned Adjusted SAIDI cap</t>
  </si>
  <si>
    <t>Unplanned SAIDI percent increase in DPP4 vs DPP3</t>
  </si>
  <si>
    <t>Unplanned SAIDI scaling adjustment</t>
  </si>
  <si>
    <t>Unplanned Adjusted SAIDI cap</t>
  </si>
  <si>
    <t>Unplanned SAIFI scaling adjustment</t>
  </si>
  <si>
    <t>Unplanned Adjusted SAIFI cap</t>
  </si>
  <si>
    <t>Planned SAIFI percent increase in DPP4 vs DPP3</t>
  </si>
  <si>
    <t>SAIDI incentive rate per customer in DPP3</t>
  </si>
  <si>
    <t>SAIFI buffer</t>
  </si>
  <si>
    <t>SAIFI unadjusted cap</t>
  </si>
  <si>
    <t>Planned SAIFI scaling adjustment</t>
  </si>
  <si>
    <t>Extreme event standards</t>
  </si>
  <si>
    <t>Unplanned SAIFI percent increase in DPP4 vs DPP3</t>
  </si>
  <si>
    <t>SAIDI target (DPP/CPP)</t>
  </si>
  <si>
    <t>SAIDI Limit (DPP/CPP)</t>
  </si>
  <si>
    <t>SAIDI boundary value (Stata)</t>
  </si>
  <si>
    <t>SAIFI boundary value (Stata)</t>
  </si>
  <si>
    <t>SAIFI target (CPP/DPP)</t>
  </si>
  <si>
    <t>SAIFI Limit (DPP/CPP)</t>
  </si>
  <si>
    <t>Unplanned SAIFI target</t>
  </si>
  <si>
    <t>Unplanned SAIFI collar</t>
  </si>
  <si>
    <t>Unplanned SAIFI cap</t>
  </si>
  <si>
    <t>DPP regulatory period 1 April 2025 – 31 March 2030</t>
  </si>
  <si>
    <t>Firstlight Network</t>
  </si>
  <si>
    <t>Notified</t>
  </si>
  <si>
    <t>Planned incentive rate - % of unplanned</t>
  </si>
  <si>
    <t>(per event)</t>
  </si>
  <si>
    <t>EDB</t>
  </si>
  <si>
    <t>Determination</t>
  </si>
  <si>
    <t>Schedule 4(5), Incentive rates for Aurora CPP</t>
  </si>
  <si>
    <t>Planned incentive rate - $ / minute</t>
  </si>
  <si>
    <t>Quality incentives</t>
  </si>
  <si>
    <t>Unplanned SAIDI incentives rates for DPP3 ($/SAIDI)</t>
  </si>
  <si>
    <t>Planned SAIDI incentives rates for DPP3 ($/SAIDI)</t>
  </si>
  <si>
    <t>Notified SAIDI incentives rates for DPP3 ($/SAIDI)</t>
  </si>
  <si>
    <t>Notified incentive rate</t>
  </si>
  <si>
    <t>Unplanned Incentive Rate</t>
  </si>
  <si>
    <t>Notified Incentive rate - $ / minute</t>
  </si>
  <si>
    <t>Inputs that are the same for all EDBs</t>
  </si>
  <si>
    <t>QIS2 unplanned incentive rates are informed by the value of lost load (VoLL), discounted by (1-IRIS retention factor)…</t>
  </si>
  <si>
    <t>QIS2 unplanned incentive rates are informed by the value of lost load (VoLL), discounted ..a further 10% to reflect quality standard incentives</t>
  </si>
  <si>
    <t>QIS8 Cap revenue at risk at 2% of actual net allowable revenue</t>
  </si>
  <si>
    <t>QS7 Retain SAIDI extreme event standard set at 120 SAIDI minutes or 6,000,000 customer minutes where specified</t>
  </si>
  <si>
    <t>GWh disclosures are used to estimate the amount of SAIDI incentives paid per MWh of electricity foregone</t>
  </si>
  <si>
    <t>This is used to estimate a SAIDI incentive rate per customer</t>
  </si>
  <si>
    <t>Normalised historical average calculated in R</t>
  </si>
  <si>
    <t>Calculate percentage increase between regulatory periods</t>
  </si>
  <si>
    <t>Calculates the unplanned reliability standard:</t>
  </si>
  <si>
    <t>The SAIDI incentive rate set for DPP3 for planned, weighted as 50% of unplanned</t>
  </si>
  <si>
    <t>The SAIDI incentive rate set for DPP3 for notified, weighted as 25% of unplanned</t>
  </si>
  <si>
    <t>SAIDI incentive rate per customer for DPP4</t>
  </si>
  <si>
    <t xml:space="preserve">This calculates the difference in reliability targets (average reliability) between reference periods, after normalisation </t>
  </si>
  <si>
    <t>There is no cap on planned targets - this is a placeholder only</t>
  </si>
  <si>
    <t>This adjusts the SAIDI cap if the +/- 5% cap is reached. Calculated above.</t>
  </si>
  <si>
    <t>These are SAIDI incentive rates from the DPP3</t>
  </si>
  <si>
    <t>EDB DPP determination 2020 (27 November 2019), Schedule 3.2, Table 3.2.1 (boundary values); Schedule 4, Table 4.1 (collar, target, cap)</t>
  </si>
  <si>
    <t>Aurora CPP (31 March 2021), Schedule 3.2, table 3.2.1 (limit, boundary), Schedule 4m Table 4.1 and 4.2  (Collar, target, cap)</t>
  </si>
  <si>
    <t>Also Final DPP3 model, Outputs or Chart book for all but Aurora (this will download)</t>
  </si>
  <si>
    <t>DPP3 SAIDI Target</t>
  </si>
  <si>
    <t>DPP4 SAIDI Average Unadj</t>
  </si>
  <si>
    <t>DPP3 to DPP4 Movement</t>
  </si>
  <si>
    <t>DPP3 SAIDI Limit</t>
  </si>
  <si>
    <t>DPP4 SAIDI Unadj</t>
  </si>
  <si>
    <t>DPP4 SAIDI Target (capped)</t>
  </si>
  <si>
    <t>DPP4 SAIDI Limit (capped)</t>
  </si>
  <si>
    <t>SAIDI Limit</t>
  </si>
  <si>
    <t>SAIFI Limit</t>
  </si>
  <si>
    <t>DPP3 SAIFI Limit</t>
  </si>
  <si>
    <t>DPP4 SAIFI Unadj</t>
  </si>
  <si>
    <t>DPP4 SAIFI Limit (capped)</t>
  </si>
  <si>
    <t>Planned accumulated SAIDI limit for the DPP regulatory period</t>
  </si>
  <si>
    <t>Planned accumulated SAIFI limit for the DPP regulatory period</t>
  </si>
  <si>
    <t>Firstlight Network Limited</t>
  </si>
  <si>
    <r>
      <t xml:space="preserve">Table 3.2.1: Unplanned SAIDI limits, unplanned SAIFI limits, SAIDI unplanned boundary values and </t>
    </r>
    <r>
      <rPr>
        <b/>
        <sz val="12"/>
        <rFont val="Calibri"/>
        <family val="2"/>
      </rPr>
      <t>SAIFI</t>
    </r>
    <r>
      <rPr>
        <b/>
        <sz val="12"/>
        <rFont val="Calibri"/>
        <family val="2"/>
        <scheme val="minor"/>
      </rPr>
      <t xml:space="preserve"> unplanned boundary values</t>
    </r>
  </si>
  <si>
    <t>Unplanned SAIDI limit</t>
  </si>
  <si>
    <t>Unplanned SAIFI limit</t>
  </si>
  <si>
    <t>SAIDI unplanned boundary value</t>
  </si>
  <si>
    <t>SAIFI unplanned boundary value</t>
  </si>
  <si>
    <t>for non-exempt EDBs for the DPP regulatory period  1 April 2025 – 31 March 2030</t>
  </si>
  <si>
    <t>for the DPP regulatory period 1 April 2025 – 31 March 2030</t>
  </si>
  <si>
    <r>
      <t>Table 4.1: SAIDI unplanned interruption collars, SAIDI unplanned interruption</t>
    </r>
    <r>
      <rPr>
        <sz val="12"/>
        <color theme="1"/>
        <rFont val="Calibri"/>
        <family val="2"/>
        <scheme val="minor"/>
      </rPr>
      <t xml:space="preserve"> target</t>
    </r>
    <r>
      <rPr>
        <b/>
        <sz val="12"/>
        <color theme="1"/>
        <rFont val="Calibri"/>
        <family val="2"/>
        <scheme val="minor"/>
      </rPr>
      <t>s and SAIDI unplanned interruption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caps</t>
    </r>
  </si>
  <si>
    <r>
      <t>Table 4.2: SAIDI planned interruption collars, SAIDI planned interruption</t>
    </r>
    <r>
      <rPr>
        <sz val="12"/>
        <color theme="1"/>
        <rFont val="Calibri"/>
        <family val="2"/>
        <scheme val="minor"/>
      </rPr>
      <t xml:space="preserve"> target</t>
    </r>
    <r>
      <rPr>
        <b/>
        <sz val="12"/>
        <color theme="1"/>
        <rFont val="Calibri"/>
        <family val="2"/>
        <scheme val="minor"/>
      </rPr>
      <t>s, and SAIDI planned interruption</t>
    </r>
    <r>
      <rPr>
        <sz val="12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caps</t>
    </r>
  </si>
  <si>
    <t>Frequency of major events</t>
  </si>
  <si>
    <t>Chapter 3</t>
  </si>
  <si>
    <t>Quality standards for DPP4</t>
  </si>
  <si>
    <t>Attachment E</t>
  </si>
  <si>
    <t>Table E7</t>
  </si>
  <si>
    <t xml:space="preserve">DPP4 Implied maximum revenue at risk. </t>
  </si>
  <si>
    <t>Quality standards, QIS, normalisation and reference periods</t>
  </si>
  <si>
    <t>Calculations for the selected EDB</t>
  </si>
  <si>
    <t>Calculations Chartbook - frequency of major events</t>
  </si>
  <si>
    <t>Planned Adjusted SAIFI cap</t>
  </si>
  <si>
    <t>Planned buffer added to SAIDI average</t>
  </si>
  <si>
    <t>Planned buffer added to SAIFI average</t>
  </si>
  <si>
    <t>SAIFI weighting to reflect quality standard incentives</t>
  </si>
  <si>
    <t>Extreme event standard―customer minutes</t>
  </si>
  <si>
    <t>Planned SAIDI % increase/decrease cap (limit)</t>
  </si>
  <si>
    <t>Planned SAIFI % increase/decrease cap (limit)</t>
  </si>
  <si>
    <t>EDB DPP determination 2020 (27 November 2019), Schedule 3.1, Table 3.1.1 (limits); Table 4.2 (target, cap)</t>
  </si>
  <si>
    <t>SAIDI cap
(derived)</t>
  </si>
  <si>
    <t>SAIFI cap
(derived)</t>
  </si>
  <si>
    <t>Calculates the planned reliability standard for SAIDI:</t>
  </si>
  <si>
    <t>Calculates the planned reliability standard for SAIFI:</t>
  </si>
  <si>
    <t>Historical average calculated in R</t>
  </si>
  <si>
    <t>Calculates the unadjusted cap for a year</t>
  </si>
  <si>
    <t>This picks up the SAIDI collar which is set at 0</t>
  </si>
  <si>
    <t>This picks up the adjusted SAIDI cap calculated above</t>
  </si>
  <si>
    <t>Planned SAIDI target</t>
  </si>
  <si>
    <t>This calculates the SAIDI target which equals the average</t>
  </si>
  <si>
    <t>Planned SAIDI collar</t>
  </si>
  <si>
    <t>saidi_collar</t>
  </si>
  <si>
    <t>saidi_target</t>
  </si>
  <si>
    <t>saidi_cap</t>
  </si>
  <si>
    <t>saifi_collar</t>
  </si>
  <si>
    <t>saidi_limit</t>
  </si>
  <si>
    <t>saifi_target</t>
  </si>
  <si>
    <t>saifi_cap</t>
  </si>
  <si>
    <t>saifi_limit</t>
  </si>
  <si>
    <t>saidi_bound</t>
  </si>
  <si>
    <t>saidi_sd</t>
  </si>
  <si>
    <t>saifi_bound</t>
  </si>
  <si>
    <t>saifi_sd</t>
  </si>
  <si>
    <t>R output name:</t>
  </si>
  <si>
    <t>Extreme outage</t>
  </si>
  <si>
    <t>This model calculates quality standards which must be met by price-quality regulated EDBs during the DPP4 regulatory period. It also provides quality incentive scheme parameters, including incentive rates.</t>
  </si>
  <si>
    <t>"The Calculations Chartbook" contains further analysis of smaller EDBs that are expected to have a lower frequency of major events.</t>
  </si>
  <si>
    <t>The "Output" sheet uses Excel's data table facility to display the calculated results for all EDBs.</t>
  </si>
  <si>
    <t xml:space="preserve">Annual quantities relate to years ending on 31 March. </t>
  </si>
  <si>
    <t>A lighter font is used for cells containing a formula linking to another sheet. A red font is applied to input cells.</t>
  </si>
  <si>
    <t>Wherever two horizontally adjacent cells contain numerical formulas which differ, a red border has been placed between the cells to indicate that the cell formulas are different.</t>
  </si>
  <si>
    <t>All input data from R is entered into this sheet</t>
  </si>
  <si>
    <t>SAIDI weighting to reflect quality standard incentives</t>
  </si>
  <si>
    <r>
      <t xml:space="preserve">SAIDI Incentive Rate </t>
    </r>
    <r>
      <rPr>
        <b/>
        <sz val="16"/>
        <rFont val="Calibri"/>
        <family val="2"/>
      </rPr>
      <t>– DPP3</t>
    </r>
  </si>
  <si>
    <r>
      <t xml:space="preserve">SAIDI Incentive Rate </t>
    </r>
    <r>
      <rPr>
        <b/>
        <sz val="16"/>
        <rFont val="Calibri"/>
        <family val="2"/>
      </rPr>
      <t>– DPP4</t>
    </r>
  </si>
  <si>
    <t>Indicative only</t>
  </si>
  <si>
    <t>Unplanned quality parameters - DPP4</t>
  </si>
  <si>
    <t>Planned quality parameters - DPP4</t>
  </si>
  <si>
    <t>Inputs that are specific to individual EDBs</t>
  </si>
  <si>
    <t>MAR or net allowable revenue - EDBs on DPP4</t>
  </si>
  <si>
    <t>MAR or net allowable revenue - Aurora transitioning from CPP</t>
  </si>
  <si>
    <t>2024 Circuit length (km)</t>
  </si>
  <si>
    <t>Unplanned quality parameters - based on 10 year historical reference dataset (RY 2015-2024)</t>
  </si>
  <si>
    <t>Quality standards and incentives are calculated, consistent with our final decisions, in the "Calculations" sheet</t>
  </si>
  <si>
    <t>Inputs from R (statistical software)</t>
  </si>
  <si>
    <t>Planned quality parameters - based on 7 year historical reference dataset (RY 2018-2024)</t>
  </si>
  <si>
    <t>Final decision</t>
  </si>
  <si>
    <t>This sheet calculates the quality standards that will apply for the DPP4 period</t>
  </si>
  <si>
    <t>R inputs are unadjusted for caps, etc - which will be calculated in this Excel model below</t>
  </si>
  <si>
    <t>Note, this is not used in the model, calculation below.</t>
  </si>
  <si>
    <t>This calculates the difference in reliability targets (average reliability) between reference periods</t>
  </si>
  <si>
    <t>This calculates the adjustment necessary to reflect the +/-5% cap</t>
  </si>
  <si>
    <t>DPP3 vs DPP4 5% cap applied to unplanned SAIDI targets</t>
  </si>
  <si>
    <t>DPP3 vs DPP4 5% cap applied to unplanned SAIDI and SAIFI limits</t>
  </si>
  <si>
    <t>DPP3 vs DPP4 10% cap applied to planned SAIDI and SAIFI limits</t>
  </si>
  <si>
    <t>This is from 2024 Information Disclosures, Section 9 (c) Total circuit length (for supply)</t>
  </si>
  <si>
    <r>
      <t xml:space="preserve">Note
</t>
    </r>
    <r>
      <rPr>
        <b/>
        <sz val="12"/>
        <rFont val="Calibri"/>
        <family val="2"/>
        <scheme val="minor"/>
      </rPr>
      <t>informs Table E1</t>
    </r>
  </si>
  <si>
    <t>Table E2</t>
  </si>
  <si>
    <t>Table E5</t>
  </si>
  <si>
    <t>DPP3 to DPP4 Change</t>
  </si>
  <si>
    <t>DPP4 SAIFI Limit</t>
  </si>
  <si>
    <t>DPP4 SAIDI Limit</t>
  </si>
  <si>
    <t>Table E9</t>
  </si>
  <si>
    <t>Incentive rates for DPP4 compared to DPP3</t>
  </si>
  <si>
    <t>DPP3 Incentive rate</t>
  </si>
  <si>
    <t>DPP4 Incentive rate</t>
  </si>
  <si>
    <t>Table E12</t>
  </si>
  <si>
    <t>Table E14</t>
  </si>
  <si>
    <t>Table E15</t>
  </si>
  <si>
    <t>Table E16</t>
  </si>
  <si>
    <r>
      <t>for the DPP regulatory period 1 April 2025 – 31 March 2030</t>
    </r>
    <r>
      <rPr>
        <sz val="8"/>
        <color theme="1"/>
        <rFont val="Calibri"/>
        <family val="2"/>
        <scheme val="minor"/>
      </rPr>
      <t> </t>
    </r>
  </si>
  <si>
    <t>Tables for Final Reasons paper</t>
  </si>
  <si>
    <t>Annual unplanned reliability standards</t>
  </si>
  <si>
    <t>Regulatory period planned reliability standards (5-year total)</t>
  </si>
  <si>
    <t>for the DPP regulatory period  1 April 2025 – 31 March 2030</t>
  </si>
  <si>
    <r>
      <t xml:space="preserve">Table 3.1.1: Planned accumulated SAIDI limits and planned accumulated </t>
    </r>
    <r>
      <rPr>
        <b/>
        <sz val="12"/>
        <rFont val="Calibri"/>
        <family val="2"/>
      </rPr>
      <t xml:space="preserve">SAIFI </t>
    </r>
    <r>
      <rPr>
        <b/>
        <sz val="12"/>
        <rFont val="Calibri"/>
        <family val="2"/>
        <scheme val="minor"/>
      </rPr>
      <t>limits for planned interruptions for non-exempt EDBs</t>
    </r>
  </si>
  <si>
    <t>The "Inputs from R" sheet uses the raw output from the R model. The R code (Stata for DPP3) normalises unplanned raw interruption data provided by the EDBs and calculates historical averages (normalised for unplanned), boundary values, standard deviation, etc.</t>
  </si>
  <si>
    <t>All other inputs are in the "Other inputs" sheet.</t>
  </si>
  <si>
    <t>Input data other than R data is entered into this sheet. Note: the one exception is the selected EDB, which is input at C5 in the "Output" sheet</t>
  </si>
  <si>
    <t>QIS2 unplanned incentive rates are informed by the value of lost load (VoLL)</t>
  </si>
  <si>
    <t>This data is the 'average no. of ICPs in the disclosure year' for all customers, from schedule 8(i) in ID. Years end on 31 March.</t>
  </si>
  <si>
    <t>This data is the total 'energy delivered to ICPs in the disclosure year' for all customers, from schedule 8(i) in ID. Years end on 31 March.</t>
  </si>
  <si>
    <t>This multiplier is an FYI - not used. Built into Unplanned incentive rate calculation.</t>
  </si>
  <si>
    <t>The SAIDI incentive rate set for DPP3 (from the determination)</t>
  </si>
  <si>
    <t>Average ICPs 2022-2024</t>
  </si>
  <si>
    <t>Average GWh 2022-2024</t>
  </si>
  <si>
    <t>`</t>
  </si>
  <si>
    <t>Planned incentive rate (implied)</t>
  </si>
  <si>
    <t>Notified incentive rate (implied)</t>
  </si>
  <si>
    <t>This is the DPP3 weighting for notified as a % of unplanned. SAIDI is adjusted for planned rather than the incentive rate but this is mathematically equivalent.</t>
  </si>
  <si>
    <t>Notified interruptions incentive - % of unplanned</t>
  </si>
  <si>
    <t>Not used as no quality standard incentives for SAIFI</t>
  </si>
  <si>
    <t>Planned incentive - % of unplanned</t>
  </si>
  <si>
    <r>
      <t xml:space="preserve">This is the 'MAR (applicable X factor)' series from the outputs of </t>
    </r>
    <r>
      <rPr>
        <i/>
        <sz val="11"/>
        <rFont val="Calibri"/>
        <family val="2"/>
        <scheme val="minor"/>
      </rPr>
      <t>Financial model-EDB DPP4 final determination-20 November 2024</t>
    </r>
  </si>
  <si>
    <t>Tables for Determination</t>
  </si>
  <si>
    <t>Tables for Reasons paper</t>
  </si>
  <si>
    <t>November 2024 final determination</t>
  </si>
  <si>
    <t>Published 20 November 2024</t>
  </si>
  <si>
    <t>QIS3 Planned interruption incentive rates are reduced by 50% relative to the unplanned interruption incentive rate.  SAIDI is adjusted rather than the incentive rate but this is mathematically equivalent.</t>
  </si>
  <si>
    <t>QIS4 Planned ‘notified’ interruptions are reduced by 75% relative to unplanned in calculating the incentive… SAIDI is adjusted rather than the incentive rate but this is mathematically equivalent.</t>
  </si>
  <si>
    <t>QS3 Retain the 2.0 standard deviation buffer for setting the unplanned interruptions reliability standards limit</t>
  </si>
  <si>
    <t>QS4 Maintain the planned SAIDI and SAIFI interruptions standard assessed over the length of the regulatory period</t>
  </si>
  <si>
    <t>RP3 Cap inter-period movement, +/-5% for the SAIDI and SAIFI unplanned targets, and the SAIDI and SAIFI unplanned limits.</t>
  </si>
  <si>
    <t>QS5 set the buffer for the planned interruptions reliability standard to be a 100% uplift on the historical average (2018-2024), capped at a +/- 10% movement from the DPP3 limit</t>
  </si>
  <si>
    <t>QS5 set the buffer for the planned interruptions reliability standard to be a 100% uplift on the historical average (2018-2024)…</t>
  </si>
  <si>
    <t>QS5 set the buffer for the planned interruptions reliability standard to be a 100% uplift on the historical average (2018-2024)</t>
  </si>
  <si>
    <r>
      <t xml:space="preserve">This is raw output from R models, normalised for major events. It is not adjusted for any inter-period caps. </t>
    </r>
    <r>
      <rPr>
        <i/>
        <sz val="10"/>
        <rFont val="Calibri"/>
        <family val="2"/>
        <scheme val="minor"/>
      </rPr>
      <t xml:space="preserve">See outputs from </t>
    </r>
    <r>
      <rPr>
        <sz val="10"/>
        <rFont val="Calibri"/>
        <family val="2"/>
        <scheme val="minor"/>
      </rPr>
      <t>edb_quality_dpp4.zip</t>
    </r>
    <r>
      <rPr>
        <i/>
        <sz val="10"/>
        <rFont val="Calibri"/>
        <family val="2"/>
        <scheme val="minor"/>
      </rPr>
      <t xml:space="preserve"> file.</t>
    </r>
  </si>
  <si>
    <t>Also Final DPP3 model, Inputs from Stata model, Outputs or Chart book for all but Aurora (this will download)</t>
  </si>
  <si>
    <t>These summarised outputs from the calculations appear in the Data Table in the "Output" tab</t>
  </si>
  <si>
    <r>
      <t>This is raw output from R models and is not adjusted for any inter-period caps. See outputs from</t>
    </r>
    <r>
      <rPr>
        <i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edb_quality_dpp4.zip</t>
    </r>
    <r>
      <rPr>
        <i/>
        <sz val="10"/>
        <rFont val="Calibri"/>
        <family val="2"/>
        <scheme val="minor"/>
      </rPr>
      <t xml:space="preserve"> file.</t>
    </r>
  </si>
  <si>
    <t>This is used to determine revenue at risk</t>
  </si>
  <si>
    <t>Notified incentive rate - % of unplanned</t>
  </si>
  <si>
    <t>These calculations repeat those from above for SAIFI. Indicative since SAIFI is not part of QIS</t>
  </si>
  <si>
    <t>Note: Aurora is not included in the Reasons paper chart as it is on a CPP until 31 March 2026</t>
  </si>
  <si>
    <t>Tables X3, 3.2 E1</t>
  </si>
  <si>
    <t>This Excel workbook is one of a suite of models for the EDB DPP4 final decision.</t>
  </si>
  <si>
    <t>All data used by the model is entered into two Input sheets:</t>
  </si>
  <si>
    <t>The "Chart  book" sheet contains tables used in the DPP4 reasons paper or determination.</t>
  </si>
  <si>
    <t>Follow the link "Model map – EDB DPP final determination – 20 November 2024" on the Commission's EDB 2025-2030 default price-quality path determination web page for a graphical depiction of interconnections between the models and data sources.</t>
  </si>
  <si>
    <t>Maximum allowable revenue for DPP4 period ($000 nominal)</t>
  </si>
  <si>
    <t>Users can select an EDB using cell C5 of the 'Output' sheet. Information will be displayed for the chosen EDB in the "Calculations" sheet.</t>
  </si>
  <si>
    <t>This shows Aurora's MAR in the CPP for 2026 and then picks up an estimate of MAR for 2027-2030</t>
  </si>
  <si>
    <t>This calculates the average annual MAR using the last 3 years</t>
  </si>
  <si>
    <t>This model should not be used for purposes other than those stated under "general description" above.</t>
  </si>
  <si>
    <t>This is the DPP3 weighting for planned as a % of unplanned.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</si>
</sst>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164" formatCode="_(* #,##0.00_);_(* \(#,##0.00\);_(* &quot;-&quot;??_);_(@_)"/>
    <numFmt numFmtId="165" formatCode="_(* #,##0_);_(* \(#,##0\);_(* &quot;-&quot;_);_(@_)"/>
    <numFmt numFmtId="166" formatCode="&quot;$&quot;#,##0_);[Red]\(&quot;$&quot;#,##0\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_(@_)"/>
    <numFmt numFmtId="170" formatCode="_(* #,##0.0_);_(* \(#,##0.0\);_(* &quot;–&quot;???_);_(* @_)"/>
    <numFmt numFmtId="171" formatCode="_(* #,##0.00_);_(* \(#,##0.00\);_(* &quot;–&quot;???_);_(* @_)"/>
    <numFmt numFmtId="172" formatCode="_(* #,##0.0000_);_(* \(#,##0.0000\);_(* &quot;–&quot;??_);_(* @_)"/>
    <numFmt numFmtId="173" formatCode="[$-1409]d\ mmm\ yy;@"/>
    <numFmt numFmtId="174" formatCode="_(* #,##0%_);_(* \(#,##0%\);_(* &quot;–&quot;???_);_(* @_)"/>
    <numFmt numFmtId="175" formatCode="_(* #,##0.0%_);_(* \(#,##0.0%\);_(* &quot;–&quot;??_);_(* @_)"/>
    <numFmt numFmtId="176" formatCode="_(* #,##0.00%_);_(* \(#,##0.00%\);_(* &quot;–&quot;???_);_(* @_)"/>
    <numFmt numFmtId="177" formatCode="_(* #,##0.000%_);_(* \(#,##0.000%\);_(* &quot;–&quot;???_);_(* @_)"/>
    <numFmt numFmtId="178" formatCode="_(* #,##0%_);_(* \(#,##0%\);_(* &quot;–&quot;??_);_(* @_)"/>
    <numFmt numFmtId="179" formatCode="_(* 0_);_(* \(0\);_(* &quot;–&quot;??_);_(@_)"/>
    <numFmt numFmtId="180" formatCode="_(* #,##0_);_(* \(#,##0\);_(* &quot;–&quot;???_);_(* @_)"/>
    <numFmt numFmtId="181" formatCode="_(* #,##0.0000%_);_(* \(#,##0.0000%\);_(* &quot;–&quot;???_);_(* @_)"/>
    <numFmt numFmtId="182" formatCode="_(* #,##0.000_);_(* \(#,##0.000\);_(* &quot;–&quot;???_);_(* @_)"/>
    <numFmt numFmtId="183" formatCode="_-* #,##0_-;\-* #,##0_-;_-* &quot;-&quot;??_-;_-@_-"/>
    <numFmt numFmtId="184" formatCode="_(* #,##0.0000_);_(* \(#,##0.0000\);_(* &quot;–&quot;???_);_(* @_)"/>
    <numFmt numFmtId="185" formatCode="_(* #,##0.0%_);_(* \(#,##0.0%\);_(* &quot;–&quot;???_);_(* @_)"/>
    <numFmt numFmtId="186" formatCode="0.000"/>
    <numFmt numFmtId="187" formatCode="0.0%"/>
    <numFmt numFmtId="188" formatCode="_-* #,##0.0000000_-;\-* #,##0.0000000_-;_-* &quot;-&quot;???????_-;_-@_-"/>
    <numFmt numFmtId="189" formatCode="#,##0.0"/>
    <numFmt numFmtId="190" formatCode="0.000%"/>
    <numFmt numFmtId="191" formatCode="_-* #,##0.000_-;\-* #,##0.000_-;_-* &quot;-&quot;???_-;_-@_-"/>
    <numFmt numFmtId="192" formatCode="#,##0.000"/>
    <numFmt numFmtId="193" formatCode="0.0"/>
    <numFmt numFmtId="194" formatCode="#,##0.0000"/>
    <numFmt numFmtId="195" formatCode="0.0000"/>
    <numFmt numFmtId="196" formatCode="#,##0.00,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0"/>
      <name val="Calibri"/>
      <family val="4"/>
      <scheme val="minor"/>
    </font>
    <font>
      <sz val="11"/>
      <color theme="9"/>
      <name val="Calibri"/>
      <family val="2"/>
      <scheme val="minor"/>
    </font>
    <font>
      <b/>
      <sz val="20"/>
      <color theme="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i/>
      <sz val="10"/>
      <name val="Calibri"/>
      <family val="4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u/>
      <sz val="10"/>
      <color theme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2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6"/>
      <name val="Calibri"/>
      <family val="2"/>
      <scheme val="minor"/>
    </font>
    <font>
      <b/>
      <sz val="26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</font>
    <font>
      <i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1"/>
      <name val="Cambria"/>
      <family val="1"/>
      <scheme val="major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2"/>
      <color rgb="FFC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1"/>
      <name val="Calibri"/>
      <family val="4"/>
      <scheme val="minor"/>
    </font>
    <font>
      <i/>
      <u/>
      <sz val="10"/>
      <color theme="10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3E2DF"/>
        <bgColor indexed="64"/>
      </patternFill>
    </fill>
    <fill>
      <patternFill patternType="solid">
        <fgColor rgb="FF80AAA2"/>
        <bgColor indexed="64"/>
      </patternFill>
    </fill>
    <fill>
      <patternFill patternType="solid">
        <fgColor rgb="FF7EA0AE"/>
        <bgColor indexed="64"/>
      </patternFill>
    </fill>
    <fill>
      <patternFill patternType="solid">
        <fgColor rgb="FFE0E9EC"/>
        <bgColor indexed="64"/>
      </patternFill>
    </fill>
    <fill>
      <patternFill patternType="solid">
        <fgColor rgb="FFF5F9F9"/>
        <bgColor indexed="64"/>
      </patternFill>
    </fill>
  </fills>
  <borders count="3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/>
      <bottom style="thin">
        <color theme="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theme="2"/>
      </left>
      <right/>
      <top style="thin">
        <color theme="7"/>
      </top>
      <bottom style="thin">
        <color theme="7"/>
      </bottom>
      <diagonal/>
    </border>
    <border>
      <left style="medium">
        <color theme="2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 style="medium">
        <color rgb="FFFFFFFF"/>
      </right>
      <top/>
      <bottom/>
      <diagonal/>
    </border>
    <border>
      <left/>
      <right/>
      <top style="thin">
        <color theme="7"/>
      </top>
      <bottom/>
      <diagonal/>
    </border>
    <border>
      <left style="medium">
        <color rgb="FFFFFFFF"/>
      </left>
      <right/>
      <top/>
      <bottom/>
      <diagonal/>
    </border>
  </borders>
  <cellStyleXfs count="93">
    <xf numFmtId="0" fontId="0" fillId="0" borderId="0"/>
    <xf numFmtId="164" fontId="1" fillId="0" borderId="0" applyFont="0" applyFill="0" applyBorder="0" applyAlignment="0" applyProtection="0"/>
    <xf numFmtId="180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9" fontId="20" fillId="0" borderId="0" applyFill="0" applyAlignment="0"/>
    <xf numFmtId="49" fontId="14" fillId="0" borderId="0" applyFill="0" applyAlignment="0"/>
    <xf numFmtId="49" fontId="15" fillId="0" borderId="0" applyFill="0" applyAlignment="0"/>
    <xf numFmtId="49" fontId="16" fillId="33" borderId="0" applyFill="0" applyBorder="0">
      <alignment horizontal="left"/>
    </xf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17" fillId="34" borderId="11" applyNumberFormat="0" applyFill="0" applyAlignment="0">
      <protection locked="0"/>
    </xf>
    <xf numFmtId="0" fontId="1" fillId="36" borderId="11" applyNumberFormat="0" applyFill="0" applyAlignment="0"/>
    <xf numFmtId="0" fontId="7" fillId="5" borderId="1" applyNumberFormat="0" applyAlignment="0" applyProtection="0"/>
    <xf numFmtId="0" fontId="8" fillId="0" borderId="2" applyNumberFormat="0" applyFill="0" applyAlignment="0" applyProtection="0"/>
    <xf numFmtId="0" fontId="9" fillId="6" borderId="3" applyNumberFormat="0" applyAlignment="0" applyProtection="0"/>
    <xf numFmtId="0" fontId="10" fillId="0" borderId="0" applyNumberFormat="0" applyFill="0" applyBorder="0" applyAlignment="0" applyProtection="0"/>
    <xf numFmtId="0" fontId="1" fillId="7" borderId="4" applyNumberFormat="0" applyFont="0" applyAlignment="0" applyProtection="0"/>
    <xf numFmtId="49" fontId="24" fillId="0" borderId="0" applyFill="0" applyProtection="0">
      <alignment horizontal="left" indent="1"/>
    </xf>
    <xf numFmtId="0" fontId="2" fillId="0" borderId="5" applyNumberFormat="0" applyFill="0" applyAlignment="0" applyProtection="0"/>
    <xf numFmtId="0" fontId="1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1" fillId="31" borderId="0" applyNumberFormat="0" applyBorder="0" applyAlignment="0" applyProtection="0"/>
    <xf numFmtId="179" fontId="22" fillId="0" borderId="0" applyFont="0" applyFill="0" applyBorder="0" applyAlignment="0" applyProtection="0">
      <alignment horizontal="left"/>
      <protection locked="0"/>
    </xf>
    <xf numFmtId="165" fontId="1" fillId="36" borderId="12" applyNumberFormat="0" applyFont="0" applyFill="0" applyAlignment="0" applyProtection="0"/>
    <xf numFmtId="177" fontId="13" fillId="32" borderId="0" applyFont="0" applyBorder="0"/>
    <xf numFmtId="176" fontId="22" fillId="0" borderId="0" applyFont="0" applyFill="0" applyBorder="0" applyAlignment="0" applyProtection="0">
      <protection locked="0"/>
    </xf>
    <xf numFmtId="175" fontId="13" fillId="0" borderId="0" applyFont="0" applyFill="0" applyBorder="0" applyAlignment="0" applyProtection="0">
      <alignment horizontal="center" vertical="top" wrapText="1"/>
    </xf>
    <xf numFmtId="174" fontId="19" fillId="34" borderId="11" applyNumberFormat="0" applyFill="0" applyAlignment="0"/>
    <xf numFmtId="0" fontId="18" fillId="35" borderId="11" applyNumberFormat="0" applyFill="0">
      <alignment horizontal="centerContinuous" wrapText="1"/>
    </xf>
    <xf numFmtId="173" fontId="22" fillId="0" borderId="0" applyFont="0" applyFill="0" applyBorder="0" applyAlignment="0" applyProtection="0">
      <alignment wrapText="1"/>
    </xf>
    <xf numFmtId="172" fontId="22" fillId="0" borderId="0" applyFont="0" applyFill="0" applyBorder="0" applyAlignment="0" applyProtection="0"/>
    <xf numFmtId="171" fontId="22" fillId="0" borderId="0" applyFont="0" applyFill="0" applyBorder="0" applyAlignment="0" applyProtection="0">
      <protection locked="0"/>
    </xf>
    <xf numFmtId="169" fontId="23" fillId="0" borderId="0" applyFont="0" applyFill="0" applyBorder="0" applyAlignment="0" applyProtection="0">
      <alignment horizontal="left"/>
      <protection locked="0"/>
    </xf>
    <xf numFmtId="170" fontId="22" fillId="0" borderId="0" applyFont="0" applyFill="0" applyBorder="0" applyAlignment="0" applyProtection="0"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81" fontId="1" fillId="32" borderId="0" applyFont="0" applyBorder="0"/>
    <xf numFmtId="182" fontId="1" fillId="0" borderId="0" applyFont="0" applyFill="0" applyBorder="0" applyAlignment="0" applyProtection="0"/>
    <xf numFmtId="0" fontId="1" fillId="35" borderId="11" applyNumberFormat="0" applyFont="0" applyBorder="0" applyAlignment="0" applyProtection="0"/>
    <xf numFmtId="49" fontId="24" fillId="0" borderId="0" applyFill="0" applyProtection="0">
      <alignment horizontal="left" indent="1"/>
    </xf>
    <xf numFmtId="0" fontId="22" fillId="0" borderId="0"/>
    <xf numFmtId="165" fontId="1" fillId="36" borderId="12" applyNumberFormat="0" applyFont="0" applyFill="0" applyAlignment="0" applyProtection="0"/>
    <xf numFmtId="49" fontId="15" fillId="0" borderId="0" applyFill="0" applyAlignment="0"/>
    <xf numFmtId="165" fontId="1" fillId="36" borderId="12" applyNumberFormat="0" applyFont="0" applyFill="0" applyAlignment="0" applyProtection="0"/>
    <xf numFmtId="165" fontId="1" fillId="36" borderId="12" applyNumberFormat="0" applyFont="0" applyFill="0" applyAlignment="0" applyProtection="0"/>
    <xf numFmtId="169" fontId="60" fillId="0" borderId="0" applyFont="0" applyFill="0" applyBorder="0" applyAlignment="0" applyProtection="0">
      <alignment horizontal="left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49" fontId="20" fillId="0" borderId="0" applyFill="0" applyAlignment="0"/>
    <xf numFmtId="49" fontId="16" fillId="33" borderId="0" applyFill="0" applyBorder="0">
      <alignment horizontal="left"/>
    </xf>
    <xf numFmtId="180" fontId="13" fillId="0" borderId="0" applyFont="0" applyFill="0" applyBorder="0" applyAlignment="0" applyProtection="0"/>
    <xf numFmtId="0" fontId="17" fillId="34" borderId="11" applyNumberFormat="0" applyFill="0" applyAlignment="0">
      <protection locked="0"/>
    </xf>
    <xf numFmtId="0" fontId="1" fillId="36" borderId="11" applyNumberFormat="0" applyFill="0" applyAlignment="0"/>
    <xf numFmtId="182" fontId="62" fillId="0" borderId="30" applyFont="0" applyFill="0" applyBorder="0" applyAlignment="0" applyProtection="0"/>
    <xf numFmtId="182" fontId="1" fillId="0" borderId="11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9" fontId="23" fillId="0" borderId="0" applyFont="0" applyFill="0" applyBorder="0" applyAlignment="0" applyProtection="0">
      <alignment horizontal="left"/>
      <protection locked="0"/>
    </xf>
    <xf numFmtId="49" fontId="15" fillId="0" borderId="0" applyFill="0" applyAlignment="0"/>
    <xf numFmtId="169" fontId="60" fillId="0" borderId="0" applyFont="0" applyFill="0" applyBorder="0" applyAlignment="0" applyProtection="0">
      <alignment horizontal="left"/>
      <protection locked="0"/>
    </xf>
    <xf numFmtId="180" fontId="13" fillId="0" borderId="0" applyFont="0" applyFill="0" applyBorder="0" applyAlignment="0" applyProtection="0"/>
    <xf numFmtId="0" fontId="1" fillId="36" borderId="11" applyNumberFormat="0" applyFill="0" applyAlignment="0"/>
    <xf numFmtId="49" fontId="14" fillId="0" borderId="0" applyFill="0" applyAlignment="0"/>
    <xf numFmtId="169" fontId="24" fillId="0" borderId="0" applyFill="0" applyProtection="0">
      <alignment horizontal="left" indent="1"/>
    </xf>
    <xf numFmtId="169" fontId="22" fillId="0" borderId="0" applyFont="0" applyFill="0" applyBorder="0" applyAlignment="0" applyProtection="0">
      <alignment horizontal="left"/>
      <protection locked="0"/>
    </xf>
    <xf numFmtId="49" fontId="24" fillId="0" borderId="0" applyFill="0" applyProtection="0">
      <alignment horizontal="left" indent="1"/>
    </xf>
    <xf numFmtId="182" fontId="1" fillId="0" borderId="11" applyFont="0" applyFill="0" applyBorder="0" applyAlignment="0" applyProtection="0"/>
    <xf numFmtId="165" fontId="1" fillId="36" borderId="12" applyNumberFormat="0" applyFont="0" applyFill="0" applyAlignment="0" applyProtection="0"/>
    <xf numFmtId="49" fontId="20" fillId="0" borderId="0" applyFill="0" applyAlignment="0"/>
  </cellStyleXfs>
  <cellXfs count="394">
    <xf numFmtId="0" fontId="0" fillId="0" borderId="0" xfId="0"/>
    <xf numFmtId="0" fontId="0" fillId="0" borderId="8" xfId="0" applyBorder="1"/>
    <xf numFmtId="0" fontId="0" fillId="0" borderId="9" xfId="0" applyBorder="1"/>
    <xf numFmtId="49" fontId="20" fillId="0" borderId="0" xfId="5"/>
    <xf numFmtId="0" fontId="17" fillId="0" borderId="11" xfId="13" applyFill="1">
      <protection locked="0"/>
    </xf>
    <xf numFmtId="49" fontId="14" fillId="0" borderId="0" xfId="6"/>
    <xf numFmtId="0" fontId="1" fillId="0" borderId="11" xfId="14" applyFill="1"/>
    <xf numFmtId="0" fontId="0" fillId="0" borderId="11" xfId="14" applyFont="1" applyFill="1"/>
    <xf numFmtId="179" fontId="18" fillId="0" borderId="11" xfId="46" applyFont="1" applyFill="1" applyBorder="1" applyAlignment="1" applyProtection="1">
      <alignment horizontal="centerContinuous" wrapText="1"/>
    </xf>
    <xf numFmtId="49" fontId="1" fillId="0" borderId="11" xfId="14" applyNumberFormat="1" applyFill="1"/>
    <xf numFmtId="0" fontId="19" fillId="0" borderId="11" xfId="51" applyNumberFormat="1" applyFill="1"/>
    <xf numFmtId="49" fontId="1" fillId="0" borderId="0" xfId="14" applyNumberFormat="1" applyFill="1" applyBorder="1"/>
    <xf numFmtId="49" fontId="0" fillId="0" borderId="11" xfId="14" applyNumberFormat="1" applyFont="1" applyFill="1"/>
    <xf numFmtId="49" fontId="16" fillId="0" borderId="0" xfId="8" applyFill="1">
      <alignment horizontal="left"/>
    </xf>
    <xf numFmtId="49" fontId="16" fillId="0" borderId="0" xfId="8" applyFill="1" applyBorder="1">
      <alignment horizontal="left"/>
    </xf>
    <xf numFmtId="180" fontId="19" fillId="0" borderId="12" xfId="57" applyNumberFormat="1" applyFont="1" applyFill="1" applyBorder="1" applyProtection="1"/>
    <xf numFmtId="49" fontId="24" fillId="0" borderId="0" xfId="20" applyAlignment="1">
      <alignment horizontal="left" vertical="top" indent="1"/>
    </xf>
    <xf numFmtId="49" fontId="1" fillId="0" borderId="11" xfId="14" applyNumberFormat="1" applyFill="1" applyAlignment="1"/>
    <xf numFmtId="180" fontId="19" fillId="0" borderId="11" xfId="57" applyNumberFormat="1" applyFont="1" applyFill="1" applyBorder="1" applyProtection="1"/>
    <xf numFmtId="182" fontId="17" fillId="0" borderId="11" xfId="63" applyFont="1" applyFill="1" applyBorder="1" applyProtection="1">
      <protection locked="0"/>
    </xf>
    <xf numFmtId="49" fontId="0" fillId="0" borderId="11" xfId="14" applyNumberFormat="1" applyFont="1" applyFill="1" applyAlignment="1">
      <alignment horizontal="left"/>
    </xf>
    <xf numFmtId="182" fontId="19" fillId="0" borderId="0" xfId="63" applyFont="1" applyFill="1" applyBorder="1"/>
    <xf numFmtId="0" fontId="0" fillId="0" borderId="11" xfId="14" applyNumberFormat="1" applyFont="1" applyFill="1"/>
    <xf numFmtId="0" fontId="1" fillId="0" borderId="11" xfId="14" applyNumberFormat="1" applyFill="1"/>
    <xf numFmtId="180" fontId="19" fillId="0" borderId="11" xfId="51" applyNumberFormat="1" applyFill="1"/>
    <xf numFmtId="176" fontId="19" fillId="0" borderId="11" xfId="51" applyNumberFormat="1" applyFill="1"/>
    <xf numFmtId="0" fontId="17" fillId="0" borderId="11" xfId="13" applyNumberFormat="1" applyFill="1" applyAlignment="1">
      <alignment horizontal="right"/>
      <protection locked="0"/>
    </xf>
    <xf numFmtId="180" fontId="19" fillId="0" borderId="12" xfId="47" applyNumberFormat="1" applyFont="1" applyFill="1"/>
    <xf numFmtId="176" fontId="19" fillId="0" borderId="12" xfId="47" applyNumberFormat="1" applyFont="1" applyFill="1"/>
    <xf numFmtId="49" fontId="15" fillId="0" borderId="0" xfId="7" applyFill="1" applyAlignment="1">
      <alignment horizontal="left"/>
    </xf>
    <xf numFmtId="171" fontId="19" fillId="0" borderId="12" xfId="47" applyNumberFormat="1" applyFont="1" applyFill="1"/>
    <xf numFmtId="49" fontId="18" fillId="0" borderId="11" xfId="52" applyNumberFormat="1" applyFill="1" applyAlignment="1">
      <alignment horizontal="left" wrapText="1"/>
    </xf>
    <xf numFmtId="171" fontId="19" fillId="0" borderId="12" xfId="55" applyFont="1" applyFill="1" applyBorder="1" applyProtection="1"/>
    <xf numFmtId="171" fontId="1" fillId="0" borderId="11" xfId="14" applyNumberFormat="1" applyFill="1"/>
    <xf numFmtId="0" fontId="18" fillId="0" borderId="11" xfId="52" applyNumberFormat="1" applyFill="1">
      <alignment horizontal="centerContinuous" wrapText="1"/>
    </xf>
    <xf numFmtId="182" fontId="1" fillId="0" borderId="11" xfId="14" applyNumberFormat="1" applyFill="1" applyAlignment="1">
      <alignment horizontal="centerContinuous" wrapText="1"/>
    </xf>
    <xf numFmtId="180" fontId="1" fillId="0" borderId="11" xfId="14" applyNumberFormat="1" applyFill="1" applyAlignment="1">
      <alignment horizontal="center" vertical="center" wrapText="1"/>
    </xf>
    <xf numFmtId="171" fontId="0" fillId="0" borderId="0" xfId="0" applyNumberFormat="1"/>
    <xf numFmtId="175" fontId="19" fillId="0" borderId="12" xfId="50" applyFont="1" applyFill="1" applyBorder="1" applyAlignment="1" applyProtection="1"/>
    <xf numFmtId="176" fontId="1" fillId="0" borderId="0" xfId="49" applyFont="1" applyFill="1" applyBorder="1" applyProtection="1"/>
    <xf numFmtId="180" fontId="17" fillId="0" borderId="11" xfId="13" applyNumberFormat="1" applyFill="1">
      <protection locked="0"/>
    </xf>
    <xf numFmtId="0" fontId="25" fillId="0" borderId="1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9" fillId="0" borderId="0" xfId="0" applyFont="1" applyAlignment="1">
      <alignment vertical="center" wrapText="1"/>
    </xf>
    <xf numFmtId="0" fontId="25" fillId="0" borderId="18" xfId="0" applyFont="1" applyBorder="1" applyAlignment="1">
      <alignment vertical="center" wrapText="1"/>
    </xf>
    <xf numFmtId="0" fontId="21" fillId="0" borderId="0" xfId="0" applyFont="1" applyAlignment="1">
      <alignment horizontal="left" vertical="top"/>
    </xf>
    <xf numFmtId="0" fontId="12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5" fillId="0" borderId="0" xfId="0" applyFont="1" applyAlignment="1">
      <alignment vertical="center" wrapText="1"/>
    </xf>
    <xf numFmtId="171" fontId="30" fillId="0" borderId="20" xfId="0" applyNumberFormat="1" applyFont="1" applyBorder="1" applyAlignment="1">
      <alignment vertical="center" wrapText="1"/>
    </xf>
    <xf numFmtId="0" fontId="25" fillId="0" borderId="19" xfId="0" applyFont="1" applyBorder="1" applyAlignment="1">
      <alignment vertical="center" wrapText="1"/>
    </xf>
    <xf numFmtId="171" fontId="30" fillId="0" borderId="18" xfId="0" applyNumberFormat="1" applyFont="1" applyBorder="1" applyAlignment="1">
      <alignment horizontal="center" vertical="center" wrapText="1"/>
    </xf>
    <xf numFmtId="180" fontId="30" fillId="0" borderId="20" xfId="0" applyNumberFormat="1" applyFont="1" applyBorder="1" applyAlignment="1">
      <alignment vertical="center" wrapText="1"/>
    </xf>
    <xf numFmtId="0" fontId="32" fillId="0" borderId="0" xfId="0" applyFont="1" applyAlignment="1">
      <alignment horizontal="left" vertical="top"/>
    </xf>
    <xf numFmtId="0" fontId="13" fillId="0" borderId="0" xfId="0" applyFont="1"/>
    <xf numFmtId="0" fontId="32" fillId="0" borderId="0" xfId="0" applyFont="1" applyAlignment="1">
      <alignment horizontal="left" vertical="center"/>
    </xf>
    <xf numFmtId="0" fontId="35" fillId="0" borderId="18" xfId="0" applyFont="1" applyBorder="1" applyAlignment="1">
      <alignment vertical="center" wrapText="1"/>
    </xf>
    <xf numFmtId="0" fontId="35" fillId="0" borderId="0" xfId="0" applyFont="1" applyAlignment="1">
      <alignment vertical="center" wrapText="1"/>
    </xf>
    <xf numFmtId="170" fontId="1" fillId="0" borderId="11" xfId="14" applyNumberFormat="1" applyFill="1" applyAlignment="1">
      <alignment horizontal="center" vertical="center" wrapText="1"/>
    </xf>
    <xf numFmtId="180" fontId="17" fillId="0" borderId="11" xfId="57" applyNumberFormat="1" applyFont="1" applyFill="1" applyBorder="1" applyAlignment="1">
      <alignment horizontal="center" vertical="center" wrapText="1"/>
      <protection locked="0"/>
    </xf>
    <xf numFmtId="183" fontId="1" fillId="0" borderId="11" xfId="14" applyNumberFormat="1" applyFill="1" applyAlignment="1">
      <alignment horizontal="center" vertical="center" wrapText="1"/>
    </xf>
    <xf numFmtId="49" fontId="24" fillId="0" borderId="0" xfId="20" applyFill="1" applyAlignment="1">
      <alignment horizontal="left" wrapText="1" indent="1"/>
    </xf>
    <xf numFmtId="0" fontId="18" fillId="0" borderId="11" xfId="52" applyFill="1" applyAlignment="1">
      <alignment horizontal="right" wrapText="1"/>
    </xf>
    <xf numFmtId="166" fontId="0" fillId="0" borderId="11" xfId="14" quotePrefix="1" applyNumberFormat="1" applyFont="1" applyFill="1"/>
    <xf numFmtId="49" fontId="20" fillId="0" borderId="0" xfId="5" applyFill="1"/>
    <xf numFmtId="0" fontId="0" fillId="0" borderId="10" xfId="0" applyBorder="1"/>
    <xf numFmtId="0" fontId="0" fillId="0" borderId="7" xfId="0" applyBorder="1"/>
    <xf numFmtId="0" fontId="0" fillId="0" borderId="6" xfId="0" applyBorder="1"/>
    <xf numFmtId="49" fontId="20" fillId="0" borderId="7" xfId="5" applyFill="1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6" xfId="0" applyBorder="1" applyAlignment="1">
      <alignment horizontal="centerContinuous"/>
    </xf>
    <xf numFmtId="169" fontId="26" fillId="0" borderId="21" xfId="58" applyNumberFormat="1" applyBorder="1" applyAlignment="1" applyProtection="1"/>
    <xf numFmtId="49" fontId="14" fillId="0" borderId="0" xfId="6" applyFill="1"/>
    <xf numFmtId="49" fontId="0" fillId="0" borderId="0" xfId="0" applyNumberFormat="1"/>
    <xf numFmtId="0" fontId="18" fillId="0" borderId="11" xfId="52" applyFill="1">
      <alignment horizontal="centerContinuous" wrapText="1"/>
    </xf>
    <xf numFmtId="180" fontId="1" fillId="0" borderId="11" xfId="57" applyNumberFormat="1" applyFont="1" applyFill="1" applyBorder="1" applyProtection="1"/>
    <xf numFmtId="176" fontId="1" fillId="0" borderId="11" xfId="49" applyFont="1" applyFill="1" applyBorder="1" applyProtection="1"/>
    <xf numFmtId="175" fontId="1" fillId="0" borderId="11" xfId="50" applyFont="1" applyFill="1" applyBorder="1" applyAlignment="1"/>
    <xf numFmtId="164" fontId="0" fillId="0" borderId="0" xfId="0" applyNumberFormat="1"/>
    <xf numFmtId="180" fontId="17" fillId="0" borderId="11" xfId="47" applyNumberFormat="1" applyFont="1" applyFill="1" applyBorder="1" applyProtection="1">
      <protection locked="0"/>
    </xf>
    <xf numFmtId="178" fontId="17" fillId="0" borderId="11" xfId="47" applyNumberFormat="1" applyFont="1" applyFill="1" applyBorder="1" applyProtection="1">
      <protection locked="0"/>
    </xf>
    <xf numFmtId="178" fontId="17" fillId="0" borderId="11" xfId="60" applyFont="1" applyFill="1" applyBorder="1" applyProtection="1">
      <protection locked="0"/>
    </xf>
    <xf numFmtId="178" fontId="19" fillId="0" borderId="11" xfId="60" applyFont="1" applyFill="1" applyBorder="1" applyProtection="1"/>
    <xf numFmtId="180" fontId="19" fillId="0" borderId="11" xfId="47" applyNumberFormat="1" applyFont="1" applyFill="1" applyBorder="1" applyProtection="1"/>
    <xf numFmtId="180" fontId="0" fillId="0" borderId="0" xfId="0" applyNumberFormat="1"/>
    <xf numFmtId="182" fontId="19" fillId="0" borderId="11" xfId="63" applyFont="1" applyFill="1" applyBorder="1" applyProtection="1"/>
    <xf numFmtId="182" fontId="19" fillId="0" borderId="11" xfId="47" applyNumberFormat="1" applyFont="1" applyFill="1" applyBorder="1"/>
    <xf numFmtId="182" fontId="19" fillId="0" borderId="11" xfId="63" applyFont="1" applyFill="1" applyBorder="1"/>
    <xf numFmtId="170" fontId="1" fillId="0" borderId="11" xfId="47" applyNumberFormat="1" applyFill="1" applyBorder="1"/>
    <xf numFmtId="171" fontId="1" fillId="0" borderId="11" xfId="47" applyNumberFormat="1" applyFill="1" applyBorder="1"/>
    <xf numFmtId="183" fontId="1" fillId="0" borderId="11" xfId="57" applyNumberFormat="1" applyFont="1" applyFill="1" applyBorder="1" applyProtection="1"/>
    <xf numFmtId="182" fontId="1" fillId="0" borderId="11" xfId="57" applyNumberFormat="1" applyFont="1" applyFill="1" applyBorder="1" applyProtection="1"/>
    <xf numFmtId="180" fontId="1" fillId="0" borderId="11" xfId="55" applyNumberFormat="1" applyFont="1" applyFill="1" applyBorder="1" applyProtection="1"/>
    <xf numFmtId="184" fontId="1" fillId="0" borderId="11" xfId="47" applyNumberFormat="1" applyFill="1" applyBorder="1"/>
    <xf numFmtId="180" fontId="1" fillId="0" borderId="11" xfId="47" applyNumberFormat="1" applyFill="1" applyBorder="1"/>
    <xf numFmtId="182" fontId="1" fillId="0" borderId="11" xfId="55" applyNumberFormat="1" applyFont="1" applyFill="1" applyBorder="1" applyProtection="1"/>
    <xf numFmtId="171" fontId="1" fillId="0" borderId="11" xfId="63" applyNumberFormat="1" applyFont="1" applyFill="1" applyBorder="1" applyProtection="1"/>
    <xf numFmtId="182" fontId="1" fillId="0" borderId="11" xfId="63" applyFont="1" applyFill="1" applyBorder="1" applyProtection="1"/>
    <xf numFmtId="183" fontId="1" fillId="0" borderId="11" xfId="47" applyNumberFormat="1" applyFill="1" applyBorder="1"/>
    <xf numFmtId="176" fontId="0" fillId="0" borderId="0" xfId="49" applyFont="1" applyFill="1" applyBorder="1" applyProtection="1"/>
    <xf numFmtId="180" fontId="19" fillId="0" borderId="11" xfId="47" applyNumberFormat="1" applyFont="1" applyFill="1" applyBorder="1"/>
    <xf numFmtId="176" fontId="19" fillId="0" borderId="11" xfId="47" applyNumberFormat="1" applyFont="1" applyFill="1" applyBorder="1"/>
    <xf numFmtId="175" fontId="19" fillId="0" borderId="11" xfId="50" applyFont="1" applyFill="1" applyBorder="1" applyAlignment="1"/>
    <xf numFmtId="180" fontId="19" fillId="0" borderId="11" xfId="47" applyNumberFormat="1" applyFont="1" applyFill="1" applyBorder="1" applyAlignment="1" applyProtection="1"/>
    <xf numFmtId="0" fontId="0" fillId="0" borderId="22" xfId="0" applyBorder="1"/>
    <xf numFmtId="0" fontId="0" fillId="0" borderId="23" xfId="0" applyBorder="1"/>
    <xf numFmtId="0" fontId="0" fillId="0" borderId="24" xfId="0" applyBorder="1"/>
    <xf numFmtId="10" fontId="0" fillId="0" borderId="0" xfId="0" applyNumberFormat="1"/>
    <xf numFmtId="49" fontId="0" fillId="0" borderId="0" xfId="14" applyNumberFormat="1" applyFont="1" applyFill="1" applyBorder="1" applyAlignment="1">
      <alignment horizontal="left"/>
    </xf>
    <xf numFmtId="0" fontId="0" fillId="0" borderId="0" xfId="14" applyFont="1" applyFill="1" applyBorder="1"/>
    <xf numFmtId="170" fontId="1" fillId="0" borderId="0" xfId="47" applyNumberFormat="1" applyFill="1" applyBorder="1"/>
    <xf numFmtId="0" fontId="17" fillId="0" borderId="11" xfId="13" applyFill="1" applyAlignment="1">
      <alignment horizontal="right" wrapText="1"/>
      <protection locked="0"/>
    </xf>
    <xf numFmtId="49" fontId="1" fillId="0" borderId="11" xfId="14" applyNumberFormat="1" applyFill="1" applyAlignment="1">
      <alignment horizontal="left"/>
    </xf>
    <xf numFmtId="171" fontId="1" fillId="0" borderId="0" xfId="47" applyNumberFormat="1" applyFill="1" applyBorder="1"/>
    <xf numFmtId="171" fontId="19" fillId="0" borderId="11" xfId="47" applyNumberFormat="1" applyFont="1" applyFill="1" applyBorder="1"/>
    <xf numFmtId="0" fontId="28" fillId="0" borderId="0" xfId="0" applyFont="1"/>
    <xf numFmtId="0" fontId="0" fillId="0" borderId="0" xfId="0" applyAlignment="1">
      <alignment horizontal="right"/>
    </xf>
    <xf numFmtId="0" fontId="2" fillId="0" borderId="0" xfId="0" applyFont="1"/>
    <xf numFmtId="0" fontId="26" fillId="0" borderId="11" xfId="58" applyFill="1" applyBorder="1" applyAlignment="1" applyProtection="1"/>
    <xf numFmtId="3" fontId="17" fillId="0" borderId="11" xfId="47" applyNumberFormat="1" applyFont="1" applyFill="1" applyBorder="1" applyProtection="1">
      <protection locked="0"/>
    </xf>
    <xf numFmtId="188" fontId="0" fillId="0" borderId="0" xfId="0" applyNumberFormat="1"/>
    <xf numFmtId="0" fontId="37" fillId="0" borderId="0" xfId="0" applyFont="1"/>
    <xf numFmtId="176" fontId="0" fillId="0" borderId="0" xfId="0" applyNumberFormat="1"/>
    <xf numFmtId="4" fontId="19" fillId="0" borderId="11" xfId="47" applyNumberFormat="1" applyFont="1" applyFill="1" applyBorder="1"/>
    <xf numFmtId="49" fontId="26" fillId="0" borderId="0" xfId="58" applyNumberFormat="1" applyFill="1" applyAlignment="1" applyProtection="1">
      <alignment horizontal="left" indent="1"/>
    </xf>
    <xf numFmtId="3" fontId="0" fillId="0" borderId="0" xfId="0" applyNumberFormat="1"/>
    <xf numFmtId="1" fontId="0" fillId="0" borderId="0" xfId="0" applyNumberFormat="1"/>
    <xf numFmtId="0" fontId="2" fillId="0" borderId="0" xfId="0" applyFont="1" applyAlignment="1">
      <alignment horizontal="center"/>
    </xf>
    <xf numFmtId="3" fontId="17" fillId="0" borderId="11" xfId="13" applyNumberFormat="1" applyFill="1">
      <protection locked="0"/>
    </xf>
    <xf numFmtId="4" fontId="19" fillId="0" borderId="12" xfId="47" applyNumberFormat="1" applyFont="1" applyFill="1"/>
    <xf numFmtId="0" fontId="17" fillId="0" borderId="0" xfId="0" applyFont="1"/>
    <xf numFmtId="4" fontId="0" fillId="0" borderId="0" xfId="0" applyNumberFormat="1"/>
    <xf numFmtId="182" fontId="0" fillId="0" borderId="0" xfId="0" applyNumberFormat="1"/>
    <xf numFmtId="0" fontId="26" fillId="0" borderId="0" xfId="58" applyAlignment="1" applyProtection="1">
      <alignment vertical="center"/>
    </xf>
    <xf numFmtId="189" fontId="19" fillId="0" borderId="12" xfId="47" applyNumberFormat="1" applyFont="1" applyFill="1"/>
    <xf numFmtId="175" fontId="1" fillId="0" borderId="11" xfId="50" quotePrefix="1" applyFont="1" applyFill="1" applyBorder="1" applyAlignment="1"/>
    <xf numFmtId="0" fontId="40" fillId="0" borderId="0" xfId="0" applyFont="1"/>
    <xf numFmtId="0" fontId="10" fillId="0" borderId="0" xfId="0" applyFont="1" applyAlignment="1">
      <alignment wrapText="1"/>
    </xf>
    <xf numFmtId="2" fontId="0" fillId="0" borderId="0" xfId="0" applyNumberFormat="1"/>
    <xf numFmtId="0" fontId="17" fillId="0" borderId="0" xfId="13" applyFill="1" applyBorder="1" applyAlignment="1">
      <alignment horizontal="right" wrapText="1"/>
      <protection locked="0"/>
    </xf>
    <xf numFmtId="175" fontId="0" fillId="0" borderId="0" xfId="0" applyNumberFormat="1"/>
    <xf numFmtId="190" fontId="0" fillId="0" borderId="0" xfId="0" applyNumberFormat="1"/>
    <xf numFmtId="175" fontId="0" fillId="0" borderId="11" xfId="50" quotePrefix="1" applyFont="1" applyFill="1" applyBorder="1" applyAlignment="1"/>
    <xf numFmtId="0" fontId="26" fillId="0" borderId="11" xfId="58" applyFill="1" applyBorder="1" applyAlignment="1">
      <protection locked="0"/>
    </xf>
    <xf numFmtId="0" fontId="26" fillId="0" borderId="0" xfId="58" applyAlignment="1" applyProtection="1"/>
    <xf numFmtId="49" fontId="13" fillId="0" borderId="0" xfId="8" applyFont="1" applyFill="1">
      <alignment horizontal="left"/>
    </xf>
    <xf numFmtId="0" fontId="1" fillId="0" borderId="0" xfId="0" applyFont="1"/>
    <xf numFmtId="182" fontId="1" fillId="0" borderId="0" xfId="0" applyNumberFormat="1" applyFont="1"/>
    <xf numFmtId="164" fontId="1" fillId="0" borderId="0" xfId="0" applyNumberFormat="1" applyFont="1"/>
    <xf numFmtId="49" fontId="36" fillId="0" borderId="0" xfId="8" applyFont="1" applyFill="1" applyBorder="1">
      <alignment horizontal="left"/>
    </xf>
    <xf numFmtId="49" fontId="2" fillId="0" borderId="11" xfId="14" applyNumberFormat="1" applyFont="1" applyFill="1" applyAlignment="1">
      <alignment horizontal="left"/>
    </xf>
    <xf numFmtId="49" fontId="2" fillId="0" borderId="11" xfId="14" applyNumberFormat="1" applyFont="1" applyFill="1"/>
    <xf numFmtId="0" fontId="2" fillId="0" borderId="11" xfId="14" applyNumberFormat="1" applyFont="1" applyFill="1"/>
    <xf numFmtId="0" fontId="10" fillId="0" borderId="0" xfId="0" applyFont="1"/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 indent="2"/>
    </xf>
    <xf numFmtId="0" fontId="43" fillId="0" borderId="0" xfId="0" applyFont="1" applyAlignment="1">
      <alignment vertical="center"/>
    </xf>
    <xf numFmtId="2" fontId="19" fillId="0" borderId="12" xfId="47" applyNumberFormat="1" applyFont="1" applyFill="1"/>
    <xf numFmtId="10" fontId="19" fillId="0" borderId="11" xfId="60" applyNumberFormat="1" applyFont="1" applyFill="1" applyBorder="1" applyProtection="1"/>
    <xf numFmtId="9" fontId="19" fillId="0" borderId="11" xfId="60" applyNumberFormat="1" applyFont="1" applyFill="1" applyBorder="1" applyProtection="1"/>
    <xf numFmtId="10" fontId="17" fillId="0" borderId="11" xfId="47" applyNumberFormat="1" applyFont="1" applyFill="1" applyBorder="1" applyProtection="1">
      <protection locked="0"/>
    </xf>
    <xf numFmtId="0" fontId="2" fillId="0" borderId="11" xfId="14" applyFont="1" applyFill="1"/>
    <xf numFmtId="10" fontId="1" fillId="0" borderId="11" xfId="14" applyNumberFormat="1" applyFill="1"/>
    <xf numFmtId="182" fontId="1" fillId="0" borderId="11" xfId="14" applyNumberFormat="1" applyFill="1" applyAlignment="1">
      <alignment horizontal="right" wrapText="1"/>
    </xf>
    <xf numFmtId="182" fontId="13" fillId="0" borderId="11" xfId="63" applyFont="1" applyFill="1" applyBorder="1" applyProtection="1">
      <protection locked="0"/>
    </xf>
    <xf numFmtId="191" fontId="0" fillId="0" borderId="0" xfId="0" applyNumberFormat="1"/>
    <xf numFmtId="192" fontId="1" fillId="0" borderId="11" xfId="63" applyNumberFormat="1" applyFont="1" applyFill="1" applyBorder="1" applyProtection="1"/>
    <xf numFmtId="179" fontId="35" fillId="0" borderId="11" xfId="46" applyFont="1" applyFill="1" applyBorder="1" applyAlignment="1" applyProtection="1">
      <alignment horizontal="center" vertical="top"/>
    </xf>
    <xf numFmtId="179" fontId="35" fillId="0" borderId="11" xfId="46" applyFont="1" applyFill="1" applyBorder="1" applyAlignment="1" applyProtection="1">
      <alignment horizontal="center" wrapText="1"/>
    </xf>
    <xf numFmtId="0" fontId="36" fillId="0" borderId="11" xfId="52" applyFont="1" applyFill="1">
      <alignment horizontal="centerContinuous" wrapText="1"/>
    </xf>
    <xf numFmtId="179" fontId="18" fillId="0" borderId="11" xfId="46" applyFont="1" applyFill="1" applyBorder="1" applyAlignment="1" applyProtection="1">
      <alignment horizontal="left" wrapText="1"/>
    </xf>
    <xf numFmtId="0" fontId="0" fillId="0" borderId="0" xfId="0" applyAlignment="1">
      <alignment horizontal="left"/>
    </xf>
    <xf numFmtId="49" fontId="19" fillId="0" borderId="11" xfId="51" applyNumberFormat="1" applyFill="1"/>
    <xf numFmtId="171" fontId="34" fillId="0" borderId="11" xfId="52" applyNumberFormat="1" applyFont="1" applyFill="1" applyAlignment="1">
      <alignment horizontal="right" wrapText="1"/>
    </xf>
    <xf numFmtId="4" fontId="19" fillId="0" borderId="11" xfId="51" applyNumberFormat="1" applyFill="1"/>
    <xf numFmtId="180" fontId="1" fillId="0" borderId="0" xfId="57" applyNumberFormat="1" applyFont="1" applyFill="1" applyBorder="1" applyProtection="1"/>
    <xf numFmtId="0" fontId="44" fillId="0" borderId="0" xfId="0" applyFont="1"/>
    <xf numFmtId="0" fontId="36" fillId="0" borderId="0" xfId="0" applyFont="1"/>
    <xf numFmtId="9" fontId="10" fillId="0" borderId="0" xfId="0" applyNumberFormat="1" applyFont="1"/>
    <xf numFmtId="3" fontId="19" fillId="0" borderId="12" xfId="47" applyNumberFormat="1" applyFont="1" applyFill="1"/>
    <xf numFmtId="180" fontId="1" fillId="0" borderId="11" xfId="57" applyNumberFormat="1" applyFont="1" applyFill="1" applyBorder="1" applyAlignment="1" applyProtection="1">
      <alignment horizontal="right"/>
    </xf>
    <xf numFmtId="2" fontId="1" fillId="0" borderId="11" xfId="57" applyNumberFormat="1" applyFont="1" applyFill="1" applyBorder="1" applyAlignment="1" applyProtection="1">
      <alignment horizontal="right"/>
    </xf>
    <xf numFmtId="180" fontId="1" fillId="0" borderId="0" xfId="57" applyNumberFormat="1" applyFont="1" applyFill="1" applyBorder="1" applyAlignment="1" applyProtection="1">
      <alignment horizontal="right"/>
    </xf>
    <xf numFmtId="171" fontId="1" fillId="0" borderId="11" xfId="14" applyNumberFormat="1" applyFill="1" applyAlignment="1">
      <alignment horizontal="right"/>
    </xf>
    <xf numFmtId="175" fontId="1" fillId="0" borderId="11" xfId="50" applyFont="1" applyFill="1" applyBorder="1" applyAlignment="1">
      <alignment horizontal="right"/>
    </xf>
    <xf numFmtId="4" fontId="1" fillId="0" borderId="11" xfId="50" applyNumberFormat="1" applyFont="1" applyFill="1" applyBorder="1" applyAlignment="1">
      <alignment horizontal="right"/>
    </xf>
    <xf numFmtId="4" fontId="1" fillId="0" borderId="11" xfId="55" applyNumberFormat="1" applyFont="1" applyFill="1" applyBorder="1" applyAlignment="1" applyProtection="1">
      <alignment horizontal="right"/>
    </xf>
    <xf numFmtId="176" fontId="1" fillId="0" borderId="11" xfId="49" applyFont="1" applyFill="1" applyBorder="1" applyAlignment="1" applyProtection="1">
      <alignment horizontal="right"/>
    </xf>
    <xf numFmtId="193" fontId="1" fillId="0" borderId="11" xfId="57" applyNumberFormat="1" applyFont="1" applyFill="1" applyBorder="1" applyAlignment="1" applyProtection="1">
      <alignment horizontal="right"/>
    </xf>
    <xf numFmtId="193" fontId="34" fillId="0" borderId="11" xfId="52" applyNumberFormat="1" applyFont="1" applyFill="1" applyAlignment="1">
      <alignment horizontal="right" wrapText="1"/>
    </xf>
    <xf numFmtId="185" fontId="1" fillId="0" borderId="0" xfId="57" applyNumberFormat="1" applyFont="1" applyFill="1" applyBorder="1" applyAlignment="1" applyProtection="1">
      <alignment horizontal="right"/>
    </xf>
    <xf numFmtId="189" fontId="1" fillId="0" borderId="11" xfId="50" applyNumberFormat="1" applyFont="1" applyFill="1" applyBorder="1" applyAlignment="1">
      <alignment horizontal="right"/>
    </xf>
    <xf numFmtId="3" fontId="19" fillId="0" borderId="12" xfId="57" applyNumberFormat="1" applyFont="1" applyFill="1" applyBorder="1" applyProtection="1"/>
    <xf numFmtId="3" fontId="1" fillId="0" borderId="11" xfId="57" applyNumberFormat="1" applyFont="1" applyFill="1" applyBorder="1" applyAlignment="1" applyProtection="1">
      <alignment horizontal="right"/>
    </xf>
    <xf numFmtId="3" fontId="1" fillId="0" borderId="11" xfId="55" applyNumberFormat="1" applyFont="1" applyFill="1" applyBorder="1" applyAlignment="1" applyProtection="1">
      <alignment horizontal="right"/>
    </xf>
    <xf numFmtId="49" fontId="45" fillId="0" borderId="0" xfId="20" applyFont="1" applyFill="1" applyAlignment="1">
      <alignment horizontal="left"/>
    </xf>
    <xf numFmtId="4" fontId="30" fillId="0" borderId="18" xfId="0" applyNumberFormat="1" applyFont="1" applyBorder="1" applyAlignment="1">
      <alignment vertical="center" wrapText="1"/>
    </xf>
    <xf numFmtId="0" fontId="42" fillId="0" borderId="0" xfId="20" applyNumberFormat="1" applyFont="1" applyFill="1" applyAlignment="1">
      <alignment horizontal="left" indent="2"/>
    </xf>
    <xf numFmtId="182" fontId="17" fillId="0" borderId="0" xfId="63" applyFont="1" applyFill="1" applyBorder="1" applyProtection="1">
      <protection locked="0"/>
    </xf>
    <xf numFmtId="0" fontId="26" fillId="0" borderId="0" xfId="58" applyAlignment="1" applyProtection="1">
      <alignment horizontal="left" indent="1"/>
    </xf>
    <xf numFmtId="0" fontId="41" fillId="0" borderId="0" xfId="0" applyFont="1" applyAlignment="1">
      <alignment vertical="top"/>
    </xf>
    <xf numFmtId="0" fontId="49" fillId="0" borderId="0" xfId="0" applyFont="1"/>
    <xf numFmtId="0" fontId="2" fillId="0" borderId="20" xfId="0" applyFont="1" applyBorder="1" applyAlignment="1">
      <alignment wrapText="1"/>
    </xf>
    <xf numFmtId="194" fontId="30" fillId="0" borderId="18" xfId="0" applyNumberFormat="1" applyFont="1" applyBorder="1" applyAlignment="1">
      <alignment vertical="center" wrapText="1"/>
    </xf>
    <xf numFmtId="194" fontId="30" fillId="0" borderId="18" xfId="0" applyNumberFormat="1" applyFont="1" applyBorder="1" applyAlignment="1">
      <alignment horizontal="center" vertical="center" wrapText="1"/>
    </xf>
    <xf numFmtId="194" fontId="30" fillId="0" borderId="20" xfId="0" applyNumberFormat="1" applyFont="1" applyBorder="1" applyAlignment="1">
      <alignment vertical="center" wrapText="1"/>
    </xf>
    <xf numFmtId="0" fontId="25" fillId="0" borderId="25" xfId="0" applyFont="1" applyBorder="1" applyAlignment="1">
      <alignment horizontal="left" vertical="center" wrapText="1"/>
    </xf>
    <xf numFmtId="49" fontId="16" fillId="37" borderId="0" xfId="8" applyFill="1">
      <alignment horizontal="left"/>
    </xf>
    <xf numFmtId="0" fontId="0" fillId="37" borderId="0" xfId="0" applyFill="1"/>
    <xf numFmtId="0" fontId="18" fillId="37" borderId="11" xfId="52" quotePrefix="1" applyNumberFormat="1" applyFill="1">
      <alignment horizontal="centerContinuous" wrapText="1"/>
    </xf>
    <xf numFmtId="0" fontId="18" fillId="37" borderId="11" xfId="52" quotePrefix="1" applyNumberFormat="1" applyFill="1" applyAlignment="1">
      <alignment horizontal="center" wrapText="1"/>
    </xf>
    <xf numFmtId="0" fontId="1" fillId="37" borderId="11" xfId="14" applyFill="1"/>
    <xf numFmtId="4" fontId="1" fillId="37" borderId="11" xfId="14" applyNumberFormat="1" applyFill="1"/>
    <xf numFmtId="4" fontId="1" fillId="37" borderId="11" xfId="54" applyNumberFormat="1" applyFont="1" applyFill="1" applyBorder="1"/>
    <xf numFmtId="4" fontId="1" fillId="37" borderId="11" xfId="55" applyNumberFormat="1" applyFont="1" applyFill="1" applyBorder="1" applyProtection="1"/>
    <xf numFmtId="49" fontId="15" fillId="0" borderId="0" xfId="7" applyFill="1" applyAlignment="1">
      <alignment horizontal="left" wrapText="1"/>
    </xf>
    <xf numFmtId="4" fontId="1" fillId="0" borderId="11" xfId="63" applyNumberFormat="1" applyFont="1" applyFill="1" applyBorder="1" applyProtection="1"/>
    <xf numFmtId="189" fontId="0" fillId="0" borderId="0" xfId="0" applyNumberFormat="1"/>
    <xf numFmtId="0" fontId="50" fillId="0" borderId="0" xfId="0" applyFont="1"/>
    <xf numFmtId="0" fontId="12" fillId="0" borderId="0" xfId="0" applyFont="1"/>
    <xf numFmtId="179" fontId="18" fillId="0" borderId="11" xfId="46" applyFont="1" applyFill="1" applyBorder="1" applyAlignment="1" applyProtection="1">
      <alignment horizontal="center" wrapText="1"/>
    </xf>
    <xf numFmtId="179" fontId="18" fillId="0" borderId="0" xfId="46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0" fontId="22" fillId="38" borderId="7" xfId="68" applyNumberFormat="1" applyFont="1" applyFill="1" applyBorder="1" applyAlignment="1"/>
    <xf numFmtId="0" fontId="22" fillId="38" borderId="0" xfId="68" applyNumberFormat="1" applyFont="1" applyFill="1" applyAlignment="1">
      <alignment wrapText="1"/>
    </xf>
    <xf numFmtId="49" fontId="14" fillId="39" borderId="0" xfId="6" applyFill="1" applyAlignment="1">
      <alignment horizontal="left" vertical="top" indent="1"/>
    </xf>
    <xf numFmtId="0" fontId="0" fillId="39" borderId="0" xfId="0" applyFill="1"/>
    <xf numFmtId="180" fontId="0" fillId="0" borderId="0" xfId="2" applyFont="1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39" borderId="0" xfId="0" applyFill="1" applyAlignment="1">
      <alignment horizontal="left" vertical="top" wrapText="1"/>
    </xf>
    <xf numFmtId="0" fontId="0" fillId="39" borderId="0" xfId="0" applyFill="1" applyAlignment="1">
      <alignment vertical="top" wrapText="1"/>
    </xf>
    <xf numFmtId="49" fontId="15" fillId="39" borderId="0" xfId="6" applyFont="1" applyFill="1" applyAlignment="1">
      <alignment horizontal="left"/>
    </xf>
    <xf numFmtId="49" fontId="0" fillId="38" borderId="13" xfId="0" applyNumberFormat="1" applyFill="1" applyBorder="1"/>
    <xf numFmtId="0" fontId="26" fillId="38" borderId="14" xfId="58" applyFill="1" applyBorder="1" applyAlignment="1" applyProtection="1"/>
    <xf numFmtId="49" fontId="0" fillId="38" borderId="15" xfId="0" applyNumberFormat="1" applyFill="1" applyBorder="1"/>
    <xf numFmtId="0" fontId="26" fillId="38" borderId="16" xfId="58" applyFill="1" applyBorder="1" applyAlignment="1" applyProtection="1">
      <alignment horizontal="left" indent="1"/>
    </xf>
    <xf numFmtId="49" fontId="0" fillId="32" borderId="13" xfId="0" applyNumberFormat="1" applyFill="1" applyBorder="1"/>
    <xf numFmtId="0" fontId="26" fillId="32" borderId="14" xfId="58" applyFill="1" applyBorder="1" applyAlignment="1" applyProtection="1"/>
    <xf numFmtId="49" fontId="0" fillId="32" borderId="15" xfId="0" applyNumberFormat="1" applyFill="1" applyBorder="1"/>
    <xf numFmtId="0" fontId="26" fillId="32" borderId="16" xfId="58" applyFill="1" applyBorder="1" applyAlignment="1" applyProtection="1">
      <alignment horizontal="left" indent="1"/>
    </xf>
    <xf numFmtId="0" fontId="26" fillId="32" borderId="14" xfId="58" applyFill="1" applyBorder="1" applyAlignment="1" applyProtection="1">
      <alignment horizontal="left" indent="1"/>
    </xf>
    <xf numFmtId="0" fontId="22" fillId="38" borderId="0" xfId="7" applyNumberFormat="1" applyFont="1" applyFill="1" applyAlignment="1"/>
    <xf numFmtId="0" fontId="22" fillId="38" borderId="0" xfId="7" applyNumberFormat="1" applyFont="1" applyFill="1" applyAlignment="1">
      <alignment wrapText="1"/>
    </xf>
    <xf numFmtId="49" fontId="14" fillId="39" borderId="0" xfId="6" applyFill="1" applyAlignment="1">
      <alignment horizontal="left"/>
    </xf>
    <xf numFmtId="179" fontId="14" fillId="39" borderId="0" xfId="46" applyFont="1" applyFill="1" applyBorder="1" applyAlignment="1" applyProtection="1">
      <alignment horizontal="left"/>
    </xf>
    <xf numFmtId="49" fontId="34" fillId="0" borderId="0" xfId="20" applyFont="1" applyFill="1" applyAlignment="1">
      <alignment horizontal="left"/>
    </xf>
    <xf numFmtId="0" fontId="36" fillId="0" borderId="11" xfId="13" applyFont="1" applyFill="1" applyAlignment="1">
      <alignment horizontal="center"/>
      <protection locked="0"/>
    </xf>
    <xf numFmtId="0" fontId="36" fillId="0" borderId="11" xfId="13" applyFont="1" applyFill="1" applyAlignment="1">
      <alignment horizontal="center" wrapText="1"/>
      <protection locked="0"/>
    </xf>
    <xf numFmtId="49" fontId="15" fillId="38" borderId="0" xfId="7" applyFill="1" applyAlignment="1"/>
    <xf numFmtId="179" fontId="18" fillId="38" borderId="0" xfId="46" applyFont="1" applyFill="1" applyBorder="1" applyAlignment="1" applyProtection="1">
      <alignment horizontal="centerContinuous" wrapText="1"/>
    </xf>
    <xf numFmtId="0" fontId="18" fillId="38" borderId="0" xfId="52" applyFill="1" applyBorder="1">
      <alignment horizontal="centerContinuous" wrapText="1"/>
    </xf>
    <xf numFmtId="0" fontId="18" fillId="38" borderId="0" xfId="52" applyFill="1" applyBorder="1" applyAlignment="1">
      <alignment horizontal="center"/>
    </xf>
    <xf numFmtId="0" fontId="35" fillId="38" borderId="0" xfId="52" applyFont="1" applyFill="1" applyBorder="1" applyAlignment="1">
      <alignment horizontal="centerContinuous"/>
    </xf>
    <xf numFmtId="49" fontId="34" fillId="38" borderId="0" xfId="20" applyFont="1" applyFill="1" applyAlignment="1"/>
    <xf numFmtId="49" fontId="35" fillId="0" borderId="0" xfId="20" applyFont="1" applyFill="1" applyAlignment="1">
      <alignment horizontal="left"/>
    </xf>
    <xf numFmtId="49" fontId="34" fillId="0" borderId="0" xfId="20" applyFont="1" applyFill="1" applyAlignment="1"/>
    <xf numFmtId="49" fontId="13" fillId="38" borderId="0" xfId="7" applyFont="1" applyFill="1" applyAlignment="1"/>
    <xf numFmtId="0" fontId="36" fillId="0" borderId="11" xfId="13" applyFont="1" applyFill="1">
      <protection locked="0"/>
    </xf>
    <xf numFmtId="0" fontId="36" fillId="0" borderId="11" xfId="13" applyFont="1" applyFill="1" applyAlignment="1">
      <alignment horizontal="right" wrapText="1"/>
      <protection locked="0"/>
    </xf>
    <xf numFmtId="182" fontId="13" fillId="0" borderId="26" xfId="63" applyFont="1" applyFill="1" applyBorder="1" applyProtection="1">
      <protection locked="0"/>
    </xf>
    <xf numFmtId="3" fontId="0" fillId="0" borderId="27" xfId="0" applyNumberFormat="1" applyBorder="1"/>
    <xf numFmtId="49" fontId="13" fillId="38" borderId="0" xfId="20" quotePrefix="1" applyFont="1" applyFill="1" applyAlignment="1">
      <alignment horizontal="left"/>
    </xf>
    <xf numFmtId="49" fontId="13" fillId="38" borderId="0" xfId="20" quotePrefix="1" applyFont="1" applyFill="1">
      <alignment horizontal="left" indent="1"/>
    </xf>
    <xf numFmtId="0" fontId="56" fillId="0" borderId="0" xfId="7" applyNumberFormat="1" applyFont="1" applyFill="1" applyAlignment="1">
      <alignment horizontal="right"/>
    </xf>
    <xf numFmtId="49" fontId="14" fillId="39" borderId="0" xfId="6" applyFill="1"/>
    <xf numFmtId="49" fontId="13" fillId="38" borderId="0" xfId="7" applyFont="1" applyFill="1" applyAlignment="1">
      <alignment horizontal="left"/>
    </xf>
    <xf numFmtId="179" fontId="36" fillId="38" borderId="0" xfId="46" applyFont="1" applyFill="1" applyBorder="1" applyAlignment="1" applyProtection="1">
      <alignment horizontal="left"/>
    </xf>
    <xf numFmtId="49" fontId="36" fillId="38" borderId="0" xfId="7" applyFont="1" applyFill="1" applyAlignment="1">
      <alignment horizontal="left"/>
    </xf>
    <xf numFmtId="0" fontId="36" fillId="38" borderId="0" xfId="52" applyFont="1" applyFill="1" applyBorder="1" applyAlignment="1">
      <alignment horizontal="centerContinuous"/>
    </xf>
    <xf numFmtId="49" fontId="13" fillId="38" borderId="0" xfId="20" quotePrefix="1" applyFont="1" applyFill="1" applyAlignment="1" applyProtection="1">
      <alignment horizontal="left" vertical="top"/>
    </xf>
    <xf numFmtId="0" fontId="0" fillId="38" borderId="0" xfId="0" applyFill="1"/>
    <xf numFmtId="193" fontId="34" fillId="0" borderId="26" xfId="52" applyNumberFormat="1" applyFont="1" applyFill="1" applyBorder="1" applyAlignment="1">
      <alignment horizontal="right" wrapText="1"/>
    </xf>
    <xf numFmtId="193" fontId="1" fillId="0" borderId="26" xfId="57" applyNumberFormat="1" applyFont="1" applyFill="1" applyBorder="1" applyAlignment="1" applyProtection="1">
      <alignment horizontal="right"/>
    </xf>
    <xf numFmtId="180" fontId="1" fillId="0" borderId="26" xfId="57" applyNumberFormat="1" applyFont="1" applyFill="1" applyBorder="1" applyAlignment="1" applyProtection="1">
      <alignment horizontal="right"/>
    </xf>
    <xf numFmtId="2" fontId="1" fillId="0" borderId="26" xfId="57" applyNumberFormat="1" applyFont="1" applyFill="1" applyBorder="1" applyAlignment="1" applyProtection="1">
      <alignment horizontal="right"/>
    </xf>
    <xf numFmtId="185" fontId="1" fillId="0" borderId="27" xfId="57" applyNumberFormat="1" applyFont="1" applyFill="1" applyBorder="1" applyAlignment="1" applyProtection="1">
      <alignment horizontal="right"/>
    </xf>
    <xf numFmtId="180" fontId="1" fillId="0" borderId="27" xfId="57" applyNumberFormat="1" applyFont="1" applyFill="1" applyBorder="1" applyAlignment="1" applyProtection="1">
      <alignment horizontal="right"/>
    </xf>
    <xf numFmtId="0" fontId="0" fillId="0" borderId="27" xfId="0" applyBorder="1" applyAlignment="1">
      <alignment horizontal="right"/>
    </xf>
    <xf numFmtId="171" fontId="1" fillId="0" borderId="26" xfId="14" applyNumberFormat="1" applyFill="1" applyBorder="1" applyAlignment="1">
      <alignment horizontal="right"/>
    </xf>
    <xf numFmtId="175" fontId="1" fillId="0" borderId="26" xfId="50" applyFont="1" applyFill="1" applyBorder="1" applyAlignment="1">
      <alignment horizontal="right"/>
    </xf>
    <xf numFmtId="189" fontId="1" fillId="0" borderId="26" xfId="50" applyNumberFormat="1" applyFont="1" applyFill="1" applyBorder="1" applyAlignment="1">
      <alignment horizontal="right"/>
    </xf>
    <xf numFmtId="4" fontId="1" fillId="0" borderId="26" xfId="50" applyNumberFormat="1" applyFont="1" applyFill="1" applyBorder="1" applyAlignment="1">
      <alignment horizontal="right"/>
    </xf>
    <xf numFmtId="3" fontId="1" fillId="0" borderId="26" xfId="57" applyNumberFormat="1" applyFont="1" applyFill="1" applyBorder="1" applyAlignment="1" applyProtection="1">
      <alignment horizontal="right"/>
    </xf>
    <xf numFmtId="4" fontId="1" fillId="0" borderId="26" xfId="55" applyNumberFormat="1" applyFont="1" applyFill="1" applyBorder="1" applyAlignment="1" applyProtection="1">
      <alignment horizontal="right"/>
    </xf>
    <xf numFmtId="3" fontId="1" fillId="0" borderId="26" xfId="55" applyNumberFormat="1" applyFont="1" applyFill="1" applyBorder="1" applyAlignment="1" applyProtection="1">
      <alignment horizontal="right"/>
    </xf>
    <xf numFmtId="176" fontId="1" fillId="0" borderId="26" xfId="49" applyFont="1" applyFill="1" applyBorder="1" applyAlignment="1" applyProtection="1">
      <alignment horizontal="right"/>
    </xf>
    <xf numFmtId="49" fontId="13" fillId="0" borderId="0" xfId="7" applyFont="1" applyFill="1" applyAlignment="1">
      <alignment horizontal="left"/>
    </xf>
    <xf numFmtId="179" fontId="36" fillId="0" borderId="0" xfId="46" applyFont="1" applyFill="1" applyBorder="1" applyAlignment="1" applyProtection="1">
      <alignment horizontal="left"/>
    </xf>
    <xf numFmtId="49" fontId="36" fillId="0" borderId="0" xfId="7" applyFont="1" applyFill="1" applyAlignment="1">
      <alignment horizontal="left"/>
    </xf>
    <xf numFmtId="0" fontId="36" fillId="0" borderId="0" xfId="52" applyFont="1" applyFill="1" applyBorder="1" applyAlignment="1">
      <alignment horizontal="centerContinuous"/>
    </xf>
    <xf numFmtId="49" fontId="15" fillId="38" borderId="0" xfId="7" applyFill="1" applyAlignment="1">
      <alignment horizontal="left"/>
    </xf>
    <xf numFmtId="0" fontId="2" fillId="39" borderId="0" xfId="0" applyFont="1" applyFill="1"/>
    <xf numFmtId="49" fontId="15" fillId="38" borderId="0" xfId="8" applyFont="1" applyFill="1">
      <alignment horizontal="left"/>
    </xf>
    <xf numFmtId="49" fontId="0" fillId="38" borderId="11" xfId="14" applyNumberFormat="1" applyFont="1" applyFill="1" applyAlignment="1">
      <alignment horizontal="left"/>
    </xf>
    <xf numFmtId="0" fontId="0" fillId="38" borderId="11" xfId="14" applyFont="1" applyFill="1"/>
    <xf numFmtId="171" fontId="1" fillId="38" borderId="11" xfId="47" applyNumberFormat="1" applyFill="1" applyBorder="1"/>
    <xf numFmtId="49" fontId="16" fillId="38" borderId="0" xfId="8" applyFill="1">
      <alignment horizontal="left"/>
    </xf>
    <xf numFmtId="0" fontId="36" fillId="0" borderId="0" xfId="0" applyFont="1" applyAlignment="1">
      <alignment horizontal="left" indent="1"/>
    </xf>
    <xf numFmtId="0" fontId="39" fillId="0" borderId="0" xfId="0" applyFont="1" applyAlignment="1">
      <alignment horizontal="left" indent="1"/>
    </xf>
    <xf numFmtId="49" fontId="15" fillId="0" borderId="0" xfId="7" applyFill="1" applyAlignment="1">
      <alignment horizontal="left" vertical="top" wrapText="1"/>
    </xf>
    <xf numFmtId="49" fontId="0" fillId="32" borderId="28" xfId="0" applyNumberFormat="1" applyFill="1" applyBorder="1"/>
    <xf numFmtId="0" fontId="26" fillId="32" borderId="29" xfId="58" applyFill="1" applyBorder="1" applyAlignment="1" applyProtection="1">
      <alignment horizontal="left" indent="1"/>
    </xf>
    <xf numFmtId="175" fontId="19" fillId="0" borderId="11" xfId="50" applyFont="1" applyFill="1" applyBorder="1" applyAlignment="1" applyProtection="1"/>
    <xf numFmtId="0" fontId="17" fillId="0" borderId="0" xfId="13" applyFill="1" applyBorder="1">
      <protection locked="0"/>
    </xf>
    <xf numFmtId="182" fontId="13" fillId="0" borderId="0" xfId="63" applyFont="1" applyFill="1" applyBorder="1" applyProtection="1">
      <protection locked="0"/>
    </xf>
    <xf numFmtId="186" fontId="0" fillId="0" borderId="0" xfId="0" applyNumberFormat="1"/>
    <xf numFmtId="0" fontId="1" fillId="0" borderId="0" xfId="14" applyFill="1" applyBorder="1"/>
    <xf numFmtId="180" fontId="17" fillId="0" borderId="0" xfId="13" applyNumberFormat="1" applyFill="1" applyBorder="1">
      <protection locked="0"/>
    </xf>
    <xf numFmtId="3" fontId="17" fillId="0" borderId="0" xfId="13" applyNumberFormat="1" applyFill="1" applyBorder="1">
      <protection locked="0"/>
    </xf>
    <xf numFmtId="0" fontId="0" fillId="0" borderId="0" xfId="14" applyNumberFormat="1" applyFont="1" applyFill="1" applyBorder="1"/>
    <xf numFmtId="183" fontId="1" fillId="0" borderId="11" xfId="57" quotePrefix="1" applyNumberFormat="1" applyFont="1" applyFill="1" applyBorder="1" applyProtection="1"/>
    <xf numFmtId="179" fontId="34" fillId="0" borderId="11" xfId="46" applyFont="1" applyFill="1" applyBorder="1" applyAlignment="1" applyProtection="1">
      <alignment horizontal="centerContinuous" wrapText="1"/>
    </xf>
    <xf numFmtId="0" fontId="0" fillId="0" borderId="0" xfId="0" applyAlignment="1">
      <alignment horizontal="left" indent="1"/>
    </xf>
    <xf numFmtId="0" fontId="42" fillId="0" borderId="0" xfId="20" applyNumberFormat="1" applyFont="1" applyFill="1">
      <alignment horizontal="left" indent="1"/>
    </xf>
    <xf numFmtId="0" fontId="58" fillId="0" borderId="0" xfId="20" applyNumberFormat="1" applyFont="1" applyFill="1">
      <alignment horizontal="left" indent="1"/>
    </xf>
    <xf numFmtId="0" fontId="18" fillId="37" borderId="11" xfId="52" quotePrefix="1" applyNumberFormat="1" applyFill="1" applyAlignment="1">
      <alignment horizontal="left" wrapText="1"/>
    </xf>
    <xf numFmtId="49" fontId="59" fillId="0" borderId="0" xfId="7" applyFont="1" applyFill="1" applyAlignment="1">
      <alignment horizontal="left"/>
    </xf>
    <xf numFmtId="195" fontId="0" fillId="0" borderId="0" xfId="0" applyNumberFormat="1"/>
    <xf numFmtId="0" fontId="47" fillId="0" borderId="0" xfId="20" applyNumberFormat="1" applyFont="1" applyFill="1">
      <alignment horizontal="left" indent="1"/>
    </xf>
    <xf numFmtId="49" fontId="54" fillId="0" borderId="0" xfId="6" applyFont="1" applyFill="1"/>
    <xf numFmtId="0" fontId="13" fillId="0" borderId="11" xfId="13" applyFont="1" applyFill="1">
      <protection locked="0"/>
    </xf>
    <xf numFmtId="0" fontId="2" fillId="39" borderId="0" xfId="0" applyFont="1" applyFill="1" applyAlignment="1">
      <alignment horizontal="center"/>
    </xf>
    <xf numFmtId="0" fontId="63" fillId="0" borderId="0" xfId="20" applyNumberFormat="1" applyFont="1" applyFill="1">
      <alignment horizontal="left" indent="1"/>
    </xf>
    <xf numFmtId="0" fontId="18" fillId="38" borderId="12" xfId="47" applyNumberFormat="1" applyFont="1" applyFill="1" applyAlignment="1">
      <alignment horizontal="centerContinuous" wrapText="1"/>
    </xf>
    <xf numFmtId="0" fontId="18" fillId="38" borderId="11" xfId="52" applyFill="1">
      <alignment horizontal="centerContinuous" wrapText="1"/>
    </xf>
    <xf numFmtId="0" fontId="64" fillId="40" borderId="31" xfId="0" applyFont="1" applyFill="1" applyBorder="1" applyAlignment="1">
      <alignment vertical="top" wrapText="1"/>
    </xf>
    <xf numFmtId="0" fontId="64" fillId="40" borderId="31" xfId="0" applyFont="1" applyFill="1" applyBorder="1" applyAlignment="1">
      <alignment horizontal="center" vertical="top" wrapText="1"/>
    </xf>
    <xf numFmtId="196" fontId="30" fillId="42" borderId="0" xfId="2" applyNumberFormat="1" applyFont="1" applyFill="1" applyAlignment="1">
      <alignment horizontal="left" vertical="top" wrapText="1"/>
    </xf>
    <xf numFmtId="196" fontId="30" fillId="41" borderId="0" xfId="2" applyNumberFormat="1" applyFont="1" applyFill="1" applyAlignment="1">
      <alignment horizontal="left" vertical="top" wrapText="1"/>
    </xf>
    <xf numFmtId="189" fontId="30" fillId="42" borderId="0" xfId="2" applyNumberFormat="1" applyFont="1" applyFill="1" applyAlignment="1">
      <alignment horizontal="right" vertical="top" wrapText="1"/>
    </xf>
    <xf numFmtId="189" fontId="30" fillId="41" borderId="0" xfId="2" applyNumberFormat="1" applyFont="1" applyFill="1" applyAlignment="1">
      <alignment horizontal="right" vertical="top" wrapText="1"/>
    </xf>
    <xf numFmtId="4" fontId="30" fillId="42" borderId="0" xfId="2" applyNumberFormat="1" applyFont="1" applyFill="1" applyAlignment="1">
      <alignment horizontal="right" vertical="top" wrapText="1"/>
    </xf>
    <xf numFmtId="4" fontId="30" fillId="41" borderId="0" xfId="2" applyNumberFormat="1" applyFont="1" applyFill="1" applyAlignment="1">
      <alignment horizontal="right" vertical="top" wrapText="1"/>
    </xf>
    <xf numFmtId="194" fontId="30" fillId="42" borderId="0" xfId="2" applyNumberFormat="1" applyFont="1" applyFill="1" applyAlignment="1">
      <alignment horizontal="right" vertical="top" wrapText="1"/>
    </xf>
    <xf numFmtId="194" fontId="30" fillId="41" borderId="0" xfId="2" applyNumberFormat="1" applyFont="1" applyFill="1" applyAlignment="1">
      <alignment horizontal="right" vertical="top" wrapText="1"/>
    </xf>
    <xf numFmtId="0" fontId="1" fillId="0" borderId="32" xfId="14" applyFill="1" applyBorder="1"/>
    <xf numFmtId="2" fontId="1" fillId="0" borderId="32" xfId="14" applyNumberFormat="1" applyFill="1" applyBorder="1"/>
    <xf numFmtId="2" fontId="1" fillId="0" borderId="32" xfId="14" applyNumberFormat="1" applyFill="1" applyBorder="1" applyAlignment="1">
      <alignment horizontal="right"/>
    </xf>
    <xf numFmtId="0" fontId="1" fillId="0" borderId="32" xfId="14" applyNumberFormat="1" applyFill="1" applyBorder="1"/>
    <xf numFmtId="171" fontId="1" fillId="0" borderId="32" xfId="14" applyNumberFormat="1" applyFill="1" applyBorder="1" applyAlignment="1">
      <alignment horizontal="center" vertical="center" wrapText="1"/>
    </xf>
    <xf numFmtId="184" fontId="1" fillId="0" borderId="32" xfId="14" applyNumberFormat="1" applyFill="1" applyBorder="1" applyAlignment="1">
      <alignment horizontal="center" vertical="center" wrapText="1"/>
    </xf>
    <xf numFmtId="0" fontId="1" fillId="0" borderId="0" xfId="14" applyNumberFormat="1" applyFill="1" applyBorder="1"/>
    <xf numFmtId="171" fontId="1" fillId="0" borderId="0" xfId="14" applyNumberFormat="1" applyFill="1" applyBorder="1" applyAlignment="1">
      <alignment horizontal="center" vertical="center" wrapText="1"/>
    </xf>
    <xf numFmtId="184" fontId="1" fillId="0" borderId="0" xfId="14" applyNumberFormat="1" applyFill="1" applyBorder="1" applyAlignment="1">
      <alignment horizontal="center" vertical="center" wrapText="1"/>
    </xf>
    <xf numFmtId="3" fontId="1" fillId="0" borderId="0" xfId="14" applyNumberFormat="1" applyFill="1" applyBorder="1" applyAlignment="1">
      <alignment horizontal="right" vertical="center" wrapText="1"/>
    </xf>
    <xf numFmtId="3" fontId="30" fillId="42" borderId="0" xfId="2" applyNumberFormat="1" applyFont="1" applyFill="1" applyAlignment="1">
      <alignment horizontal="right" vertical="top" wrapText="1"/>
    </xf>
    <xf numFmtId="3" fontId="30" fillId="41" borderId="0" xfId="2" applyNumberFormat="1" applyFont="1" applyFill="1" applyAlignment="1">
      <alignment horizontal="right" vertical="top" wrapText="1"/>
    </xf>
    <xf numFmtId="187" fontId="30" fillId="42" borderId="0" xfId="2" applyNumberFormat="1" applyFont="1" applyFill="1" applyAlignment="1">
      <alignment horizontal="right" vertical="top" wrapText="1"/>
    </xf>
    <xf numFmtId="187" fontId="30" fillId="41" borderId="0" xfId="2" applyNumberFormat="1" applyFont="1" applyFill="1" applyAlignment="1">
      <alignment horizontal="right" vertical="top" wrapText="1"/>
    </xf>
    <xf numFmtId="187" fontId="30" fillId="42" borderId="0" xfId="2" applyNumberFormat="1" applyFont="1" applyFill="1" applyAlignment="1">
      <alignment vertical="top" wrapText="1"/>
    </xf>
    <xf numFmtId="187" fontId="30" fillId="41" borderId="0" xfId="2" applyNumberFormat="1" applyFont="1" applyFill="1" applyAlignment="1">
      <alignment vertical="top" wrapText="1"/>
    </xf>
    <xf numFmtId="1" fontId="30" fillId="42" borderId="0" xfId="2" applyNumberFormat="1" applyFont="1" applyFill="1" applyAlignment="1">
      <alignment vertical="top" wrapText="1"/>
    </xf>
    <xf numFmtId="1" fontId="30" fillId="41" borderId="0" xfId="2" applyNumberFormat="1" applyFont="1" applyFill="1" applyAlignment="1">
      <alignment vertical="top" wrapText="1"/>
    </xf>
    <xf numFmtId="193" fontId="30" fillId="42" borderId="0" xfId="2" applyNumberFormat="1" applyFont="1" applyFill="1" applyAlignment="1">
      <alignment vertical="top" wrapText="1"/>
    </xf>
    <xf numFmtId="193" fontId="30" fillId="41" borderId="0" xfId="2" applyNumberFormat="1" applyFont="1" applyFill="1" applyAlignment="1">
      <alignment vertical="top" wrapText="1"/>
    </xf>
    <xf numFmtId="0" fontId="65" fillId="0" borderId="11" xfId="52" applyFont="1" applyFill="1" applyAlignment="1">
      <alignment horizontal="centerContinuous" vertical="top" wrapText="1"/>
    </xf>
    <xf numFmtId="0" fontId="36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64" fillId="40" borderId="33" xfId="0" applyFont="1" applyFill="1" applyBorder="1" applyAlignment="1">
      <alignment vertical="top" wrapText="1"/>
    </xf>
    <xf numFmtId="0" fontId="64" fillId="40" borderId="0" xfId="0" applyFont="1" applyFill="1" applyAlignment="1">
      <alignment vertical="top" wrapText="1"/>
    </xf>
    <xf numFmtId="176" fontId="1" fillId="0" borderId="32" xfId="14" applyNumberFormat="1" applyFill="1" applyBorder="1"/>
    <xf numFmtId="176" fontId="1" fillId="0" borderId="0" xfId="14" applyNumberFormat="1" applyFill="1" applyBorder="1"/>
    <xf numFmtId="0" fontId="64" fillId="40" borderId="31" xfId="0" applyFont="1" applyFill="1" applyBorder="1" applyAlignment="1">
      <alignment vertical="center" wrapText="1"/>
    </xf>
    <xf numFmtId="15" fontId="25" fillId="0" borderId="7" xfId="0" applyNumberFormat="1" applyFont="1" applyBorder="1" applyAlignment="1">
      <alignment horizontal="centerContinuous"/>
    </xf>
    <xf numFmtId="0" fontId="36" fillId="0" borderId="0" xfId="13" applyFont="1" applyFill="1" applyBorder="1">
      <protection locked="0"/>
    </xf>
    <xf numFmtId="0" fontId="47" fillId="0" borderId="0" xfId="0" applyFont="1"/>
    <xf numFmtId="0" fontId="51" fillId="0" borderId="0" xfId="0" applyFont="1"/>
    <xf numFmtId="3" fontId="50" fillId="0" borderId="0" xfId="0" applyNumberFormat="1" applyFont="1"/>
    <xf numFmtId="3" fontId="12" fillId="0" borderId="0" xfId="0" applyNumberFormat="1" applyFont="1"/>
    <xf numFmtId="0" fontId="34" fillId="0" borderId="0" xfId="0" applyFont="1"/>
    <xf numFmtId="0" fontId="52" fillId="0" borderId="0" xfId="13" applyFont="1" applyFill="1" applyBorder="1" applyAlignment="1">
      <alignment horizontal="right" wrapText="1"/>
      <protection locked="0"/>
    </xf>
    <xf numFmtId="0" fontId="53" fillId="0" borderId="0" xfId="0" applyFont="1"/>
    <xf numFmtId="0" fontId="48" fillId="0" borderId="0" xfId="0" applyFont="1"/>
    <xf numFmtId="0" fontId="66" fillId="0" borderId="0" xfId="58" applyFont="1" applyFill="1" applyAlignment="1" applyProtection="1">
      <alignment vertical="center"/>
    </xf>
    <xf numFmtId="0" fontId="39" fillId="0" borderId="0" xfId="0" applyFont="1"/>
    <xf numFmtId="0" fontId="46" fillId="0" borderId="0" xfId="0" applyFont="1"/>
    <xf numFmtId="0" fontId="66" fillId="0" borderId="0" xfId="58" applyFont="1" applyFill="1" applyAlignment="1" applyProtection="1">
      <alignment wrapText="1"/>
    </xf>
    <xf numFmtId="0" fontId="46" fillId="0" borderId="0" xfId="0" applyFont="1" applyAlignment="1">
      <alignment horizontal="center"/>
    </xf>
    <xf numFmtId="3" fontId="39" fillId="0" borderId="0" xfId="0" applyNumberFormat="1" applyFont="1"/>
    <xf numFmtId="180" fontId="39" fillId="0" borderId="0" xfId="0" applyNumberFormat="1" applyFont="1"/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indent="1"/>
    </xf>
    <xf numFmtId="0" fontId="55" fillId="0" borderId="7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/>
    </xf>
    <xf numFmtId="0" fontId="55" fillId="0" borderId="6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 indent="1"/>
    </xf>
    <xf numFmtId="0" fontId="64" fillId="40" borderId="33" xfId="0" applyFont="1" applyFill="1" applyBorder="1" applyAlignment="1">
      <alignment horizontal="center" vertical="top" wrapText="1"/>
    </xf>
    <xf numFmtId="0" fontId="64" fillId="40" borderId="0" xfId="0" applyFont="1" applyFill="1" applyAlignment="1">
      <alignment horizontal="center" vertical="top" wrapText="1"/>
    </xf>
    <xf numFmtId="0" fontId="64" fillId="40" borderId="31" xfId="0" applyFont="1" applyFill="1" applyBorder="1" applyAlignment="1">
      <alignment horizontal="center" vertical="top" wrapText="1"/>
    </xf>
    <xf numFmtId="0" fontId="25" fillId="0" borderId="25" xfId="0" applyFont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29" fillId="0" borderId="18" xfId="0" applyFont="1" applyBorder="1" applyAlignment="1">
      <alignment vertical="center" wrapText="1"/>
    </xf>
  </cellXfs>
  <cellStyles count="93">
    <cellStyle name="20% - Accent1" xfId="23" builtinId="30" hidden="1"/>
    <cellStyle name="20% - Accent2" xfId="27" builtinId="34" hidden="1"/>
    <cellStyle name="20% - Accent3" xfId="31" builtinId="38" hidden="1"/>
    <cellStyle name="20% - Accent4" xfId="35" builtinId="42" hidden="1"/>
    <cellStyle name="20% - Accent5" xfId="39" builtinId="46" hidden="1"/>
    <cellStyle name="20% - Accent6" xfId="43" builtinId="50" hidden="1"/>
    <cellStyle name="40% - Accent1" xfId="24" builtinId="31" hidden="1"/>
    <cellStyle name="40% - Accent2" xfId="28" builtinId="35" hidden="1"/>
    <cellStyle name="40% - Accent3" xfId="32" builtinId="39" hidden="1"/>
    <cellStyle name="40% - Accent4" xfId="36" builtinId="43" hidden="1"/>
    <cellStyle name="40% - Accent5" xfId="40" builtinId="47" hidden="1"/>
    <cellStyle name="40% - Accent6" xfId="44" builtinId="51" hidden="1"/>
    <cellStyle name="60% - Accent1" xfId="25" builtinId="32" hidden="1"/>
    <cellStyle name="60% - Accent2" xfId="29" builtinId="36" hidden="1"/>
    <cellStyle name="60% - Accent3" xfId="33" builtinId="40" hidden="1"/>
    <cellStyle name="60% - Accent4" xfId="37" builtinId="44" hidden="1"/>
    <cellStyle name="60% - Accent5" xfId="41" builtinId="48" hidden="1"/>
    <cellStyle name="60% - Accent6" xfId="45" builtinId="52" hidden="1"/>
    <cellStyle name="Accent1" xfId="22" builtinId="29" hidden="1"/>
    <cellStyle name="Accent2" xfId="26" builtinId="33" hidden="1"/>
    <cellStyle name="Accent3" xfId="30" builtinId="37" hidden="1"/>
    <cellStyle name="Accent4" xfId="34" builtinId="41" hidden="1"/>
    <cellStyle name="Accent5" xfId="38" builtinId="45" hidden="1"/>
    <cellStyle name="Accent6" xfId="42" builtinId="49" hidden="1"/>
    <cellStyle name="Array" xfId="64" xr:uid="{07691C0A-FD31-4313-8425-4D1A5051034B}"/>
    <cellStyle name="Bad" xfId="11" builtinId="27" hidden="1"/>
    <cellStyle name="Calculation" xfId="15" builtinId="22" hidden="1"/>
    <cellStyle name="Check Cell" xfId="17" builtinId="23" hidden="1"/>
    <cellStyle name="Comma" xfId="1" builtinId="3" hidden="1"/>
    <cellStyle name="Comma [0]" xfId="2" builtinId="6" customBuiltin="1"/>
    <cellStyle name="Comma [0] 2" xfId="84" xr:uid="{E7D34903-2761-4716-8826-27254DCCD93B}"/>
    <cellStyle name="Comma [0] 3" xfId="75" xr:uid="{A6C8658D-54C0-4C78-B0F3-2EE513FAAC7E}"/>
    <cellStyle name="Comma [1]" xfId="57" xr:uid="{00000000-0005-0000-0000-00001D000000}"/>
    <cellStyle name="Comma [2]" xfId="55" xr:uid="{00000000-0005-0000-0000-00001E000000}"/>
    <cellStyle name="Comma [3]" xfId="63" xr:uid="{A1D469F7-D750-4585-894C-4600530DCF29}"/>
    <cellStyle name="Comma [3] 2" xfId="90" xr:uid="{9CA2C63C-5C0B-42A3-A55C-C0BFD6468CD1}"/>
    <cellStyle name="Comma [3] 3" xfId="79" xr:uid="{11A83404-9D30-45A7-99B6-EC86708219C8}"/>
    <cellStyle name="Comma [3] 4" xfId="78" xr:uid="{F6AF2134-C819-4634-BCFA-DF41A6F6F2D9}"/>
    <cellStyle name="Comma [4]" xfId="54" xr:uid="{00000000-0005-0000-0000-00001F000000}"/>
    <cellStyle name="Currency" xfId="3" builtinId="4" hidden="1"/>
    <cellStyle name="Currency [0]" xfId="4" builtinId="7" hidden="1"/>
    <cellStyle name="Date (short)" xfId="53" xr:uid="{00000000-0005-0000-0000-000022000000}"/>
    <cellStyle name="Explanatory Text" xfId="20" builtinId="53" customBuiltin="1"/>
    <cellStyle name="Explanatory Text 16" xfId="87" xr:uid="{7738EFF5-49F7-4EE5-A133-D6331AD9A14B}"/>
    <cellStyle name="Explanatory Text 2" xfId="89" xr:uid="{9A26EF42-A0CC-4D72-B10D-90C0D972E950}"/>
    <cellStyle name="Explanatory Text 3" xfId="65" xr:uid="{65CFE86D-61BA-4992-9B92-728C7C52E29F}"/>
    <cellStyle name="Followed Hyperlink" xfId="61" builtinId="9" customBuiltin="1"/>
    <cellStyle name="Good" xfId="10" builtinId="26" hidden="1"/>
    <cellStyle name="Heading 1" xfId="6" builtinId="16" customBuiltin="1"/>
    <cellStyle name="Heading 1 2" xfId="86" xr:uid="{D030CFD5-E7BD-4393-A08E-19A6F41BE0E4}"/>
    <cellStyle name="Heading 2" xfId="7" builtinId="17" customBuiltin="1"/>
    <cellStyle name="Heading 2 2" xfId="82" xr:uid="{86BBE770-8807-41AE-868E-1DC952104050}"/>
    <cellStyle name="Heading 2 3" xfId="68" xr:uid="{A1D1671A-DF10-459E-960E-02ADAD95DAF7}"/>
    <cellStyle name="Heading 3" xfId="8" builtinId="18" customBuiltin="1"/>
    <cellStyle name="Heading 3 2" xfId="74" xr:uid="{847B8651-5BA2-4A5B-9317-DEDD0FE1BC25}"/>
    <cellStyle name="Heading 4" xfId="9" builtinId="19" hidden="1"/>
    <cellStyle name="Hyperlink" xfId="58" builtinId="8" customBuiltin="1"/>
    <cellStyle name="Hyperlink 2" xfId="72" xr:uid="{1758EE33-D846-4B8F-8D6C-A88F9EC67B7E}"/>
    <cellStyle name="Hyperlink 4" xfId="80" xr:uid="{3F701F4B-F044-4FF0-A661-5599E3F9FE08}"/>
    <cellStyle name="Input" xfId="13" builtinId="20" customBuiltin="1"/>
    <cellStyle name="Input 2" xfId="76" xr:uid="{8C3F5EBA-D12E-4BF7-B902-A4BD959F1E1D}"/>
    <cellStyle name="Label" xfId="52" xr:uid="{00000000-0005-0000-0000-00002B000000}"/>
    <cellStyle name="Link" xfId="51" xr:uid="{00000000-0005-0000-0000-00002C000000}"/>
    <cellStyle name="Linked Cell" xfId="16" builtinId="24" hidden="1"/>
    <cellStyle name="Neutral" xfId="12" builtinId="28" hidden="1"/>
    <cellStyle name="Normal" xfId="0" builtinId="0" customBuiltin="1"/>
    <cellStyle name="Normal 2" xfId="66" xr:uid="{B76F9772-D6F9-4247-8E4A-C6FE60C78577}"/>
    <cellStyle name="Note" xfId="19" builtinId="10" hidden="1"/>
    <cellStyle name="Output" xfId="14" builtinId="21" customBuiltin="1"/>
    <cellStyle name="Output 2" xfId="77" xr:uid="{DF1C9CD5-3FEE-4812-AD44-7468BCB21515}"/>
    <cellStyle name="Output 3" xfId="85" xr:uid="{6E84241B-0B34-48FD-A301-9E9C2A33EBDD}"/>
    <cellStyle name="Percent" xfId="59" builtinId="5" hidden="1" customBuiltin="1"/>
    <cellStyle name="Percent [0]" xfId="60" xr:uid="{00000000-0005-0000-0000-000033000000}"/>
    <cellStyle name="Percent [1]" xfId="50" xr:uid="{00000000-0005-0000-0000-000034000000}"/>
    <cellStyle name="Percent [2]" xfId="49" xr:uid="{00000000-0005-0000-0000-000035000000}"/>
    <cellStyle name="Percent [3]" xfId="48" xr:uid="{00000000-0005-0000-0000-000036000000}"/>
    <cellStyle name="Percent [4]" xfId="62" xr:uid="{79194CCB-4C1F-48BE-9FC9-8A0A23BD7FB1}"/>
    <cellStyle name="Rt border" xfId="47" xr:uid="{00000000-0005-0000-0000-000037000000}"/>
    <cellStyle name="Rt border 2" xfId="67" xr:uid="{C698B5AB-E7C0-484C-A56E-190472FFCD21}"/>
    <cellStyle name="Rt border 2 2" xfId="70" xr:uid="{A3E2C468-1584-4E9F-894F-58BAB9106EB2}"/>
    <cellStyle name="Rt border 3" xfId="91" xr:uid="{F558CFC7-0226-49E1-8563-7190B789BE86}"/>
    <cellStyle name="Rt border 4" xfId="69" xr:uid="{E5F3EB6A-ED11-466C-B9F0-18F20575D379}"/>
    <cellStyle name="Text" xfId="56" xr:uid="{00000000-0005-0000-0000-000038000000}"/>
    <cellStyle name="Text 2" xfId="81" xr:uid="{DD145378-AE86-47A4-9353-C59C5DBAACFB}"/>
    <cellStyle name="Text 2 2" xfId="83" xr:uid="{0B85EF51-8B6F-4DA2-B7E3-6C6B0046365B}"/>
    <cellStyle name="Text 3" xfId="88" xr:uid="{1AB64493-126C-46E0-A945-CF0EDFF1CCF7}"/>
    <cellStyle name="Text 4" xfId="71" xr:uid="{8435522C-577D-42F6-9FDC-06D99DCC5540}"/>
    <cellStyle name="Title" xfId="5" builtinId="15" customBuiltin="1"/>
    <cellStyle name="Title 2" xfId="92" xr:uid="{AA698BBC-1074-469E-BACD-D3C2A258237B}"/>
    <cellStyle name="Title 3" xfId="73" xr:uid="{8D6D2838-050D-4C1C-BE93-C4EBCEB29AF8}"/>
    <cellStyle name="Total" xfId="21" builtinId="25" hidden="1"/>
    <cellStyle name="Warning Text" xfId="18" builtinId="11" hidden="1"/>
    <cellStyle name="Year" xfId="46" xr:uid="{00000000-0005-0000-0000-00003C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0.79998168889431442"/>
        </patternFill>
      </fill>
    </dxf>
    <dxf>
      <fill>
        <patternFill>
          <bgColor theme="2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3E2DF"/>
      <color rgb="FF80AAA2"/>
      <color rgb="FF000000"/>
      <color rgb="FF2E666C"/>
      <color rgb="FF99988E"/>
      <color rgb="FFB1C5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123826</xdr:rowOff>
    </xdr:from>
    <xdr:to>
      <xdr:col>4</xdr:col>
      <xdr:colOff>0</xdr:colOff>
      <xdr:row>15</xdr:row>
      <xdr:rowOff>104777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25EB5A3-FB70-4246-9A82-DF50A227B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0467"/>
          <a:ext cx="9626204" cy="33920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285750</xdr:colOff>
      <xdr:row>0</xdr:row>
      <xdr:rowOff>142875</xdr:rowOff>
    </xdr:from>
    <xdr:to>
      <xdr:col>1</xdr:col>
      <xdr:colOff>851185</xdr:colOff>
      <xdr:row>1</xdr:row>
      <xdr:rowOff>657975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A11C6-81D1-4A8B-B86F-0F035DB36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42875"/>
          <a:ext cx="2337085" cy="705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024%20EDB%20reset\Final%20Suite%201\Financial%20model-EDB%20DPP4%20final%20determination-20%20November%202024.xlsx" TargetMode="External"/><Relationship Id="rId1" Type="http://schemas.openxmlformats.org/officeDocument/2006/relationships/externalLinkPath" Target="file:///M:\2024%20EDB%20reset\Final%20Suite%201\Financial%20model-EDB%20DPP4%20final%20determination-20%20November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Sheet"/>
      <sheetName val="Description"/>
      <sheetName val="Table of Contents"/>
      <sheetName val="Inputs"/>
      <sheetName val="EDB data"/>
      <sheetName val="TIMING"/>
      <sheetName val="RAB"/>
      <sheetName val="TAX"/>
      <sheetName val="BBAR"/>
      <sheetName val="MAR"/>
      <sheetName val="IRR"/>
      <sheetName val="Initial"/>
      <sheetName val="Outputs"/>
      <sheetName val="Chartbook outputs"/>
      <sheetName val="Outputs to Determin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8">
          <cell r="C18">
            <v>73359.825616923074</v>
          </cell>
          <cell r="D18">
            <v>150163.55612617626</v>
          </cell>
          <cell r="E18">
            <v>44281.139732429561</v>
          </cell>
          <cell r="F18">
            <v>16949.518224204665</v>
          </cell>
          <cell r="G18">
            <v>34274.847397808648</v>
          </cell>
          <cell r="H18">
            <v>34127.949082079838</v>
          </cell>
          <cell r="I18">
            <v>7219.2497338727098</v>
          </cell>
          <cell r="J18">
            <v>37178.886856943747</v>
          </cell>
          <cell r="K18">
            <v>231403.61740068885</v>
          </cell>
          <cell r="L18">
            <v>34648.09410168742</v>
          </cell>
          <cell r="M18">
            <v>446158.36813099438</v>
          </cell>
          <cell r="N18">
            <v>48646.442626418175</v>
          </cell>
          <cell r="O18">
            <v>51690.551053624011</v>
          </cell>
          <cell r="P18">
            <v>133360.41072976706</v>
          </cell>
          <cell r="Q18">
            <v>579388.88558384695</v>
          </cell>
          <cell r="R18">
            <v>118695.81208155451</v>
          </cell>
        </row>
        <row r="19">
          <cell r="C19">
            <v>74827.022129261532</v>
          </cell>
          <cell r="D19">
            <v>153166.82724869979</v>
          </cell>
          <cell r="E19">
            <v>49999.606117475516</v>
          </cell>
          <cell r="F19">
            <v>18619.723750017794</v>
          </cell>
          <cell r="G19">
            <v>38526.299469032834</v>
          </cell>
          <cell r="H19">
            <v>35645.960257250757</v>
          </cell>
          <cell r="I19">
            <v>7886.4527942772256</v>
          </cell>
          <cell r="J19">
            <v>41070.029155391472</v>
          </cell>
          <cell r="K19">
            <v>259162.79534407548</v>
          </cell>
          <cell r="L19">
            <v>39688.005869718865</v>
          </cell>
          <cell r="M19">
            <v>472829.71537786518</v>
          </cell>
          <cell r="N19">
            <v>52596.533767683337</v>
          </cell>
          <cell r="O19">
            <v>59842.150954780511</v>
          </cell>
          <cell r="P19">
            <v>152078.87797979714</v>
          </cell>
          <cell r="Q19">
            <v>638254.79635916592</v>
          </cell>
          <cell r="R19">
            <v>132692.42224221141</v>
          </cell>
        </row>
        <row r="20">
          <cell r="C20">
            <v>76323.562571846764</v>
          </cell>
          <cell r="D20">
            <v>156230.16379367377</v>
          </cell>
          <cell r="E20">
            <v>56456.555251486308</v>
          </cell>
          <cell r="F20">
            <v>20454.51132834455</v>
          </cell>
          <cell r="G20">
            <v>43305.101655171675</v>
          </cell>
          <cell r="H20">
            <v>37231.492569493275</v>
          </cell>
          <cell r="I20">
            <v>8615.318761524326</v>
          </cell>
          <cell r="J20">
            <v>45368.418406794743</v>
          </cell>
          <cell r="K20">
            <v>290251.96427355084</v>
          </cell>
          <cell r="L20">
            <v>45461.023203528173</v>
          </cell>
          <cell r="M20">
            <v>501095.47576315393</v>
          </cell>
          <cell r="N20">
            <v>56867.372309619241</v>
          </cell>
          <cell r="O20">
            <v>69279.258160349404</v>
          </cell>
          <cell r="P20">
            <v>173424.6692930414</v>
          </cell>
          <cell r="Q20">
            <v>703101.48366925726</v>
          </cell>
          <cell r="R20">
            <v>148339.51267301303</v>
          </cell>
        </row>
        <row r="21">
          <cell r="C21">
            <v>77850.03382328368</v>
          </cell>
          <cell r="D21">
            <v>159354.7670695472</v>
          </cell>
          <cell r="E21">
            <v>63747.354796663232</v>
          </cell>
          <cell r="F21">
            <v>22470.098874639614</v>
          </cell>
          <cell r="G21">
            <v>48676.66646447916</v>
          </cell>
          <cell r="H21">
            <v>38887.549358984332</v>
          </cell>
          <cell r="I21">
            <v>9411.5465214644028</v>
          </cell>
          <cell r="J21">
            <v>50116.677077249864</v>
          </cell>
          <cell r="K21">
            <v>325070.58990780596</v>
          </cell>
          <cell r="L21">
            <v>52073.783638713365</v>
          </cell>
          <cell r="M21">
            <v>531050.96330427506</v>
          </cell>
          <cell r="N21">
            <v>61485.00294116031</v>
          </cell>
          <cell r="O21">
            <v>80204.597172236477</v>
          </cell>
          <cell r="P21">
            <v>197766.55587501265</v>
          </cell>
          <cell r="Q21">
            <v>774536.59441005357</v>
          </cell>
          <cell r="R21">
            <v>165831.70800741474</v>
          </cell>
        </row>
        <row r="22">
          <cell r="C22">
            <v>79407.034499749381</v>
          </cell>
          <cell r="D22">
            <v>162541.86241093822</v>
          </cell>
          <cell r="E22">
            <v>71979.688195104347</v>
          </cell>
          <cell r="F22">
            <v>24684.302417746607</v>
          </cell>
          <cell r="G22">
            <v>54714.520172733173</v>
          </cell>
          <cell r="H22">
            <v>40617.26755447196</v>
          </cell>
          <cell r="I22">
            <v>10281.361650978146</v>
          </cell>
          <cell r="J22">
            <v>55361.888500154855</v>
          </cell>
          <cell r="K22">
            <v>364066.05787314643</v>
          </cell>
          <cell r="L22">
            <v>59648.436206800623</v>
          </cell>
          <cell r="M22">
            <v>562797.18989060482</v>
          </cell>
          <cell r="N22">
            <v>66477.585179982532</v>
          </cell>
          <cell r="O22">
            <v>92852.862146298197</v>
          </cell>
          <cell r="P22">
            <v>225525.06965762944</v>
          </cell>
          <cell r="Q22">
            <v>853229.51240211539</v>
          </cell>
          <cell r="R22">
            <v>185386.58301564911</v>
          </cell>
        </row>
      </sheetData>
      <sheetData sheetId="13"/>
      <sheetData sheetId="14"/>
    </sheetDataSet>
  </externalBook>
</externalLink>
</file>

<file path=xl/theme/theme1.xml><?xml version="1.0" encoding="utf-8"?>
<a:theme xmlns:a="http://schemas.openxmlformats.org/drawingml/2006/main" name="Commission Bronze">
  <a:themeElements>
    <a:clrScheme name="Custom ComCom 2 Highlight">
      <a:dk1>
        <a:srgbClr val="000000"/>
      </a:dk1>
      <a:lt1>
        <a:srgbClr val="FFFFFF"/>
      </a:lt1>
      <a:dk2>
        <a:srgbClr val="F9F9F5"/>
      </a:dk2>
      <a:lt2>
        <a:srgbClr val="C00000"/>
      </a:lt2>
      <a:accent1>
        <a:srgbClr val="94021E"/>
      </a:accent1>
      <a:accent2>
        <a:srgbClr val="000000"/>
      </a:accent2>
      <a:accent3>
        <a:srgbClr val="948E71"/>
      </a:accent3>
      <a:accent4>
        <a:srgbClr val="618490"/>
      </a:accent4>
      <a:accent5>
        <a:srgbClr val="C77F5B"/>
      </a:accent5>
      <a:accent6>
        <a:srgbClr val="548789"/>
      </a:accent6>
      <a:hlink>
        <a:srgbClr val="567A89"/>
      </a:hlink>
      <a:folHlink>
        <a:srgbClr val="7030A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comcom.govt.nz/__data/assets/pdf_file/0022/251626/2021-NZCC-3-Aurora-Energy-Limited-Electricity-Distribution-Customised-Price-Quality-Path-Determination-2021-with-IM-variations-31-March-2021.pdf" TargetMode="External"/><Relationship Id="rId13" Type="http://schemas.openxmlformats.org/officeDocument/2006/relationships/hyperlink" Target="https://comcom.govt.nz/__data/assets/pdf_file/0029/191972/2019-NZCC-21-Electricity-distribution-services-default-price-quality-path-determination-2020-27-November-2019.pdf" TargetMode="External"/><Relationship Id="rId3" Type="http://schemas.openxmlformats.org/officeDocument/2006/relationships/hyperlink" Target="https://static1.squarespace.com/static/64dd6f3b899a2e11815e6ee9/t/66d14340df17fe4b70473ecc/1724990282251/NEL+Disclosure+Schedules+1+to+10.pdf" TargetMode="External"/><Relationship Id="rId7" Type="http://schemas.openxmlformats.org/officeDocument/2006/relationships/hyperlink" Target="https://comcom.govt.nz/__data/assets/pdf_file/0029/191972/2019-NZCC-21-Electricity-distribution-services-default-price-quality-path-determination-2020-27-November-2019.pdf" TargetMode="External"/><Relationship Id="rId12" Type="http://schemas.openxmlformats.org/officeDocument/2006/relationships/hyperlink" Target="https://comcom.govt.nz/__data/assets/pdf_file/0022/251626/2021-NZCC-3-Aurora-Energy-Limited-Electricity-Distribution-Customised-Price-Quality-Path-Determination-2021-with-IM-variations-31-March-2021.pdf" TargetMode="External"/><Relationship Id="rId2" Type="http://schemas.openxmlformats.org/officeDocument/2006/relationships/hyperlink" Target="https://powernet.co.nz/wp-content/uploads/2024/08/EIL-ID-FY24-Signed-Stamped.pdf" TargetMode="External"/><Relationship Id="rId1" Type="http://schemas.openxmlformats.org/officeDocument/2006/relationships/hyperlink" Target="https://comcom.govt.nz/__data/assets/pdf_file/0022/251626/2021-NZCC-3-Aurora-Energy-Limited-Electricity-Distribution-Customised-Price-Quality-Path-Determination-2021-with-IM-variations-31-March-2021.pdf" TargetMode="External"/><Relationship Id="rId6" Type="http://schemas.openxmlformats.org/officeDocument/2006/relationships/hyperlink" Target="https://comcom.govt.nz/__data/assets/pdf_file/0022/251626/2021-NZCC-3-Aurora-Energy-Limited-Electricity-Distribution-Customised-Price-Quality-Path-Determination-2021-with-IM-variations-31-March-2021.pdf" TargetMode="External"/><Relationship Id="rId11" Type="http://schemas.openxmlformats.org/officeDocument/2006/relationships/hyperlink" Target="https://comcom.govt.nz/__data/assets/excel_doc/0026/191474/Reliability-standards-and-incentives-model-EDB-DPP3-final-determination-27-November-2019.xlsx" TargetMode="External"/><Relationship Id="rId5" Type="http://schemas.openxmlformats.org/officeDocument/2006/relationships/hyperlink" Target="https://comcom.govt.nz/__data/assets/pdf_file/0022/251626/2021-NZCC-3-Aurora-Energy-Limited-Electricity-Distribution-Customised-Price-Quality-Path-Determination-2021-with-IM-variations-31-March-2021.pdf" TargetMode="External"/><Relationship Id="rId10" Type="http://schemas.openxmlformats.org/officeDocument/2006/relationships/hyperlink" Target="https://comcom.govt.nz/__data/assets/excel_doc/0026/191474/Reliability-standards-and-incentives-model-EDB-DPP3-final-determination-27-November-2019.xlsx" TargetMode="External"/><Relationship Id="rId4" Type="http://schemas.openxmlformats.org/officeDocument/2006/relationships/hyperlink" Target="https://comcom.govt.nz/__data/assets/pdf_file/0029/191972/2019-NZCC-21-Electricity-distribution-services-default-price-quality-path-determination-2020-27-November-2019.pdf" TargetMode="External"/><Relationship Id="rId9" Type="http://schemas.openxmlformats.org/officeDocument/2006/relationships/hyperlink" Target="https://comcom.govt.nz/__data/assets/pdf_file/0022/251626/2021-NZCC-3-Aurora-Energy-Limited-Electricity-Distribution-Customised-Price-Quality-Path-Determination-2021-with-IM-variations-31-March-2021.pdf" TargetMode="External"/><Relationship Id="rId1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60148-EA48-435B-AEF3-862CE8B6CB6D}">
  <sheetPr codeName="Sheet10">
    <pageSetUpPr fitToPage="1"/>
  </sheetPr>
  <dimension ref="A1:F18"/>
  <sheetViews>
    <sheetView showGridLines="0" tabSelected="1" zoomScaleNormal="100" zoomScaleSheetLayoutView="100" workbookViewId="0">
      <selection activeCell="K3" sqref="K3"/>
    </sheetView>
  </sheetViews>
  <sheetFormatPr defaultColWidth="9.1328125" defaultRowHeight="15" customHeight="1" x14ac:dyDescent="0.45"/>
  <cols>
    <col min="1" max="1" width="26.59765625" customWidth="1"/>
    <col min="2" max="2" width="43.1328125" customWidth="1"/>
    <col min="3" max="3" width="32.73046875" customWidth="1"/>
    <col min="4" max="4" width="32.265625" customWidth="1"/>
  </cols>
  <sheetData>
    <row r="1" spans="1:6" ht="15" customHeight="1" x14ac:dyDescent="0.45">
      <c r="A1" s="65"/>
      <c r="B1" s="2"/>
      <c r="C1" s="2"/>
      <c r="D1" s="1"/>
    </row>
    <row r="2" spans="1:6" ht="88.5" customHeight="1" x14ac:dyDescent="0.45">
      <c r="A2" s="383"/>
      <c r="B2" s="384"/>
      <c r="C2" s="384"/>
      <c r="D2" s="385"/>
      <c r="F2" s="200"/>
    </row>
    <row r="3" spans="1:6" ht="30" customHeight="1" x14ac:dyDescent="0.75">
      <c r="A3" s="68" t="s">
        <v>8</v>
      </c>
      <c r="B3" s="69"/>
      <c r="C3" s="69"/>
      <c r="D3" s="70"/>
      <c r="F3" s="177"/>
    </row>
    <row r="4" spans="1:6" ht="30" customHeight="1" x14ac:dyDescent="0.75">
      <c r="A4" s="68" t="s">
        <v>163</v>
      </c>
      <c r="B4" s="69"/>
      <c r="C4" s="69"/>
      <c r="D4" s="70"/>
    </row>
    <row r="5" spans="1:6" ht="30" customHeight="1" x14ac:dyDescent="0.75">
      <c r="A5" s="68" t="s">
        <v>111</v>
      </c>
      <c r="B5" s="69"/>
      <c r="C5" s="69"/>
      <c r="D5" s="70"/>
    </row>
    <row r="6" spans="1:6" ht="30" customHeight="1" x14ac:dyDescent="0.75">
      <c r="A6" s="68" t="s">
        <v>380</v>
      </c>
      <c r="B6" s="69"/>
      <c r="C6" s="69"/>
      <c r="D6" s="70"/>
    </row>
    <row r="7" spans="1:6" ht="28.5" customHeight="1" x14ac:dyDescent="0.45">
      <c r="A7" s="66"/>
      <c r="D7" s="67"/>
    </row>
    <row r="8" spans="1:6" ht="19.05" customHeight="1" x14ac:dyDescent="0.45">
      <c r="A8" s="66"/>
      <c r="D8" s="67"/>
    </row>
    <row r="9" spans="1:6" ht="19.05" customHeight="1" x14ac:dyDescent="0.45">
      <c r="A9" s="66"/>
      <c r="D9" s="67"/>
    </row>
    <row r="10" spans="1:6" ht="19.05" customHeight="1" x14ac:dyDescent="0.45">
      <c r="A10" s="66"/>
      <c r="D10" s="67"/>
    </row>
    <row r="11" spans="1:6" ht="19.05" customHeight="1" x14ac:dyDescent="0.45">
      <c r="A11" s="66"/>
      <c r="D11" s="67"/>
    </row>
    <row r="12" spans="1:6" ht="19.05" customHeight="1" x14ac:dyDescent="0.45">
      <c r="A12" s="66"/>
      <c r="D12" s="67"/>
    </row>
    <row r="13" spans="1:6" ht="19.05" customHeight="1" x14ac:dyDescent="0.45">
      <c r="A13" s="66"/>
      <c r="D13" s="67"/>
    </row>
    <row r="14" spans="1:6" ht="19.05" customHeight="1" x14ac:dyDescent="0.45">
      <c r="A14" s="66"/>
      <c r="D14" s="67"/>
    </row>
    <row r="15" spans="1:6" ht="19.05" customHeight="1" x14ac:dyDescent="0.45">
      <c r="A15" s="66"/>
      <c r="D15" s="67"/>
    </row>
    <row r="16" spans="1:6" ht="15.4" customHeight="1" x14ac:dyDescent="0.45">
      <c r="A16" s="66"/>
      <c r="D16" s="67"/>
    </row>
    <row r="17" spans="1:4" ht="15" customHeight="1" x14ac:dyDescent="0.45">
      <c r="A17" s="364" t="s">
        <v>381</v>
      </c>
      <c r="B17" s="69"/>
      <c r="C17" s="69"/>
      <c r="D17" s="70"/>
    </row>
    <row r="18" spans="1:4" ht="15" customHeight="1" x14ac:dyDescent="0.45">
      <c r="A18" s="104"/>
      <c r="B18" s="105"/>
      <c r="C18" s="105"/>
      <c r="D18" s="106"/>
    </row>
  </sheetData>
  <sheetProtection formatColumns="0" formatRows="0"/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  <headerFooter>
    <oddHeader>&amp;R&amp;D &amp;T</oddHeader>
    <oddFooter>&amp;L&amp;F&amp;C&amp;A&amp;R&amp;P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23E94-EC78-4731-9D8D-8857060E1125}">
  <sheetPr>
    <pageSetUpPr fitToPage="1"/>
  </sheetPr>
  <dimension ref="A1:F31"/>
  <sheetViews>
    <sheetView showGridLines="0" zoomScaleNormal="100" zoomScaleSheetLayoutView="120" workbookViewId="0">
      <selection activeCell="I24" sqref="I24"/>
    </sheetView>
  </sheetViews>
  <sheetFormatPr defaultColWidth="9.1328125" defaultRowHeight="15" customHeight="1" x14ac:dyDescent="0.45"/>
  <cols>
    <col min="1" max="1" width="3.73046875" customWidth="1"/>
    <col min="2" max="2" width="23.265625" customWidth="1"/>
    <col min="3" max="3" width="100.73046875" customWidth="1"/>
    <col min="4" max="4" width="14.73046875" customWidth="1"/>
    <col min="5" max="5" width="19" customWidth="1"/>
    <col min="6" max="6" width="2.73046875" customWidth="1"/>
  </cols>
  <sheetData>
    <row r="1" spans="1:6" ht="25.5" x14ac:dyDescent="0.75">
      <c r="A1" s="3" t="s">
        <v>0</v>
      </c>
    </row>
    <row r="2" spans="1:6" ht="14.25" x14ac:dyDescent="0.45">
      <c r="A2" s="223" t="s">
        <v>399</v>
      </c>
      <c r="B2" s="223"/>
      <c r="C2" s="224"/>
      <c r="D2" s="224"/>
      <c r="E2" s="224"/>
      <c r="F2" s="224"/>
    </row>
    <row r="3" spans="1:6" ht="14.25" x14ac:dyDescent="0.45"/>
    <row r="4" spans="1:6" ht="22.9" customHeight="1" x14ac:dyDescent="0.45">
      <c r="A4" s="225" t="s">
        <v>112</v>
      </c>
      <c r="B4" s="226"/>
      <c r="C4" s="226"/>
      <c r="D4" s="226"/>
      <c r="E4" s="226"/>
      <c r="F4" s="226"/>
    </row>
    <row r="5" spans="1:6" ht="30.4" customHeight="1" x14ac:dyDescent="0.45">
      <c r="A5" s="227">
        <v>1</v>
      </c>
      <c r="B5" s="386" t="s">
        <v>309</v>
      </c>
      <c r="C5" s="386"/>
      <c r="D5" s="386"/>
      <c r="E5" s="386"/>
      <c r="F5" s="229"/>
    </row>
    <row r="6" spans="1:6" ht="14.65" customHeight="1" x14ac:dyDescent="0.45">
      <c r="B6" s="229"/>
      <c r="C6" s="228"/>
      <c r="D6" s="228"/>
      <c r="E6" s="228"/>
    </row>
    <row r="7" spans="1:6" ht="23.25" x14ac:dyDescent="0.45">
      <c r="A7" s="225" t="s">
        <v>4</v>
      </c>
      <c r="B7" s="230"/>
      <c r="C7" s="230"/>
      <c r="D7" s="230"/>
      <c r="E7" s="230"/>
      <c r="F7" s="226"/>
    </row>
    <row r="8" spans="1:6" ht="13.15" customHeight="1" x14ac:dyDescent="0.45">
      <c r="A8" s="227">
        <v>1</v>
      </c>
      <c r="B8" s="229" t="s">
        <v>400</v>
      </c>
      <c r="C8" s="228"/>
      <c r="D8" s="228"/>
      <c r="E8" s="228"/>
      <c r="F8" s="229"/>
    </row>
    <row r="9" spans="1:6" ht="32.25" customHeight="1" x14ac:dyDescent="0.45">
      <c r="A9" s="227">
        <v>2</v>
      </c>
      <c r="B9" s="387" t="s">
        <v>360</v>
      </c>
      <c r="C9" s="387"/>
      <c r="D9" s="387"/>
      <c r="E9" s="387"/>
      <c r="F9" s="387"/>
    </row>
    <row r="10" spans="1:6" ht="14.65" customHeight="1" x14ac:dyDescent="0.45">
      <c r="A10" s="227">
        <v>3</v>
      </c>
      <c r="B10" s="382" t="s">
        <v>361</v>
      </c>
      <c r="C10" s="381"/>
      <c r="D10" s="381"/>
      <c r="E10" s="381"/>
      <c r="F10" s="382"/>
    </row>
    <row r="11" spans="1:6" ht="13.5" customHeight="1" x14ac:dyDescent="0.45">
      <c r="B11" s="229"/>
      <c r="C11" s="228"/>
      <c r="D11" s="228"/>
      <c r="E11" s="228"/>
      <c r="F11" s="229"/>
    </row>
    <row r="12" spans="1:6" ht="23.25" x14ac:dyDescent="0.45">
      <c r="A12" s="225" t="s">
        <v>5</v>
      </c>
      <c r="B12" s="230"/>
      <c r="C12" s="230"/>
      <c r="D12" s="230"/>
      <c r="E12" s="230"/>
      <c r="F12" s="226"/>
    </row>
    <row r="13" spans="1:6" ht="14.25" x14ac:dyDescent="0.45">
      <c r="A13" s="227">
        <v>1</v>
      </c>
      <c r="B13" s="229" t="s">
        <v>404</v>
      </c>
      <c r="C13" s="381"/>
      <c r="D13" s="381"/>
      <c r="E13" s="381"/>
      <c r="F13" s="226"/>
    </row>
    <row r="14" spans="1:6" ht="14.25" x14ac:dyDescent="0.45">
      <c r="A14" s="227">
        <v>2</v>
      </c>
      <c r="B14" s="229" t="s">
        <v>327</v>
      </c>
      <c r="C14" s="228"/>
      <c r="D14" s="228"/>
      <c r="E14" s="228"/>
      <c r="F14" s="229"/>
    </row>
    <row r="15" spans="1:6" ht="14.25" x14ac:dyDescent="0.45">
      <c r="A15" s="227">
        <v>3</v>
      </c>
      <c r="B15" s="386" t="s">
        <v>310</v>
      </c>
      <c r="C15" s="386"/>
      <c r="D15" s="386"/>
      <c r="E15" s="386"/>
      <c r="F15" s="386"/>
    </row>
    <row r="16" spans="1:6" ht="14.25" x14ac:dyDescent="0.45">
      <c r="B16" s="229"/>
      <c r="C16" s="228"/>
      <c r="D16" s="228"/>
      <c r="E16" s="228"/>
      <c r="F16" s="229"/>
    </row>
    <row r="17" spans="1:6" ht="23.25" x14ac:dyDescent="0.45">
      <c r="A17" s="225" t="s">
        <v>6</v>
      </c>
      <c r="B17" s="230"/>
      <c r="C17" s="230"/>
      <c r="D17" s="230"/>
      <c r="E17" s="230"/>
      <c r="F17" s="226"/>
    </row>
    <row r="18" spans="1:6" ht="14.65" customHeight="1" x14ac:dyDescent="0.45">
      <c r="A18" s="227">
        <v>1</v>
      </c>
      <c r="B18" s="229" t="s">
        <v>311</v>
      </c>
      <c r="C18" s="228"/>
      <c r="D18" s="228"/>
      <c r="E18" s="228"/>
      <c r="F18" s="229"/>
    </row>
    <row r="19" spans="1:6" ht="14.65" customHeight="1" x14ac:dyDescent="0.45">
      <c r="A19" s="227">
        <v>2</v>
      </c>
      <c r="B19" s="229" t="s">
        <v>401</v>
      </c>
      <c r="C19" s="228"/>
      <c r="D19" s="228"/>
      <c r="E19" s="228"/>
      <c r="F19" s="229"/>
    </row>
    <row r="20" spans="1:6" ht="13.9" customHeight="1" x14ac:dyDescent="0.45">
      <c r="B20" s="229"/>
      <c r="C20" s="228"/>
      <c r="D20" s="228"/>
      <c r="E20" s="228"/>
      <c r="F20" s="229"/>
    </row>
    <row r="21" spans="1:6" ht="22.9" customHeight="1" x14ac:dyDescent="0.45">
      <c r="A21" s="225" t="s">
        <v>9</v>
      </c>
      <c r="B21" s="231"/>
      <c r="C21" s="231"/>
      <c r="D21" s="226"/>
      <c r="E21" s="226"/>
      <c r="F21" s="226"/>
    </row>
    <row r="22" spans="1:6" ht="15" customHeight="1" x14ac:dyDescent="0.45">
      <c r="A22" s="227">
        <v>1</v>
      </c>
      <c r="B22" s="229" t="s">
        <v>312</v>
      </c>
      <c r="C22" s="228"/>
      <c r="D22" s="228"/>
      <c r="E22" s="228"/>
      <c r="F22" s="229"/>
    </row>
    <row r="23" spans="1:6" ht="14.25" customHeight="1" x14ac:dyDescent="0.45">
      <c r="A23" s="227">
        <v>2</v>
      </c>
      <c r="B23" s="229" t="s">
        <v>313</v>
      </c>
      <c r="C23" s="228"/>
      <c r="D23" s="228"/>
      <c r="E23" s="228"/>
      <c r="F23" s="229"/>
    </row>
    <row r="24" spans="1:6" ht="14.25" customHeight="1" x14ac:dyDescent="0.45">
      <c r="A24" s="227">
        <v>3</v>
      </c>
      <c r="B24" t="s">
        <v>314</v>
      </c>
      <c r="C24" s="228"/>
      <c r="D24" s="228"/>
      <c r="E24" s="228"/>
      <c r="F24" s="229"/>
    </row>
    <row r="25" spans="1:6" ht="14.25" x14ac:dyDescent="0.45">
      <c r="A25" s="227">
        <v>4</v>
      </c>
      <c r="B25" t="s">
        <v>407</v>
      </c>
      <c r="D25" s="228"/>
      <c r="E25" s="228"/>
      <c r="F25" s="229"/>
    </row>
    <row r="26" spans="1:6" ht="14.25" x14ac:dyDescent="0.45">
      <c r="B26" s="229"/>
      <c r="C26" s="228"/>
      <c r="D26" s="228"/>
      <c r="E26" s="228"/>
      <c r="F26" s="229"/>
    </row>
    <row r="27" spans="1:6" ht="23.25" x14ac:dyDescent="0.45">
      <c r="A27" s="225" t="s">
        <v>113</v>
      </c>
      <c r="B27" s="226"/>
      <c r="C27" s="226"/>
      <c r="D27" s="226"/>
      <c r="E27" s="226"/>
      <c r="F27" s="226"/>
    </row>
    <row r="28" spans="1:6" ht="34.9" customHeight="1" x14ac:dyDescent="0.45">
      <c r="A28" s="227">
        <v>1</v>
      </c>
      <c r="B28" s="386" t="s">
        <v>402</v>
      </c>
      <c r="C28" s="386"/>
      <c r="D28" s="386"/>
      <c r="E28" s="386"/>
      <c r="F28" s="386"/>
    </row>
    <row r="29" spans="1:6" ht="14.25" x14ac:dyDescent="0.45">
      <c r="A29" s="229"/>
      <c r="B29" s="229"/>
      <c r="C29" s="228"/>
      <c r="D29" s="228"/>
      <c r="E29" s="228"/>
      <c r="F29" s="229"/>
    </row>
    <row r="30" spans="1:6" ht="15" customHeight="1" x14ac:dyDescent="0.45">
      <c r="B30" s="229"/>
      <c r="C30" s="228"/>
      <c r="D30" s="228"/>
      <c r="E30" s="228"/>
      <c r="F30" s="229"/>
    </row>
    <row r="31" spans="1:6" ht="15" customHeight="1" x14ac:dyDescent="0.45">
      <c r="B31" s="229"/>
      <c r="C31" s="228"/>
      <c r="D31" s="228"/>
      <c r="E31" s="228"/>
      <c r="F31" s="229"/>
    </row>
  </sheetData>
  <sheetProtection formatColumns="0" formatRows="0"/>
  <mergeCells count="4">
    <mergeCell ref="B5:E5"/>
    <mergeCell ref="B9:F9"/>
    <mergeCell ref="B15:F15"/>
    <mergeCell ref="B28:F28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769F6-4D67-41FA-91D9-F7025E232B88}">
  <sheetPr>
    <pageSetUpPr fitToPage="1"/>
  </sheetPr>
  <dimension ref="A1:C20"/>
  <sheetViews>
    <sheetView showGridLines="0" zoomScaleNormal="100" zoomScaleSheetLayoutView="118" workbookViewId="0">
      <selection activeCell="C20" sqref="C20"/>
    </sheetView>
  </sheetViews>
  <sheetFormatPr defaultColWidth="9.1328125" defaultRowHeight="15" customHeight="1" x14ac:dyDescent="0.45"/>
  <cols>
    <col min="2" max="2" width="25.73046875" customWidth="1"/>
    <col min="3" max="3" width="77.59765625" customWidth="1"/>
    <col min="4" max="4" width="2.73046875" customWidth="1"/>
  </cols>
  <sheetData>
    <row r="1" spans="1:3" ht="25.5" x14ac:dyDescent="0.75">
      <c r="A1" s="3" t="s">
        <v>1</v>
      </c>
    </row>
    <row r="2" spans="1:3" ht="14.25" x14ac:dyDescent="0.45"/>
    <row r="3" spans="1:3" ht="14.25" x14ac:dyDescent="0.45"/>
    <row r="4" spans="1:3" ht="21" x14ac:dyDescent="0.65">
      <c r="B4" s="232" t="s">
        <v>2</v>
      </c>
      <c r="C4" s="232" t="s">
        <v>3</v>
      </c>
    </row>
    <row r="5" spans="1:3" ht="14.25" x14ac:dyDescent="0.45">
      <c r="B5" s="233" t="s">
        <v>167</v>
      </c>
      <c r="C5" s="234" t="s">
        <v>328</v>
      </c>
    </row>
    <row r="6" spans="1:3" ht="14.25" x14ac:dyDescent="0.45">
      <c r="B6" s="235"/>
      <c r="C6" s="236" t="s">
        <v>320</v>
      </c>
    </row>
    <row r="7" spans="1:3" ht="14.25" x14ac:dyDescent="0.45">
      <c r="B7" s="235"/>
      <c r="C7" s="236" t="s">
        <v>321</v>
      </c>
    </row>
    <row r="8" spans="1:3" ht="14.25" x14ac:dyDescent="0.45">
      <c r="B8" s="237" t="s">
        <v>25</v>
      </c>
      <c r="C8" s="238" t="s">
        <v>25</v>
      </c>
    </row>
    <row r="9" spans="1:3" ht="14.25" x14ac:dyDescent="0.45">
      <c r="B9" s="239"/>
      <c r="C9" s="240" t="s">
        <v>223</v>
      </c>
    </row>
    <row r="10" spans="1:3" ht="14.25" x14ac:dyDescent="0.45">
      <c r="B10" s="239"/>
      <c r="C10" s="240" t="s">
        <v>322</v>
      </c>
    </row>
    <row r="11" spans="1:3" ht="14.25" x14ac:dyDescent="0.45">
      <c r="B11" s="233" t="s">
        <v>5</v>
      </c>
      <c r="C11" s="234" t="s">
        <v>274</v>
      </c>
    </row>
    <row r="12" spans="1:3" ht="14.25" x14ac:dyDescent="0.45">
      <c r="B12" s="235"/>
      <c r="C12" s="236" t="s">
        <v>4</v>
      </c>
    </row>
    <row r="13" spans="1:3" ht="14.25" x14ac:dyDescent="0.45">
      <c r="B13" s="235"/>
      <c r="C13" s="236" t="s">
        <v>5</v>
      </c>
    </row>
    <row r="14" spans="1:3" ht="14.25" x14ac:dyDescent="0.45">
      <c r="B14" s="235"/>
      <c r="C14" s="236" t="s">
        <v>6</v>
      </c>
    </row>
    <row r="15" spans="1:3" ht="14.25" x14ac:dyDescent="0.45">
      <c r="B15" s="237" t="s">
        <v>116</v>
      </c>
      <c r="C15" s="238" t="s">
        <v>89</v>
      </c>
    </row>
    <row r="16" spans="1:3" ht="14.25" x14ac:dyDescent="0.45">
      <c r="B16" s="237"/>
      <c r="C16" s="241" t="s">
        <v>267</v>
      </c>
    </row>
    <row r="17" spans="2:3" ht="14.25" x14ac:dyDescent="0.45">
      <c r="B17" s="233" t="s">
        <v>7</v>
      </c>
      <c r="C17" s="234" t="s">
        <v>6</v>
      </c>
    </row>
    <row r="18" spans="2:3" ht="14.25" x14ac:dyDescent="0.45">
      <c r="B18" s="237" t="s">
        <v>62</v>
      </c>
      <c r="C18" s="238" t="s">
        <v>53</v>
      </c>
    </row>
    <row r="19" spans="2:3" ht="15" customHeight="1" x14ac:dyDescent="0.45">
      <c r="B19" s="239"/>
      <c r="C19" s="240" t="s">
        <v>379</v>
      </c>
    </row>
    <row r="20" spans="2:3" ht="15" customHeight="1" thickBot="1" x14ac:dyDescent="0.5">
      <c r="B20" s="301"/>
      <c r="C20" s="302" t="s">
        <v>378</v>
      </c>
    </row>
  </sheetData>
  <sheetProtection formatColumns="0" formatRows="0"/>
  <hyperlinks>
    <hyperlink ref="C6" location="Unplanned_disruption_standards" tooltip="Section subtitle. Click once to follow" display="Unplanned disruption standards - DPP4" xr:uid="{7E53015B-A07C-4FB3-9AD4-28744F1593EF}"/>
    <hyperlink ref="C7" location="Planned_disruption_standards" tooltip="Section subtitle. Click once to follow" display="Planned disruption standards - DPP4" xr:uid="{8A7E7069-76A4-4404-9CD0-35E1D0D15036}"/>
    <hyperlink ref="C8" location="'Other Inputs'!$A$1" tooltip="Section title. Click once to follow" display="Other Inputs" xr:uid="{4F7141FB-3888-4ED7-A1B3-4432B4E3ADFB}"/>
    <hyperlink ref="C9" location="'Other Inputs'!$A$5" tooltip="Section subtitle. Click once to follow" display="Inputs that are the same for all distributors" xr:uid="{5767F484-5FA2-47B0-84C7-2A79C9BF771C}"/>
    <hyperlink ref="C10" location="Inputs_that_are_specific_to_individual_distributors" tooltip="Section subtitle. Click once to follow" display="Inputs that are specific to individual distributors" xr:uid="{A5200EA2-0588-4AF2-A20D-18257D6C5AAC}"/>
    <hyperlink ref="C11" location="Calculations!A1" tooltip="Section title. Click once to follow" display="Calculations for the selected EDB" xr:uid="{97F58B2C-CB3B-4D63-BD30-7DA6C7CDF894}"/>
    <hyperlink ref="C12" location="'Calculations'!$A$6" tooltip="Section subtitle. Click once to follow" display="Inputs" xr:uid="{78272CBC-0A9A-474B-A221-1B0248F9C860}"/>
    <hyperlink ref="C13" location="Calculations!A74" tooltip="Section subtitle. Click once to follow" display="Calculations" xr:uid="{7FF0A4F1-D3B3-4862-BE45-0CA163CE48A4}"/>
    <hyperlink ref="C14" location="Calculations!A168" tooltip="Section subtitle. Click once to follow" display="Outputs" xr:uid="{755CC6FF-0471-40A2-A68F-DC2C95877E67}"/>
    <hyperlink ref="C15" location="'Calculations-Chartbook'!$A$1" tooltip="Section title. Click once to follow" display="Calculations Chartbook" xr:uid="{0E8A4485-05EE-49FE-B0A1-06436BC04816}"/>
    <hyperlink ref="C17" location="'Output'!$A$1" tooltip="Section title. Click once to follow" display="Outputs" xr:uid="{6C7AE612-5713-4D23-8CD7-F007258B54BF}"/>
    <hyperlink ref="C18" location="'Chart book'!$A$1" tooltip="Section title. Click once to follow" display="Outputs Chart book" xr:uid="{83F9FD55-ED41-4098-BDCA-65771F8DFA61}"/>
    <hyperlink ref="C5" location="Inputs_from_R_model" tooltip="Section title. Click once to follow" display="Inputs from R (statistical software)" xr:uid="{5F70321A-DD1C-41C8-BED1-91892D2FC709}"/>
    <hyperlink ref="C19" location="'Chart book'!A4" tooltip="Section title. Click once to follow" display="Tables for Draft Reasons paper" xr:uid="{0C91580E-40E3-454E-ADB6-B990F0080AC9}"/>
    <hyperlink ref="C20" location="Tables_for_Draft_Determination" tooltip="Section title. Click once to follow" display="Tables for Draft Determination" xr:uid="{ED863015-B5A3-4D19-A764-F691AE409429}"/>
    <hyperlink ref="C16" location="'Calculations-Chartbook'!A1" tooltip="Section title. Click once to follow" display="Frequency of major events" xr:uid="{606E2BBF-413D-4F42-9B95-E9A7E136A667}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tabColor theme="2"/>
    <pageSetUpPr fitToPage="1"/>
  </sheetPr>
  <dimension ref="A1:X98"/>
  <sheetViews>
    <sheetView showGridLines="0" zoomScale="70" zoomScaleNormal="70" zoomScaleSheetLayoutView="110" workbookViewId="0"/>
  </sheetViews>
  <sheetFormatPr defaultColWidth="9.1328125" defaultRowHeight="15" customHeight="1" x14ac:dyDescent="0.45"/>
  <cols>
    <col min="1" max="1" width="37" customWidth="1"/>
    <col min="2" max="10" width="15.59765625" customWidth="1"/>
    <col min="11" max="11" width="14.265625" bestFit="1" customWidth="1"/>
    <col min="12" max="12" width="14.3984375" customWidth="1"/>
    <col min="13" max="13" width="9.86328125" bestFit="1" customWidth="1"/>
    <col min="15" max="15" width="9.86328125" bestFit="1" customWidth="1"/>
    <col min="16" max="16" width="10.73046875" customWidth="1"/>
    <col min="17" max="17" width="12" customWidth="1"/>
    <col min="18" max="19" width="10.73046875" customWidth="1"/>
  </cols>
  <sheetData>
    <row r="1" spans="1:24" ht="25.5" x14ac:dyDescent="0.75">
      <c r="A1" s="3" t="s">
        <v>164</v>
      </c>
    </row>
    <row r="2" spans="1:24" ht="14.25" x14ac:dyDescent="0.45">
      <c r="A2" s="242" t="s">
        <v>315</v>
      </c>
      <c r="B2" s="242"/>
      <c r="C2" s="243"/>
      <c r="D2" s="243"/>
      <c r="E2" s="243"/>
      <c r="F2" s="243"/>
      <c r="G2" s="243"/>
      <c r="H2" s="243"/>
      <c r="I2" s="243"/>
      <c r="J2" s="243"/>
      <c r="K2" s="243"/>
    </row>
    <row r="3" spans="1:24" ht="14.25" x14ac:dyDescent="0.45">
      <c r="N3" s="117"/>
    </row>
    <row r="4" spans="1:24" ht="23.25" x14ac:dyDescent="0.7">
      <c r="A4" s="244" t="s">
        <v>326</v>
      </c>
      <c r="B4" s="245"/>
      <c r="C4" s="244"/>
      <c r="D4" s="226"/>
      <c r="E4" s="226"/>
      <c r="F4" s="226"/>
      <c r="G4" s="226"/>
      <c r="H4" s="226"/>
      <c r="I4" s="226"/>
      <c r="J4" s="226"/>
      <c r="K4" s="226"/>
      <c r="L4" s="226"/>
      <c r="N4" s="5"/>
      <c r="O4" s="117"/>
    </row>
    <row r="5" spans="1:24" ht="14.25" x14ac:dyDescent="0.45">
      <c r="A5" s="246" t="s">
        <v>390</v>
      </c>
      <c r="M5" s="136"/>
      <c r="N5" s="136"/>
      <c r="O5" s="136"/>
      <c r="P5" s="136"/>
      <c r="Q5" s="136"/>
    </row>
    <row r="6" spans="1:24" ht="14.25" x14ac:dyDescent="0.45">
      <c r="A6" s="246" t="s">
        <v>307</v>
      </c>
      <c r="B6" s="222" t="s">
        <v>303</v>
      </c>
      <c r="C6" s="222" t="s">
        <v>296</v>
      </c>
      <c r="D6" s="222" t="s">
        <v>295</v>
      </c>
      <c r="E6" s="222" t="s">
        <v>304</v>
      </c>
      <c r="F6" s="222" t="s">
        <v>297</v>
      </c>
      <c r="G6" s="222" t="s">
        <v>305</v>
      </c>
      <c r="H6" s="222" t="s">
        <v>300</v>
      </c>
      <c r="I6" s="222" t="s">
        <v>298</v>
      </c>
      <c r="J6" s="222" t="s">
        <v>306</v>
      </c>
      <c r="K6" s="222" t="s">
        <v>301</v>
      </c>
      <c r="M6" s="136"/>
      <c r="N6" s="136"/>
      <c r="O6" s="136"/>
      <c r="P6" s="136"/>
      <c r="Q6" s="136"/>
    </row>
    <row r="7" spans="1:24" ht="30" customHeight="1" x14ac:dyDescent="0.45">
      <c r="A7" s="247" t="s">
        <v>212</v>
      </c>
      <c r="B7" s="248" t="s">
        <v>143</v>
      </c>
      <c r="C7" s="248" t="s">
        <v>144</v>
      </c>
      <c r="D7" s="248" t="s">
        <v>145</v>
      </c>
      <c r="E7" s="248" t="s">
        <v>147</v>
      </c>
      <c r="F7" s="248" t="s">
        <v>146</v>
      </c>
      <c r="G7" s="248" t="s">
        <v>148</v>
      </c>
      <c r="H7" s="248" t="s">
        <v>149</v>
      </c>
      <c r="I7" s="248" t="s">
        <v>150</v>
      </c>
      <c r="J7" s="248" t="s">
        <v>152</v>
      </c>
      <c r="K7" s="248" t="s">
        <v>151</v>
      </c>
      <c r="M7" s="139"/>
      <c r="N7" s="136"/>
      <c r="O7" s="136"/>
      <c r="P7" s="136"/>
      <c r="Q7" s="136"/>
    </row>
    <row r="8" spans="1:24" ht="14.25" x14ac:dyDescent="0.45">
      <c r="A8" s="4" t="s">
        <v>10</v>
      </c>
      <c r="B8" s="19">
        <v>8.4740548059999998</v>
      </c>
      <c r="C8" s="19">
        <v>81.603509259999996</v>
      </c>
      <c r="D8" s="19">
        <v>0</v>
      </c>
      <c r="E8" s="19">
        <v>14.32325662</v>
      </c>
      <c r="F8" s="19">
        <v>110.2500225</v>
      </c>
      <c r="G8" s="19">
        <v>5.8004814000000002E-2</v>
      </c>
      <c r="H8" s="19">
        <v>0.70939561699999998</v>
      </c>
      <c r="I8" s="19">
        <v>0</v>
      </c>
      <c r="J8" s="19">
        <v>0.115768091</v>
      </c>
      <c r="K8" s="19">
        <v>0.94093179999999998</v>
      </c>
      <c r="L8" s="78"/>
      <c r="M8" s="132"/>
      <c r="N8" s="136"/>
      <c r="O8" s="136"/>
      <c r="P8" s="136"/>
      <c r="Q8" s="136"/>
    </row>
    <row r="9" spans="1:24" ht="16.5" customHeight="1" x14ac:dyDescent="0.45">
      <c r="A9" s="4" t="s">
        <v>11</v>
      </c>
      <c r="B9" s="19">
        <v>7.0544918210000001</v>
      </c>
      <c r="C9" s="19">
        <v>102.95926129999999</v>
      </c>
      <c r="D9" s="19">
        <v>0</v>
      </c>
      <c r="E9" s="19">
        <v>12.702261890000001</v>
      </c>
      <c r="F9" s="19">
        <v>128.3637851</v>
      </c>
      <c r="G9" s="19">
        <v>8.6924986999999995E-2</v>
      </c>
      <c r="H9" s="19">
        <v>1.5974803959999999</v>
      </c>
      <c r="I9" s="19">
        <v>0</v>
      </c>
      <c r="J9" s="19">
        <v>0.172150158</v>
      </c>
      <c r="K9" s="19">
        <v>1.941780711</v>
      </c>
      <c r="M9" s="132"/>
      <c r="N9" s="136"/>
      <c r="O9" s="136"/>
      <c r="P9" s="136"/>
      <c r="Q9" s="136"/>
      <c r="U9" s="198"/>
      <c r="V9" s="198"/>
    </row>
    <row r="10" spans="1:24" ht="14.25" x14ac:dyDescent="0.45">
      <c r="A10" s="4" t="s">
        <v>12</v>
      </c>
      <c r="B10" s="19">
        <v>4.949344601</v>
      </c>
      <c r="C10" s="19">
        <v>65.706913240000006</v>
      </c>
      <c r="D10" s="19">
        <v>0</v>
      </c>
      <c r="E10" s="19">
        <v>8.9403343569999993</v>
      </c>
      <c r="F10" s="19">
        <v>83.587581959999994</v>
      </c>
      <c r="G10" s="19">
        <v>6.9604719999999995E-2</v>
      </c>
      <c r="H10" s="19">
        <v>0.97792617800000003</v>
      </c>
      <c r="I10" s="19">
        <v>0</v>
      </c>
      <c r="J10" s="19">
        <v>0.13184372599999999</v>
      </c>
      <c r="K10" s="19">
        <v>1.2416136289999999</v>
      </c>
      <c r="M10" s="132"/>
      <c r="N10" s="136"/>
      <c r="O10" s="136"/>
      <c r="P10" s="136"/>
      <c r="Q10" s="136"/>
    </row>
    <row r="11" spans="1:24" ht="14.25" x14ac:dyDescent="0.45">
      <c r="A11" s="4" t="s">
        <v>13</v>
      </c>
      <c r="B11" s="19">
        <v>5.0008040889999998</v>
      </c>
      <c r="C11" s="19">
        <v>17.69264751</v>
      </c>
      <c r="D11" s="19">
        <v>0</v>
      </c>
      <c r="E11" s="19">
        <v>6.337195328</v>
      </c>
      <c r="F11" s="19">
        <v>30.367038170000001</v>
      </c>
      <c r="G11" s="19">
        <v>8.9965996000000006E-2</v>
      </c>
      <c r="H11" s="19">
        <v>0.370059266</v>
      </c>
      <c r="I11" s="19">
        <v>0</v>
      </c>
      <c r="J11" s="19">
        <v>0.13004673899999999</v>
      </c>
      <c r="K11" s="19">
        <v>0.63015274300000002</v>
      </c>
      <c r="M11" s="132"/>
      <c r="N11" s="304"/>
      <c r="O11" s="198"/>
      <c r="P11" s="198"/>
      <c r="Q11" s="198"/>
      <c r="R11" s="198"/>
      <c r="S11" s="198"/>
      <c r="T11" s="198"/>
      <c r="U11" s="198"/>
      <c r="V11" s="198"/>
      <c r="W11" s="198"/>
      <c r="X11" s="198"/>
    </row>
    <row r="12" spans="1:24" ht="14.25" x14ac:dyDescent="0.45">
      <c r="A12" s="4" t="s">
        <v>208</v>
      </c>
      <c r="B12" s="19">
        <v>18.798711879999999</v>
      </c>
      <c r="C12" s="19">
        <v>210.34243119999999</v>
      </c>
      <c r="D12" s="19">
        <v>0</v>
      </c>
      <c r="E12" s="19">
        <v>26.9482459</v>
      </c>
      <c r="F12" s="19">
        <v>264.238923</v>
      </c>
      <c r="G12" s="19">
        <v>0.180701414</v>
      </c>
      <c r="H12" s="19">
        <v>2.6643776259999998</v>
      </c>
      <c r="I12" s="19">
        <v>0</v>
      </c>
      <c r="J12" s="19">
        <v>0.35975421699999999</v>
      </c>
      <c r="K12" s="19">
        <v>3.3838860589999999</v>
      </c>
      <c r="M12" s="132"/>
      <c r="N12" s="304"/>
      <c r="O12" s="198"/>
      <c r="P12" s="198"/>
      <c r="Q12" s="198"/>
      <c r="R12" s="198"/>
      <c r="S12" s="198"/>
      <c r="T12" s="198"/>
      <c r="U12" s="198"/>
      <c r="V12" s="198"/>
      <c r="W12" s="198"/>
      <c r="X12" s="198"/>
    </row>
    <row r="13" spans="1:24" ht="13.9" customHeight="1" x14ac:dyDescent="0.45">
      <c r="A13" s="4" t="s">
        <v>14</v>
      </c>
      <c r="B13" s="19">
        <v>12.085283410000001</v>
      </c>
      <c r="C13" s="19">
        <v>137.71367609999999</v>
      </c>
      <c r="D13" s="19">
        <v>0</v>
      </c>
      <c r="E13" s="19">
        <v>21.524112729999999</v>
      </c>
      <c r="F13" s="19">
        <v>180.76190149999999</v>
      </c>
      <c r="G13" s="19">
        <v>9.1999999999999998E-2</v>
      </c>
      <c r="H13" s="19">
        <v>1.582018707</v>
      </c>
      <c r="I13" s="19">
        <v>0</v>
      </c>
      <c r="J13" s="19">
        <v>0.228485198</v>
      </c>
      <c r="K13" s="19">
        <v>2.038989103</v>
      </c>
      <c r="M13" s="132"/>
      <c r="N13" s="78"/>
      <c r="O13" s="78"/>
      <c r="P13" s="78"/>
    </row>
    <row r="14" spans="1:24" ht="14.25" x14ac:dyDescent="0.45">
      <c r="A14" s="4" t="s">
        <v>15</v>
      </c>
      <c r="B14" s="19">
        <v>6.0270967750000004</v>
      </c>
      <c r="C14" s="19">
        <v>5.4820571679999999</v>
      </c>
      <c r="D14" s="19">
        <v>0</v>
      </c>
      <c r="E14" s="19">
        <v>4.3686917730000001</v>
      </c>
      <c r="F14" s="19">
        <v>14.219440710000001</v>
      </c>
      <c r="G14" s="19">
        <v>0.14051471400000001</v>
      </c>
      <c r="H14" s="19">
        <v>0.102862588</v>
      </c>
      <c r="I14" s="19">
        <v>0</v>
      </c>
      <c r="J14" s="19">
        <v>9.2872795999999994E-2</v>
      </c>
      <c r="K14" s="19">
        <v>0.28860817900000002</v>
      </c>
      <c r="M14" s="132"/>
      <c r="N14" s="78"/>
      <c r="O14" s="78"/>
      <c r="P14" s="78"/>
    </row>
    <row r="15" spans="1:24" ht="14.25" x14ac:dyDescent="0.45">
      <c r="A15" s="4" t="s">
        <v>16</v>
      </c>
      <c r="B15" s="19">
        <v>6.8707344470000002</v>
      </c>
      <c r="C15" s="19">
        <v>72.700830179999997</v>
      </c>
      <c r="D15" s="19">
        <v>0</v>
      </c>
      <c r="E15" s="19">
        <v>12.813926199999999</v>
      </c>
      <c r="F15" s="19">
        <v>98.32868259</v>
      </c>
      <c r="G15" s="19">
        <v>6.1082589999999999E-2</v>
      </c>
      <c r="H15" s="19">
        <v>0.758871505</v>
      </c>
      <c r="I15" s="19">
        <v>0</v>
      </c>
      <c r="J15" s="19">
        <v>0.126842389</v>
      </c>
      <c r="K15" s="19">
        <v>1.012556284</v>
      </c>
      <c r="M15" s="132"/>
      <c r="N15" s="78"/>
      <c r="O15" s="78"/>
      <c r="P15" s="78"/>
    </row>
    <row r="16" spans="1:24" ht="14.25" x14ac:dyDescent="0.45">
      <c r="A16" s="4" t="s">
        <v>17</v>
      </c>
      <c r="B16" s="19">
        <v>3.0992012880000002</v>
      </c>
      <c r="C16" s="19">
        <v>43.914590240000003</v>
      </c>
      <c r="D16" s="19">
        <v>0</v>
      </c>
      <c r="E16" s="19">
        <v>4.7040844980000003</v>
      </c>
      <c r="F16" s="19">
        <v>53.322759240000003</v>
      </c>
      <c r="G16" s="19">
        <v>2.8703953000000001E-2</v>
      </c>
      <c r="H16" s="19">
        <v>0.59519997800000002</v>
      </c>
      <c r="I16" s="19">
        <v>0</v>
      </c>
      <c r="J16" s="19">
        <v>5.8082329000000002E-2</v>
      </c>
      <c r="K16" s="19">
        <v>0.71136463699999997</v>
      </c>
      <c r="M16" s="132"/>
      <c r="N16" s="78"/>
      <c r="O16" s="78"/>
      <c r="P16" s="78"/>
    </row>
    <row r="17" spans="1:24" ht="14.25" x14ac:dyDescent="0.45">
      <c r="A17" s="4" t="s">
        <v>18</v>
      </c>
      <c r="B17" s="19">
        <v>11.438813720000001</v>
      </c>
      <c r="C17" s="19">
        <v>132.94993579999999</v>
      </c>
      <c r="D17" s="19">
        <v>0</v>
      </c>
      <c r="E17" s="19">
        <v>20.174409239999999</v>
      </c>
      <c r="F17" s="19">
        <v>173.29875430000001</v>
      </c>
      <c r="G17" s="19">
        <v>0.15512954700000001</v>
      </c>
      <c r="H17" s="19">
        <v>1.780701927</v>
      </c>
      <c r="I17" s="19">
        <v>0</v>
      </c>
      <c r="J17" s="19">
        <v>0.27971483600000002</v>
      </c>
      <c r="K17" s="19">
        <v>2.3401315999999999</v>
      </c>
      <c r="M17" s="132"/>
      <c r="N17" s="78"/>
      <c r="O17" s="78"/>
      <c r="P17" s="78"/>
    </row>
    <row r="18" spans="1:24" ht="14.25" x14ac:dyDescent="0.45">
      <c r="A18" s="4" t="s">
        <v>19</v>
      </c>
      <c r="B18" s="19">
        <v>8.8371144220000009</v>
      </c>
      <c r="C18" s="19">
        <v>163.31365460000001</v>
      </c>
      <c r="D18" s="19">
        <v>0</v>
      </c>
      <c r="E18" s="19">
        <v>13.62397869</v>
      </c>
      <c r="F18" s="19">
        <v>190.561612</v>
      </c>
      <c r="G18" s="19">
        <v>5.1277982E-2</v>
      </c>
      <c r="H18" s="19">
        <v>1.8259069560000001</v>
      </c>
      <c r="I18" s="19">
        <v>0</v>
      </c>
      <c r="J18" s="19">
        <v>0.119359807</v>
      </c>
      <c r="K18" s="19">
        <v>2.0646265690000001</v>
      </c>
      <c r="M18" s="132"/>
      <c r="N18" s="78"/>
      <c r="O18" s="78"/>
      <c r="P18" s="78"/>
    </row>
    <row r="19" spans="1:24" ht="14.25" x14ac:dyDescent="0.45">
      <c r="A19" s="4" t="s">
        <v>20</v>
      </c>
      <c r="B19" s="19">
        <v>14.09038</v>
      </c>
      <c r="C19" s="19">
        <v>179.09954999999999</v>
      </c>
      <c r="D19" s="19">
        <v>0</v>
      </c>
      <c r="E19" s="19">
        <v>23.950824090000001</v>
      </c>
      <c r="F19" s="19">
        <v>227.0011982</v>
      </c>
      <c r="G19" s="19">
        <v>0.14086000000000001</v>
      </c>
      <c r="H19" s="19">
        <v>2.6022395180000002</v>
      </c>
      <c r="I19" s="19">
        <v>0</v>
      </c>
      <c r="J19" s="19">
        <v>0.340811531</v>
      </c>
      <c r="K19" s="19">
        <v>3.2838625800000001</v>
      </c>
      <c r="M19" s="132"/>
      <c r="N19" s="78"/>
      <c r="O19" s="78"/>
      <c r="P19" s="78"/>
    </row>
    <row r="20" spans="1:24" ht="14.25" x14ac:dyDescent="0.45">
      <c r="A20" s="4" t="s">
        <v>21</v>
      </c>
      <c r="B20" s="19">
        <v>26.778091809999999</v>
      </c>
      <c r="C20" s="19">
        <v>321.2894513</v>
      </c>
      <c r="D20" s="19">
        <v>0</v>
      </c>
      <c r="E20" s="19">
        <v>40.932029489999998</v>
      </c>
      <c r="F20" s="19">
        <v>403.15351029999999</v>
      </c>
      <c r="G20" s="19">
        <v>0.16889298799999999</v>
      </c>
      <c r="H20" s="19">
        <v>3.533629758</v>
      </c>
      <c r="I20" s="19">
        <v>0</v>
      </c>
      <c r="J20" s="19">
        <v>0.38626347300000002</v>
      </c>
      <c r="K20" s="19">
        <v>4.3061567030000001</v>
      </c>
      <c r="M20" s="132"/>
      <c r="N20" s="78"/>
      <c r="O20" s="78"/>
      <c r="P20" s="78"/>
    </row>
    <row r="21" spans="1:24" ht="14.25" x14ac:dyDescent="0.45">
      <c r="A21" s="4" t="s">
        <v>22</v>
      </c>
      <c r="B21" s="19">
        <v>3.666876818</v>
      </c>
      <c r="C21" s="19">
        <v>67.282896260000001</v>
      </c>
      <c r="D21" s="19">
        <v>0</v>
      </c>
      <c r="E21" s="19">
        <v>7.1165193660000003</v>
      </c>
      <c r="F21" s="19">
        <v>81.515934999999999</v>
      </c>
      <c r="G21" s="19">
        <v>6.3048999999999994E-2</v>
      </c>
      <c r="H21" s="19">
        <v>1.4273806600000001</v>
      </c>
      <c r="I21" s="19">
        <v>0</v>
      </c>
      <c r="J21" s="19">
        <v>0.13132257999999999</v>
      </c>
      <c r="K21" s="19">
        <v>1.69002582</v>
      </c>
      <c r="M21" s="132"/>
      <c r="N21" s="78"/>
      <c r="O21" s="78"/>
      <c r="P21" s="78"/>
    </row>
    <row r="22" spans="1:24" ht="14.25" x14ac:dyDescent="0.45">
      <c r="A22" s="4" t="s">
        <v>23</v>
      </c>
      <c r="B22" s="19">
        <v>5.7906690980000004</v>
      </c>
      <c r="C22" s="19">
        <v>119.4047872</v>
      </c>
      <c r="D22" s="19">
        <v>0</v>
      </c>
      <c r="E22" s="19">
        <v>9.4344569679999992</v>
      </c>
      <c r="F22" s="19">
        <v>138.27370110000001</v>
      </c>
      <c r="G22" s="19">
        <v>4.0363359000000001E-2</v>
      </c>
      <c r="H22" s="19">
        <v>1.278172608</v>
      </c>
      <c r="I22" s="19">
        <v>0</v>
      </c>
      <c r="J22" s="19">
        <v>8.3350940999999998E-2</v>
      </c>
      <c r="K22" s="19">
        <v>1.444874491</v>
      </c>
      <c r="M22" s="132"/>
      <c r="N22" s="78"/>
      <c r="O22" s="78"/>
      <c r="P22" s="78"/>
    </row>
    <row r="23" spans="1:24" ht="14.25" x14ac:dyDescent="0.45">
      <c r="A23" s="4" t="s">
        <v>24</v>
      </c>
      <c r="B23" s="19">
        <v>1.653747555</v>
      </c>
      <c r="C23" s="19">
        <v>28.620702909999999</v>
      </c>
      <c r="D23" s="19">
        <v>0</v>
      </c>
      <c r="E23" s="19">
        <v>3.6466929929999998</v>
      </c>
      <c r="F23" s="19">
        <v>35.914088890000002</v>
      </c>
      <c r="G23" s="19">
        <v>2.5922028E-2</v>
      </c>
      <c r="H23" s="19">
        <v>0.42825381699999998</v>
      </c>
      <c r="I23" s="19">
        <v>0</v>
      </c>
      <c r="J23" s="19">
        <v>5.4340698E-2</v>
      </c>
      <c r="K23" s="19">
        <v>0.53693521399999999</v>
      </c>
      <c r="M23" s="132"/>
      <c r="N23" s="78"/>
      <c r="O23" s="78"/>
      <c r="P23" s="78"/>
    </row>
    <row r="24" spans="1:24" ht="14.25" x14ac:dyDescent="0.45">
      <c r="A24" s="365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M24" s="132"/>
      <c r="N24" s="132"/>
      <c r="O24" s="132"/>
      <c r="P24" s="132"/>
    </row>
    <row r="25" spans="1:24" ht="14.25" x14ac:dyDescent="0.45"/>
    <row r="26" spans="1:24" ht="14.25" x14ac:dyDescent="0.45"/>
    <row r="27" spans="1:24" ht="23.25" x14ac:dyDescent="0.7">
      <c r="A27" s="244" t="s">
        <v>329</v>
      </c>
      <c r="B27" s="245"/>
      <c r="C27" s="244"/>
      <c r="D27" s="226"/>
      <c r="E27" s="226"/>
      <c r="F27" s="226"/>
      <c r="G27" s="226"/>
      <c r="H27" s="226"/>
      <c r="I27" s="226"/>
      <c r="J27" s="226"/>
      <c r="K27" s="226"/>
      <c r="L27" s="226"/>
      <c r="M27" s="153"/>
      <c r="P27" s="117"/>
    </row>
    <row r="28" spans="1:24" ht="15" customHeight="1" x14ac:dyDescent="0.45">
      <c r="A28" s="246" t="s">
        <v>393</v>
      </c>
    </row>
    <row r="29" spans="1:24" ht="15" customHeight="1" x14ac:dyDescent="0.45">
      <c r="A29" s="246" t="s">
        <v>307</v>
      </c>
      <c r="B29" s="222" t="s">
        <v>295</v>
      </c>
      <c r="C29" s="222" t="s">
        <v>296</v>
      </c>
      <c r="D29" s="222" t="s">
        <v>297</v>
      </c>
      <c r="E29" s="222" t="s">
        <v>299</v>
      </c>
      <c r="F29" s="222" t="s">
        <v>298</v>
      </c>
      <c r="G29" s="222" t="s">
        <v>300</v>
      </c>
      <c r="H29" s="222" t="s">
        <v>301</v>
      </c>
      <c r="I29" s="222" t="s">
        <v>302</v>
      </c>
    </row>
    <row r="30" spans="1:24" ht="14.25" x14ac:dyDescent="0.45">
      <c r="A30" s="247" t="s">
        <v>212</v>
      </c>
      <c r="B30" s="248" t="s">
        <v>145</v>
      </c>
      <c r="C30" s="248" t="s">
        <v>144</v>
      </c>
      <c r="D30" s="248" t="s">
        <v>156</v>
      </c>
      <c r="E30" s="248" t="s">
        <v>154</v>
      </c>
      <c r="F30" s="248" t="s">
        <v>150</v>
      </c>
      <c r="G30" s="248" t="s">
        <v>149</v>
      </c>
      <c r="H30" s="248" t="s">
        <v>153</v>
      </c>
      <c r="I30" s="248" t="s">
        <v>155</v>
      </c>
      <c r="K30" s="139"/>
      <c r="L30" s="139"/>
      <c r="M30" s="139"/>
      <c r="X30" s="111"/>
    </row>
    <row r="31" spans="1:24" ht="14.25" x14ac:dyDescent="0.45">
      <c r="A31" s="4" t="s">
        <v>10</v>
      </c>
      <c r="B31" s="19">
        <v>0</v>
      </c>
      <c r="C31" s="19">
        <v>82.576725648242402</v>
      </c>
      <c r="D31" s="19">
        <v>165.153451296485</v>
      </c>
      <c r="E31" s="19">
        <v>825.76725648242405</v>
      </c>
      <c r="F31" s="19">
        <v>0</v>
      </c>
      <c r="G31" s="19">
        <v>0.25766648483507099</v>
      </c>
      <c r="H31" s="19">
        <v>0.51533296967014297</v>
      </c>
      <c r="I31" s="19">
        <v>2.5766648483507102</v>
      </c>
      <c r="K31" s="198"/>
      <c r="L31" s="198"/>
      <c r="M31" s="198"/>
      <c r="X31" s="165"/>
    </row>
    <row r="32" spans="1:24" ht="14.25" x14ac:dyDescent="0.45">
      <c r="A32" s="4" t="s">
        <v>11</v>
      </c>
      <c r="B32" s="19">
        <v>0</v>
      </c>
      <c r="C32" s="19">
        <v>181.700981283342</v>
      </c>
      <c r="D32" s="19">
        <v>363.40196256668401</v>
      </c>
      <c r="E32" s="19">
        <v>1817.00981283342</v>
      </c>
      <c r="F32" s="19">
        <v>0</v>
      </c>
      <c r="G32" s="19">
        <v>0.84447646701712298</v>
      </c>
      <c r="H32" s="19">
        <v>1.68895293403425</v>
      </c>
      <c r="I32" s="19">
        <v>8.4447646701712298</v>
      </c>
      <c r="K32" s="198"/>
      <c r="L32" s="198"/>
      <c r="M32" s="198"/>
      <c r="X32" s="165"/>
    </row>
    <row r="33" spans="1:24" ht="14.25" x14ac:dyDescent="0.45">
      <c r="A33" s="4" t="s">
        <v>12</v>
      </c>
      <c r="B33" s="19">
        <v>0</v>
      </c>
      <c r="C33" s="19">
        <v>118.055301433316</v>
      </c>
      <c r="D33" s="19">
        <v>236.11060286663201</v>
      </c>
      <c r="E33" s="19">
        <v>1180.55301433316</v>
      </c>
      <c r="F33" s="19">
        <v>0</v>
      </c>
      <c r="G33" s="19">
        <v>0.39990853541754601</v>
      </c>
      <c r="H33" s="19">
        <v>0.79981707083509201</v>
      </c>
      <c r="I33" s="19">
        <v>3.9990853541754601</v>
      </c>
      <c r="K33" s="198"/>
      <c r="L33" s="198"/>
      <c r="M33" s="198"/>
      <c r="X33" s="165"/>
    </row>
    <row r="34" spans="1:24" ht="14.25" x14ac:dyDescent="0.45">
      <c r="A34" s="4" t="s">
        <v>13</v>
      </c>
      <c r="B34" s="19">
        <v>0</v>
      </c>
      <c r="C34" s="19">
        <v>18.049255858247299</v>
      </c>
      <c r="D34" s="19">
        <v>36.098511716494599</v>
      </c>
      <c r="E34" s="19">
        <v>180.49255858247301</v>
      </c>
      <c r="F34" s="19">
        <v>0</v>
      </c>
      <c r="G34" s="19">
        <v>6.7705204092970206E-2</v>
      </c>
      <c r="H34" s="19">
        <v>0.13541040818594</v>
      </c>
      <c r="I34" s="19">
        <v>0.67705204092970295</v>
      </c>
      <c r="K34" s="304"/>
      <c r="L34" s="198"/>
      <c r="M34" s="198"/>
      <c r="N34" s="198"/>
      <c r="O34" s="198"/>
      <c r="P34" s="198"/>
      <c r="Q34" s="198"/>
      <c r="R34" s="198"/>
      <c r="S34" s="198"/>
      <c r="U34" s="165"/>
      <c r="V34" s="165"/>
      <c r="W34" s="165"/>
      <c r="X34" s="165"/>
    </row>
    <row r="35" spans="1:24" ht="14.25" x14ac:dyDescent="0.45">
      <c r="A35" s="4" t="s">
        <v>208</v>
      </c>
      <c r="B35" s="19">
        <v>0</v>
      </c>
      <c r="C35" s="19">
        <v>121.31511000302299</v>
      </c>
      <c r="D35" s="19">
        <v>242.63022000604499</v>
      </c>
      <c r="E35" s="19">
        <v>1213.1511000302301</v>
      </c>
      <c r="F35" s="19">
        <v>0</v>
      </c>
      <c r="G35" s="19">
        <v>0.49832476197061998</v>
      </c>
      <c r="H35" s="19">
        <v>0.99664952394123996</v>
      </c>
      <c r="I35" s="19">
        <v>4.9832476197061997</v>
      </c>
      <c r="K35" s="304"/>
      <c r="L35" s="198"/>
      <c r="M35" s="198"/>
      <c r="N35" s="198"/>
      <c r="O35" s="198"/>
      <c r="P35" s="198"/>
      <c r="Q35" s="198"/>
      <c r="R35" s="198"/>
      <c r="S35" s="198"/>
      <c r="U35" s="165"/>
      <c r="V35" s="165"/>
      <c r="W35" s="165"/>
      <c r="X35" s="165"/>
    </row>
    <row r="36" spans="1:24" ht="14.25" x14ac:dyDescent="0.45">
      <c r="A36" s="4" t="s">
        <v>14</v>
      </c>
      <c r="B36" s="19">
        <v>0</v>
      </c>
      <c r="C36" s="19">
        <v>110.029887727136</v>
      </c>
      <c r="D36" s="19">
        <v>220.059775454271</v>
      </c>
      <c r="E36" s="19">
        <v>1100.29887727136</v>
      </c>
      <c r="F36" s="19">
        <v>0</v>
      </c>
      <c r="G36" s="19">
        <v>0.73635537169336895</v>
      </c>
      <c r="H36" s="19">
        <v>1.4727107433867399</v>
      </c>
      <c r="I36" s="19">
        <v>7.3635537169336898</v>
      </c>
      <c r="K36" s="198"/>
      <c r="L36" s="198"/>
      <c r="M36" s="198"/>
      <c r="N36" s="198"/>
      <c r="P36" s="198"/>
      <c r="Q36" s="198"/>
      <c r="R36" s="198"/>
      <c r="S36" s="198"/>
      <c r="U36" s="165"/>
      <c r="V36" s="165"/>
      <c r="W36" s="165"/>
      <c r="X36" s="165"/>
    </row>
    <row r="37" spans="1:24" ht="13.9" customHeight="1" x14ac:dyDescent="0.45">
      <c r="A37" s="4" t="s">
        <v>15</v>
      </c>
      <c r="B37" s="19">
        <v>0</v>
      </c>
      <c r="C37" s="19">
        <v>15.700028760181</v>
      </c>
      <c r="D37" s="19">
        <v>31.400057520361901</v>
      </c>
      <c r="E37" s="19">
        <v>157.00028760180999</v>
      </c>
      <c r="F37" s="19">
        <v>0</v>
      </c>
      <c r="G37" s="19">
        <v>5.3934017529872702E-2</v>
      </c>
      <c r="H37" s="19">
        <v>0.107868035059745</v>
      </c>
      <c r="I37" s="19">
        <v>0.53934017529872702</v>
      </c>
      <c r="K37" s="198"/>
      <c r="L37" s="198"/>
      <c r="M37" s="198"/>
      <c r="N37" s="198"/>
      <c r="P37" s="198"/>
      <c r="Q37" s="198"/>
      <c r="R37" s="198"/>
      <c r="S37" s="198"/>
      <c r="U37" s="165"/>
      <c r="V37" s="165"/>
      <c r="W37" s="165"/>
      <c r="X37" s="165"/>
    </row>
    <row r="38" spans="1:24" ht="14.25" x14ac:dyDescent="0.45">
      <c r="A38" s="4" t="s">
        <v>16</v>
      </c>
      <c r="B38" s="19">
        <v>0</v>
      </c>
      <c r="C38" s="19">
        <v>106.79368391448099</v>
      </c>
      <c r="D38" s="19">
        <v>213.58736782896199</v>
      </c>
      <c r="E38" s="19">
        <v>1067.9368391448099</v>
      </c>
      <c r="F38" s="19">
        <v>0</v>
      </c>
      <c r="G38" s="19">
        <v>0.35323967809839002</v>
      </c>
      <c r="H38" s="19">
        <v>0.70647935619678004</v>
      </c>
      <c r="I38" s="19">
        <v>3.5323967809839001</v>
      </c>
      <c r="K38" s="198"/>
      <c r="L38" s="198"/>
      <c r="M38" s="198"/>
      <c r="N38" s="198"/>
      <c r="P38" s="198"/>
      <c r="Q38" s="198"/>
      <c r="R38" s="198"/>
      <c r="S38" s="198"/>
      <c r="U38" s="165"/>
      <c r="V38" s="165"/>
      <c r="W38" s="165"/>
      <c r="X38" s="165"/>
    </row>
    <row r="39" spans="1:24" ht="14.25" x14ac:dyDescent="0.45">
      <c r="A39" s="4" t="s">
        <v>17</v>
      </c>
      <c r="B39" s="19">
        <v>0</v>
      </c>
      <c r="C39" s="19">
        <v>23.8275489887716</v>
      </c>
      <c r="D39" s="19">
        <v>47.655097977543299</v>
      </c>
      <c r="E39" s="19">
        <v>238.27548988771599</v>
      </c>
      <c r="F39" s="19">
        <v>0</v>
      </c>
      <c r="G39" s="19">
        <v>7.3989678442510906E-2</v>
      </c>
      <c r="H39" s="19">
        <v>0.14797935688502201</v>
      </c>
      <c r="I39" s="19">
        <v>0.73989678442510898</v>
      </c>
      <c r="K39" s="198"/>
      <c r="L39" s="198"/>
      <c r="M39" s="198"/>
      <c r="N39" s="198"/>
      <c r="P39" s="198"/>
      <c r="Q39" s="198"/>
      <c r="R39" s="198"/>
      <c r="S39" s="198"/>
      <c r="U39" s="165"/>
      <c r="V39" s="165"/>
      <c r="W39" s="165"/>
      <c r="X39" s="165"/>
    </row>
    <row r="40" spans="1:24" ht="14.25" x14ac:dyDescent="0.45">
      <c r="A40" s="4" t="s">
        <v>18</v>
      </c>
      <c r="B40" s="19">
        <v>0</v>
      </c>
      <c r="C40" s="19">
        <v>232.37717940667901</v>
      </c>
      <c r="D40" s="19">
        <v>464.75435881335898</v>
      </c>
      <c r="E40" s="19">
        <v>2323.7717940667899</v>
      </c>
      <c r="F40" s="19">
        <v>0</v>
      </c>
      <c r="G40" s="19">
        <v>0.92087875366363803</v>
      </c>
      <c r="H40" s="19">
        <v>1.8417575073272801</v>
      </c>
      <c r="I40" s="19">
        <v>9.2087875366363807</v>
      </c>
      <c r="K40" s="198"/>
      <c r="L40" s="198"/>
      <c r="M40" s="198"/>
      <c r="N40" s="198"/>
      <c r="P40" s="198"/>
      <c r="Q40" s="198"/>
      <c r="R40" s="198"/>
      <c r="S40" s="198"/>
      <c r="U40" s="165"/>
      <c r="V40" s="165"/>
      <c r="W40" s="165"/>
      <c r="X40" s="165"/>
    </row>
    <row r="41" spans="1:24" ht="14.25" x14ac:dyDescent="0.45">
      <c r="A41" s="4" t="s">
        <v>19</v>
      </c>
      <c r="B41" s="19">
        <v>0</v>
      </c>
      <c r="C41" s="19">
        <v>86.496536716942899</v>
      </c>
      <c r="D41" s="19">
        <v>172.993073433886</v>
      </c>
      <c r="E41" s="19">
        <v>864.96536716942899</v>
      </c>
      <c r="F41" s="19">
        <v>0</v>
      </c>
      <c r="G41" s="19">
        <v>0.38124750726822099</v>
      </c>
      <c r="H41" s="19">
        <v>0.76249501453644197</v>
      </c>
      <c r="I41" s="19">
        <v>3.8124750726822101</v>
      </c>
      <c r="K41" s="198"/>
      <c r="L41" s="198"/>
      <c r="M41" s="198"/>
      <c r="N41" s="198"/>
      <c r="P41" s="198"/>
      <c r="Q41" s="198"/>
      <c r="R41" s="198"/>
      <c r="S41" s="198"/>
      <c r="U41" s="165"/>
      <c r="V41" s="165"/>
      <c r="W41" s="165"/>
      <c r="X41" s="165"/>
    </row>
    <row r="42" spans="1:24" ht="14.25" x14ac:dyDescent="0.45">
      <c r="A42" s="4" t="s">
        <v>20</v>
      </c>
      <c r="B42" s="19">
        <v>0</v>
      </c>
      <c r="C42" s="19">
        <v>128.415426300353</v>
      </c>
      <c r="D42" s="19">
        <v>256.83085260070698</v>
      </c>
      <c r="E42" s="19">
        <v>1284.1542630035301</v>
      </c>
      <c r="F42" s="19">
        <v>0</v>
      </c>
      <c r="G42" s="19">
        <v>0.59130809744467605</v>
      </c>
      <c r="H42" s="19">
        <v>1.1826161948893501</v>
      </c>
      <c r="I42" s="19">
        <v>5.9130809744467596</v>
      </c>
      <c r="K42" s="198"/>
      <c r="L42" s="198"/>
      <c r="M42" s="198"/>
      <c r="N42" s="198"/>
      <c r="P42" s="198"/>
      <c r="Q42" s="198"/>
      <c r="R42" s="198"/>
      <c r="S42" s="198"/>
      <c r="U42" s="165"/>
      <c r="V42" s="165"/>
      <c r="W42" s="165"/>
      <c r="X42" s="165"/>
    </row>
    <row r="43" spans="1:24" ht="14.25" x14ac:dyDescent="0.45">
      <c r="A43" s="4" t="s">
        <v>21</v>
      </c>
      <c r="B43" s="19">
        <v>0</v>
      </c>
      <c r="C43" s="19">
        <v>172.75922696491901</v>
      </c>
      <c r="D43" s="19">
        <v>345.51845392983699</v>
      </c>
      <c r="E43" s="19">
        <v>1727.59226964919</v>
      </c>
      <c r="F43" s="19">
        <v>0</v>
      </c>
      <c r="G43" s="19">
        <v>0.87440093326821799</v>
      </c>
      <c r="H43" s="19">
        <v>1.74880186653644</v>
      </c>
      <c r="I43" s="19">
        <v>8.7440093326821806</v>
      </c>
      <c r="K43" s="198"/>
      <c r="L43" s="198"/>
      <c r="M43" s="198"/>
      <c r="N43" s="198"/>
      <c r="P43" s="198"/>
      <c r="Q43" s="198"/>
      <c r="R43" s="198"/>
      <c r="S43" s="198"/>
      <c r="U43" s="165"/>
      <c r="V43" s="165"/>
      <c r="W43" s="165"/>
      <c r="X43" s="165"/>
    </row>
    <row r="44" spans="1:24" ht="14.25" x14ac:dyDescent="0.45">
      <c r="A44" s="4" t="s">
        <v>22</v>
      </c>
      <c r="B44" s="19">
        <v>0</v>
      </c>
      <c r="C44" s="19">
        <v>86.783539870679306</v>
      </c>
      <c r="D44" s="19">
        <v>173.56707974135901</v>
      </c>
      <c r="E44" s="19">
        <v>867.83539870679294</v>
      </c>
      <c r="F44" s="19">
        <v>0</v>
      </c>
      <c r="G44" s="19">
        <v>0.53361761513837502</v>
      </c>
      <c r="H44" s="19">
        <v>1.06723523027675</v>
      </c>
      <c r="I44" s="19">
        <v>5.33617615138375</v>
      </c>
      <c r="K44" s="198"/>
      <c r="L44" s="198"/>
      <c r="M44" s="198"/>
      <c r="N44" s="198"/>
      <c r="P44" s="198"/>
      <c r="Q44" s="198"/>
      <c r="R44" s="198"/>
      <c r="S44" s="198"/>
      <c r="U44" s="165"/>
      <c r="V44" s="165"/>
      <c r="W44" s="165"/>
      <c r="X44" s="165"/>
    </row>
    <row r="45" spans="1:24" ht="14.25" x14ac:dyDescent="0.45">
      <c r="A45" s="4" t="s">
        <v>23</v>
      </c>
      <c r="B45" s="19">
        <v>0</v>
      </c>
      <c r="C45" s="19">
        <v>86.344450224104605</v>
      </c>
      <c r="D45" s="19">
        <v>172.68890044820901</v>
      </c>
      <c r="E45" s="19">
        <v>863.44450224104605</v>
      </c>
      <c r="F45" s="19">
        <v>0</v>
      </c>
      <c r="G45" s="19">
        <v>0.34484174682881202</v>
      </c>
      <c r="H45" s="19">
        <v>0.68968349365762405</v>
      </c>
      <c r="I45" s="19">
        <v>3.4484174682881199</v>
      </c>
      <c r="K45" s="198"/>
      <c r="L45" s="198"/>
      <c r="M45" s="198"/>
      <c r="N45" s="198"/>
      <c r="P45" s="198"/>
      <c r="Q45" s="198"/>
      <c r="R45" s="198"/>
      <c r="S45" s="198"/>
      <c r="U45" s="165"/>
      <c r="V45" s="165"/>
      <c r="W45" s="165"/>
      <c r="X45" s="165"/>
    </row>
    <row r="46" spans="1:24" ht="14.25" x14ac:dyDescent="0.45">
      <c r="A46" s="4" t="s">
        <v>24</v>
      </c>
      <c r="B46" s="19">
        <v>0</v>
      </c>
      <c r="C46" s="19">
        <v>10.953056268404501</v>
      </c>
      <c r="D46" s="19">
        <v>21.906112536808902</v>
      </c>
      <c r="E46" s="19">
        <v>109.53056268404499</v>
      </c>
      <c r="F46" s="19">
        <v>0</v>
      </c>
      <c r="G46" s="19">
        <v>6.7357042100622003E-2</v>
      </c>
      <c r="H46" s="19">
        <v>0.13471408420124401</v>
      </c>
      <c r="I46" s="19">
        <v>0.67357042100622</v>
      </c>
      <c r="K46" s="198"/>
      <c r="L46" s="198"/>
      <c r="M46" s="198"/>
      <c r="N46" s="198"/>
      <c r="P46" s="198"/>
      <c r="Q46" s="198"/>
      <c r="R46" s="198"/>
      <c r="S46" s="198"/>
      <c r="U46" s="165"/>
      <c r="V46" s="165"/>
      <c r="W46" s="165"/>
      <c r="X46" s="165"/>
    </row>
    <row r="47" spans="1:24" ht="14.25" x14ac:dyDescent="0.45">
      <c r="A47" s="365"/>
      <c r="B47" s="132"/>
      <c r="C47" s="132"/>
      <c r="D47" s="132"/>
      <c r="E47" s="132"/>
      <c r="F47" s="132"/>
      <c r="G47" s="132"/>
      <c r="H47" s="132"/>
      <c r="I47" s="132"/>
      <c r="J47" s="132"/>
      <c r="K47" s="132"/>
      <c r="L47" s="305"/>
      <c r="M47" s="305"/>
      <c r="N47" s="305"/>
      <c r="P47" s="132"/>
      <c r="Q47" s="132"/>
      <c r="R47" s="132"/>
      <c r="S47" s="132"/>
    </row>
    <row r="48" spans="1:24" ht="14.25" x14ac:dyDescent="0.45">
      <c r="K48" s="306"/>
      <c r="L48" s="306"/>
      <c r="M48" s="306"/>
      <c r="N48" s="306"/>
    </row>
    <row r="49" spans="5:5" ht="20.65" customHeight="1" x14ac:dyDescent="0.45"/>
    <row r="50" spans="5:5" ht="20.65" customHeight="1" x14ac:dyDescent="0.45">
      <c r="E50" s="78"/>
    </row>
    <row r="51" spans="5:5" ht="13.5" customHeight="1" x14ac:dyDescent="0.45"/>
    <row r="52" spans="5:5" ht="14.25" x14ac:dyDescent="0.45"/>
    <row r="53" spans="5:5" ht="14.25" x14ac:dyDescent="0.45"/>
    <row r="54" spans="5:5" ht="42" customHeight="1" x14ac:dyDescent="0.45"/>
    <row r="55" spans="5:5" ht="14.25" x14ac:dyDescent="0.45"/>
    <row r="56" spans="5:5" ht="14.25" x14ac:dyDescent="0.45"/>
    <row r="57" spans="5:5" ht="14.25" x14ac:dyDescent="0.45"/>
    <row r="58" spans="5:5" ht="14.25" x14ac:dyDescent="0.45"/>
    <row r="59" spans="5:5" ht="14.25" x14ac:dyDescent="0.45"/>
    <row r="60" spans="5:5" ht="14.25" x14ac:dyDescent="0.45"/>
    <row r="61" spans="5:5" ht="14.25" x14ac:dyDescent="0.45"/>
    <row r="62" spans="5:5" ht="14.25" x14ac:dyDescent="0.45"/>
    <row r="63" spans="5:5" ht="14.25" x14ac:dyDescent="0.45"/>
    <row r="64" spans="5:5" ht="14.25" x14ac:dyDescent="0.45"/>
    <row r="65" ht="14.25" x14ac:dyDescent="0.45"/>
    <row r="66" ht="14.25" x14ac:dyDescent="0.45"/>
    <row r="67" ht="14.25" x14ac:dyDescent="0.45"/>
    <row r="68" ht="14.25" x14ac:dyDescent="0.45"/>
    <row r="69" ht="14.25" x14ac:dyDescent="0.45"/>
    <row r="70" ht="14.25" x14ac:dyDescent="0.45"/>
    <row r="71" ht="14.25" x14ac:dyDescent="0.45"/>
    <row r="72" ht="14.25" x14ac:dyDescent="0.45"/>
    <row r="73" ht="14.25" x14ac:dyDescent="0.45"/>
    <row r="74" ht="14.25" x14ac:dyDescent="0.45"/>
    <row r="75" ht="14.25" x14ac:dyDescent="0.45"/>
    <row r="76" ht="14.25" x14ac:dyDescent="0.45"/>
    <row r="77" ht="14.25" x14ac:dyDescent="0.45"/>
    <row r="78" ht="14.25" x14ac:dyDescent="0.45"/>
    <row r="79" ht="14.25" x14ac:dyDescent="0.45"/>
    <row r="80" ht="14.25" x14ac:dyDescent="0.45"/>
    <row r="81" spans="2:7" ht="14.25" x14ac:dyDescent="0.45"/>
    <row r="82" spans="2:7" ht="14.25" x14ac:dyDescent="0.45"/>
    <row r="83" spans="2:7" ht="14.25" x14ac:dyDescent="0.45"/>
    <row r="84" spans="2:7" ht="14.25" x14ac:dyDescent="0.45"/>
    <row r="85" spans="2:7" ht="14.25" x14ac:dyDescent="0.45"/>
    <row r="86" spans="2:7" ht="14.25" x14ac:dyDescent="0.45"/>
    <row r="87" spans="2:7" ht="14.25" x14ac:dyDescent="0.45"/>
    <row r="88" spans="2:7" ht="14.25" x14ac:dyDescent="0.45"/>
    <row r="89" spans="2:7" ht="14.25" x14ac:dyDescent="0.45"/>
    <row r="90" spans="2:7" ht="14.25" x14ac:dyDescent="0.45"/>
    <row r="91" spans="2:7" ht="14.25" x14ac:dyDescent="0.45"/>
    <row r="92" spans="2:7" ht="14.25" x14ac:dyDescent="0.45"/>
    <row r="93" spans="2:7" ht="14.25" x14ac:dyDescent="0.45"/>
    <row r="94" spans="2:7" ht="14.25" x14ac:dyDescent="0.45"/>
    <row r="95" spans="2:7" ht="14.25" x14ac:dyDescent="0.45"/>
    <row r="96" spans="2:7" ht="14.25" x14ac:dyDescent="0.45">
      <c r="B96" s="132"/>
      <c r="C96" s="132"/>
      <c r="D96" s="132"/>
      <c r="E96" s="132"/>
      <c r="F96" s="132"/>
      <c r="G96" s="132"/>
    </row>
    <row r="97" ht="14.25" x14ac:dyDescent="0.45"/>
    <row r="98" ht="14.25" x14ac:dyDescent="0.45"/>
  </sheetData>
  <sheetProtection formatColumns="0" formatRows="0"/>
  <pageMargins left="0.70866141732283472" right="0.70866141732283472" top="0.74803149606299213" bottom="0.74803149606299213" header="0.31496062992125984" footer="0.31496062992125984"/>
  <pageSetup paperSize="9" scale="42" fitToHeight="0" orientation="portrait" r:id="rId1"/>
  <headerFooter>
    <oddFooter>&amp;L&amp;F&amp;C&amp;A&amp;R&amp;P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A13B-0B76-4BC3-B066-3DB24008D7A1}">
  <sheetPr codeName="Sheet7">
    <tabColor theme="2"/>
    <pageSetUpPr fitToPage="1"/>
  </sheetPr>
  <dimension ref="A1:X398"/>
  <sheetViews>
    <sheetView showGridLines="0" zoomScale="90" zoomScaleNormal="90" zoomScaleSheetLayoutView="100" workbookViewId="0"/>
  </sheetViews>
  <sheetFormatPr defaultColWidth="9.1328125" defaultRowHeight="15" customHeight="1" x14ac:dyDescent="0.45"/>
  <cols>
    <col min="1" max="1" width="56.3984375" customWidth="1"/>
    <col min="2" max="2" width="12.73046875" customWidth="1"/>
    <col min="3" max="3" width="14" customWidth="1"/>
    <col min="4" max="6" width="13.265625" customWidth="1"/>
    <col min="7" max="8" width="9.59765625" customWidth="1"/>
    <col min="9" max="9" width="16" customWidth="1"/>
    <col min="11" max="11" width="18.59765625" style="218" customWidth="1"/>
    <col min="12" max="13" width="12.59765625" style="219" customWidth="1"/>
    <col min="14" max="18" width="9.1328125" style="219"/>
    <col min="24" max="24" width="9.86328125" bestFit="1" customWidth="1"/>
  </cols>
  <sheetData>
    <row r="1" spans="1:12" ht="25.5" x14ac:dyDescent="0.75">
      <c r="A1" s="64" t="s">
        <v>25</v>
      </c>
    </row>
    <row r="2" spans="1:12" ht="14.25" x14ac:dyDescent="0.45">
      <c r="A2" s="242" t="s">
        <v>362</v>
      </c>
      <c r="B2" s="242"/>
      <c r="C2" s="243"/>
      <c r="D2" s="243"/>
      <c r="E2" s="243"/>
      <c r="F2" s="243"/>
      <c r="G2" s="243"/>
      <c r="H2" s="243"/>
      <c r="I2" s="243"/>
      <c r="J2" s="243"/>
    </row>
    <row r="3" spans="1:12" ht="21" x14ac:dyDescent="0.65">
      <c r="K3" s="320" t="s">
        <v>9</v>
      </c>
    </row>
    <row r="4" spans="1:12" ht="23.25" x14ac:dyDescent="0.7">
      <c r="A4" s="244" t="s">
        <v>223</v>
      </c>
      <c r="B4" s="245"/>
      <c r="C4" s="244"/>
      <c r="D4" s="226"/>
      <c r="E4" s="226"/>
      <c r="F4" s="226"/>
      <c r="G4" s="226"/>
      <c r="H4" s="226"/>
      <c r="I4" s="226"/>
      <c r="J4" s="226"/>
      <c r="K4" s="373"/>
      <c r="L4" s="218"/>
    </row>
    <row r="5" spans="1:12" ht="22.9" customHeight="1" x14ac:dyDescent="0.65">
      <c r="A5" s="249" t="s">
        <v>41</v>
      </c>
      <c r="B5" s="250"/>
      <c r="C5" s="253" t="s">
        <v>31</v>
      </c>
      <c r="D5" s="252"/>
      <c r="E5" s="252"/>
      <c r="F5" s="252"/>
      <c r="G5" s="252"/>
      <c r="H5" s="252"/>
      <c r="I5" s="252"/>
      <c r="J5" s="252"/>
      <c r="K5" s="366"/>
      <c r="L5" s="218"/>
    </row>
    <row r="6" spans="1:12" ht="14.25" x14ac:dyDescent="0.45">
      <c r="A6" s="6" t="s">
        <v>29</v>
      </c>
      <c r="B6" s="6"/>
      <c r="C6" s="79">
        <v>60</v>
      </c>
      <c r="L6" s="218"/>
    </row>
    <row r="7" spans="1:12" ht="14.25" x14ac:dyDescent="0.45">
      <c r="A7" s="6" t="s">
        <v>30</v>
      </c>
      <c r="B7" s="6"/>
      <c r="C7" s="79">
        <v>24</v>
      </c>
      <c r="L7" s="218"/>
    </row>
    <row r="8" spans="1:12" ht="14.25" x14ac:dyDescent="0.45">
      <c r="A8" s="6" t="s">
        <v>28</v>
      </c>
      <c r="B8" s="6"/>
      <c r="C8" s="119">
        <v>365</v>
      </c>
      <c r="L8" s="218"/>
    </row>
    <row r="9" spans="1:12" ht="14.25" x14ac:dyDescent="0.45">
      <c r="L9" s="218"/>
    </row>
    <row r="10" spans="1:12" ht="21" x14ac:dyDescent="0.65">
      <c r="A10" s="249" t="s">
        <v>52</v>
      </c>
      <c r="B10" s="250"/>
      <c r="C10" s="251"/>
      <c r="D10" s="251"/>
      <c r="E10" s="251"/>
      <c r="F10" s="251"/>
      <c r="G10" s="251"/>
      <c r="H10" s="251"/>
      <c r="I10" s="251"/>
      <c r="J10" s="251"/>
      <c r="K10" s="367"/>
      <c r="L10" s="218"/>
    </row>
    <row r="11" spans="1:12" ht="14.25" x14ac:dyDescent="0.45">
      <c r="A11" s="6" t="s">
        <v>32</v>
      </c>
      <c r="B11" s="6"/>
      <c r="C11" s="79">
        <v>35305</v>
      </c>
      <c r="L11" s="218"/>
    </row>
    <row r="12" spans="1:12" ht="14.25" x14ac:dyDescent="0.45">
      <c r="A12" s="6" t="s">
        <v>27</v>
      </c>
      <c r="B12" s="6"/>
      <c r="C12" s="160">
        <v>0.3216</v>
      </c>
      <c r="L12" s="218"/>
    </row>
    <row r="13" spans="1:12" ht="14.25" x14ac:dyDescent="0.45">
      <c r="A13" s="7" t="s">
        <v>316</v>
      </c>
      <c r="B13" s="6"/>
      <c r="C13" s="80">
        <v>0.9</v>
      </c>
      <c r="L13" s="218"/>
    </row>
    <row r="14" spans="1:12" ht="14.25" x14ac:dyDescent="0.45">
      <c r="A14" s="7" t="s">
        <v>279</v>
      </c>
      <c r="B14" s="6"/>
      <c r="C14" s="80">
        <v>0</v>
      </c>
      <c r="L14" s="218"/>
    </row>
    <row r="15" spans="1:12" ht="14.25" x14ac:dyDescent="0.45">
      <c r="A15" s="7" t="s">
        <v>376</v>
      </c>
      <c r="B15" s="6"/>
      <c r="C15" s="80">
        <v>0.5</v>
      </c>
      <c r="L15" s="218"/>
    </row>
    <row r="16" spans="1:12" ht="14.25" x14ac:dyDescent="0.45">
      <c r="A16" s="7" t="s">
        <v>374</v>
      </c>
      <c r="B16" s="6"/>
      <c r="C16" s="80">
        <v>0.25</v>
      </c>
      <c r="L16" s="218"/>
    </row>
    <row r="17" spans="1:12" ht="14.25" x14ac:dyDescent="0.45">
      <c r="A17" s="6" t="s">
        <v>141</v>
      </c>
      <c r="B17" s="6"/>
      <c r="C17" s="80">
        <v>0.02</v>
      </c>
      <c r="L17" s="218"/>
    </row>
    <row r="18" spans="1:12" ht="14.25" x14ac:dyDescent="0.45">
      <c r="A18" s="7" t="s">
        <v>122</v>
      </c>
      <c r="B18" s="6"/>
      <c r="C18" s="79">
        <v>120</v>
      </c>
      <c r="L18" s="218"/>
    </row>
    <row r="19" spans="1:12" ht="14.25" x14ac:dyDescent="0.45">
      <c r="A19" s="7" t="s">
        <v>280</v>
      </c>
      <c r="B19" s="6"/>
      <c r="C19" s="79">
        <v>6000000</v>
      </c>
      <c r="L19" s="218"/>
    </row>
    <row r="20" spans="1:12" ht="14.25" x14ac:dyDescent="0.45">
      <c r="A20" s="7" t="s">
        <v>128</v>
      </c>
      <c r="B20" s="6"/>
      <c r="C20" s="79">
        <v>2</v>
      </c>
      <c r="L20" s="218"/>
    </row>
    <row r="21" spans="1:12" ht="14.25" x14ac:dyDescent="0.45">
      <c r="A21" s="7" t="s">
        <v>39</v>
      </c>
      <c r="B21" s="6"/>
      <c r="C21" s="79">
        <v>5</v>
      </c>
      <c r="L21" s="218"/>
    </row>
    <row r="22" spans="1:12" ht="14.25" x14ac:dyDescent="0.45">
      <c r="A22" s="7" t="s">
        <v>177</v>
      </c>
      <c r="B22" s="6"/>
      <c r="C22" s="81">
        <v>0.05</v>
      </c>
      <c r="L22" s="218"/>
    </row>
    <row r="23" spans="1:12" ht="14.25" x14ac:dyDescent="0.45">
      <c r="A23" s="7" t="s">
        <v>178</v>
      </c>
      <c r="B23" s="6"/>
      <c r="C23" s="81">
        <v>0.05</v>
      </c>
      <c r="L23" s="218"/>
    </row>
    <row r="24" spans="1:12" ht="14.25" x14ac:dyDescent="0.45">
      <c r="A24" s="7" t="s">
        <v>277</v>
      </c>
      <c r="B24" s="6"/>
      <c r="C24" s="81">
        <v>1</v>
      </c>
      <c r="L24" s="218"/>
    </row>
    <row r="25" spans="1:12" ht="14.25" x14ac:dyDescent="0.45">
      <c r="A25" s="7" t="s">
        <v>278</v>
      </c>
      <c r="B25" s="6"/>
      <c r="C25" s="81">
        <v>1</v>
      </c>
      <c r="L25" s="218"/>
    </row>
    <row r="26" spans="1:12" ht="14.25" x14ac:dyDescent="0.45">
      <c r="A26" s="7" t="s">
        <v>281</v>
      </c>
      <c r="B26" s="6"/>
      <c r="C26" s="81">
        <v>0.1</v>
      </c>
      <c r="L26" s="218"/>
    </row>
    <row r="27" spans="1:12" ht="14.25" x14ac:dyDescent="0.45">
      <c r="A27" s="7" t="s">
        <v>282</v>
      </c>
      <c r="B27" s="6"/>
      <c r="C27" s="81">
        <v>0.1</v>
      </c>
      <c r="L27" s="218"/>
    </row>
    <row r="28" spans="1:12" ht="14.25" x14ac:dyDescent="0.45">
      <c r="L28" s="218"/>
    </row>
    <row r="29" spans="1:12" ht="23.25" x14ac:dyDescent="0.7">
      <c r="A29" s="244" t="s">
        <v>322</v>
      </c>
      <c r="B29" s="245"/>
      <c r="C29" s="244"/>
      <c r="D29" s="226"/>
      <c r="E29" s="226"/>
      <c r="F29" s="226"/>
      <c r="G29" s="226"/>
      <c r="H29" s="226"/>
      <c r="I29" s="226"/>
      <c r="J29" s="226"/>
      <c r="L29" s="218"/>
    </row>
    <row r="30" spans="1:12" ht="21" x14ac:dyDescent="0.65">
      <c r="A30" s="249" t="s">
        <v>43</v>
      </c>
      <c r="B30" s="250"/>
      <c r="C30" s="251"/>
      <c r="D30" s="251"/>
      <c r="E30" s="251"/>
      <c r="F30" s="251"/>
      <c r="G30" s="251"/>
      <c r="H30" s="251"/>
      <c r="I30" s="251"/>
      <c r="J30" s="251"/>
      <c r="K30" s="319" t="s">
        <v>228</v>
      </c>
      <c r="L30" s="218"/>
    </row>
    <row r="31" spans="1:12" ht="14.25" x14ac:dyDescent="0.45">
      <c r="A31" s="254" t="s">
        <v>365</v>
      </c>
      <c r="B31" s="254"/>
      <c r="C31" s="254"/>
      <c r="D31" s="254"/>
      <c r="E31" s="254"/>
      <c r="F31" s="254"/>
      <c r="G31" s="254"/>
      <c r="H31" s="254"/>
      <c r="I31" s="254"/>
      <c r="J31" s="254"/>
      <c r="L31" s="218"/>
    </row>
    <row r="32" spans="1:12" ht="14.25" x14ac:dyDescent="0.45">
      <c r="A32" s="256"/>
      <c r="B32" s="256"/>
      <c r="C32" s="256"/>
      <c r="D32" s="256"/>
      <c r="E32" s="256"/>
      <c r="F32" s="256"/>
      <c r="G32" s="256"/>
      <c r="H32" s="256"/>
      <c r="I32" s="256"/>
      <c r="J32" s="256"/>
      <c r="L32" s="218"/>
    </row>
    <row r="33" spans="1:22" ht="14.25" x14ac:dyDescent="0.45">
      <c r="A33" s="255" t="s">
        <v>162</v>
      </c>
      <c r="C33" s="74" t="s">
        <v>31</v>
      </c>
      <c r="D33" s="8">
        <v>2022</v>
      </c>
      <c r="E33" s="8">
        <v>2023</v>
      </c>
      <c r="F33" s="170">
        <v>2024</v>
      </c>
      <c r="H33" s="127"/>
      <c r="I33" s="127"/>
      <c r="J33" s="127"/>
      <c r="K33" s="374"/>
      <c r="L33" s="218"/>
    </row>
    <row r="34" spans="1:22" ht="14.25" x14ac:dyDescent="0.45">
      <c r="A34" s="6" t="s">
        <v>10</v>
      </c>
      <c r="B34" s="6"/>
      <c r="C34" s="40"/>
      <c r="D34" s="128">
        <v>772.40133364000008</v>
      </c>
      <c r="E34" s="128">
        <v>812.16283171999999</v>
      </c>
      <c r="F34" s="128">
        <f>892367.9456216/1000</f>
        <v>892.36794562160003</v>
      </c>
      <c r="H34" s="130"/>
      <c r="I34" s="130"/>
      <c r="J34" s="130"/>
      <c r="L34" s="218"/>
    </row>
    <row r="35" spans="1:22" ht="14.25" x14ac:dyDescent="0.45">
      <c r="A35" s="6" t="s">
        <v>11</v>
      </c>
      <c r="B35" s="6"/>
      <c r="C35" s="40"/>
      <c r="D35" s="128">
        <v>1307.03615139</v>
      </c>
      <c r="E35" s="128">
        <v>1355.33806084</v>
      </c>
      <c r="F35" s="128">
        <f>1423723.0664/1000</f>
        <v>1423.7230663999999</v>
      </c>
      <c r="H35" s="130"/>
      <c r="I35" s="130"/>
      <c r="J35" s="130"/>
      <c r="L35" s="218"/>
    </row>
    <row r="36" spans="1:22" ht="14.25" x14ac:dyDescent="0.45">
      <c r="A36" s="6" t="s">
        <v>12</v>
      </c>
      <c r="B36" s="6"/>
      <c r="C36" s="40"/>
      <c r="D36" s="128">
        <v>554.28437688099962</v>
      </c>
      <c r="E36" s="128">
        <v>564.28300000000002</v>
      </c>
      <c r="F36" s="128">
        <f>634944/1000</f>
        <v>634.94399999999996</v>
      </c>
      <c r="H36" s="130"/>
      <c r="I36" s="130"/>
      <c r="J36" s="130"/>
      <c r="L36" s="218"/>
    </row>
    <row r="37" spans="1:22" ht="14.25" x14ac:dyDescent="0.45">
      <c r="A37" s="6" t="s">
        <v>13</v>
      </c>
      <c r="B37" s="6"/>
      <c r="C37" s="40"/>
      <c r="D37" s="128">
        <v>252.34348882000029</v>
      </c>
      <c r="E37" s="128">
        <v>249.81862620999999</v>
      </c>
      <c r="F37" s="128">
        <f>255327.49557/1000</f>
        <v>255.32749557</v>
      </c>
      <c r="H37" s="130"/>
      <c r="I37" s="130"/>
      <c r="J37" s="130"/>
      <c r="L37" s="218"/>
      <c r="Q37" s="307"/>
      <c r="R37" s="307"/>
      <c r="S37" s="308"/>
      <c r="T37" s="309"/>
      <c r="U37" s="309"/>
      <c r="V37" s="309"/>
    </row>
    <row r="38" spans="1:22" ht="14.25" x14ac:dyDescent="0.45">
      <c r="A38" s="6" t="s">
        <v>208</v>
      </c>
      <c r="B38" s="6"/>
      <c r="C38" s="40"/>
      <c r="D38" s="128">
        <v>287.71088557729996</v>
      </c>
      <c r="E38" s="128">
        <v>286.35312091494495</v>
      </c>
      <c r="F38" s="128">
        <f>293090.764893/1000</f>
        <v>293.09076489300003</v>
      </c>
      <c r="H38" s="130"/>
      <c r="I38" s="130"/>
      <c r="J38" s="130"/>
      <c r="L38" s="218"/>
      <c r="Q38" s="307"/>
      <c r="R38" s="307"/>
      <c r="S38" s="308"/>
      <c r="T38" s="309"/>
      <c r="U38" s="309"/>
      <c r="V38" s="309"/>
    </row>
    <row r="39" spans="1:22" ht="14.25" x14ac:dyDescent="0.45">
      <c r="A39" s="6" t="s">
        <v>14</v>
      </c>
      <c r="B39" s="6"/>
      <c r="C39" s="40"/>
      <c r="D39" s="128">
        <v>555.77190602799999</v>
      </c>
      <c r="E39" s="128">
        <v>536.62388441500002</v>
      </c>
      <c r="F39" s="128">
        <f>494542.345499/1000</f>
        <v>494.54234549899996</v>
      </c>
      <c r="H39" s="130"/>
      <c r="I39" s="130"/>
      <c r="J39" s="130"/>
      <c r="L39" s="218"/>
    </row>
    <row r="40" spans="1:22" ht="14.25" x14ac:dyDescent="0.45">
      <c r="A40" s="6" t="s">
        <v>15</v>
      </c>
      <c r="B40" s="6"/>
      <c r="C40" s="40"/>
      <c r="D40" s="128">
        <v>137.655</v>
      </c>
      <c r="E40" s="128">
        <v>135.45548635699998</v>
      </c>
      <c r="F40" s="128">
        <f>133285.64843/1000</f>
        <v>133.28564843000001</v>
      </c>
      <c r="H40" s="130"/>
      <c r="I40" s="130"/>
      <c r="J40" s="130"/>
      <c r="L40" s="218"/>
    </row>
    <row r="41" spans="1:22" ht="14.25" x14ac:dyDescent="0.45">
      <c r="A41" s="6" t="s">
        <v>16</v>
      </c>
      <c r="B41" s="6"/>
      <c r="C41" s="40"/>
      <c r="D41" s="128">
        <v>652.00199999999995</v>
      </c>
      <c r="E41" s="128">
        <v>653.66399999999999</v>
      </c>
      <c r="F41" s="128">
        <f>649886.9/1000</f>
        <v>649.88689999999997</v>
      </c>
      <c r="H41" s="130"/>
      <c r="I41" s="130"/>
      <c r="J41" s="130"/>
      <c r="L41" s="218"/>
    </row>
    <row r="42" spans="1:22" ht="14.25" x14ac:dyDescent="0.45">
      <c r="A42" s="6" t="s">
        <v>17</v>
      </c>
      <c r="B42" s="6"/>
      <c r="C42" s="40"/>
      <c r="D42" s="128">
        <v>3280.51872039</v>
      </c>
      <c r="E42" s="128">
        <v>3377.4134961999998</v>
      </c>
      <c r="F42" s="128">
        <f>3479445.08564/1000</f>
        <v>3479.4450856400003</v>
      </c>
      <c r="H42" s="130"/>
      <c r="I42" s="130"/>
      <c r="J42" s="130"/>
      <c r="L42" s="218"/>
    </row>
    <row r="43" spans="1:22" ht="14.25" x14ac:dyDescent="0.45">
      <c r="A43" s="6" t="s">
        <v>18</v>
      </c>
      <c r="B43" s="6"/>
      <c r="C43" s="40"/>
      <c r="D43" s="128">
        <v>450.34087040000009</v>
      </c>
      <c r="E43" s="128">
        <v>462.50991826000001</v>
      </c>
      <c r="F43" s="128">
        <f>478229.95557/1000</f>
        <v>478.22995557000002</v>
      </c>
      <c r="H43" s="130"/>
      <c r="I43" s="130"/>
      <c r="J43" s="130"/>
      <c r="L43" s="218"/>
    </row>
    <row r="44" spans="1:22" ht="14.25" x14ac:dyDescent="0.45">
      <c r="A44" s="6" t="s">
        <v>19</v>
      </c>
      <c r="B44" s="6"/>
      <c r="C44" s="40"/>
      <c r="D44" s="128">
        <v>4994.4296943499994</v>
      </c>
      <c r="E44" s="128">
        <v>4960.4517060399994</v>
      </c>
      <c r="F44" s="128">
        <f>5003225.75765/1000</f>
        <v>5003.2257576499997</v>
      </c>
      <c r="H44" s="130"/>
      <c r="I44" s="130"/>
      <c r="J44" s="130"/>
      <c r="L44" s="218"/>
    </row>
    <row r="45" spans="1:22" ht="14.25" x14ac:dyDescent="0.45">
      <c r="A45" s="7" t="s">
        <v>20</v>
      </c>
      <c r="B45" s="6"/>
      <c r="C45" s="40"/>
      <c r="D45" s="128">
        <v>368.28709510532593</v>
      </c>
      <c r="E45" s="128">
        <v>365.38016539319801</v>
      </c>
      <c r="F45" s="128">
        <f>368585.658176999/1000</f>
        <v>368.585658176999</v>
      </c>
      <c r="H45" s="130"/>
      <c r="I45" s="130"/>
      <c r="J45" s="130"/>
      <c r="L45" s="218"/>
    </row>
    <row r="46" spans="1:22" ht="14.25" x14ac:dyDescent="0.45">
      <c r="A46" s="6" t="s">
        <v>21</v>
      </c>
      <c r="B46" s="6"/>
      <c r="C46" s="40"/>
      <c r="D46" s="128">
        <v>329.82955535299988</v>
      </c>
      <c r="E46" s="128">
        <v>332.44118463700005</v>
      </c>
      <c r="F46" s="128">
        <f>330538.64937/1000</f>
        <v>330.53864936999997</v>
      </c>
      <c r="H46" s="130"/>
      <c r="I46" s="130"/>
      <c r="J46" s="130"/>
      <c r="L46" s="218"/>
    </row>
    <row r="47" spans="1:22" ht="14.25" x14ac:dyDescent="0.45">
      <c r="A47" s="6" t="s">
        <v>22</v>
      </c>
      <c r="B47" s="6"/>
      <c r="C47" s="40"/>
      <c r="D47" s="128">
        <v>1647.3009999999999</v>
      </c>
      <c r="E47" s="128">
        <v>1678.9685937276302</v>
      </c>
      <c r="F47" s="128">
        <f>1674093.293/1000</f>
        <v>1674.0932930000001</v>
      </c>
      <c r="H47" s="130"/>
      <c r="I47" s="130"/>
      <c r="J47" s="130"/>
      <c r="L47" s="218"/>
    </row>
    <row r="48" spans="1:22" ht="14.25" x14ac:dyDescent="0.45">
      <c r="A48" s="6" t="s">
        <v>23</v>
      </c>
      <c r="B48" s="6"/>
      <c r="C48" s="40"/>
      <c r="D48" s="128">
        <v>8374.6779999999999</v>
      </c>
      <c r="E48" s="128">
        <v>8462.2350000000006</v>
      </c>
      <c r="F48" s="128">
        <f>8754170/1000</f>
        <v>8754.17</v>
      </c>
      <c r="H48" s="130"/>
      <c r="I48" s="130"/>
      <c r="J48" s="130"/>
      <c r="L48" s="218"/>
    </row>
    <row r="49" spans="1:22" ht="14.25" x14ac:dyDescent="0.45">
      <c r="A49" s="6" t="s">
        <v>24</v>
      </c>
      <c r="B49" s="6"/>
      <c r="C49" s="40"/>
      <c r="D49" s="128">
        <v>2266.9786691815461</v>
      </c>
      <c r="E49" s="128">
        <v>2286.91917380528</v>
      </c>
      <c r="F49" s="128">
        <f>2313775.79571732/1000</f>
        <v>2313.7757957173199</v>
      </c>
      <c r="H49" s="130"/>
      <c r="I49" s="130"/>
      <c r="J49" s="130"/>
      <c r="L49" s="218"/>
    </row>
    <row r="50" spans="1:22" ht="14.25" x14ac:dyDescent="0.45">
      <c r="D50" s="126"/>
      <c r="E50" s="126"/>
      <c r="F50" s="126"/>
      <c r="L50" s="218"/>
    </row>
    <row r="51" spans="1:22" ht="21" x14ac:dyDescent="0.65">
      <c r="A51" s="249" t="s">
        <v>33</v>
      </c>
      <c r="B51" s="250"/>
      <c r="C51" s="251"/>
      <c r="D51" s="251"/>
      <c r="E51" s="251"/>
      <c r="F51" s="251"/>
      <c r="G51" s="251"/>
      <c r="H51" s="251"/>
      <c r="I51" s="251"/>
      <c r="J51" s="251"/>
      <c r="K51" s="319" t="s">
        <v>229</v>
      </c>
      <c r="L51" s="218"/>
    </row>
    <row r="52" spans="1:22" ht="14.25" x14ac:dyDescent="0.45">
      <c r="A52" s="254" t="s">
        <v>364</v>
      </c>
      <c r="B52" s="254"/>
      <c r="C52" s="254"/>
      <c r="D52" s="254"/>
      <c r="E52" s="254"/>
      <c r="F52" s="254"/>
      <c r="G52" s="254"/>
      <c r="H52" s="254"/>
      <c r="I52" s="254"/>
      <c r="J52" s="254"/>
      <c r="L52" s="218"/>
    </row>
    <row r="53" spans="1:22" ht="14.25" x14ac:dyDescent="0.45">
      <c r="A53" s="256"/>
      <c r="B53" s="256"/>
      <c r="C53" s="256"/>
      <c r="D53" s="256"/>
      <c r="E53" s="256"/>
      <c r="F53" s="256"/>
      <c r="G53" s="256"/>
      <c r="H53" s="256"/>
      <c r="I53" s="256"/>
      <c r="J53" s="256"/>
      <c r="L53" s="218"/>
    </row>
    <row r="54" spans="1:22" ht="14.25" x14ac:dyDescent="0.45">
      <c r="A54" s="255" t="s">
        <v>162</v>
      </c>
      <c r="C54" s="74" t="s">
        <v>31</v>
      </c>
      <c r="D54" s="8">
        <v>2022</v>
      </c>
      <c r="E54" s="8">
        <v>2023</v>
      </c>
      <c r="F54" s="170">
        <v>2024</v>
      </c>
      <c r="H54" s="312"/>
      <c r="K54" s="374"/>
      <c r="L54" s="218"/>
    </row>
    <row r="55" spans="1:22" ht="14.25" x14ac:dyDescent="0.45">
      <c r="A55" s="6" t="s">
        <v>10</v>
      </c>
      <c r="B55" s="6"/>
      <c r="C55" s="40"/>
      <c r="D55" s="128">
        <v>33269</v>
      </c>
      <c r="E55" s="128">
        <v>33539</v>
      </c>
      <c r="F55" s="128">
        <v>33883.178</v>
      </c>
      <c r="L55" s="218"/>
    </row>
    <row r="56" spans="1:22" ht="14.25" x14ac:dyDescent="0.45">
      <c r="A56" s="6" t="s">
        <v>11</v>
      </c>
      <c r="B56" s="6"/>
      <c r="C56" s="40"/>
      <c r="D56" s="128">
        <v>93287.441095890419</v>
      </c>
      <c r="E56" s="128">
        <v>94323.363698630099</v>
      </c>
      <c r="F56" s="128">
        <v>95241.047308930312</v>
      </c>
      <c r="L56" s="218"/>
    </row>
    <row r="57" spans="1:22" ht="14.25" x14ac:dyDescent="0.45">
      <c r="A57" s="6" t="s">
        <v>12</v>
      </c>
      <c r="B57" s="6"/>
      <c r="C57" s="40"/>
      <c r="D57" s="128">
        <v>20246.830137028621</v>
      </c>
      <c r="E57" s="128">
        <v>20538</v>
      </c>
      <c r="F57" s="128">
        <v>21105</v>
      </c>
      <c r="L57" s="218"/>
    </row>
    <row r="58" spans="1:22" ht="14.25" x14ac:dyDescent="0.45">
      <c r="A58" s="6" t="s">
        <v>13</v>
      </c>
      <c r="B58" s="6"/>
      <c r="C58" s="40"/>
      <c r="D58" s="128">
        <v>17491</v>
      </c>
      <c r="E58" s="128">
        <v>17562</v>
      </c>
      <c r="F58" s="128">
        <v>17645</v>
      </c>
      <c r="L58" s="218"/>
      <c r="Q58" s="6"/>
      <c r="R58" s="6"/>
      <c r="S58" s="40"/>
      <c r="T58" s="128"/>
      <c r="U58" s="128"/>
      <c r="V58" s="128"/>
    </row>
    <row r="59" spans="1:22" ht="14.25" x14ac:dyDescent="0.45">
      <c r="A59" s="6" t="s">
        <v>208</v>
      </c>
      <c r="B59" s="6"/>
      <c r="C59" s="40"/>
      <c r="D59" s="128">
        <v>25775.083333333328</v>
      </c>
      <c r="E59" s="128">
        <v>25871.75</v>
      </c>
      <c r="F59" s="128">
        <v>25934.416666666668</v>
      </c>
      <c r="L59" s="218"/>
      <c r="Q59" s="6"/>
      <c r="R59" s="6"/>
      <c r="S59" s="40"/>
      <c r="T59" s="128"/>
      <c r="U59" s="128"/>
      <c r="V59" s="128"/>
    </row>
    <row r="60" spans="1:22" ht="14.25" x14ac:dyDescent="0.45">
      <c r="A60" s="6" t="s">
        <v>14</v>
      </c>
      <c r="B60" s="6"/>
      <c r="C60" s="40"/>
      <c r="D60" s="128">
        <v>25080.7090479529</v>
      </c>
      <c r="E60" s="128">
        <v>25179.333333333299</v>
      </c>
      <c r="F60" s="128">
        <v>25299.499999999996</v>
      </c>
      <c r="L60" s="218"/>
    </row>
    <row r="61" spans="1:22" ht="14.25" x14ac:dyDescent="0.45">
      <c r="A61" s="6" t="s">
        <v>15</v>
      </c>
      <c r="B61" s="6"/>
      <c r="C61" s="40"/>
      <c r="D61" s="128">
        <v>9285</v>
      </c>
      <c r="E61" s="128">
        <v>9297</v>
      </c>
      <c r="F61" s="128">
        <v>9311.5</v>
      </c>
      <c r="L61" s="218"/>
    </row>
    <row r="62" spans="1:22" ht="14.25" x14ac:dyDescent="0.45">
      <c r="A62" s="6" t="s">
        <v>16</v>
      </c>
      <c r="B62" s="6"/>
      <c r="C62" s="40"/>
      <c r="D62" s="128">
        <v>41622</v>
      </c>
      <c r="E62" s="128">
        <v>42224</v>
      </c>
      <c r="F62" s="128">
        <v>42816</v>
      </c>
      <c r="L62" s="218"/>
    </row>
    <row r="63" spans="1:22" ht="14.25" x14ac:dyDescent="0.45">
      <c r="A63" s="6" t="s">
        <v>17</v>
      </c>
      <c r="B63" s="6"/>
      <c r="C63" s="40"/>
      <c r="D63" s="128">
        <v>213669</v>
      </c>
      <c r="E63" s="128">
        <v>218227</v>
      </c>
      <c r="F63" s="128">
        <v>223047</v>
      </c>
      <c r="L63" s="218"/>
    </row>
    <row r="64" spans="1:22" ht="14.25" x14ac:dyDescent="0.45">
      <c r="A64" s="6" t="s">
        <v>18</v>
      </c>
      <c r="B64" s="6"/>
      <c r="C64" s="40"/>
      <c r="D64" s="128">
        <v>18567</v>
      </c>
      <c r="E64" s="128">
        <v>19361</v>
      </c>
      <c r="F64" s="128">
        <v>20029</v>
      </c>
      <c r="L64" s="218"/>
    </row>
    <row r="65" spans="1:14" ht="14.25" x14ac:dyDescent="0.45">
      <c r="A65" s="6" t="s">
        <v>19</v>
      </c>
      <c r="B65" s="6"/>
      <c r="C65" s="40"/>
      <c r="D65" s="128">
        <v>352563</v>
      </c>
      <c r="E65" s="128">
        <v>356643</v>
      </c>
      <c r="F65" s="128">
        <v>359857</v>
      </c>
      <c r="L65" s="218"/>
    </row>
    <row r="66" spans="1:14" ht="14.25" x14ac:dyDescent="0.45">
      <c r="A66" s="7" t="s">
        <v>20</v>
      </c>
      <c r="B66" s="6"/>
      <c r="C66" s="40"/>
      <c r="D66" s="128">
        <v>23999.07671232877</v>
      </c>
      <c r="E66" s="128">
        <v>24015.605479452101</v>
      </c>
      <c r="F66" s="128">
        <v>24144.683060109292</v>
      </c>
      <c r="L66" s="218"/>
    </row>
    <row r="67" spans="1:14" ht="14.25" x14ac:dyDescent="0.45">
      <c r="A67" s="6" t="s">
        <v>21</v>
      </c>
      <c r="B67" s="6"/>
      <c r="C67" s="40"/>
      <c r="D67" s="128">
        <v>33262.692307692298</v>
      </c>
      <c r="E67" s="128">
        <v>33740</v>
      </c>
      <c r="F67" s="128">
        <v>34094</v>
      </c>
      <c r="L67" s="218"/>
    </row>
    <row r="68" spans="1:14" ht="14.25" x14ac:dyDescent="0.45">
      <c r="A68" s="6" t="s">
        <v>22</v>
      </c>
      <c r="B68" s="6"/>
      <c r="C68" s="40"/>
      <c r="D68" s="128">
        <v>116892.75</v>
      </c>
      <c r="E68" s="128">
        <v>118448</v>
      </c>
      <c r="F68" s="128">
        <v>119182</v>
      </c>
      <c r="L68" s="218"/>
    </row>
    <row r="69" spans="1:14" ht="14.25" x14ac:dyDescent="0.45">
      <c r="A69" s="6" t="s">
        <v>23</v>
      </c>
      <c r="B69" s="6"/>
      <c r="C69" s="40"/>
      <c r="D69" s="128">
        <v>593440</v>
      </c>
      <c r="E69" s="128">
        <v>603707</v>
      </c>
      <c r="F69" s="128">
        <v>616705</v>
      </c>
      <c r="L69" s="218"/>
    </row>
    <row r="70" spans="1:14" ht="14.25" x14ac:dyDescent="0.45">
      <c r="A70" s="6" t="s">
        <v>24</v>
      </c>
      <c r="B70" s="6"/>
      <c r="C70" s="40"/>
      <c r="D70" s="128">
        <v>171955</v>
      </c>
      <c r="E70" s="128">
        <v>173512.25</v>
      </c>
      <c r="F70" s="128">
        <v>175248.83333333334</v>
      </c>
      <c r="L70" s="218"/>
    </row>
    <row r="71" spans="1:14" ht="14.25" x14ac:dyDescent="0.45">
      <c r="D71" s="126"/>
      <c r="E71" s="126"/>
      <c r="F71" s="126"/>
      <c r="L71" s="218"/>
    </row>
    <row r="72" spans="1:14" ht="14.25" x14ac:dyDescent="0.45">
      <c r="D72" s="126"/>
      <c r="E72" s="126"/>
      <c r="F72" s="126"/>
      <c r="L72" s="218"/>
    </row>
    <row r="73" spans="1:14" ht="24.75" customHeight="1" x14ac:dyDescent="0.65">
      <c r="A73" s="249" t="s">
        <v>403</v>
      </c>
      <c r="B73" s="250"/>
      <c r="C73" s="251"/>
      <c r="D73" s="251"/>
      <c r="E73" s="251"/>
      <c r="F73" s="251"/>
      <c r="G73" s="251"/>
      <c r="H73" s="251"/>
      <c r="I73" s="251"/>
      <c r="J73" s="251"/>
      <c r="K73" s="218" t="s">
        <v>394</v>
      </c>
      <c r="L73" s="218"/>
    </row>
    <row r="74" spans="1:14" ht="14.25" x14ac:dyDescent="0.45">
      <c r="A74" s="257" t="s">
        <v>377</v>
      </c>
      <c r="B74" s="250"/>
      <c r="C74" s="251"/>
      <c r="D74" s="251"/>
      <c r="E74" s="251"/>
      <c r="F74" s="251"/>
      <c r="G74" s="251"/>
      <c r="H74" s="251"/>
      <c r="I74" s="251"/>
      <c r="J74" s="251"/>
      <c r="L74" s="218"/>
    </row>
    <row r="75" spans="1:14" ht="21" x14ac:dyDescent="0.65">
      <c r="A75" s="29"/>
      <c r="L75" s="218"/>
    </row>
    <row r="76" spans="1:14" ht="14.25" x14ac:dyDescent="0.45">
      <c r="A76" s="255" t="s">
        <v>212</v>
      </c>
      <c r="C76" s="74" t="s">
        <v>31</v>
      </c>
      <c r="D76" s="8">
        <v>2026</v>
      </c>
      <c r="E76" s="8">
        <v>2027</v>
      </c>
      <c r="F76" s="8">
        <v>2028</v>
      </c>
      <c r="G76" s="8">
        <v>2029</v>
      </c>
      <c r="H76" s="8">
        <v>2030</v>
      </c>
      <c r="L76" s="218"/>
      <c r="M76" s="218"/>
    </row>
    <row r="77" spans="1:14" ht="14.25" x14ac:dyDescent="0.45">
      <c r="A77" s="6" t="s">
        <v>10</v>
      </c>
      <c r="B77" s="6"/>
      <c r="C77" s="40"/>
      <c r="D77" s="128">
        <f t="array" ref="D77:H92">TRANSPOSE([1]Outputs!$C$18:$R$22)</f>
        <v>73359.825616923074</v>
      </c>
      <c r="E77" s="128">
        <v>74827.022129261532</v>
      </c>
      <c r="F77" s="128">
        <v>76323.562571846764</v>
      </c>
      <c r="G77" s="128">
        <v>77850.03382328368</v>
      </c>
      <c r="H77" s="128">
        <v>79407.034499749381</v>
      </c>
      <c r="L77" s="368"/>
      <c r="M77" s="368"/>
      <c r="N77" s="369"/>
    </row>
    <row r="78" spans="1:14" ht="14.25" x14ac:dyDescent="0.45">
      <c r="A78" s="6" t="s">
        <v>11</v>
      </c>
      <c r="B78" s="6"/>
      <c r="C78" s="40"/>
      <c r="D78" s="128">
        <v>150163.55612617626</v>
      </c>
      <c r="E78" s="128">
        <v>153166.82724869979</v>
      </c>
      <c r="F78" s="128">
        <v>156230.16379367377</v>
      </c>
      <c r="G78" s="128">
        <v>159354.7670695472</v>
      </c>
      <c r="H78" s="128">
        <v>162541.86241093822</v>
      </c>
      <c r="L78" s="368"/>
      <c r="M78" s="368"/>
      <c r="N78" s="369"/>
    </row>
    <row r="79" spans="1:14" ht="14.25" x14ac:dyDescent="0.45">
      <c r="A79" s="6" t="s">
        <v>12</v>
      </c>
      <c r="B79" s="6"/>
      <c r="C79" s="40"/>
      <c r="D79" s="128">
        <v>44281.139732429561</v>
      </c>
      <c r="E79" s="128">
        <v>49999.606117475516</v>
      </c>
      <c r="F79" s="128">
        <v>56456.555251486308</v>
      </c>
      <c r="G79" s="128">
        <v>63747.354796663232</v>
      </c>
      <c r="H79" s="128">
        <v>71979.688195104347</v>
      </c>
      <c r="L79" s="368"/>
      <c r="M79" s="368"/>
      <c r="N79" s="369"/>
    </row>
    <row r="80" spans="1:14" ht="14.25" x14ac:dyDescent="0.45">
      <c r="A80" s="6" t="s">
        <v>13</v>
      </c>
      <c r="B80" s="6"/>
      <c r="C80" s="40"/>
      <c r="D80" s="128">
        <v>16949.518224204665</v>
      </c>
      <c r="E80" s="128">
        <v>18619.723750017794</v>
      </c>
      <c r="F80" s="128">
        <v>20454.51132834455</v>
      </c>
      <c r="G80" s="128">
        <v>22470.098874639614</v>
      </c>
      <c r="H80" s="128">
        <v>24684.302417746607</v>
      </c>
      <c r="L80" s="368"/>
      <c r="M80" s="368"/>
      <c r="N80" s="369"/>
    </row>
    <row r="81" spans="1:14" ht="14.25" x14ac:dyDescent="0.45">
      <c r="A81" s="6" t="s">
        <v>208</v>
      </c>
      <c r="B81" s="6"/>
      <c r="C81" s="40"/>
      <c r="D81" s="128">
        <v>34274.847397808648</v>
      </c>
      <c r="E81" s="128">
        <v>38526.299469032834</v>
      </c>
      <c r="F81" s="128">
        <v>43305.101655171675</v>
      </c>
      <c r="G81" s="128">
        <v>48676.66646447916</v>
      </c>
      <c r="H81" s="128">
        <v>54714.520172733173</v>
      </c>
      <c r="L81" s="368"/>
      <c r="M81" s="368"/>
      <c r="N81" s="369"/>
    </row>
    <row r="82" spans="1:14" ht="14.25" x14ac:dyDescent="0.45">
      <c r="A82" s="6" t="s">
        <v>14</v>
      </c>
      <c r="B82" s="6"/>
      <c r="C82" s="40"/>
      <c r="D82" s="128">
        <v>34127.949082079838</v>
      </c>
      <c r="E82" s="128">
        <v>35645.960257250757</v>
      </c>
      <c r="F82" s="128">
        <v>37231.492569493275</v>
      </c>
      <c r="G82" s="128">
        <v>38887.549358984332</v>
      </c>
      <c r="H82" s="128">
        <v>40617.26755447196</v>
      </c>
      <c r="L82" s="368"/>
      <c r="M82" s="368"/>
      <c r="N82" s="369"/>
    </row>
    <row r="83" spans="1:14" ht="14.25" x14ac:dyDescent="0.45">
      <c r="A83" s="6" t="s">
        <v>15</v>
      </c>
      <c r="B83" s="6"/>
      <c r="C83" s="40"/>
      <c r="D83" s="128">
        <v>7219.2497338727098</v>
      </c>
      <c r="E83" s="128">
        <v>7886.4527942772256</v>
      </c>
      <c r="F83" s="128">
        <v>8615.318761524326</v>
      </c>
      <c r="G83" s="128">
        <v>9411.5465214644028</v>
      </c>
      <c r="H83" s="128">
        <v>10281.361650978146</v>
      </c>
      <c r="L83" s="218"/>
      <c r="M83" s="368"/>
    </row>
    <row r="84" spans="1:14" ht="14.25" x14ac:dyDescent="0.45">
      <c r="A84" s="6" t="s">
        <v>16</v>
      </c>
      <c r="B84" s="6"/>
      <c r="C84" s="40"/>
      <c r="D84" s="128">
        <v>37178.886856943747</v>
      </c>
      <c r="E84" s="128">
        <v>41070.029155391472</v>
      </c>
      <c r="F84" s="128">
        <v>45368.418406794743</v>
      </c>
      <c r="G84" s="128">
        <v>50116.677077249864</v>
      </c>
      <c r="H84" s="128">
        <v>55361.888500154855</v>
      </c>
      <c r="L84" s="218"/>
      <c r="M84" s="368"/>
    </row>
    <row r="85" spans="1:14" ht="14.25" x14ac:dyDescent="0.45">
      <c r="A85" s="6" t="s">
        <v>17</v>
      </c>
      <c r="B85" s="6"/>
      <c r="C85" s="40"/>
      <c r="D85" s="128">
        <v>231403.61740068885</v>
      </c>
      <c r="E85" s="128">
        <v>259162.79534407548</v>
      </c>
      <c r="F85" s="128">
        <v>290251.96427355084</v>
      </c>
      <c r="G85" s="128">
        <v>325070.58990780596</v>
      </c>
      <c r="H85" s="128">
        <v>364066.05787314643</v>
      </c>
      <c r="L85" s="218"/>
      <c r="M85" s="368"/>
    </row>
    <row r="86" spans="1:14" ht="14.25" x14ac:dyDescent="0.45">
      <c r="A86" s="6" t="s">
        <v>18</v>
      </c>
      <c r="B86" s="6"/>
      <c r="C86" s="40"/>
      <c r="D86" s="128">
        <v>34648.09410168742</v>
      </c>
      <c r="E86" s="128">
        <v>39688.005869718865</v>
      </c>
      <c r="F86" s="128">
        <v>45461.023203528173</v>
      </c>
      <c r="G86" s="128">
        <v>52073.783638713365</v>
      </c>
      <c r="H86" s="128">
        <v>59648.436206800623</v>
      </c>
      <c r="L86" s="218"/>
      <c r="M86" s="368"/>
    </row>
    <row r="87" spans="1:14" ht="15" customHeight="1" x14ac:dyDescent="0.45">
      <c r="A87" s="6" t="s">
        <v>19</v>
      </c>
      <c r="B87" s="6"/>
      <c r="C87" s="40"/>
      <c r="D87" s="128">
        <v>446158.36813099438</v>
      </c>
      <c r="E87" s="128">
        <v>472829.71537786518</v>
      </c>
      <c r="F87" s="128">
        <v>501095.47576315393</v>
      </c>
      <c r="G87" s="128">
        <v>531050.96330427506</v>
      </c>
      <c r="H87" s="128">
        <v>562797.18989060482</v>
      </c>
      <c r="L87" s="218"/>
      <c r="M87" s="368"/>
    </row>
    <row r="88" spans="1:14" ht="14.25" x14ac:dyDescent="0.45">
      <c r="A88" s="7" t="s">
        <v>20</v>
      </c>
      <c r="B88" s="6"/>
      <c r="C88" s="40"/>
      <c r="D88" s="128">
        <v>48646.442626418175</v>
      </c>
      <c r="E88" s="128">
        <v>52596.533767683337</v>
      </c>
      <c r="F88" s="128">
        <v>56867.372309619241</v>
      </c>
      <c r="G88" s="128">
        <v>61485.00294116031</v>
      </c>
      <c r="H88" s="128">
        <v>66477.585179982532</v>
      </c>
      <c r="L88" s="218"/>
      <c r="M88" s="368"/>
    </row>
    <row r="89" spans="1:14" ht="14.25" x14ac:dyDescent="0.45">
      <c r="A89" s="6" t="s">
        <v>21</v>
      </c>
      <c r="B89" s="6"/>
      <c r="C89" s="40"/>
      <c r="D89" s="128">
        <v>51690.551053624011</v>
      </c>
      <c r="E89" s="128">
        <v>59842.150954780511</v>
      </c>
      <c r="F89" s="128">
        <v>69279.258160349404</v>
      </c>
      <c r="G89" s="128">
        <v>80204.597172236477</v>
      </c>
      <c r="H89" s="128">
        <v>92852.862146298197</v>
      </c>
      <c r="L89" s="218"/>
      <c r="M89" s="368"/>
    </row>
    <row r="90" spans="1:14" ht="14.25" x14ac:dyDescent="0.45">
      <c r="A90" s="6" t="s">
        <v>22</v>
      </c>
      <c r="B90" s="6"/>
      <c r="C90" s="40"/>
      <c r="D90" s="128">
        <v>133360.41072976706</v>
      </c>
      <c r="E90" s="128">
        <v>152078.87797979714</v>
      </c>
      <c r="F90" s="128">
        <v>173424.6692930414</v>
      </c>
      <c r="G90" s="128">
        <v>197766.55587501265</v>
      </c>
      <c r="H90" s="128">
        <v>225525.06965762944</v>
      </c>
      <c r="L90" s="218"/>
      <c r="M90" s="368"/>
    </row>
    <row r="91" spans="1:14" ht="14.25" x14ac:dyDescent="0.45">
      <c r="A91" s="6" t="s">
        <v>23</v>
      </c>
      <c r="B91" s="6"/>
      <c r="C91" s="40"/>
      <c r="D91" s="128">
        <v>579388.88558384695</v>
      </c>
      <c r="E91" s="128">
        <v>638254.79635916592</v>
      </c>
      <c r="F91" s="128">
        <v>703101.48366925726</v>
      </c>
      <c r="G91" s="128">
        <v>774536.59441005357</v>
      </c>
      <c r="H91" s="128">
        <v>853229.51240211539</v>
      </c>
      <c r="L91" s="218"/>
      <c r="M91" s="368"/>
    </row>
    <row r="92" spans="1:14" ht="14.25" x14ac:dyDescent="0.45">
      <c r="A92" s="6" t="s">
        <v>24</v>
      </c>
      <c r="B92" s="6"/>
      <c r="C92" s="40"/>
      <c r="D92" s="128">
        <v>118695.81208155451</v>
      </c>
      <c r="E92" s="128">
        <v>132692.42224221141</v>
      </c>
      <c r="F92" s="128">
        <v>148339.51267301303</v>
      </c>
      <c r="G92" s="128">
        <v>165831.70800741474</v>
      </c>
      <c r="H92" s="128">
        <v>185386.58301564911</v>
      </c>
      <c r="K92" s="368"/>
      <c r="L92" s="218"/>
      <c r="M92" s="368"/>
    </row>
    <row r="93" spans="1:14" ht="14.25" x14ac:dyDescent="0.45">
      <c r="A93" s="6">
        <v>0</v>
      </c>
      <c r="B93" s="6"/>
      <c r="C93" s="40"/>
      <c r="D93" s="128"/>
      <c r="E93" s="128"/>
      <c r="F93" s="128"/>
      <c r="G93" s="128"/>
      <c r="H93" s="128"/>
      <c r="L93" s="218"/>
      <c r="M93" s="368"/>
    </row>
    <row r="94" spans="1:14" ht="21" x14ac:dyDescent="0.65">
      <c r="A94" s="249" t="s">
        <v>166</v>
      </c>
      <c r="B94" s="250"/>
      <c r="C94" s="251"/>
      <c r="D94" s="251"/>
      <c r="E94" s="251"/>
      <c r="F94" s="251"/>
      <c r="G94" s="251"/>
      <c r="H94" s="251"/>
      <c r="I94" s="251"/>
      <c r="J94" s="251"/>
      <c r="L94" s="218"/>
      <c r="M94" s="368"/>
    </row>
    <row r="95" spans="1:14" ht="14.25" x14ac:dyDescent="0.45">
      <c r="A95" s="257"/>
      <c r="B95" s="250"/>
      <c r="C95" s="251"/>
      <c r="D95" s="251"/>
      <c r="E95" s="251"/>
      <c r="F95" s="251"/>
      <c r="G95" s="251"/>
      <c r="H95" s="251"/>
      <c r="I95" s="251"/>
      <c r="J95" s="251"/>
      <c r="L95" s="368"/>
    </row>
    <row r="96" spans="1:14" ht="14.25" x14ac:dyDescent="0.45">
      <c r="A96" s="71" t="s">
        <v>179</v>
      </c>
      <c r="L96" s="218"/>
    </row>
    <row r="97" spans="1:16" ht="14.25" x14ac:dyDescent="0.45">
      <c r="D97" s="167">
        <v>2026</v>
      </c>
      <c r="E97" s="168">
        <f>D97+1</f>
        <v>2027</v>
      </c>
      <c r="F97" s="168">
        <f>E97+1</f>
        <v>2028</v>
      </c>
      <c r="G97" s="168">
        <f>F97+1</f>
        <v>2029</v>
      </c>
      <c r="H97" s="168">
        <f>G97+1</f>
        <v>2030</v>
      </c>
      <c r="K97" s="218" t="s">
        <v>405</v>
      </c>
      <c r="L97" s="218"/>
    </row>
    <row r="98" spans="1:16" ht="14.25" x14ac:dyDescent="0.45">
      <c r="A98" s="7" t="s">
        <v>11</v>
      </c>
      <c r="B98" s="6"/>
      <c r="C98" s="40"/>
      <c r="D98" s="40">
        <v>90867</v>
      </c>
      <c r="E98" s="128">
        <f>E78</f>
        <v>153166.82724869979</v>
      </c>
      <c r="F98" s="128">
        <f>F78</f>
        <v>156230.16379367377</v>
      </c>
      <c r="G98" s="128">
        <f>G78</f>
        <v>159354.7670695472</v>
      </c>
      <c r="H98" s="128">
        <f>H78</f>
        <v>162541.86241093822</v>
      </c>
      <c r="K98" s="366"/>
      <c r="L98" s="366"/>
      <c r="M98" s="370"/>
      <c r="N98" s="370"/>
      <c r="O98" s="370"/>
      <c r="P98" s="370"/>
    </row>
    <row r="99" spans="1:16" ht="14.25" x14ac:dyDescent="0.45">
      <c r="K99" s="366"/>
      <c r="L99" s="366"/>
      <c r="M99" s="370"/>
      <c r="N99" s="370"/>
      <c r="O99" s="370"/>
      <c r="P99" s="370"/>
    </row>
    <row r="100" spans="1:16" ht="14.25" x14ac:dyDescent="0.45">
      <c r="K100" s="366"/>
      <c r="L100" s="366"/>
      <c r="M100" s="370"/>
      <c r="N100" s="370"/>
      <c r="O100" s="370"/>
      <c r="P100" s="370"/>
    </row>
    <row r="101" spans="1:16" ht="21" x14ac:dyDescent="0.65">
      <c r="A101" s="249" t="s">
        <v>90</v>
      </c>
      <c r="B101" s="250"/>
      <c r="C101" s="251"/>
      <c r="D101" s="251"/>
      <c r="E101" s="251"/>
      <c r="F101" s="251"/>
      <c r="G101" s="251"/>
      <c r="H101" s="251"/>
      <c r="I101" s="251"/>
      <c r="J101" s="251"/>
      <c r="K101" s="366"/>
      <c r="L101" s="218"/>
    </row>
    <row r="102" spans="1:16" ht="14.25" x14ac:dyDescent="0.45">
      <c r="A102" s="257" t="s">
        <v>339</v>
      </c>
      <c r="B102" s="250"/>
      <c r="C102" s="251"/>
      <c r="D102" s="251"/>
      <c r="E102" s="251"/>
      <c r="F102" s="251"/>
      <c r="G102" s="251"/>
      <c r="H102" s="251"/>
      <c r="I102" s="251"/>
      <c r="J102" s="251"/>
      <c r="L102" s="218"/>
    </row>
    <row r="103" spans="1:16" ht="14.25" x14ac:dyDescent="0.45">
      <c r="A103" s="257"/>
      <c r="B103" s="250"/>
      <c r="C103" s="251"/>
      <c r="D103" s="251"/>
      <c r="E103" s="251"/>
      <c r="F103" s="251"/>
      <c r="G103" s="251"/>
      <c r="H103" s="251"/>
      <c r="I103" s="251"/>
      <c r="J103" s="251"/>
      <c r="L103" s="218"/>
    </row>
    <row r="104" spans="1:16" ht="26.65" x14ac:dyDescent="0.45">
      <c r="A104" s="61"/>
      <c r="B104" s="34" t="s">
        <v>325</v>
      </c>
      <c r="C104" s="133"/>
      <c r="L104" s="218"/>
    </row>
    <row r="105" spans="1:16" ht="14.25" x14ac:dyDescent="0.45">
      <c r="A105" s="118" t="s">
        <v>13</v>
      </c>
      <c r="B105" s="59">
        <v>665</v>
      </c>
      <c r="L105" s="218"/>
    </row>
    <row r="106" spans="1:16" ht="14.25" x14ac:dyDescent="0.45">
      <c r="A106" s="118" t="s">
        <v>15</v>
      </c>
      <c r="B106" s="59">
        <v>297</v>
      </c>
      <c r="L106" s="218"/>
    </row>
    <row r="107" spans="1:16" ht="14.25" x14ac:dyDescent="0.45">
      <c r="L107" s="218"/>
    </row>
    <row r="108" spans="1:16" ht="14.25" x14ac:dyDescent="0.45">
      <c r="L108" s="218"/>
    </row>
    <row r="109" spans="1:16" ht="21" x14ac:dyDescent="0.65">
      <c r="A109" s="249" t="s">
        <v>175</v>
      </c>
      <c r="B109" s="250"/>
      <c r="C109" s="251"/>
      <c r="D109" s="251"/>
      <c r="E109" s="251"/>
      <c r="F109" s="251"/>
      <c r="G109" s="251"/>
      <c r="H109" s="251"/>
      <c r="I109" s="251"/>
      <c r="J109" s="251"/>
      <c r="L109" s="218"/>
    </row>
    <row r="110" spans="1:16" ht="14.25" x14ac:dyDescent="0.45">
      <c r="A110" s="133" t="s">
        <v>240</v>
      </c>
      <c r="L110" s="218"/>
      <c r="N110" s="371"/>
    </row>
    <row r="111" spans="1:16" ht="14.25" x14ac:dyDescent="0.45">
      <c r="A111" s="133" t="s">
        <v>241</v>
      </c>
      <c r="L111" s="218"/>
      <c r="N111" s="371"/>
    </row>
    <row r="112" spans="1:16" ht="14.25" x14ac:dyDescent="0.45">
      <c r="A112" s="144" t="s">
        <v>391</v>
      </c>
      <c r="L112" s="218"/>
      <c r="N112" s="371"/>
    </row>
    <row r="113" spans="1:24" ht="42.75" x14ac:dyDescent="0.45">
      <c r="A113" s="258" t="s">
        <v>212</v>
      </c>
      <c r="B113" s="259" t="s">
        <v>200</v>
      </c>
      <c r="C113" s="259" t="s">
        <v>198</v>
      </c>
      <c r="D113" s="259" t="s">
        <v>199</v>
      </c>
      <c r="E113" s="259" t="s">
        <v>201</v>
      </c>
      <c r="F113" s="259" t="s">
        <v>202</v>
      </c>
      <c r="G113" s="259" t="s">
        <v>203</v>
      </c>
      <c r="L113" s="218"/>
      <c r="N113" s="371"/>
    </row>
    <row r="114" spans="1:24" ht="14.25" x14ac:dyDescent="0.45">
      <c r="A114" s="4" t="s">
        <v>10</v>
      </c>
      <c r="B114" s="19">
        <v>9.1745000000000001</v>
      </c>
      <c r="C114" s="19">
        <v>91.883598141831726</v>
      </c>
      <c r="D114" s="19">
        <v>124.70779814183172</v>
      </c>
      <c r="E114" s="19">
        <v>6.7083799999999999E-2</v>
      </c>
      <c r="F114" s="19">
        <v>0.90693486975096871</v>
      </c>
      <c r="G114" s="19">
        <v>1.1970382697509687</v>
      </c>
      <c r="L114" s="218"/>
      <c r="N114" s="371"/>
    </row>
    <row r="115" spans="1:24" ht="14.25" x14ac:dyDescent="0.45">
      <c r="A115" s="143" t="s">
        <v>11</v>
      </c>
      <c r="B115" s="19">
        <v>5.69</v>
      </c>
      <c r="C115" s="19">
        <v>88.08</v>
      </c>
      <c r="D115" s="19">
        <v>124.94</v>
      </c>
      <c r="E115" s="19">
        <v>7.3700000000000002E-2</v>
      </c>
      <c r="F115" s="19">
        <v>1.57</v>
      </c>
      <c r="G115" s="19">
        <v>2.0710000000000002</v>
      </c>
      <c r="L115" s="218"/>
      <c r="N115" s="371"/>
    </row>
    <row r="116" spans="1:24" ht="14.25" x14ac:dyDescent="0.45">
      <c r="A116" s="4" t="s">
        <v>12</v>
      </c>
      <c r="B116" s="19">
        <v>6.2509459999999999</v>
      </c>
      <c r="C116" s="19">
        <v>71.654340000000005</v>
      </c>
      <c r="D116" s="19">
        <v>91.975459999999998</v>
      </c>
      <c r="E116" s="19">
        <v>7.2885500000000006E-2</v>
      </c>
      <c r="F116" s="19">
        <v>1.0065459999999999</v>
      </c>
      <c r="G116" s="19">
        <v>1.2826379999999999</v>
      </c>
      <c r="L116" s="218"/>
      <c r="N116" s="371"/>
    </row>
    <row r="117" spans="1:24" ht="14.25" x14ac:dyDescent="0.45">
      <c r="A117" s="4" t="s">
        <v>13</v>
      </c>
      <c r="B117" s="19">
        <v>4.1288600000000004</v>
      </c>
      <c r="C117" s="19">
        <v>15.392287346450942</v>
      </c>
      <c r="D117" s="19">
        <v>25.855175346450942</v>
      </c>
      <c r="E117" s="19">
        <v>8.0373799999999995E-2</v>
      </c>
      <c r="F117" s="19">
        <v>0.42733089550725628</v>
      </c>
      <c r="G117" s="19">
        <v>0.69558589550725625</v>
      </c>
      <c r="H117" s="132"/>
      <c r="L117" s="218"/>
      <c r="N117" s="371"/>
      <c r="Q117" s="304"/>
      <c r="R117" s="198"/>
      <c r="S117" s="198"/>
      <c r="T117" s="198"/>
      <c r="U117" s="198"/>
      <c r="V117" s="198"/>
      <c r="W117" s="198"/>
      <c r="X117" s="132"/>
    </row>
    <row r="118" spans="1:24" ht="14.25" x14ac:dyDescent="0.45">
      <c r="A118" s="4" t="s">
        <v>208</v>
      </c>
      <c r="B118" s="19">
        <v>13.098420000000001</v>
      </c>
      <c r="C118" s="19">
        <v>173.84795968199754</v>
      </c>
      <c r="D118" s="19">
        <v>219.46029968199753</v>
      </c>
      <c r="E118" s="19">
        <v>0.17649599999999999</v>
      </c>
      <c r="F118" s="19">
        <v>2.4700433720101338</v>
      </c>
      <c r="G118" s="19">
        <v>3.1525135720101338</v>
      </c>
      <c r="H118" s="132"/>
      <c r="L118" s="218"/>
      <c r="N118" s="371"/>
      <c r="Q118" s="304"/>
      <c r="R118" s="198"/>
      <c r="S118" s="198"/>
      <c r="T118" s="198"/>
      <c r="U118" s="198"/>
      <c r="V118" s="198"/>
      <c r="W118" s="198"/>
      <c r="X118" s="132"/>
    </row>
    <row r="119" spans="1:24" ht="14.25" x14ac:dyDescent="0.45">
      <c r="A119" s="4" t="s">
        <v>14</v>
      </c>
      <c r="B119" s="19">
        <v>14.68587</v>
      </c>
      <c r="C119" s="19">
        <v>144.35239999999999</v>
      </c>
      <c r="D119" s="19">
        <v>194.52681999999999</v>
      </c>
      <c r="E119" s="19">
        <v>0.11697150000000001</v>
      </c>
      <c r="F119" s="19">
        <v>1.8375189999999999</v>
      </c>
      <c r="G119" s="19">
        <v>2.3904125999999999</v>
      </c>
      <c r="L119" s="218"/>
      <c r="N119" s="371"/>
    </row>
    <row r="120" spans="1:24" ht="14.25" x14ac:dyDescent="0.45">
      <c r="A120" s="4" t="s">
        <v>15</v>
      </c>
      <c r="B120" s="19">
        <v>8.6826930000000004</v>
      </c>
      <c r="C120" s="19">
        <v>9.5333730416061044</v>
      </c>
      <c r="D120" s="19">
        <v>19.596909041606104</v>
      </c>
      <c r="E120" s="19">
        <v>0.14298440000000001</v>
      </c>
      <c r="F120" s="19">
        <v>0.19878722831203691</v>
      </c>
      <c r="G120" s="19">
        <v>0.42773342831203687</v>
      </c>
      <c r="L120" s="218"/>
      <c r="N120" s="371"/>
    </row>
    <row r="121" spans="1:24" ht="14.25" x14ac:dyDescent="0.45">
      <c r="A121" s="4" t="s">
        <v>16</v>
      </c>
      <c r="B121" s="19">
        <v>7.22464</v>
      </c>
      <c r="C121" s="19">
        <v>74.492289999999997</v>
      </c>
      <c r="D121" s="19">
        <v>101.03238999999999</v>
      </c>
      <c r="E121" s="19">
        <v>6.8837400000000007E-2</v>
      </c>
      <c r="F121" s="19">
        <v>0.90415581026843361</v>
      </c>
      <c r="G121" s="19">
        <v>1.1955648102684335</v>
      </c>
      <c r="L121" s="218"/>
      <c r="N121" s="371"/>
    </row>
    <row r="122" spans="1:24" ht="14.25" x14ac:dyDescent="0.45">
      <c r="A122" s="4" t="s">
        <v>17</v>
      </c>
      <c r="B122" s="19">
        <v>7.5971679999999999</v>
      </c>
      <c r="C122" s="19">
        <v>66.465940000000003</v>
      </c>
      <c r="D122" s="19">
        <v>84.710378000000006</v>
      </c>
      <c r="E122" s="19">
        <v>6.6785300000000006E-2</v>
      </c>
      <c r="F122" s="19">
        <v>0.83711120000000006</v>
      </c>
      <c r="G122" s="19">
        <v>1.0335528</v>
      </c>
      <c r="L122" s="218"/>
      <c r="N122" s="371"/>
    </row>
    <row r="123" spans="1:24" ht="14.25" x14ac:dyDescent="0.45">
      <c r="A123" s="4" t="s">
        <v>18</v>
      </c>
      <c r="B123" s="19">
        <v>11.80823</v>
      </c>
      <c r="C123" s="19">
        <v>120.0212718836702</v>
      </c>
      <c r="D123" s="19">
        <v>160.35467188367019</v>
      </c>
      <c r="E123" s="19">
        <v>0.17759230000000001</v>
      </c>
      <c r="F123" s="19">
        <v>1.7940426380523915</v>
      </c>
      <c r="G123" s="19">
        <v>2.4171908380523917</v>
      </c>
      <c r="L123" s="218"/>
      <c r="N123" s="371"/>
    </row>
    <row r="124" spans="1:24" ht="14.25" x14ac:dyDescent="0.45">
      <c r="A124" s="4" t="s">
        <v>19</v>
      </c>
      <c r="B124" s="19">
        <v>9.8184810000000002</v>
      </c>
      <c r="C124" s="19">
        <v>151.9589</v>
      </c>
      <c r="D124" s="19">
        <v>180.25324000000001</v>
      </c>
      <c r="E124" s="19">
        <v>6.2754599999999994E-2</v>
      </c>
      <c r="F124" s="19">
        <v>1.9991044124563819</v>
      </c>
      <c r="G124" s="19">
        <v>2.2683800124563818</v>
      </c>
      <c r="L124" s="218"/>
      <c r="N124" s="371"/>
    </row>
    <row r="125" spans="1:24" ht="14.25" x14ac:dyDescent="0.45">
      <c r="A125" s="4" t="s">
        <v>20</v>
      </c>
      <c r="B125" s="19">
        <v>11.17313</v>
      </c>
      <c r="C125" s="19">
        <v>143.03583746861335</v>
      </c>
      <c r="D125" s="19">
        <v>181.47781746861335</v>
      </c>
      <c r="E125" s="19">
        <v>0.15962029999999999</v>
      </c>
      <c r="F125" s="19">
        <v>2.5577943550140372</v>
      </c>
      <c r="G125" s="19">
        <v>3.2715437550140374</v>
      </c>
      <c r="L125" s="218"/>
      <c r="N125" s="371"/>
    </row>
    <row r="126" spans="1:24" ht="14.25" x14ac:dyDescent="0.45">
      <c r="A126" s="4" t="s">
        <v>21</v>
      </c>
      <c r="B126" s="19">
        <v>27.922969999999999</v>
      </c>
      <c r="C126" s="19">
        <v>302.15936528549889</v>
      </c>
      <c r="D126" s="19">
        <v>380.23798528549889</v>
      </c>
      <c r="E126" s="19">
        <v>0.22836300000000001</v>
      </c>
      <c r="F126" s="19">
        <v>4.132845264193187</v>
      </c>
      <c r="G126" s="19">
        <v>5.0732160641931872</v>
      </c>
      <c r="L126" s="218"/>
      <c r="N126" s="371"/>
    </row>
    <row r="127" spans="1:24" ht="14.25" x14ac:dyDescent="0.45">
      <c r="A127" s="4" t="s">
        <v>22</v>
      </c>
      <c r="B127" s="19">
        <v>4.4827880000000002</v>
      </c>
      <c r="C127" s="19">
        <v>67.81457074143384</v>
      </c>
      <c r="D127" s="19">
        <v>82.344362741433841</v>
      </c>
      <c r="E127" s="19">
        <v>7.3526900000000006E-2</v>
      </c>
      <c r="F127" s="19">
        <v>1.520096375448182</v>
      </c>
      <c r="G127" s="19">
        <v>1.8152039754481821</v>
      </c>
      <c r="L127" s="218"/>
      <c r="N127" s="371"/>
    </row>
    <row r="128" spans="1:24" ht="14.25" x14ac:dyDescent="0.45">
      <c r="A128" s="4" t="s">
        <v>23</v>
      </c>
      <c r="B128" s="19">
        <v>4.825043</v>
      </c>
      <c r="C128" s="19">
        <v>89.277945274836995</v>
      </c>
      <c r="D128" s="19">
        <v>104.82979127483699</v>
      </c>
      <c r="E128" s="19">
        <v>3.70541E-2</v>
      </c>
      <c r="F128" s="19">
        <v>1.1802649999999999</v>
      </c>
      <c r="G128" s="19">
        <v>1.3365895999999999</v>
      </c>
      <c r="L128" s="218"/>
      <c r="N128" s="371"/>
    </row>
    <row r="129" spans="1:24" ht="14.25" x14ac:dyDescent="0.45">
      <c r="A129" s="4" t="s">
        <v>24</v>
      </c>
      <c r="B129" s="19">
        <v>2.1567379999999998</v>
      </c>
      <c r="C129" s="19">
        <v>31.201783121610735</v>
      </c>
      <c r="D129" s="19">
        <v>39.807933121610731</v>
      </c>
      <c r="E129" s="19">
        <v>3.1268600000000001E-2</v>
      </c>
      <c r="F129" s="19">
        <v>0.4839620649258326</v>
      </c>
      <c r="G129" s="19">
        <v>0.61353906492583254</v>
      </c>
      <c r="L129" s="218"/>
      <c r="N129" s="371"/>
    </row>
    <row r="130" spans="1:24" ht="14.25" x14ac:dyDescent="0.45">
      <c r="A130" s="365"/>
      <c r="C130" s="132"/>
      <c r="D130" s="132"/>
      <c r="F130" s="132"/>
      <c r="G130" s="132"/>
      <c r="L130" s="218"/>
      <c r="N130" s="371"/>
    </row>
    <row r="131" spans="1:24" ht="14.25" x14ac:dyDescent="0.45">
      <c r="L131" s="218"/>
      <c r="N131" s="371"/>
    </row>
    <row r="132" spans="1:24" ht="14.25" x14ac:dyDescent="0.45">
      <c r="L132" s="218"/>
      <c r="N132" s="371"/>
    </row>
    <row r="133" spans="1:24" ht="21" x14ac:dyDescent="0.65">
      <c r="A133" s="249" t="s">
        <v>176</v>
      </c>
      <c r="B133" s="250"/>
      <c r="C133" s="251"/>
      <c r="D133" s="251"/>
      <c r="E133" s="251"/>
      <c r="F133" s="251"/>
      <c r="G133" s="251"/>
      <c r="H133" s="251"/>
      <c r="I133" s="251"/>
      <c r="J133" s="251"/>
      <c r="L133" s="218"/>
    </row>
    <row r="134" spans="1:24" ht="14.25" x14ac:dyDescent="0.45">
      <c r="A134" s="133" t="s">
        <v>283</v>
      </c>
      <c r="L134" s="218"/>
    </row>
    <row r="135" spans="1:24" ht="14.25" x14ac:dyDescent="0.45">
      <c r="A135" s="133" t="s">
        <v>241</v>
      </c>
      <c r="L135" s="218"/>
    </row>
    <row r="136" spans="1:24" ht="14.25" x14ac:dyDescent="0.45">
      <c r="A136" s="144" t="s">
        <v>242</v>
      </c>
      <c r="L136" s="218"/>
    </row>
    <row r="137" spans="1:24" ht="28.5" x14ac:dyDescent="0.45">
      <c r="A137" s="258" t="s">
        <v>212</v>
      </c>
      <c r="B137" s="259" t="s">
        <v>198</v>
      </c>
      <c r="C137" s="259" t="s">
        <v>284</v>
      </c>
      <c r="D137" s="259" t="s">
        <v>199</v>
      </c>
      <c r="E137" s="259" t="s">
        <v>202</v>
      </c>
      <c r="F137" s="259" t="s">
        <v>285</v>
      </c>
      <c r="G137" s="259" t="s">
        <v>203</v>
      </c>
      <c r="L137" s="218"/>
    </row>
    <row r="138" spans="1:24" ht="14.25" x14ac:dyDescent="0.45">
      <c r="A138" s="321" t="s">
        <v>10</v>
      </c>
      <c r="B138" s="164">
        <f>C138/3</f>
        <v>54.991233333333334</v>
      </c>
      <c r="C138" s="260">
        <f t="shared" ref="C138:C153" si="0">D138/5</f>
        <v>164.97370000000001</v>
      </c>
      <c r="D138" s="19">
        <v>824.86850000000004</v>
      </c>
      <c r="E138" s="164">
        <f t="shared" ref="E138:E153" si="1">F138/3</f>
        <v>0.23286669999999998</v>
      </c>
      <c r="F138" s="260">
        <f t="shared" ref="F138:F153" si="2">G138/5</f>
        <v>0.69860009999999995</v>
      </c>
      <c r="G138" s="19">
        <v>3.4930005</v>
      </c>
      <c r="K138" s="375"/>
      <c r="L138" s="375"/>
      <c r="M138"/>
      <c r="N138"/>
    </row>
    <row r="139" spans="1:24" ht="14.25" x14ac:dyDescent="0.45">
      <c r="A139" s="143" t="s">
        <v>11</v>
      </c>
      <c r="B139" s="164">
        <v>72.16</v>
      </c>
      <c r="C139" s="260">
        <f t="shared" si="0"/>
        <v>195.95920000000001</v>
      </c>
      <c r="D139" s="19">
        <v>979.79600000000005</v>
      </c>
      <c r="E139" s="164">
        <f t="shared" si="1"/>
        <v>0.3692333333333333</v>
      </c>
      <c r="F139" s="260">
        <f t="shared" si="2"/>
        <v>1.1076999999999999</v>
      </c>
      <c r="G139" s="19">
        <v>5.5384999999999991</v>
      </c>
      <c r="I139" s="78"/>
      <c r="K139" s="372"/>
      <c r="L139" s="218"/>
    </row>
    <row r="140" spans="1:24" ht="14.25" x14ac:dyDescent="0.45">
      <c r="A140" s="321" t="s">
        <v>12</v>
      </c>
      <c r="B140" s="164">
        <f t="shared" ref="B140:B153" si="3">C140/3</f>
        <v>91.738800000000012</v>
      </c>
      <c r="C140" s="260">
        <f t="shared" si="0"/>
        <v>275.21640000000002</v>
      </c>
      <c r="D140" s="19">
        <v>1376.0820000000001</v>
      </c>
      <c r="E140" s="164">
        <f t="shared" si="1"/>
        <v>0.32625966666666667</v>
      </c>
      <c r="F140" s="260">
        <f t="shared" si="2"/>
        <v>0.97877899999999995</v>
      </c>
      <c r="G140" s="19">
        <v>4.8938949999999997</v>
      </c>
      <c r="L140" s="218"/>
    </row>
    <row r="141" spans="1:24" ht="14.25" x14ac:dyDescent="0.45">
      <c r="A141" s="321" t="s">
        <v>13</v>
      </c>
      <c r="B141" s="164">
        <f>C141/3</f>
        <v>7.632906666666667</v>
      </c>
      <c r="C141" s="260">
        <f>D141/5</f>
        <v>22.898720000000001</v>
      </c>
      <c r="D141" s="19">
        <v>114.4936</v>
      </c>
      <c r="E141" s="164">
        <f>F141/3</f>
        <v>3.4555699999999995E-2</v>
      </c>
      <c r="F141" s="260">
        <f>G141/5</f>
        <v>0.10366709999999998</v>
      </c>
      <c r="G141" s="19">
        <v>0.51833549999999995</v>
      </c>
      <c r="L141" s="218"/>
      <c r="Q141" s="304"/>
      <c r="R141" s="305"/>
      <c r="S141" s="305"/>
      <c r="T141" s="198"/>
      <c r="U141" s="305"/>
      <c r="V141" s="305"/>
      <c r="W141" s="198"/>
      <c r="X141" s="132"/>
    </row>
    <row r="142" spans="1:24" ht="14.25" x14ac:dyDescent="0.45">
      <c r="A142" s="321" t="s">
        <v>208</v>
      </c>
      <c r="B142" s="164">
        <f>C142/3</f>
        <v>86.04516666666666</v>
      </c>
      <c r="C142" s="260">
        <f>D142/5</f>
        <v>258.13549999999998</v>
      </c>
      <c r="D142" s="19">
        <v>1290.6774999999998</v>
      </c>
      <c r="E142" s="164">
        <f>F142/3</f>
        <v>0.49830100000000005</v>
      </c>
      <c r="F142" s="260">
        <f>G142/5</f>
        <v>1.4949030000000001</v>
      </c>
      <c r="G142" s="19">
        <v>7.4745150000000002</v>
      </c>
      <c r="L142" s="218"/>
      <c r="Q142" s="304"/>
      <c r="R142" s="305"/>
      <c r="S142" s="305"/>
      <c r="T142" s="198"/>
      <c r="U142" s="305"/>
      <c r="V142" s="305"/>
      <c r="W142" s="198"/>
      <c r="X142" s="132"/>
    </row>
    <row r="143" spans="1:24" ht="14.25" x14ac:dyDescent="0.45">
      <c r="A143" s="321" t="s">
        <v>14</v>
      </c>
      <c r="B143" s="164">
        <f t="shared" si="3"/>
        <v>57.242166666666662</v>
      </c>
      <c r="C143" s="260">
        <f t="shared" si="0"/>
        <v>171.72649999999999</v>
      </c>
      <c r="D143" s="19">
        <v>858.63249999999994</v>
      </c>
      <c r="E143" s="164">
        <f t="shared" si="1"/>
        <v>0.36276333333333333</v>
      </c>
      <c r="F143" s="260">
        <f t="shared" si="2"/>
        <v>1.08829</v>
      </c>
      <c r="G143" s="19">
        <v>5.4414499999999997</v>
      </c>
      <c r="L143" s="218"/>
    </row>
    <row r="144" spans="1:24" ht="14.25" x14ac:dyDescent="0.45">
      <c r="A144" s="321" t="s">
        <v>15</v>
      </c>
      <c r="B144" s="164">
        <f t="shared" si="3"/>
        <v>12.007396666666667</v>
      </c>
      <c r="C144" s="260">
        <f t="shared" si="0"/>
        <v>36.022190000000002</v>
      </c>
      <c r="D144" s="19">
        <v>180.11095</v>
      </c>
      <c r="E144" s="164">
        <f t="shared" si="1"/>
        <v>0.15775220000000001</v>
      </c>
      <c r="F144" s="260">
        <f t="shared" si="2"/>
        <v>0.47325660000000003</v>
      </c>
      <c r="G144" s="19">
        <v>2.3662830000000001</v>
      </c>
      <c r="L144" s="218"/>
    </row>
    <row r="145" spans="1:15" ht="14.25" x14ac:dyDescent="0.45">
      <c r="A145" s="321" t="s">
        <v>16</v>
      </c>
      <c r="B145" s="164">
        <f t="shared" si="3"/>
        <v>75.275700000000015</v>
      </c>
      <c r="C145" s="260">
        <f t="shared" si="0"/>
        <v>225.82710000000003</v>
      </c>
      <c r="D145" s="19">
        <v>1129.1355000000001</v>
      </c>
      <c r="E145" s="164">
        <f t="shared" si="1"/>
        <v>0.32680996666666667</v>
      </c>
      <c r="F145" s="260">
        <f t="shared" si="2"/>
        <v>0.98042990000000008</v>
      </c>
      <c r="G145" s="19">
        <v>4.9021495000000002</v>
      </c>
      <c r="L145" s="218"/>
    </row>
    <row r="146" spans="1:15" ht="14.25" x14ac:dyDescent="0.45">
      <c r="A146" s="321" t="s">
        <v>17</v>
      </c>
      <c r="B146" s="164">
        <f t="shared" si="3"/>
        <v>13.226866666666666</v>
      </c>
      <c r="C146" s="260">
        <f t="shared" si="0"/>
        <v>39.680599999999998</v>
      </c>
      <c r="D146" s="19">
        <v>198.40299999999999</v>
      </c>
      <c r="E146" s="164">
        <f t="shared" si="1"/>
        <v>4.987076666666667E-2</v>
      </c>
      <c r="F146" s="260">
        <f t="shared" si="2"/>
        <v>0.1496123</v>
      </c>
      <c r="G146" s="19">
        <v>0.74806150000000005</v>
      </c>
      <c r="L146" s="218"/>
    </row>
    <row r="147" spans="1:15" ht="14.25" x14ac:dyDescent="0.45">
      <c r="A147" s="321" t="s">
        <v>18</v>
      </c>
      <c r="B147" s="164">
        <f t="shared" si="3"/>
        <v>140.9622</v>
      </c>
      <c r="C147" s="260">
        <f t="shared" si="0"/>
        <v>422.88659999999999</v>
      </c>
      <c r="D147" s="19">
        <v>2114.433</v>
      </c>
      <c r="E147" s="164">
        <f t="shared" si="1"/>
        <v>0.64141433333333331</v>
      </c>
      <c r="F147" s="260">
        <f t="shared" si="2"/>
        <v>1.9242429999999999</v>
      </c>
      <c r="G147" s="19">
        <v>9.6212149999999994</v>
      </c>
      <c r="L147" s="218"/>
    </row>
    <row r="148" spans="1:15" ht="14.25" x14ac:dyDescent="0.45">
      <c r="A148" s="321" t="s">
        <v>19</v>
      </c>
      <c r="B148" s="164">
        <f t="shared" si="3"/>
        <v>51.499699999999997</v>
      </c>
      <c r="C148" s="260">
        <f t="shared" si="0"/>
        <v>154.4991</v>
      </c>
      <c r="D148" s="19">
        <v>772.49549999999999</v>
      </c>
      <c r="E148" s="164">
        <f t="shared" si="1"/>
        <v>0.23408996666666668</v>
      </c>
      <c r="F148" s="260">
        <f t="shared" si="2"/>
        <v>0.7022699</v>
      </c>
      <c r="G148" s="19">
        <v>3.5113495000000001</v>
      </c>
      <c r="L148" s="218"/>
    </row>
    <row r="149" spans="1:15" ht="14.25" x14ac:dyDescent="0.45">
      <c r="A149" s="321" t="s">
        <v>20</v>
      </c>
      <c r="B149" s="164">
        <f t="shared" si="3"/>
        <v>88.778333333333322</v>
      </c>
      <c r="C149" s="260">
        <f t="shared" si="0"/>
        <v>266.33499999999998</v>
      </c>
      <c r="D149" s="19">
        <v>1331.675</v>
      </c>
      <c r="E149" s="164">
        <f t="shared" si="1"/>
        <v>0.58351033333333335</v>
      </c>
      <c r="F149" s="260">
        <f t="shared" si="2"/>
        <v>1.7505310000000001</v>
      </c>
      <c r="G149" s="19">
        <v>8.7526550000000007</v>
      </c>
      <c r="L149" s="218"/>
    </row>
    <row r="150" spans="1:15" ht="14.25" x14ac:dyDescent="0.45">
      <c r="A150" s="321" t="s">
        <v>21</v>
      </c>
      <c r="B150" s="164">
        <f t="shared" si="3"/>
        <v>127.02420000000001</v>
      </c>
      <c r="C150" s="260">
        <f t="shared" si="0"/>
        <v>381.07260000000002</v>
      </c>
      <c r="D150" s="19">
        <v>1905.3630000000001</v>
      </c>
      <c r="E150" s="164">
        <f t="shared" si="1"/>
        <v>0.51684133333333337</v>
      </c>
      <c r="F150" s="260">
        <f t="shared" si="2"/>
        <v>1.550524</v>
      </c>
      <c r="G150" s="19">
        <v>7.7526200000000003</v>
      </c>
      <c r="L150" s="218"/>
    </row>
    <row r="151" spans="1:15" ht="14.25" x14ac:dyDescent="0.45">
      <c r="A151" s="321" t="s">
        <v>22</v>
      </c>
      <c r="B151" s="164">
        <f t="shared" si="3"/>
        <v>41.719633333333327</v>
      </c>
      <c r="C151" s="260">
        <f t="shared" si="0"/>
        <v>125.15889999999999</v>
      </c>
      <c r="D151" s="19">
        <v>625.79449999999997</v>
      </c>
      <c r="E151" s="164">
        <f t="shared" si="1"/>
        <v>0.2976588</v>
      </c>
      <c r="F151" s="260">
        <f t="shared" si="2"/>
        <v>0.8929764</v>
      </c>
      <c r="G151" s="19">
        <v>4.4648820000000002</v>
      </c>
      <c r="L151" s="218"/>
    </row>
    <row r="152" spans="1:15" ht="14.25" x14ac:dyDescent="0.45">
      <c r="A152" s="321" t="s">
        <v>23</v>
      </c>
      <c r="B152" s="164">
        <f t="shared" si="3"/>
        <v>39.025366666666663</v>
      </c>
      <c r="C152" s="260">
        <f t="shared" si="0"/>
        <v>117.0761</v>
      </c>
      <c r="D152" s="19">
        <v>585.38049999999998</v>
      </c>
      <c r="E152" s="164">
        <f t="shared" si="1"/>
        <v>0.19188706666666666</v>
      </c>
      <c r="F152" s="260">
        <f t="shared" si="2"/>
        <v>0.57566119999999998</v>
      </c>
      <c r="G152" s="19">
        <v>2.8783059999999998</v>
      </c>
      <c r="L152" s="218"/>
    </row>
    <row r="153" spans="1:15" ht="14.25" x14ac:dyDescent="0.45">
      <c r="A153" s="321" t="s">
        <v>24</v>
      </c>
      <c r="B153" s="164">
        <f t="shared" si="3"/>
        <v>4.6463433333333333</v>
      </c>
      <c r="C153" s="260">
        <f t="shared" si="0"/>
        <v>13.939029999999999</v>
      </c>
      <c r="D153" s="19">
        <v>69.695149999999998</v>
      </c>
      <c r="E153" s="164">
        <f t="shared" si="1"/>
        <v>3.6905233333333336E-2</v>
      </c>
      <c r="F153" s="260">
        <f t="shared" si="2"/>
        <v>0.1107157</v>
      </c>
      <c r="G153" s="19">
        <v>0.55357849999999997</v>
      </c>
      <c r="L153" s="218"/>
    </row>
    <row r="154" spans="1:15" ht="14.25" x14ac:dyDescent="0.45">
      <c r="A154" s="4"/>
      <c r="B154" s="198"/>
      <c r="C154" s="198"/>
      <c r="D154" s="198"/>
      <c r="E154" s="198"/>
      <c r="F154" s="198"/>
      <c r="G154" s="198"/>
      <c r="L154" s="218"/>
    </row>
    <row r="155" spans="1:15" ht="14.25" x14ac:dyDescent="0.45">
      <c r="L155" s="218"/>
    </row>
    <row r="156" spans="1:15" ht="21" x14ac:dyDescent="0.65">
      <c r="A156" s="249" t="s">
        <v>169</v>
      </c>
      <c r="B156" s="250"/>
      <c r="C156" s="251"/>
      <c r="D156" s="251"/>
      <c r="E156" s="251"/>
      <c r="F156" s="251"/>
      <c r="G156" s="251"/>
      <c r="H156" s="251"/>
      <c r="I156" s="251"/>
      <c r="J156" s="251"/>
      <c r="L156" s="218"/>
    </row>
    <row r="157" spans="1:15" ht="21" x14ac:dyDescent="0.65">
      <c r="A157" s="29"/>
      <c r="B157" s="117"/>
      <c r="K157" s="218" t="s">
        <v>239</v>
      </c>
      <c r="L157" s="218"/>
    </row>
    <row r="158" spans="1:15" ht="14.25" x14ac:dyDescent="0.45">
      <c r="A158" s="7" t="s">
        <v>210</v>
      </c>
      <c r="B158" s="6"/>
      <c r="C158" s="80"/>
      <c r="D158" s="178">
        <v>0.5</v>
      </c>
      <c r="K158" s="218" t="s">
        <v>408</v>
      </c>
      <c r="L158" s="218"/>
    </row>
    <row r="159" spans="1:15" ht="14.25" x14ac:dyDescent="0.45">
      <c r="A159" s="7" t="s">
        <v>395</v>
      </c>
      <c r="B159" s="6"/>
      <c r="C159" s="80"/>
      <c r="E159" s="178">
        <v>0.25</v>
      </c>
      <c r="K159" s="218" t="s">
        <v>373</v>
      </c>
      <c r="L159" s="218"/>
    </row>
    <row r="160" spans="1:15" ht="14.25" x14ac:dyDescent="0.45">
      <c r="A160" s="124" t="s">
        <v>170</v>
      </c>
      <c r="K160" s="376"/>
      <c r="L160" s="375"/>
      <c r="M160"/>
      <c r="N160"/>
      <c r="O160" s="218"/>
    </row>
    <row r="161" spans="1:15" ht="14.25" x14ac:dyDescent="0.45">
      <c r="A161" s="199" t="s">
        <v>214</v>
      </c>
      <c r="K161" s="376"/>
      <c r="L161" s="375"/>
      <c r="M161"/>
      <c r="N161"/>
      <c r="O161" s="218"/>
    </row>
    <row r="162" spans="1:15" ht="14.25" x14ac:dyDescent="0.45">
      <c r="C162" s="169" t="s">
        <v>213</v>
      </c>
      <c r="K162" s="377"/>
      <c r="L162" s="378"/>
      <c r="M162"/>
      <c r="N162"/>
      <c r="O162" s="218"/>
    </row>
    <row r="163" spans="1:15" ht="14.25" x14ac:dyDescent="0.45">
      <c r="A163" s="124"/>
      <c r="C163" s="356" t="s">
        <v>174</v>
      </c>
      <c r="D163" s="357" t="s">
        <v>88</v>
      </c>
      <c r="E163" s="358" t="s">
        <v>209</v>
      </c>
      <c r="K163" s="375"/>
      <c r="L163" s="375"/>
      <c r="M163"/>
      <c r="N163"/>
      <c r="O163" s="218"/>
    </row>
    <row r="164" spans="1:15" ht="14.25" x14ac:dyDescent="0.45">
      <c r="A164" s="6" t="s">
        <v>10</v>
      </c>
      <c r="B164" s="6"/>
      <c r="C164" s="40">
        <v>7879</v>
      </c>
      <c r="D164" s="125">
        <f t="shared" ref="D164:D179" si="4">C164*$D$158</f>
        <v>3939.5</v>
      </c>
      <c r="E164" s="261">
        <f>SUM(C164*$E$159)</f>
        <v>1969.75</v>
      </c>
      <c r="F164" s="78"/>
      <c r="K164" s="379"/>
      <c r="L164" s="380"/>
      <c r="M164"/>
      <c r="N164"/>
      <c r="O164" s="218"/>
    </row>
    <row r="165" spans="1:15" ht="14.25" x14ac:dyDescent="0.45">
      <c r="A165" s="6" t="s">
        <v>11</v>
      </c>
      <c r="B165" s="6"/>
      <c r="C165" s="40">
        <v>14279</v>
      </c>
      <c r="D165" s="125">
        <f t="shared" si="4"/>
        <v>7139.5</v>
      </c>
      <c r="E165" s="261">
        <f t="shared" ref="E165:E179" si="5">SUM(C165*$E$159)</f>
        <v>3569.75</v>
      </c>
      <c r="F165" s="78"/>
      <c r="K165" s="379"/>
      <c r="L165" s="380"/>
      <c r="M165"/>
      <c r="N165"/>
      <c r="O165" s="218"/>
    </row>
    <row r="166" spans="1:15" ht="14.25" x14ac:dyDescent="0.45">
      <c r="A166" s="6" t="s">
        <v>12</v>
      </c>
      <c r="B166" s="6"/>
      <c r="C166" s="40">
        <v>5394</v>
      </c>
      <c r="D166" s="125">
        <f t="shared" si="4"/>
        <v>2697</v>
      </c>
      <c r="E166" s="261">
        <f t="shared" si="5"/>
        <v>1348.5</v>
      </c>
      <c r="F166" s="78"/>
      <c r="K166" s="379"/>
      <c r="L166" s="380"/>
      <c r="M166"/>
      <c r="N166"/>
      <c r="O166" s="218"/>
    </row>
    <row r="167" spans="1:15" ht="14.25" x14ac:dyDescent="0.45">
      <c r="A167" s="6" t="s">
        <v>13</v>
      </c>
      <c r="B167" s="6"/>
      <c r="C167" s="40">
        <v>2544</v>
      </c>
      <c r="D167" s="125">
        <f>C167*$D$158</f>
        <v>1272</v>
      </c>
      <c r="E167" s="261">
        <f>SUM(C167*$E$159)</f>
        <v>636</v>
      </c>
      <c r="F167" s="78"/>
      <c r="K167" s="379"/>
      <c r="L167" s="380"/>
      <c r="M167"/>
      <c r="N167"/>
      <c r="O167" s="218"/>
    </row>
    <row r="168" spans="1:15" ht="14.25" x14ac:dyDescent="0.45">
      <c r="A168" s="6" t="s">
        <v>208</v>
      </c>
      <c r="B168" s="6"/>
      <c r="C168" s="40">
        <v>2797</v>
      </c>
      <c r="D168" s="125">
        <f>C168*$D$158</f>
        <v>1398.5</v>
      </c>
      <c r="E168" s="261">
        <f>SUM(C168*$E$159)</f>
        <v>699.25</v>
      </c>
      <c r="F168" s="78"/>
      <c r="K168" s="379"/>
      <c r="L168" s="380"/>
      <c r="M168"/>
      <c r="N168"/>
      <c r="O168" s="218"/>
    </row>
    <row r="169" spans="1:15" ht="14.25" x14ac:dyDescent="0.45">
      <c r="A169" s="6" t="s">
        <v>14</v>
      </c>
      <c r="B169" s="6"/>
      <c r="C169" s="40">
        <v>5397</v>
      </c>
      <c r="D169" s="125">
        <f t="shared" si="4"/>
        <v>2698.5</v>
      </c>
      <c r="E169" s="261">
        <f t="shared" si="5"/>
        <v>1349.25</v>
      </c>
      <c r="F169" s="78"/>
      <c r="K169" s="379"/>
      <c r="L169" s="380"/>
      <c r="M169"/>
      <c r="N169"/>
      <c r="O169" s="218"/>
    </row>
    <row r="170" spans="1:15" ht="14.25" x14ac:dyDescent="0.45">
      <c r="A170" s="6" t="s">
        <v>15</v>
      </c>
      <c r="B170" s="6"/>
      <c r="C170" s="40">
        <v>1417</v>
      </c>
      <c r="D170" s="125">
        <f t="shared" si="4"/>
        <v>708.5</v>
      </c>
      <c r="E170" s="261">
        <f t="shared" si="5"/>
        <v>354.25</v>
      </c>
      <c r="F170" s="78"/>
      <c r="K170" s="379"/>
      <c r="L170" s="380"/>
      <c r="M170"/>
      <c r="N170"/>
      <c r="O170" s="218"/>
    </row>
    <row r="171" spans="1:15" ht="14.25" x14ac:dyDescent="0.45">
      <c r="A171" s="6" t="s">
        <v>16</v>
      </c>
      <c r="B171" s="6"/>
      <c r="C171" s="40">
        <v>6260</v>
      </c>
      <c r="D171" s="125">
        <f t="shared" si="4"/>
        <v>3130</v>
      </c>
      <c r="E171" s="261">
        <f t="shared" si="5"/>
        <v>1565</v>
      </c>
      <c r="F171" s="78"/>
      <c r="K171" s="379"/>
      <c r="L171" s="380"/>
      <c r="M171"/>
      <c r="N171"/>
      <c r="O171" s="218"/>
    </row>
    <row r="172" spans="1:15" ht="14.25" x14ac:dyDescent="0.45">
      <c r="A172" s="6" t="s">
        <v>17</v>
      </c>
      <c r="B172" s="6"/>
      <c r="C172" s="40">
        <v>31686</v>
      </c>
      <c r="D172" s="125">
        <f t="shared" si="4"/>
        <v>15843</v>
      </c>
      <c r="E172" s="261">
        <f t="shared" si="5"/>
        <v>7921.5</v>
      </c>
      <c r="F172" s="78"/>
      <c r="K172" s="379"/>
      <c r="L172" s="380"/>
      <c r="M172"/>
      <c r="N172"/>
      <c r="O172" s="218"/>
    </row>
    <row r="173" spans="1:15" ht="14.25" x14ac:dyDescent="0.45">
      <c r="A173" s="6" t="s">
        <v>18</v>
      </c>
      <c r="B173" s="6"/>
      <c r="C173" s="40">
        <v>4339</v>
      </c>
      <c r="D173" s="125">
        <f t="shared" si="4"/>
        <v>2169.5</v>
      </c>
      <c r="E173" s="261">
        <f t="shared" si="5"/>
        <v>1084.75</v>
      </c>
      <c r="F173" s="78"/>
      <c r="K173" s="379"/>
      <c r="L173" s="380"/>
      <c r="M173"/>
      <c r="N173"/>
      <c r="O173" s="218"/>
    </row>
    <row r="174" spans="1:15" ht="14.25" x14ac:dyDescent="0.45">
      <c r="A174" s="6" t="s">
        <v>19</v>
      </c>
      <c r="B174" s="6"/>
      <c r="C174" s="40">
        <v>47908</v>
      </c>
      <c r="D174" s="125">
        <f t="shared" si="4"/>
        <v>23954</v>
      </c>
      <c r="E174" s="261">
        <f t="shared" si="5"/>
        <v>11977</v>
      </c>
      <c r="F174" s="78"/>
      <c r="K174" s="379"/>
      <c r="L174" s="380"/>
      <c r="M174"/>
      <c r="N174"/>
      <c r="O174" s="218"/>
    </row>
    <row r="175" spans="1:15" ht="14.25" x14ac:dyDescent="0.45">
      <c r="A175" s="6" t="s">
        <v>20</v>
      </c>
      <c r="B175" s="6"/>
      <c r="C175" s="40">
        <v>3827</v>
      </c>
      <c r="D175" s="125">
        <f t="shared" si="4"/>
        <v>1913.5</v>
      </c>
      <c r="E175" s="261">
        <f t="shared" si="5"/>
        <v>956.75</v>
      </c>
      <c r="F175" s="78"/>
      <c r="K175" s="379"/>
      <c r="L175" s="380"/>
      <c r="M175"/>
      <c r="N175"/>
      <c r="O175" s="218"/>
    </row>
    <row r="176" spans="1:15" ht="14.25" x14ac:dyDescent="0.45">
      <c r="A176" s="6" t="s">
        <v>21</v>
      </c>
      <c r="B176" s="6"/>
      <c r="C176" s="40">
        <v>3283</v>
      </c>
      <c r="D176" s="125">
        <f t="shared" si="4"/>
        <v>1641.5</v>
      </c>
      <c r="E176" s="261">
        <f t="shared" si="5"/>
        <v>820.75</v>
      </c>
      <c r="F176" s="78"/>
      <c r="K176" s="379"/>
      <c r="L176" s="380"/>
      <c r="M176"/>
      <c r="N176"/>
      <c r="O176" s="218"/>
    </row>
    <row r="177" spans="1:15" ht="14.25" x14ac:dyDescent="0.45">
      <c r="A177" s="6" t="s">
        <v>22</v>
      </c>
      <c r="B177" s="6"/>
      <c r="C177" s="40">
        <v>16185</v>
      </c>
      <c r="D177" s="125">
        <f t="shared" si="4"/>
        <v>8092.5</v>
      </c>
      <c r="E177" s="261">
        <f t="shared" si="5"/>
        <v>4046.25</v>
      </c>
      <c r="F177" s="78"/>
      <c r="K177" s="379"/>
      <c r="L177" s="380"/>
      <c r="M177"/>
      <c r="N177"/>
      <c r="O177" s="218"/>
    </row>
    <row r="178" spans="1:15" ht="14.25" x14ac:dyDescent="0.45">
      <c r="A178" s="6" t="s">
        <v>23</v>
      </c>
      <c r="B178" s="6"/>
      <c r="C178" s="40">
        <v>84519</v>
      </c>
      <c r="D178" s="125">
        <f t="shared" si="4"/>
        <v>42259.5</v>
      </c>
      <c r="E178" s="261">
        <f t="shared" si="5"/>
        <v>21129.75</v>
      </c>
      <c r="F178" s="78"/>
      <c r="K178" s="379"/>
      <c r="L178" s="380"/>
      <c r="M178"/>
      <c r="N178"/>
      <c r="O178" s="218"/>
    </row>
    <row r="179" spans="1:15" ht="14.25" x14ac:dyDescent="0.45">
      <c r="A179" s="6" t="s">
        <v>24</v>
      </c>
      <c r="B179" s="6"/>
      <c r="C179" s="40">
        <v>23215</v>
      </c>
      <c r="D179" s="125">
        <f t="shared" si="4"/>
        <v>11607.5</v>
      </c>
      <c r="E179" s="261">
        <f t="shared" si="5"/>
        <v>5803.75</v>
      </c>
      <c r="F179" s="78"/>
      <c r="K179" s="379"/>
      <c r="L179" s="380"/>
      <c r="M179"/>
      <c r="N179"/>
      <c r="O179" s="218"/>
    </row>
    <row r="180" spans="1:15" ht="14.25" x14ac:dyDescent="0.45">
      <c r="A180" s="6"/>
      <c r="B180" s="6"/>
      <c r="L180" s="218"/>
    </row>
    <row r="181" spans="1:15" ht="14.25" x14ac:dyDescent="0.45">
      <c r="L181" s="218"/>
    </row>
    <row r="182" spans="1:15" ht="14.25" x14ac:dyDescent="0.45">
      <c r="L182" s="218"/>
    </row>
    <row r="183" spans="1:15" ht="14.25" x14ac:dyDescent="0.45">
      <c r="L183" s="218"/>
    </row>
    <row r="184" spans="1:15" ht="14.25" x14ac:dyDescent="0.45">
      <c r="L184" s="218"/>
    </row>
    <row r="185" spans="1:15" ht="14.25" x14ac:dyDescent="0.45">
      <c r="A185" s="307"/>
      <c r="B185" s="307"/>
      <c r="C185" s="308"/>
      <c r="D185" s="125"/>
      <c r="E185" s="125"/>
      <c r="F185" s="78"/>
      <c r="L185" s="218"/>
    </row>
    <row r="186" spans="1:15" ht="14.25" x14ac:dyDescent="0.45">
      <c r="A186" s="307"/>
      <c r="B186" s="307"/>
      <c r="C186" s="308"/>
      <c r="D186" s="125"/>
      <c r="E186" s="125"/>
      <c r="F186" s="78"/>
      <c r="L186" s="218"/>
    </row>
    <row r="187" spans="1:15" ht="15" customHeight="1" x14ac:dyDescent="0.45">
      <c r="L187" s="218"/>
    </row>
    <row r="188" spans="1:15" ht="15" customHeight="1" x14ac:dyDescent="0.45">
      <c r="L188" s="218"/>
    </row>
    <row r="189" spans="1:15" ht="15" customHeight="1" x14ac:dyDescent="0.45">
      <c r="L189" s="218"/>
    </row>
    <row r="190" spans="1:15" ht="15" customHeight="1" x14ac:dyDescent="0.45">
      <c r="L190" s="218"/>
    </row>
    <row r="191" spans="1:15" ht="15" customHeight="1" x14ac:dyDescent="0.45">
      <c r="L191" s="218"/>
    </row>
    <row r="192" spans="1:15" ht="15" customHeight="1" x14ac:dyDescent="0.45">
      <c r="L192" s="218"/>
    </row>
    <row r="193" spans="12:12" ht="15" customHeight="1" x14ac:dyDescent="0.45">
      <c r="L193" s="218"/>
    </row>
    <row r="194" spans="12:12" ht="15" customHeight="1" x14ac:dyDescent="0.45">
      <c r="L194" s="218"/>
    </row>
    <row r="195" spans="12:12" ht="15" customHeight="1" x14ac:dyDescent="0.45">
      <c r="L195" s="218"/>
    </row>
    <row r="196" spans="12:12" ht="15" customHeight="1" x14ac:dyDescent="0.45">
      <c r="L196" s="218"/>
    </row>
    <row r="197" spans="12:12" ht="15" customHeight="1" x14ac:dyDescent="0.45">
      <c r="L197" s="218"/>
    </row>
    <row r="198" spans="12:12" ht="15" customHeight="1" x14ac:dyDescent="0.45">
      <c r="L198" s="218"/>
    </row>
    <row r="199" spans="12:12" ht="15" customHeight="1" x14ac:dyDescent="0.45">
      <c r="L199" s="218"/>
    </row>
    <row r="200" spans="12:12" ht="15" customHeight="1" x14ac:dyDescent="0.45">
      <c r="L200" s="218"/>
    </row>
    <row r="201" spans="12:12" ht="15" customHeight="1" x14ac:dyDescent="0.45">
      <c r="L201" s="218"/>
    </row>
    <row r="202" spans="12:12" ht="15" customHeight="1" x14ac:dyDescent="0.45">
      <c r="L202" s="218"/>
    </row>
    <row r="203" spans="12:12" ht="15" customHeight="1" x14ac:dyDescent="0.45">
      <c r="L203" s="218"/>
    </row>
    <row r="204" spans="12:12" ht="15" customHeight="1" x14ac:dyDescent="0.45">
      <c r="L204" s="218"/>
    </row>
    <row r="205" spans="12:12" ht="15" customHeight="1" x14ac:dyDescent="0.45">
      <c r="L205" s="218"/>
    </row>
    <row r="206" spans="12:12" ht="15" customHeight="1" x14ac:dyDescent="0.45">
      <c r="L206" s="218"/>
    </row>
    <row r="207" spans="12:12" ht="15" customHeight="1" x14ac:dyDescent="0.45">
      <c r="L207" s="218"/>
    </row>
    <row r="208" spans="12:12" ht="15" customHeight="1" x14ac:dyDescent="0.45">
      <c r="L208" s="218"/>
    </row>
    <row r="209" spans="12:12" ht="15" customHeight="1" x14ac:dyDescent="0.45">
      <c r="L209" s="218"/>
    </row>
    <row r="210" spans="12:12" ht="15" customHeight="1" x14ac:dyDescent="0.45">
      <c r="L210" s="218"/>
    </row>
    <row r="211" spans="12:12" ht="15" customHeight="1" x14ac:dyDescent="0.45">
      <c r="L211" s="218"/>
    </row>
    <row r="212" spans="12:12" ht="15" customHeight="1" x14ac:dyDescent="0.45">
      <c r="L212" s="218"/>
    </row>
    <row r="213" spans="12:12" ht="15" customHeight="1" x14ac:dyDescent="0.45">
      <c r="L213" s="218"/>
    </row>
    <row r="214" spans="12:12" ht="15" customHeight="1" x14ac:dyDescent="0.45">
      <c r="L214" s="218"/>
    </row>
    <row r="215" spans="12:12" ht="15" customHeight="1" x14ac:dyDescent="0.45">
      <c r="L215" s="218"/>
    </row>
    <row r="216" spans="12:12" ht="15" customHeight="1" x14ac:dyDescent="0.45">
      <c r="L216" s="218"/>
    </row>
    <row r="217" spans="12:12" ht="15" customHeight="1" x14ac:dyDescent="0.45">
      <c r="L217" s="218"/>
    </row>
    <row r="218" spans="12:12" ht="15" customHeight="1" x14ac:dyDescent="0.45">
      <c r="L218" s="218"/>
    </row>
    <row r="219" spans="12:12" ht="15" customHeight="1" x14ac:dyDescent="0.45">
      <c r="L219" s="218"/>
    </row>
    <row r="220" spans="12:12" ht="15" customHeight="1" x14ac:dyDescent="0.45">
      <c r="L220" s="218"/>
    </row>
    <row r="221" spans="12:12" ht="15" customHeight="1" x14ac:dyDescent="0.45">
      <c r="L221" s="218"/>
    </row>
    <row r="222" spans="12:12" ht="15" customHeight="1" x14ac:dyDescent="0.45">
      <c r="L222" s="218"/>
    </row>
    <row r="223" spans="12:12" ht="15" customHeight="1" x14ac:dyDescent="0.45">
      <c r="L223" s="218"/>
    </row>
    <row r="224" spans="12:12" ht="15" customHeight="1" x14ac:dyDescent="0.45">
      <c r="L224" s="218"/>
    </row>
    <row r="225" spans="12:12" ht="15" customHeight="1" x14ac:dyDescent="0.45">
      <c r="L225" s="218"/>
    </row>
    <row r="226" spans="12:12" ht="15" customHeight="1" x14ac:dyDescent="0.45">
      <c r="L226" s="218"/>
    </row>
    <row r="227" spans="12:12" ht="15" customHeight="1" x14ac:dyDescent="0.45">
      <c r="L227" s="218"/>
    </row>
    <row r="228" spans="12:12" ht="15" customHeight="1" x14ac:dyDescent="0.45">
      <c r="L228" s="218"/>
    </row>
    <row r="229" spans="12:12" ht="15" customHeight="1" x14ac:dyDescent="0.45">
      <c r="L229" s="218"/>
    </row>
    <row r="230" spans="12:12" ht="15" customHeight="1" x14ac:dyDescent="0.45">
      <c r="L230" s="218"/>
    </row>
    <row r="231" spans="12:12" ht="15" customHeight="1" x14ac:dyDescent="0.45">
      <c r="L231" s="218"/>
    </row>
    <row r="232" spans="12:12" ht="15" customHeight="1" x14ac:dyDescent="0.45">
      <c r="L232" s="218"/>
    </row>
    <row r="233" spans="12:12" ht="15" customHeight="1" x14ac:dyDescent="0.45">
      <c r="L233" s="218"/>
    </row>
    <row r="234" spans="12:12" ht="15" customHeight="1" x14ac:dyDescent="0.45">
      <c r="L234" s="218"/>
    </row>
    <row r="235" spans="12:12" ht="15" customHeight="1" x14ac:dyDescent="0.45">
      <c r="L235" s="218"/>
    </row>
    <row r="236" spans="12:12" ht="15" customHeight="1" x14ac:dyDescent="0.45">
      <c r="L236" s="218"/>
    </row>
    <row r="237" spans="12:12" ht="15" customHeight="1" x14ac:dyDescent="0.45">
      <c r="L237" s="218"/>
    </row>
    <row r="238" spans="12:12" ht="15" customHeight="1" x14ac:dyDescent="0.45">
      <c r="L238" s="218"/>
    </row>
    <row r="239" spans="12:12" ht="15" customHeight="1" x14ac:dyDescent="0.45">
      <c r="L239" s="218"/>
    </row>
    <row r="240" spans="12:12" ht="15" customHeight="1" x14ac:dyDescent="0.45">
      <c r="L240" s="218"/>
    </row>
    <row r="241" spans="12:12" ht="15" customHeight="1" x14ac:dyDescent="0.45">
      <c r="L241" s="218"/>
    </row>
    <row r="242" spans="12:12" ht="15" customHeight="1" x14ac:dyDescent="0.45">
      <c r="L242" s="218"/>
    </row>
    <row r="243" spans="12:12" ht="15" customHeight="1" x14ac:dyDescent="0.45">
      <c r="L243" s="218"/>
    </row>
    <row r="244" spans="12:12" ht="15" customHeight="1" x14ac:dyDescent="0.45">
      <c r="L244" s="218"/>
    </row>
    <row r="245" spans="12:12" ht="15" customHeight="1" x14ac:dyDescent="0.45">
      <c r="L245" s="218"/>
    </row>
    <row r="246" spans="12:12" ht="15" customHeight="1" x14ac:dyDescent="0.45">
      <c r="L246" s="218"/>
    </row>
    <row r="247" spans="12:12" ht="15" customHeight="1" x14ac:dyDescent="0.45">
      <c r="L247" s="218"/>
    </row>
    <row r="248" spans="12:12" ht="15" customHeight="1" x14ac:dyDescent="0.45">
      <c r="L248" s="218"/>
    </row>
    <row r="249" spans="12:12" ht="15" customHeight="1" x14ac:dyDescent="0.45">
      <c r="L249" s="218"/>
    </row>
    <row r="250" spans="12:12" ht="15" customHeight="1" x14ac:dyDescent="0.45">
      <c r="L250" s="218"/>
    </row>
    <row r="251" spans="12:12" ht="15" customHeight="1" x14ac:dyDescent="0.45">
      <c r="L251" s="218"/>
    </row>
    <row r="252" spans="12:12" ht="15" customHeight="1" x14ac:dyDescent="0.45">
      <c r="L252" s="218"/>
    </row>
    <row r="253" spans="12:12" ht="15" customHeight="1" x14ac:dyDescent="0.45">
      <c r="L253" s="218"/>
    </row>
    <row r="254" spans="12:12" ht="15" customHeight="1" x14ac:dyDescent="0.45">
      <c r="L254" s="218"/>
    </row>
    <row r="255" spans="12:12" ht="15" customHeight="1" x14ac:dyDescent="0.45">
      <c r="L255" s="218"/>
    </row>
    <row r="256" spans="12:12" ht="15" customHeight="1" x14ac:dyDescent="0.45">
      <c r="L256" s="218"/>
    </row>
    <row r="257" spans="12:12" ht="15" customHeight="1" x14ac:dyDescent="0.45">
      <c r="L257" s="218"/>
    </row>
    <row r="258" spans="12:12" ht="15" customHeight="1" x14ac:dyDescent="0.45">
      <c r="L258" s="218"/>
    </row>
    <row r="259" spans="12:12" ht="15" customHeight="1" x14ac:dyDescent="0.45">
      <c r="L259" s="218"/>
    </row>
    <row r="260" spans="12:12" ht="15" customHeight="1" x14ac:dyDescent="0.45">
      <c r="L260" s="218"/>
    </row>
    <row r="261" spans="12:12" ht="15" customHeight="1" x14ac:dyDescent="0.45">
      <c r="L261" s="218"/>
    </row>
    <row r="262" spans="12:12" ht="15" customHeight="1" x14ac:dyDescent="0.45">
      <c r="L262" s="218"/>
    </row>
    <row r="263" spans="12:12" ht="15" customHeight="1" x14ac:dyDescent="0.45">
      <c r="L263" s="218"/>
    </row>
    <row r="264" spans="12:12" ht="15" customHeight="1" x14ac:dyDescent="0.45">
      <c r="L264" s="218"/>
    </row>
    <row r="265" spans="12:12" ht="15" customHeight="1" x14ac:dyDescent="0.45">
      <c r="L265" s="218"/>
    </row>
    <row r="266" spans="12:12" ht="15" customHeight="1" x14ac:dyDescent="0.45">
      <c r="L266" s="218"/>
    </row>
    <row r="267" spans="12:12" ht="15" customHeight="1" x14ac:dyDescent="0.45">
      <c r="L267" s="218"/>
    </row>
    <row r="268" spans="12:12" ht="15" customHeight="1" x14ac:dyDescent="0.45">
      <c r="L268" s="218"/>
    </row>
    <row r="269" spans="12:12" ht="15" customHeight="1" x14ac:dyDescent="0.45">
      <c r="L269" s="218"/>
    </row>
    <row r="270" spans="12:12" ht="15" customHeight="1" x14ac:dyDescent="0.45">
      <c r="L270" s="218"/>
    </row>
    <row r="271" spans="12:12" ht="15" customHeight="1" x14ac:dyDescent="0.45">
      <c r="L271" s="218"/>
    </row>
    <row r="272" spans="12:12" ht="15" customHeight="1" x14ac:dyDescent="0.45">
      <c r="L272" s="218"/>
    </row>
    <row r="273" spans="12:12" ht="15" customHeight="1" x14ac:dyDescent="0.45">
      <c r="L273" s="218"/>
    </row>
    <row r="274" spans="12:12" ht="15" customHeight="1" x14ac:dyDescent="0.45">
      <c r="L274" s="218"/>
    </row>
    <row r="275" spans="12:12" ht="15" customHeight="1" x14ac:dyDescent="0.45">
      <c r="L275" s="218"/>
    </row>
    <row r="276" spans="12:12" ht="15" customHeight="1" x14ac:dyDescent="0.45">
      <c r="L276" s="218"/>
    </row>
    <row r="277" spans="12:12" ht="15" customHeight="1" x14ac:dyDescent="0.45">
      <c r="L277" s="218"/>
    </row>
    <row r="278" spans="12:12" ht="15" customHeight="1" x14ac:dyDescent="0.45">
      <c r="L278" s="218"/>
    </row>
    <row r="279" spans="12:12" ht="15" customHeight="1" x14ac:dyDescent="0.45">
      <c r="L279" s="218"/>
    </row>
    <row r="280" spans="12:12" ht="15" customHeight="1" x14ac:dyDescent="0.45">
      <c r="L280" s="218"/>
    </row>
    <row r="281" spans="12:12" ht="15" customHeight="1" x14ac:dyDescent="0.45">
      <c r="L281" s="218"/>
    </row>
    <row r="282" spans="12:12" ht="15" customHeight="1" x14ac:dyDescent="0.45">
      <c r="L282" s="218"/>
    </row>
    <row r="283" spans="12:12" ht="15" customHeight="1" x14ac:dyDescent="0.45">
      <c r="L283" s="218"/>
    </row>
    <row r="284" spans="12:12" ht="15" customHeight="1" x14ac:dyDescent="0.45">
      <c r="L284" s="218"/>
    </row>
    <row r="285" spans="12:12" ht="15" customHeight="1" x14ac:dyDescent="0.45">
      <c r="L285" s="218"/>
    </row>
    <row r="286" spans="12:12" ht="15" customHeight="1" x14ac:dyDescent="0.45">
      <c r="L286" s="218"/>
    </row>
    <row r="287" spans="12:12" ht="15" customHeight="1" x14ac:dyDescent="0.45">
      <c r="L287" s="218"/>
    </row>
    <row r="288" spans="12:12" ht="15" customHeight="1" x14ac:dyDescent="0.45">
      <c r="L288" s="218"/>
    </row>
    <row r="289" spans="12:12" ht="15" customHeight="1" x14ac:dyDescent="0.45">
      <c r="L289" s="218"/>
    </row>
    <row r="290" spans="12:12" ht="15" customHeight="1" x14ac:dyDescent="0.45">
      <c r="L290" s="218"/>
    </row>
    <row r="291" spans="12:12" ht="15" customHeight="1" x14ac:dyDescent="0.45">
      <c r="L291" s="218"/>
    </row>
    <row r="292" spans="12:12" ht="15" customHeight="1" x14ac:dyDescent="0.45">
      <c r="L292" s="218"/>
    </row>
    <row r="293" spans="12:12" ht="15" customHeight="1" x14ac:dyDescent="0.45">
      <c r="L293" s="218"/>
    </row>
    <row r="294" spans="12:12" ht="15" customHeight="1" x14ac:dyDescent="0.45">
      <c r="L294" s="218"/>
    </row>
    <row r="295" spans="12:12" ht="15" customHeight="1" x14ac:dyDescent="0.45">
      <c r="L295" s="218"/>
    </row>
    <row r="296" spans="12:12" ht="15" customHeight="1" x14ac:dyDescent="0.45">
      <c r="L296" s="218"/>
    </row>
    <row r="297" spans="12:12" ht="15" customHeight="1" x14ac:dyDescent="0.45">
      <c r="L297" s="218"/>
    </row>
    <row r="298" spans="12:12" ht="15" customHeight="1" x14ac:dyDescent="0.45">
      <c r="L298" s="218"/>
    </row>
    <row r="299" spans="12:12" ht="15" customHeight="1" x14ac:dyDescent="0.45">
      <c r="L299" s="218"/>
    </row>
    <row r="300" spans="12:12" ht="15" customHeight="1" x14ac:dyDescent="0.45">
      <c r="L300" s="218"/>
    </row>
    <row r="301" spans="12:12" ht="15" customHeight="1" x14ac:dyDescent="0.45">
      <c r="L301" s="218"/>
    </row>
    <row r="302" spans="12:12" ht="15" customHeight="1" x14ac:dyDescent="0.45">
      <c r="L302" s="218"/>
    </row>
    <row r="303" spans="12:12" ht="15" customHeight="1" x14ac:dyDescent="0.45">
      <c r="L303" s="218"/>
    </row>
    <row r="304" spans="12:12" ht="15" customHeight="1" x14ac:dyDescent="0.45">
      <c r="L304" s="218"/>
    </row>
    <row r="305" spans="12:12" ht="15" customHeight="1" x14ac:dyDescent="0.45">
      <c r="L305" s="218"/>
    </row>
    <row r="306" spans="12:12" ht="15" customHeight="1" x14ac:dyDescent="0.45">
      <c r="L306" s="218"/>
    </row>
    <row r="307" spans="12:12" ht="15" customHeight="1" x14ac:dyDescent="0.45">
      <c r="L307" s="218"/>
    </row>
    <row r="308" spans="12:12" ht="15" customHeight="1" x14ac:dyDescent="0.45">
      <c r="L308" s="218"/>
    </row>
    <row r="309" spans="12:12" ht="15" customHeight="1" x14ac:dyDescent="0.45">
      <c r="L309" s="218"/>
    </row>
    <row r="310" spans="12:12" ht="15" customHeight="1" x14ac:dyDescent="0.45">
      <c r="L310" s="218"/>
    </row>
    <row r="311" spans="12:12" ht="15" customHeight="1" x14ac:dyDescent="0.45">
      <c r="L311" s="218"/>
    </row>
    <row r="312" spans="12:12" ht="15" customHeight="1" x14ac:dyDescent="0.45">
      <c r="L312" s="218"/>
    </row>
    <row r="313" spans="12:12" ht="15" customHeight="1" x14ac:dyDescent="0.45">
      <c r="L313" s="218"/>
    </row>
    <row r="314" spans="12:12" ht="15" customHeight="1" x14ac:dyDescent="0.45">
      <c r="L314" s="218"/>
    </row>
    <row r="315" spans="12:12" ht="15" customHeight="1" x14ac:dyDescent="0.45">
      <c r="L315" s="218"/>
    </row>
    <row r="316" spans="12:12" ht="15" customHeight="1" x14ac:dyDescent="0.45">
      <c r="L316" s="218"/>
    </row>
    <row r="317" spans="12:12" ht="15" customHeight="1" x14ac:dyDescent="0.45">
      <c r="L317" s="218"/>
    </row>
    <row r="318" spans="12:12" ht="15" customHeight="1" x14ac:dyDescent="0.45">
      <c r="L318" s="218"/>
    </row>
    <row r="319" spans="12:12" ht="15" customHeight="1" x14ac:dyDescent="0.45">
      <c r="L319" s="218"/>
    </row>
    <row r="320" spans="12:12" ht="15" customHeight="1" x14ac:dyDescent="0.45">
      <c r="L320" s="218"/>
    </row>
    <row r="321" spans="12:12" ht="15" customHeight="1" x14ac:dyDescent="0.45">
      <c r="L321" s="218"/>
    </row>
    <row r="322" spans="12:12" ht="15" customHeight="1" x14ac:dyDescent="0.45">
      <c r="L322" s="218"/>
    </row>
    <row r="323" spans="12:12" ht="15" customHeight="1" x14ac:dyDescent="0.45">
      <c r="L323" s="218"/>
    </row>
    <row r="324" spans="12:12" ht="15" customHeight="1" x14ac:dyDescent="0.45">
      <c r="L324" s="218"/>
    </row>
    <row r="325" spans="12:12" ht="15" customHeight="1" x14ac:dyDescent="0.45">
      <c r="L325" s="218"/>
    </row>
    <row r="326" spans="12:12" ht="15" customHeight="1" x14ac:dyDescent="0.45">
      <c r="L326" s="218"/>
    </row>
    <row r="327" spans="12:12" ht="15" customHeight="1" x14ac:dyDescent="0.45">
      <c r="L327" s="218"/>
    </row>
    <row r="328" spans="12:12" ht="15" customHeight="1" x14ac:dyDescent="0.45">
      <c r="L328" s="218"/>
    </row>
    <row r="329" spans="12:12" ht="15" customHeight="1" x14ac:dyDescent="0.45">
      <c r="L329" s="218"/>
    </row>
    <row r="330" spans="12:12" ht="15" customHeight="1" x14ac:dyDescent="0.45">
      <c r="L330" s="218"/>
    </row>
    <row r="331" spans="12:12" ht="15" customHeight="1" x14ac:dyDescent="0.45">
      <c r="L331" s="218"/>
    </row>
    <row r="332" spans="12:12" ht="15" customHeight="1" x14ac:dyDescent="0.45">
      <c r="L332" s="218"/>
    </row>
    <row r="333" spans="12:12" ht="15" customHeight="1" x14ac:dyDescent="0.45">
      <c r="L333" s="218"/>
    </row>
    <row r="334" spans="12:12" ht="15" customHeight="1" x14ac:dyDescent="0.45">
      <c r="L334" s="218"/>
    </row>
    <row r="335" spans="12:12" ht="15" customHeight="1" x14ac:dyDescent="0.45">
      <c r="L335" s="218"/>
    </row>
    <row r="336" spans="12:12" ht="15" customHeight="1" x14ac:dyDescent="0.45">
      <c r="L336" s="218"/>
    </row>
    <row r="337" spans="12:12" ht="15" customHeight="1" x14ac:dyDescent="0.45">
      <c r="L337" s="218"/>
    </row>
    <row r="338" spans="12:12" ht="15" customHeight="1" x14ac:dyDescent="0.45">
      <c r="L338" s="218"/>
    </row>
    <row r="339" spans="12:12" ht="15" customHeight="1" x14ac:dyDescent="0.45">
      <c r="L339" s="218"/>
    </row>
    <row r="340" spans="12:12" ht="15" customHeight="1" x14ac:dyDescent="0.45">
      <c r="L340" s="218"/>
    </row>
    <row r="341" spans="12:12" ht="15" customHeight="1" x14ac:dyDescent="0.45">
      <c r="L341" s="218"/>
    </row>
    <row r="342" spans="12:12" ht="15" customHeight="1" x14ac:dyDescent="0.45">
      <c r="L342" s="218"/>
    </row>
    <row r="343" spans="12:12" ht="15" customHeight="1" x14ac:dyDescent="0.45">
      <c r="L343" s="218"/>
    </row>
    <row r="344" spans="12:12" ht="15" customHeight="1" x14ac:dyDescent="0.45">
      <c r="L344" s="218"/>
    </row>
    <row r="345" spans="12:12" ht="15" customHeight="1" x14ac:dyDescent="0.45">
      <c r="L345" s="218"/>
    </row>
    <row r="346" spans="12:12" ht="15" customHeight="1" x14ac:dyDescent="0.45">
      <c r="L346" s="218"/>
    </row>
    <row r="347" spans="12:12" ht="15" customHeight="1" x14ac:dyDescent="0.45">
      <c r="L347" s="218"/>
    </row>
    <row r="348" spans="12:12" ht="15" customHeight="1" x14ac:dyDescent="0.45">
      <c r="L348" s="218"/>
    </row>
    <row r="349" spans="12:12" ht="15" customHeight="1" x14ac:dyDescent="0.45">
      <c r="L349" s="218"/>
    </row>
    <row r="350" spans="12:12" ht="15" customHeight="1" x14ac:dyDescent="0.45">
      <c r="L350" s="218"/>
    </row>
    <row r="351" spans="12:12" ht="15" customHeight="1" x14ac:dyDescent="0.45">
      <c r="L351" s="218"/>
    </row>
    <row r="352" spans="12:12" ht="15" customHeight="1" x14ac:dyDescent="0.45">
      <c r="L352" s="218"/>
    </row>
    <row r="353" spans="12:12" ht="15" customHeight="1" x14ac:dyDescent="0.45">
      <c r="L353" s="218"/>
    </row>
    <row r="354" spans="12:12" ht="15" customHeight="1" x14ac:dyDescent="0.45">
      <c r="L354" s="218"/>
    </row>
    <row r="355" spans="12:12" ht="15" customHeight="1" x14ac:dyDescent="0.45">
      <c r="L355" s="218"/>
    </row>
    <row r="356" spans="12:12" ht="15" customHeight="1" x14ac:dyDescent="0.45">
      <c r="L356" s="218"/>
    </row>
    <row r="357" spans="12:12" ht="15" customHeight="1" x14ac:dyDescent="0.45">
      <c r="L357" s="218"/>
    </row>
    <row r="358" spans="12:12" ht="15" customHeight="1" x14ac:dyDescent="0.45">
      <c r="L358" s="218"/>
    </row>
    <row r="359" spans="12:12" ht="15" customHeight="1" x14ac:dyDescent="0.45">
      <c r="L359" s="218"/>
    </row>
    <row r="360" spans="12:12" ht="15" customHeight="1" x14ac:dyDescent="0.45">
      <c r="L360" s="218"/>
    </row>
    <row r="361" spans="12:12" ht="15" customHeight="1" x14ac:dyDescent="0.45">
      <c r="L361" s="218"/>
    </row>
    <row r="362" spans="12:12" ht="15" customHeight="1" x14ac:dyDescent="0.45">
      <c r="L362" s="218"/>
    </row>
    <row r="363" spans="12:12" ht="15" customHeight="1" x14ac:dyDescent="0.45">
      <c r="L363" s="218"/>
    </row>
    <row r="364" spans="12:12" ht="15" customHeight="1" x14ac:dyDescent="0.45">
      <c r="L364" s="218"/>
    </row>
    <row r="365" spans="12:12" ht="15" customHeight="1" x14ac:dyDescent="0.45">
      <c r="L365" s="218"/>
    </row>
    <row r="366" spans="12:12" ht="15" customHeight="1" x14ac:dyDescent="0.45">
      <c r="L366" s="218"/>
    </row>
    <row r="367" spans="12:12" ht="15" customHeight="1" x14ac:dyDescent="0.45">
      <c r="L367" s="218"/>
    </row>
    <row r="368" spans="12:12" ht="15" customHeight="1" x14ac:dyDescent="0.45">
      <c r="L368" s="218"/>
    </row>
    <row r="369" spans="12:12" ht="15" customHeight="1" x14ac:dyDescent="0.45">
      <c r="L369" s="218"/>
    </row>
    <row r="370" spans="12:12" ht="15" customHeight="1" x14ac:dyDescent="0.45">
      <c r="L370" s="218"/>
    </row>
    <row r="371" spans="12:12" ht="15" customHeight="1" x14ac:dyDescent="0.45">
      <c r="L371" s="218"/>
    </row>
    <row r="372" spans="12:12" ht="15" customHeight="1" x14ac:dyDescent="0.45">
      <c r="L372" s="218"/>
    </row>
    <row r="373" spans="12:12" ht="15" customHeight="1" x14ac:dyDescent="0.45">
      <c r="L373" s="218"/>
    </row>
    <row r="374" spans="12:12" ht="15" customHeight="1" x14ac:dyDescent="0.45">
      <c r="L374" s="218"/>
    </row>
    <row r="375" spans="12:12" ht="15" customHeight="1" x14ac:dyDescent="0.45">
      <c r="L375" s="218"/>
    </row>
    <row r="376" spans="12:12" ht="15" customHeight="1" x14ac:dyDescent="0.45">
      <c r="L376" s="218"/>
    </row>
    <row r="377" spans="12:12" ht="15" customHeight="1" x14ac:dyDescent="0.45">
      <c r="L377" s="218"/>
    </row>
    <row r="378" spans="12:12" ht="15" customHeight="1" x14ac:dyDescent="0.45">
      <c r="L378" s="218"/>
    </row>
    <row r="379" spans="12:12" ht="15" customHeight="1" x14ac:dyDescent="0.45">
      <c r="L379" s="218"/>
    </row>
    <row r="380" spans="12:12" ht="15" customHeight="1" x14ac:dyDescent="0.45">
      <c r="L380" s="218"/>
    </row>
    <row r="381" spans="12:12" ht="15" customHeight="1" x14ac:dyDescent="0.45">
      <c r="L381" s="218"/>
    </row>
    <row r="382" spans="12:12" ht="15" customHeight="1" x14ac:dyDescent="0.45">
      <c r="L382" s="218"/>
    </row>
    <row r="383" spans="12:12" ht="15" customHeight="1" x14ac:dyDescent="0.45">
      <c r="L383" s="218"/>
    </row>
    <row r="384" spans="12:12" ht="15" customHeight="1" x14ac:dyDescent="0.45">
      <c r="L384" s="218"/>
    </row>
    <row r="385" spans="12:12" ht="15" customHeight="1" x14ac:dyDescent="0.45">
      <c r="L385" s="218"/>
    </row>
    <row r="386" spans="12:12" ht="15" customHeight="1" x14ac:dyDescent="0.45">
      <c r="L386" s="218"/>
    </row>
    <row r="387" spans="12:12" ht="15" customHeight="1" x14ac:dyDescent="0.45">
      <c r="L387" s="218"/>
    </row>
    <row r="388" spans="12:12" ht="15" customHeight="1" x14ac:dyDescent="0.45">
      <c r="L388" s="218"/>
    </row>
    <row r="389" spans="12:12" ht="15" customHeight="1" x14ac:dyDescent="0.45">
      <c r="L389" s="218"/>
    </row>
    <row r="390" spans="12:12" ht="15" customHeight="1" x14ac:dyDescent="0.45">
      <c r="L390" s="218"/>
    </row>
    <row r="391" spans="12:12" ht="15" customHeight="1" x14ac:dyDescent="0.45">
      <c r="L391" s="218"/>
    </row>
    <row r="392" spans="12:12" ht="15" customHeight="1" x14ac:dyDescent="0.45">
      <c r="L392" s="218"/>
    </row>
    <row r="393" spans="12:12" ht="15" customHeight="1" x14ac:dyDescent="0.45">
      <c r="L393" s="218"/>
    </row>
    <row r="394" spans="12:12" ht="15" customHeight="1" x14ac:dyDescent="0.45">
      <c r="L394" s="218"/>
    </row>
    <row r="395" spans="12:12" ht="15" customHeight="1" x14ac:dyDescent="0.45">
      <c r="L395" s="218"/>
    </row>
    <row r="396" spans="12:12" ht="15" customHeight="1" x14ac:dyDescent="0.45">
      <c r="L396" s="218"/>
    </row>
    <row r="397" spans="12:12" ht="15" customHeight="1" x14ac:dyDescent="0.45">
      <c r="L397" s="218"/>
    </row>
    <row r="398" spans="12:12" ht="15" customHeight="1" x14ac:dyDescent="0.45">
      <c r="L398" s="218"/>
    </row>
  </sheetData>
  <sheetProtection formatColumns="0" formatRows="0"/>
  <hyperlinks>
    <hyperlink ref="A96" r:id="rId1" display="https://comcom.govt.nz/__data/assets/pdf_file/0022/251626/2021-NZCC-3-Aurora-Energy-Limited-Electricity-Distribution-Customised-Price-Quality-Path-Determination-2021-with-IM-variations-31-March-2021.pdf" xr:uid="{A44DE032-ED9B-4B10-9399-958700006E5C}"/>
    <hyperlink ref="A105" r:id="rId2" xr:uid="{CA7A62E7-1047-4734-8766-8940AC76C259}"/>
    <hyperlink ref="A106" r:id="rId3" xr:uid="{B83726A3-C33C-4F79-995D-F444F9847372}"/>
    <hyperlink ref="A160" r:id="rId4" xr:uid="{417849C4-71CA-4ABE-902B-D26FB5D7A466}"/>
    <hyperlink ref="A161" r:id="rId5" xr:uid="{6939F4B6-A945-45E9-9C1C-BB5227BAB916}"/>
    <hyperlink ref="A115" r:id="rId6" xr:uid="{78665CCC-6BD4-4C18-94F6-2EC7B387D512}"/>
    <hyperlink ref="A110" r:id="rId7" xr:uid="{EA0AD493-7F87-4422-BFC4-D6838DA43BBD}"/>
    <hyperlink ref="A111" r:id="rId8" xr:uid="{9469FF29-2686-4898-B050-948E156EEF75}"/>
    <hyperlink ref="A139" r:id="rId9" xr:uid="{C7B837F0-65EA-4371-B0A0-5BEC32EBD466}"/>
    <hyperlink ref="A112" r:id="rId10" display="Final DPP3 model" xr:uid="{230D5F41-A072-46EE-BDAA-07F27EEBFE59}"/>
    <hyperlink ref="A136" r:id="rId11" display="Final DPP3 model" xr:uid="{8C29DB23-39E2-4284-A98A-399525B4CFE2}"/>
    <hyperlink ref="A135" r:id="rId12" xr:uid="{7A3DA44D-13E7-44CB-91B4-411A9E96F711}"/>
    <hyperlink ref="A134" r:id="rId13" display="EDB DPP determination 2020 (27 November 2019), Schedule 3.2, Table 3.2.1 (boundary values); Schedule 4, Table 4.1 (collar, target, cap)" xr:uid="{BCF9F112-1495-4E35-A5C8-B868AEB55FA8}"/>
  </hyperlinks>
  <pageMargins left="0.70866141732283472" right="0.70866141732283472" top="0.74803149606299213" bottom="0.74803149606299213" header="0.31496062992125984" footer="0.31496062992125984"/>
  <pageSetup paperSize="9" scale="55" fitToHeight="0" orientation="portrait" r:id="rId14"/>
  <headerFooter>
    <oddFooter>&amp;L&amp;F&amp;C&amp;A&amp;R&amp;P</oddFooter>
  </headerFooter>
  <rowBreaks count="1" manualBreakCount="1">
    <brk id="71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>
    <tabColor rgb="FF99988E"/>
    <pageSetUpPr fitToPage="1"/>
  </sheetPr>
  <dimension ref="A1:M239"/>
  <sheetViews>
    <sheetView showGridLines="0" zoomScale="91" zoomScaleNormal="91" zoomScaleSheetLayoutView="100" workbookViewId="0">
      <selection activeCell="K139" sqref="K139"/>
    </sheetView>
  </sheetViews>
  <sheetFormatPr defaultColWidth="9.1328125" defaultRowHeight="15" customHeight="1" x14ac:dyDescent="0.45"/>
  <cols>
    <col min="1" max="1" width="21.59765625" customWidth="1"/>
    <col min="2" max="2" width="48.3984375" customWidth="1"/>
    <col min="3" max="3" width="23.1328125" customWidth="1"/>
    <col min="4" max="4" width="18.86328125" customWidth="1"/>
    <col min="5" max="5" width="10.59765625" customWidth="1"/>
    <col min="6" max="6" width="17.59765625" customWidth="1"/>
    <col min="7" max="8" width="10.59765625" customWidth="1"/>
    <col min="9" max="10" width="13.86328125" customWidth="1"/>
    <col min="11" max="11" width="102.59765625" customWidth="1"/>
    <col min="12" max="12" width="2.73046875" customWidth="1"/>
  </cols>
  <sheetData>
    <row r="1" spans="1:13" ht="25.5" x14ac:dyDescent="0.75">
      <c r="A1" s="64" t="s">
        <v>274</v>
      </c>
      <c r="B1" s="64"/>
      <c r="I1" s="264" t="str">
        <f>Output!C5</f>
        <v>Alpine Energy</v>
      </c>
    </row>
    <row r="2" spans="1:13" ht="14.25" x14ac:dyDescent="0.45">
      <c r="A2" s="262" t="s">
        <v>331</v>
      </c>
      <c r="B2" s="263"/>
      <c r="C2" s="263"/>
      <c r="D2" s="263"/>
      <c r="E2" s="263"/>
      <c r="F2" s="263"/>
      <c r="G2" s="263"/>
      <c r="H2" s="263"/>
      <c r="I2" s="263"/>
    </row>
    <row r="3" spans="1:13" ht="14.25" x14ac:dyDescent="0.45">
      <c r="A3" s="262" t="s">
        <v>115</v>
      </c>
      <c r="B3" s="263"/>
      <c r="C3" s="263"/>
      <c r="D3" s="263"/>
      <c r="E3" s="263"/>
      <c r="F3" s="263"/>
      <c r="G3" s="263"/>
      <c r="H3" s="263"/>
      <c r="I3" s="263"/>
    </row>
    <row r="4" spans="1:13" ht="14.25" x14ac:dyDescent="0.45"/>
    <row r="5" spans="1:13" ht="14.25" x14ac:dyDescent="0.45"/>
    <row r="6" spans="1:13" ht="23.25" x14ac:dyDescent="0.7">
      <c r="A6" s="265" t="s">
        <v>4</v>
      </c>
      <c r="B6" s="226"/>
      <c r="C6" s="226"/>
      <c r="D6" s="226"/>
      <c r="E6" s="226"/>
      <c r="F6" s="226"/>
      <c r="G6" s="226"/>
      <c r="H6" s="226"/>
      <c r="I6" s="226"/>
      <c r="K6" s="320" t="s">
        <v>9</v>
      </c>
      <c r="M6" s="121"/>
    </row>
    <row r="7" spans="1:13" ht="14.25" x14ac:dyDescent="0.45">
      <c r="A7" s="266"/>
      <c r="B7" s="267"/>
      <c r="C7" s="268" t="s">
        <v>119</v>
      </c>
      <c r="D7" s="269" t="s">
        <v>31</v>
      </c>
      <c r="E7" s="269"/>
      <c r="F7" s="269"/>
      <c r="G7" s="269"/>
      <c r="H7" s="269"/>
      <c r="I7" s="269"/>
      <c r="K7" s="298"/>
    </row>
    <row r="8" spans="1:13" ht="14.25" x14ac:dyDescent="0.45">
      <c r="A8" s="287"/>
      <c r="B8" s="288"/>
      <c r="C8" s="289"/>
      <c r="D8" s="290"/>
      <c r="E8" s="290"/>
      <c r="F8" s="290"/>
      <c r="G8" s="290"/>
      <c r="H8" s="290"/>
      <c r="I8" s="290"/>
      <c r="K8" s="298"/>
    </row>
    <row r="9" spans="1:13" ht="21" x14ac:dyDescent="0.65">
      <c r="A9" s="291" t="s">
        <v>41</v>
      </c>
      <c r="B9" s="267"/>
      <c r="C9" s="268"/>
      <c r="D9" s="269"/>
      <c r="E9" s="269"/>
      <c r="F9" s="269"/>
      <c r="G9" s="269"/>
      <c r="H9" s="269"/>
      <c r="I9" s="269"/>
      <c r="K9" s="313"/>
    </row>
    <row r="10" spans="1:13" ht="14.25" x14ac:dyDescent="0.45">
      <c r="A10" s="6" t="str">
        <f>'Other Inputs'!A6</f>
        <v>Minutes per hour</v>
      </c>
      <c r="B10" s="6"/>
      <c r="C10" s="6" t="s">
        <v>34</v>
      </c>
      <c r="D10" s="18">
        <f>'Other Inputs'!C6</f>
        <v>60</v>
      </c>
      <c r="K10" s="313"/>
    </row>
    <row r="11" spans="1:13" ht="14.25" x14ac:dyDescent="0.45">
      <c r="A11" s="6" t="str">
        <f>'Other Inputs'!A7</f>
        <v>Hours per day</v>
      </c>
      <c r="B11" s="6"/>
      <c r="C11" s="6" t="s">
        <v>34</v>
      </c>
      <c r="D11" s="18">
        <f>'Other Inputs'!C7</f>
        <v>24</v>
      </c>
      <c r="K11" s="313"/>
    </row>
    <row r="12" spans="1:13" ht="14.25" x14ac:dyDescent="0.45">
      <c r="A12" s="6" t="str">
        <f>'Other Inputs'!A8</f>
        <v>Days per year</v>
      </c>
      <c r="B12" s="6"/>
      <c r="C12" s="6" t="s">
        <v>34</v>
      </c>
      <c r="D12" s="18">
        <f>'Other Inputs'!C8</f>
        <v>365</v>
      </c>
      <c r="K12" s="313"/>
    </row>
    <row r="13" spans="1:13" ht="14.25" x14ac:dyDescent="0.45">
      <c r="K13" s="313"/>
    </row>
    <row r="14" spans="1:13" ht="21" x14ac:dyDescent="0.65">
      <c r="A14" s="291" t="s">
        <v>52</v>
      </c>
      <c r="B14" s="267"/>
      <c r="C14" s="268"/>
      <c r="D14" s="269"/>
      <c r="E14" s="269"/>
      <c r="F14" s="269"/>
      <c r="G14" s="269"/>
      <c r="H14" s="269"/>
      <c r="I14" s="269"/>
      <c r="K14" s="313"/>
    </row>
    <row r="15" spans="1:13" ht="14.25" x14ac:dyDescent="0.45">
      <c r="A15" s="7" t="str">
        <f>'Other Inputs'!A11</f>
        <v>Value of lost load</v>
      </c>
      <c r="B15" s="6"/>
      <c r="C15" s="6" t="s">
        <v>34</v>
      </c>
      <c r="D15" s="18">
        <f>'Other Inputs'!C11</f>
        <v>35305</v>
      </c>
      <c r="E15" s="78"/>
      <c r="K15" s="299" t="s">
        <v>363</v>
      </c>
    </row>
    <row r="16" spans="1:13" ht="14.25" x14ac:dyDescent="0.45">
      <c r="A16" s="7" t="str">
        <f>'Other Inputs'!A12</f>
        <v>IRIS retention rate</v>
      </c>
      <c r="B16" s="6"/>
      <c r="C16" s="6" t="s">
        <v>34</v>
      </c>
      <c r="D16" s="158">
        <f>'Other Inputs'!C12</f>
        <v>0.3216</v>
      </c>
      <c r="K16" s="299" t="s">
        <v>224</v>
      </c>
    </row>
    <row r="17" spans="1:11" ht="14.25" x14ac:dyDescent="0.45">
      <c r="A17" s="7" t="s">
        <v>316</v>
      </c>
      <c r="B17" s="6"/>
      <c r="C17" s="6" t="s">
        <v>34</v>
      </c>
      <c r="D17" s="82">
        <f>'Other Inputs'!C13</f>
        <v>0.9</v>
      </c>
      <c r="K17" s="299" t="s">
        <v>225</v>
      </c>
    </row>
    <row r="18" spans="1:11" ht="14.25" x14ac:dyDescent="0.45">
      <c r="A18" s="7" t="str">
        <f>'Other Inputs'!A14</f>
        <v>SAIFI weighting to reflect quality standard incentives</v>
      </c>
      <c r="B18" s="6"/>
      <c r="C18" s="6" t="s">
        <v>34</v>
      </c>
      <c r="D18" s="82">
        <f>'Other Inputs'!C14</f>
        <v>0</v>
      </c>
      <c r="K18" s="299" t="s">
        <v>375</v>
      </c>
    </row>
    <row r="19" spans="1:11" ht="14.25" x14ac:dyDescent="0.45">
      <c r="A19" s="7" t="str">
        <f>'Other Inputs'!A15</f>
        <v>Planned incentive - % of unplanned</v>
      </c>
      <c r="B19" s="6"/>
      <c r="C19" s="6" t="s">
        <v>34</v>
      </c>
      <c r="D19" s="159">
        <f>'Other Inputs'!C15</f>
        <v>0.5</v>
      </c>
      <c r="K19" s="299" t="s">
        <v>382</v>
      </c>
    </row>
    <row r="20" spans="1:11" ht="14.25" x14ac:dyDescent="0.45">
      <c r="A20" s="7" t="str">
        <f>'Other Inputs'!A16</f>
        <v>Notified interruptions incentive - % of unplanned</v>
      </c>
      <c r="B20" s="6"/>
      <c r="C20" s="6" t="s">
        <v>34</v>
      </c>
      <c r="D20" s="159">
        <f>'Other Inputs'!C16</f>
        <v>0.25</v>
      </c>
      <c r="K20" s="299" t="s">
        <v>383</v>
      </c>
    </row>
    <row r="21" spans="1:11" ht="14.25" x14ac:dyDescent="0.45">
      <c r="A21" s="7" t="str">
        <f>'Other Inputs'!A17</f>
        <v>Revenue at risk constraint</v>
      </c>
      <c r="B21" s="6"/>
      <c r="C21" s="6" t="s">
        <v>34</v>
      </c>
      <c r="D21" s="82">
        <f>'Other Inputs'!C17</f>
        <v>0.02</v>
      </c>
      <c r="K21" s="299" t="s">
        <v>226</v>
      </c>
    </row>
    <row r="22" spans="1:11" ht="14.25" x14ac:dyDescent="0.45">
      <c r="A22" s="7" t="str">
        <f>'Other Inputs'!A18</f>
        <v>Extreme event standard―SAIDI</v>
      </c>
      <c r="B22" s="6"/>
      <c r="C22" s="6" t="s">
        <v>34</v>
      </c>
      <c r="D22" s="18">
        <f>'Other Inputs'!C18</f>
        <v>120</v>
      </c>
      <c r="K22" s="299" t="s">
        <v>227</v>
      </c>
    </row>
    <row r="23" spans="1:11" ht="14.25" x14ac:dyDescent="0.45">
      <c r="A23" s="7" t="str">
        <f>'Other Inputs'!A19</f>
        <v>Extreme event standard―customer minutes</v>
      </c>
      <c r="B23" s="6"/>
      <c r="C23" s="6" t="s">
        <v>34</v>
      </c>
      <c r="D23" s="18">
        <f>'Other Inputs'!C19</f>
        <v>6000000</v>
      </c>
      <c r="K23" s="299" t="s">
        <v>227</v>
      </c>
    </row>
    <row r="24" spans="1:11" ht="14.25" x14ac:dyDescent="0.45">
      <c r="A24" s="7" t="str">
        <f>'Other Inputs'!A20</f>
        <v>Unplanned standard deviation multiplier</v>
      </c>
      <c r="B24" s="6"/>
      <c r="C24" s="6" t="s">
        <v>34</v>
      </c>
      <c r="D24" s="18">
        <f>'Other Inputs'!C20</f>
        <v>2</v>
      </c>
      <c r="K24" s="299" t="s">
        <v>384</v>
      </c>
    </row>
    <row r="25" spans="1:11" ht="14.25" x14ac:dyDescent="0.45">
      <c r="A25" s="7" t="str">
        <f>'Other Inputs'!A21</f>
        <v>Years in regulatory period</v>
      </c>
      <c r="B25" s="7"/>
      <c r="C25" s="6" t="s">
        <v>34</v>
      </c>
      <c r="D25" s="18">
        <f>'Other Inputs'!C21</f>
        <v>5</v>
      </c>
      <c r="K25" s="299" t="s">
        <v>385</v>
      </c>
    </row>
    <row r="26" spans="1:11" ht="14.25" x14ac:dyDescent="0.45">
      <c r="A26" s="7" t="str">
        <f>'Other Inputs'!A22</f>
        <v>Unplanned SAIDI % increase/decrease cap (for target and limit)</v>
      </c>
      <c r="B26" s="7"/>
      <c r="C26" s="6" t="s">
        <v>34</v>
      </c>
      <c r="D26" s="82">
        <f>'Other Inputs'!C22</f>
        <v>0.05</v>
      </c>
      <c r="K26" s="299" t="s">
        <v>386</v>
      </c>
    </row>
    <row r="27" spans="1:11" ht="14.25" x14ac:dyDescent="0.45">
      <c r="A27" s="7" t="str">
        <f>'Other Inputs'!A23</f>
        <v>Unplanned SAIFI % increase/decrease cap (for target and limit)</v>
      </c>
      <c r="B27" s="7"/>
      <c r="C27" s="6" t="s">
        <v>34</v>
      </c>
      <c r="D27" s="82">
        <f>'Other Inputs'!C23</f>
        <v>0.05</v>
      </c>
      <c r="K27" s="299" t="s">
        <v>386</v>
      </c>
    </row>
    <row r="28" spans="1:11" ht="14.25" x14ac:dyDescent="0.45">
      <c r="A28" s="7" t="str">
        <f>'Other Inputs'!A24</f>
        <v>Planned buffer added to SAIDI average</v>
      </c>
      <c r="B28" s="7"/>
      <c r="C28" s="6" t="s">
        <v>34</v>
      </c>
      <c r="D28" s="82">
        <f>'Other Inputs'!C24</f>
        <v>1</v>
      </c>
      <c r="K28" s="299" t="s">
        <v>389</v>
      </c>
    </row>
    <row r="29" spans="1:11" ht="14.25" x14ac:dyDescent="0.45">
      <c r="A29" s="7" t="str">
        <f>'Other Inputs'!A25</f>
        <v>Planned buffer added to SAIFI average</v>
      </c>
      <c r="B29" s="7"/>
      <c r="C29" s="6" t="s">
        <v>34</v>
      </c>
      <c r="D29" s="82">
        <f>'Other Inputs'!C25</f>
        <v>1</v>
      </c>
      <c r="K29" s="299" t="s">
        <v>388</v>
      </c>
    </row>
    <row r="30" spans="1:11" ht="15" customHeight="1" x14ac:dyDescent="0.45">
      <c r="A30" s="7" t="str">
        <f>'Other Inputs'!A26</f>
        <v>Planned SAIDI % increase/decrease cap (limit)</v>
      </c>
      <c r="B30" s="7"/>
      <c r="C30" s="6" t="s">
        <v>34</v>
      </c>
      <c r="D30" s="82">
        <f>'Other Inputs'!C26</f>
        <v>0.1</v>
      </c>
      <c r="K30" s="299" t="s">
        <v>387</v>
      </c>
    </row>
    <row r="31" spans="1:11" ht="14.25" x14ac:dyDescent="0.45">
      <c r="A31" s="7" t="str">
        <f>'Other Inputs'!A27</f>
        <v>Planned SAIFI % increase/decrease cap (limit)</v>
      </c>
      <c r="B31" s="7"/>
      <c r="C31" s="6" t="s">
        <v>34</v>
      </c>
      <c r="D31" s="82">
        <f>'Other Inputs'!C27</f>
        <v>0.1</v>
      </c>
      <c r="K31" s="299" t="s">
        <v>387</v>
      </c>
    </row>
    <row r="32" spans="1:11" ht="14.25" x14ac:dyDescent="0.45">
      <c r="K32" s="299" t="str">
        <f>IF(ISBLANK('Other Inputs'!K28),"",'Other Inputs'!K28)</f>
        <v/>
      </c>
    </row>
    <row r="33" spans="1:11" ht="21" x14ac:dyDescent="0.65">
      <c r="A33" s="291" t="s">
        <v>42</v>
      </c>
      <c r="B33" s="267"/>
      <c r="C33" s="268"/>
      <c r="D33" s="269"/>
      <c r="E33" s="269"/>
      <c r="F33" s="269"/>
      <c r="G33" s="269"/>
      <c r="H33" s="269"/>
      <c r="I33" s="269"/>
      <c r="K33" s="299"/>
    </row>
    <row r="34" spans="1:11" ht="24" customHeight="1" x14ac:dyDescent="0.65">
      <c r="A34" s="29"/>
      <c r="B34" s="29"/>
      <c r="C34" s="74"/>
      <c r="D34" s="74"/>
      <c r="E34" s="8">
        <f>'Other Inputs'!D33</f>
        <v>2022</v>
      </c>
      <c r="F34" s="8">
        <f>'Other Inputs'!E33</f>
        <v>2023</v>
      </c>
      <c r="G34" s="8">
        <f>'Other Inputs'!F33</f>
        <v>2024</v>
      </c>
      <c r="K34" s="313"/>
    </row>
    <row r="35" spans="1:11" ht="14.25" x14ac:dyDescent="0.45">
      <c r="A35" s="12" t="str">
        <f>'Other Inputs'!A30</f>
        <v>Energy delivered (GWh)</v>
      </c>
      <c r="B35" s="9"/>
      <c r="C35" s="6" t="s">
        <v>34</v>
      </c>
      <c r="D35" s="10"/>
      <c r="E35" s="18">
        <f>INDEX('Other Inputs'!D$34:D$49,MATCH($I$1,'Other Inputs'!$A$34:$A$49,0))</f>
        <v>772.40133364000008</v>
      </c>
      <c r="F35" s="18">
        <f>INDEX('Other Inputs'!E$34:E$49,MATCH($I$1,'Other Inputs'!$A$34:$A$49,0))</f>
        <v>812.16283171999999</v>
      </c>
      <c r="G35" s="83">
        <f>INDEX('Other Inputs'!F$34:F$49,MATCH($I$1,'Other Inputs'!$A$34:$A$49,0))</f>
        <v>892.36794562160003</v>
      </c>
      <c r="K35" s="314" t="s">
        <v>228</v>
      </c>
    </row>
    <row r="36" spans="1:11" ht="14.25" x14ac:dyDescent="0.45">
      <c r="A36" s="12" t="str">
        <f>'Other Inputs'!A51</f>
        <v>ICPs</v>
      </c>
      <c r="B36" s="9"/>
      <c r="C36" s="6" t="s">
        <v>34</v>
      </c>
      <c r="D36" s="10"/>
      <c r="E36" s="18">
        <f>INDEX('Other Inputs'!D$55:D$70,MATCH($I$1,'Other Inputs'!$A$55:$A$70,0))</f>
        <v>33269</v>
      </c>
      <c r="F36" s="18">
        <f>INDEX('Other Inputs'!E$55:E$70,MATCH($I$1,'Other Inputs'!$A$55:$A$70,0))</f>
        <v>33539</v>
      </c>
      <c r="G36" s="83">
        <f>INDEX('Other Inputs'!F$55:F$70,MATCH($I$1,'Other Inputs'!$A$55:$A$70,0))</f>
        <v>33883.178</v>
      </c>
      <c r="K36" s="314" t="s">
        <v>229</v>
      </c>
    </row>
    <row r="37" spans="1:11" ht="26.25" customHeight="1" x14ac:dyDescent="0.45">
      <c r="C37" s="74"/>
      <c r="D37" s="74"/>
      <c r="E37" s="220">
        <f>'Other Inputs'!D76</f>
        <v>2026</v>
      </c>
      <c r="F37" s="220">
        <f>'Other Inputs'!E76</f>
        <v>2027</v>
      </c>
      <c r="G37" s="220">
        <f>'Other Inputs'!F76</f>
        <v>2028</v>
      </c>
      <c r="H37" s="220">
        <f>'Other Inputs'!G76</f>
        <v>2029</v>
      </c>
      <c r="I37" s="220">
        <f>'Other Inputs'!H76</f>
        <v>2030</v>
      </c>
      <c r="J37" s="221"/>
      <c r="K37" s="313"/>
    </row>
    <row r="38" spans="1:11" ht="14.25" x14ac:dyDescent="0.45">
      <c r="A38" s="12" t="s">
        <v>63</v>
      </c>
      <c r="B38" s="9"/>
      <c r="C38" s="6" t="s">
        <v>34</v>
      </c>
      <c r="D38" s="24"/>
      <c r="E38" s="24">
        <f>IF($I$1="Aurora Energy",E40,E39)</f>
        <v>73359.825616923074</v>
      </c>
      <c r="F38" s="24">
        <f>IF($I$1="Aurora Energy",F40,F39)</f>
        <v>74827.022129261532</v>
      </c>
      <c r="G38" s="24">
        <f>IF($I$1="Aurora Energy",G40,G39)</f>
        <v>76323.562571846764</v>
      </c>
      <c r="H38" s="24">
        <f>IF($I$1="Aurora Energy",H40,H39)</f>
        <v>77850.03382328368</v>
      </c>
      <c r="I38" s="24">
        <f>IF($I$1="Aurora Energy",I40,I39)</f>
        <v>79407.034499749381</v>
      </c>
      <c r="J38" s="24"/>
      <c r="K38" s="299"/>
    </row>
    <row r="39" spans="1:11" ht="14.25" x14ac:dyDescent="0.45">
      <c r="A39" s="12" t="s">
        <v>323</v>
      </c>
      <c r="B39" s="9"/>
      <c r="C39" s="6" t="s">
        <v>34</v>
      </c>
      <c r="D39" s="24"/>
      <c r="E39" s="24">
        <f>IF(INDEX('Other Inputs'!D$76:D$98,MATCH($I$1,'Other Inputs'!$A$76:$A$98,0))=0,"",INDEX('Other Inputs'!D$76:D$98,MATCH($I$1,'Other Inputs'!$A$76:$A$98,0)))</f>
        <v>73359.825616923074</v>
      </c>
      <c r="F39" s="24">
        <f>IF(INDEX('Other Inputs'!E$76:E$98,MATCH($I$1,'Other Inputs'!$A$76:$A$98,0))=0,"",INDEX('Other Inputs'!E$76:E$98,MATCH($I$1,'Other Inputs'!$A$76:$A$98,0)))</f>
        <v>74827.022129261532</v>
      </c>
      <c r="G39" s="24">
        <f>IF(INDEX('Other Inputs'!F$76:F$98,MATCH($I$1,'Other Inputs'!$A$76:$A$98,0))=0,"",INDEX('Other Inputs'!F$76:F$98,MATCH($I$1,'Other Inputs'!$A$76:$A$98,0)))</f>
        <v>76323.562571846764</v>
      </c>
      <c r="H39" s="24">
        <f>IF(INDEX('Other Inputs'!G$76:G$98,MATCH($I$1,'Other Inputs'!$A$76:$A$98,0))=0,"",INDEX('Other Inputs'!G$76:G$98,MATCH($I$1,'Other Inputs'!$A$76:$A$98,0)))</f>
        <v>77850.03382328368</v>
      </c>
      <c r="I39" s="24">
        <f>IF(INDEX('Other Inputs'!H$76:H$98,MATCH($I$1,'Other Inputs'!$A$76:$A$98,0))=0,"",INDEX('Other Inputs'!H$76:H$98,MATCH($I$1,'Other Inputs'!$A$76:$A$98,0)))</f>
        <v>79407.034499749381</v>
      </c>
      <c r="J39" s="24"/>
      <c r="K39" s="299"/>
    </row>
    <row r="40" spans="1:11" ht="14.25" x14ac:dyDescent="0.45">
      <c r="A40" s="12" t="s">
        <v>324</v>
      </c>
      <c r="B40" s="9"/>
      <c r="C40" s="6" t="s">
        <v>34</v>
      </c>
      <c r="D40" s="24"/>
      <c r="E40" s="24">
        <f>'Other Inputs'!D98</f>
        <v>90867</v>
      </c>
      <c r="F40" s="24">
        <f>'Other Inputs'!E98</f>
        <v>153166.82724869979</v>
      </c>
      <c r="G40" s="24">
        <f>'Other Inputs'!F98</f>
        <v>156230.16379367377</v>
      </c>
      <c r="H40" s="24">
        <f>'Other Inputs'!G98</f>
        <v>159354.7670695472</v>
      </c>
      <c r="I40" s="24">
        <f>'Other Inputs'!H98</f>
        <v>162541.86241093822</v>
      </c>
      <c r="J40" s="24"/>
      <c r="K40" s="299"/>
    </row>
    <row r="41" spans="1:11" ht="14.25" x14ac:dyDescent="0.45">
      <c r="A41" s="12"/>
      <c r="B41" s="9"/>
      <c r="C41" s="6"/>
      <c r="D41" s="24"/>
      <c r="E41" s="24"/>
      <c r="F41" s="24"/>
      <c r="G41" s="24"/>
      <c r="H41" s="24"/>
      <c r="I41" s="24"/>
      <c r="J41" s="24"/>
      <c r="K41" s="299"/>
    </row>
    <row r="42" spans="1:11" ht="14.25" x14ac:dyDescent="0.45">
      <c r="A42" s="12" t="s">
        <v>217</v>
      </c>
      <c r="B42" s="9"/>
      <c r="C42" s="6" t="s">
        <v>34</v>
      </c>
      <c r="D42" s="18" cm="1">
        <f t="array" ref="D42">SUMPRODUCT('Other Inputs'!$C$164:$C$179*('Other Inputs'!$A$164:$A$179=$I$1))</f>
        <v>7879</v>
      </c>
      <c r="K42" s="299"/>
    </row>
    <row r="43" spans="1:11" ht="14.25" x14ac:dyDescent="0.45">
      <c r="A43" s="12" t="s">
        <v>218</v>
      </c>
      <c r="B43" s="9"/>
      <c r="C43" s="6" t="s">
        <v>34</v>
      </c>
      <c r="D43" s="18" cm="1">
        <f t="array" ref="D43">SUMPRODUCT('Other Inputs'!$D$164:$D$179*('Other Inputs'!$A$164:$A$179=$I$1))</f>
        <v>3939.5</v>
      </c>
      <c r="K43" s="299"/>
    </row>
    <row r="44" spans="1:11" ht="14.25" x14ac:dyDescent="0.45">
      <c r="A44" s="12" t="s">
        <v>219</v>
      </c>
      <c r="B44" s="9"/>
      <c r="C44" s="6" t="s">
        <v>34</v>
      </c>
      <c r="D44" s="18" cm="1">
        <f t="array" ref="D44">SUMPRODUCT('Other Inputs'!$E$164:$E$179*('Other Inputs'!$A$164:$A$179=$I$1))</f>
        <v>1969.75</v>
      </c>
      <c r="K44" s="299"/>
    </row>
    <row r="45" spans="1:11" ht="14.25" x14ac:dyDescent="0.45">
      <c r="K45" s="299" t="str">
        <f>IF(ISBLANK('Other Inputs'!K42),"",'Other Inputs'!K42)</f>
        <v/>
      </c>
    </row>
    <row r="46" spans="1:11" ht="18" x14ac:dyDescent="0.55000000000000004">
      <c r="A46" s="13" t="s">
        <v>129</v>
      </c>
      <c r="B46" s="13"/>
      <c r="G46" s="84"/>
      <c r="K46" s="299" t="s">
        <v>332</v>
      </c>
    </row>
    <row r="47" spans="1:11" ht="14.25" x14ac:dyDescent="0.45">
      <c r="A47" s="7" t="s">
        <v>330</v>
      </c>
      <c r="B47" s="22" t="str">
        <f>'Inputs from R'!B7</f>
        <v>SAIDI boundary value</v>
      </c>
      <c r="C47" s="7" t="s">
        <v>167</v>
      </c>
      <c r="D47" s="85" cm="1">
        <f t="array" ref="D47">SUMPRODUCT('Inputs from R'!$B$8:$K$23*('Inputs from R'!$A$8:$A$23=$I$1)*('Inputs from R'!$B$7:$K$7=$B47))</f>
        <v>8.4740548059999998</v>
      </c>
      <c r="K47" s="299" t="str">
        <f>IF(ISBLANK('Other Inputs'!K44),"",'Other Inputs'!K44)</f>
        <v/>
      </c>
    </row>
    <row r="48" spans="1:11" ht="14.25" x14ac:dyDescent="0.45">
      <c r="A48" s="7" t="s">
        <v>330</v>
      </c>
      <c r="B48" s="22" t="str">
        <f>'Inputs from R'!C7</f>
        <v>SAIDI average</v>
      </c>
      <c r="C48" s="7" t="s">
        <v>167</v>
      </c>
      <c r="D48" s="85" cm="1">
        <f t="array" ref="D48">SUMPRODUCT('Inputs from R'!$B$8:$K$23*('Inputs from R'!$A$8:$A$23=$I$1)*('Inputs from R'!$B$7:$K$7=$B48))</f>
        <v>81.603509259999996</v>
      </c>
      <c r="K48" s="299" t="str">
        <f>IF(ISBLANK('Other Inputs'!K45),"",'Other Inputs'!K45)</f>
        <v/>
      </c>
    </row>
    <row r="49" spans="1:11" ht="14.25" x14ac:dyDescent="0.45">
      <c r="A49" s="7" t="s">
        <v>330</v>
      </c>
      <c r="B49" s="22" t="str">
        <f>'Inputs from R'!D7</f>
        <v>SAIDI collar</v>
      </c>
      <c r="C49" s="7" t="s">
        <v>167</v>
      </c>
      <c r="D49" s="85" cm="1">
        <f t="array" ref="D49">SUMPRODUCT('Inputs from R'!$B$8:$K$23*('Inputs from R'!$A$8:$A$23=$I$1)*('Inputs from R'!$B$7:$K$7=$B49))</f>
        <v>0</v>
      </c>
      <c r="K49" s="299" t="str">
        <f>IF(ISBLANK('Other Inputs'!K46),"",'Other Inputs'!K46)</f>
        <v/>
      </c>
    </row>
    <row r="50" spans="1:11" ht="14.25" x14ac:dyDescent="0.45">
      <c r="A50" s="7" t="s">
        <v>330</v>
      </c>
      <c r="B50" s="22" t="str">
        <f>'Inputs from R'!E7</f>
        <v>SAIDI standard deviation</v>
      </c>
      <c r="C50" s="7" t="s">
        <v>167</v>
      </c>
      <c r="D50" s="85" cm="1">
        <f t="array" ref="D50">SUMPRODUCT('Inputs from R'!$B$8:$K$23*('Inputs from R'!$A$8:$A$23=$I$1)*('Inputs from R'!$B$7:$K$7=$B50))</f>
        <v>14.32325662</v>
      </c>
      <c r="K50" s="299" t="str">
        <f>IF(ISBLANK('Other Inputs'!K47),"",'Other Inputs'!K47)</f>
        <v/>
      </c>
    </row>
    <row r="51" spans="1:11" ht="14.25" x14ac:dyDescent="0.45">
      <c r="A51" s="7" t="s">
        <v>330</v>
      </c>
      <c r="B51" s="22" t="str">
        <f>'Inputs from R'!G7</f>
        <v>SAIFI boundary value</v>
      </c>
      <c r="C51" s="7" t="s">
        <v>167</v>
      </c>
      <c r="D51" s="85" cm="1">
        <f t="array" ref="D51">SUMPRODUCT('Inputs from R'!$B$8:$K$23*('Inputs from R'!$A$8:$A$23=$I$1)*('Inputs from R'!$B$7:$K$7=$B51))</f>
        <v>5.8004814000000002E-2</v>
      </c>
      <c r="K51" s="314"/>
    </row>
    <row r="52" spans="1:11" ht="14.25" x14ac:dyDescent="0.45">
      <c r="A52" s="7" t="s">
        <v>330</v>
      </c>
      <c r="B52" s="22" t="str">
        <f>'Inputs from R'!H7</f>
        <v>SAIFI average</v>
      </c>
      <c r="C52" s="7" t="s">
        <v>167</v>
      </c>
      <c r="D52" s="85" cm="1">
        <f t="array" ref="D52">SUMPRODUCT('Inputs from R'!$B$8:$K$23*('Inputs from R'!$A$8:$A$23=$I$1)*('Inputs from R'!$B$7:$K$7=$B52))</f>
        <v>0.70939561699999998</v>
      </c>
      <c r="K52" s="314"/>
    </row>
    <row r="53" spans="1:11" ht="14.25" x14ac:dyDescent="0.45">
      <c r="A53" s="7" t="s">
        <v>330</v>
      </c>
      <c r="B53" s="22" t="str">
        <f>'Inputs from R'!I7</f>
        <v>SAIFI collar</v>
      </c>
      <c r="C53" s="7" t="s">
        <v>167</v>
      </c>
      <c r="D53" s="85" cm="1">
        <f t="array" ref="D53">SUMPRODUCT('Inputs from R'!$B$8:$K$23*('Inputs from R'!$A$8:$A$23=$I$1)*('Inputs from R'!$B$7:$K$7=$B53))</f>
        <v>0</v>
      </c>
      <c r="K53" s="314"/>
    </row>
    <row r="54" spans="1:11" ht="14.25" x14ac:dyDescent="0.45">
      <c r="A54" s="7" t="s">
        <v>330</v>
      </c>
      <c r="B54" s="22" t="str">
        <f>'Inputs from R'!J7</f>
        <v>SAIFI standard deviation</v>
      </c>
      <c r="C54" s="7" t="s">
        <v>167</v>
      </c>
      <c r="D54" s="85" cm="1">
        <f t="array" ref="D54">SUMPRODUCT('Inputs from R'!$B$8:$K$23*('Inputs from R'!$A$8:$A$23=$I$1)*('Inputs from R'!$B$7:$K$7=$B54))</f>
        <v>0.115768091</v>
      </c>
      <c r="K54" s="314"/>
    </row>
    <row r="55" spans="1:11" ht="12.75" customHeight="1" x14ac:dyDescent="0.45">
      <c r="K55" s="314"/>
    </row>
    <row r="56" spans="1:11" ht="14.25" x14ac:dyDescent="0.45">
      <c r="A56" s="12" t="str">
        <f>'Other Inputs'!A109</f>
        <v>DPP3 unplanned</v>
      </c>
      <c r="B56" s="22" t="str">
        <f>'Other Inputs'!C113</f>
        <v>SAIDI target (DPP/CPP)</v>
      </c>
      <c r="C56" s="7" t="s">
        <v>34</v>
      </c>
      <c r="D56" s="85" cm="1">
        <f t="array" ref="D56">SUMPRODUCT('Other Inputs'!$B$114:$G$129*('Other Inputs'!$A$114:$A$129=$I$1)*('Other Inputs'!$B$113:$G$113=$B56))</f>
        <v>91.883598141831726</v>
      </c>
      <c r="K56" s="314"/>
    </row>
    <row r="57" spans="1:11" ht="14.25" x14ac:dyDescent="0.45">
      <c r="A57" s="12" t="str">
        <f>'Other Inputs'!A109</f>
        <v>DPP3 unplanned</v>
      </c>
      <c r="B57" s="22" t="str">
        <f>'Other Inputs'!F113</f>
        <v>SAIFI target (CPP/DPP)</v>
      </c>
      <c r="C57" s="7" t="s">
        <v>34</v>
      </c>
      <c r="D57" s="85">
        <f>SUMPRODUCT('Other Inputs'!$B$114:$G$129*('Other Inputs'!$A$114:$A$129=$I$1)*('Other Inputs'!$B$113:$G$113=$B57))</f>
        <v>0.90693486975096871</v>
      </c>
      <c r="K57" s="314"/>
    </row>
    <row r="58" spans="1:11" ht="14.25" x14ac:dyDescent="0.45">
      <c r="A58" s="12" t="str">
        <f>'Other Inputs'!A109</f>
        <v>DPP3 unplanned</v>
      </c>
      <c r="B58" s="22" t="str">
        <f>'Other Inputs'!D113</f>
        <v>SAIDI Limit (DPP/CPP)</v>
      </c>
      <c r="C58" s="7" t="s">
        <v>34</v>
      </c>
      <c r="D58" s="85">
        <f>SUMPRODUCT('Other Inputs'!$B$114:$G$129*('Other Inputs'!$A$114:$A$129=$I$1)*('Other Inputs'!$B$113:$G$113=$B58))</f>
        <v>124.70779814183172</v>
      </c>
      <c r="K58" s="315"/>
    </row>
    <row r="59" spans="1:11" ht="14.25" x14ac:dyDescent="0.45">
      <c r="A59" s="12" t="str">
        <f>'Other Inputs'!A109</f>
        <v>DPP3 unplanned</v>
      </c>
      <c r="B59" s="22" t="str">
        <f>'Other Inputs'!G113</f>
        <v>SAIFI Limit (DPP/CPP)</v>
      </c>
      <c r="C59" s="7" t="s">
        <v>34</v>
      </c>
      <c r="D59" s="85">
        <f>SUMPRODUCT('Other Inputs'!$B$114:$G$129*('Other Inputs'!$A$114:$A$129=$I$1)*('Other Inputs'!$B$113:$G$113=$B59))</f>
        <v>1.1970382697509687</v>
      </c>
      <c r="K59" s="315"/>
    </row>
    <row r="60" spans="1:11" ht="14.65" customHeight="1" x14ac:dyDescent="0.45">
      <c r="D60" s="21"/>
      <c r="K60" s="314"/>
    </row>
    <row r="61" spans="1:11" ht="18" x14ac:dyDescent="0.55000000000000004">
      <c r="A61" s="13" t="s">
        <v>130</v>
      </c>
      <c r="K61" s="299" t="s">
        <v>332</v>
      </c>
    </row>
    <row r="62" spans="1:11" ht="14.25" x14ac:dyDescent="0.45">
      <c r="A62" s="7" t="s">
        <v>330</v>
      </c>
      <c r="B62" s="22" t="str">
        <f>'Inputs from R'!B30</f>
        <v>SAIDI collar</v>
      </c>
      <c r="C62" s="7" t="s">
        <v>167</v>
      </c>
      <c r="D62" s="87">
        <f>SUMPRODUCT('Inputs from R'!$B$31:$I$46*('Inputs from R'!$A$31:$A$46=$I$1)*('Inputs from R'!$B$30:$I$30=$B62))</f>
        <v>0</v>
      </c>
      <c r="K62" s="314"/>
    </row>
    <row r="63" spans="1:11" ht="14.25" x14ac:dyDescent="0.45">
      <c r="A63" s="7" t="s">
        <v>330</v>
      </c>
      <c r="B63" s="22" t="str">
        <f>'Inputs from R'!C30</f>
        <v>SAIDI average</v>
      </c>
      <c r="C63" s="7" t="s">
        <v>167</v>
      </c>
      <c r="D63" s="87">
        <f>SUMPRODUCT('Inputs from R'!$B$31:$I$46*('Inputs from R'!$A$31:$A$46=$I$1)*('Inputs from R'!$B$30:$I$30=$B63))</f>
        <v>82.576725648242402</v>
      </c>
      <c r="K63" s="314"/>
    </row>
    <row r="64" spans="1:11" ht="14.25" x14ac:dyDescent="0.45">
      <c r="A64" s="7" t="s">
        <v>330</v>
      </c>
      <c r="B64" s="22" t="str">
        <f>'Inputs from R'!D30</f>
        <v>SAIDI cap</v>
      </c>
      <c r="C64" s="7" t="s">
        <v>167</v>
      </c>
      <c r="D64" s="87">
        <f>SUMPRODUCT('Inputs from R'!$B$31:$I$46*('Inputs from R'!$A$31:$A$46=$I$1)*('Inputs from R'!$B$30:$I$30=$B64))</f>
        <v>165.153451296485</v>
      </c>
      <c r="F64" s="78"/>
      <c r="K64" s="314" t="s">
        <v>333</v>
      </c>
    </row>
    <row r="65" spans="1:11" ht="14.25" x14ac:dyDescent="0.45">
      <c r="A65" s="7" t="s">
        <v>330</v>
      </c>
      <c r="B65" s="22" t="str">
        <f>'Inputs from R'!G30</f>
        <v>SAIFI average</v>
      </c>
      <c r="C65" s="7" t="s">
        <v>167</v>
      </c>
      <c r="D65" s="87">
        <f>SUMPRODUCT('Inputs from R'!$B$31:$I$46*('Inputs from R'!$A$31:$A$46=$I$1)*('Inputs from R'!$B$30:$I$30=$B65))</f>
        <v>0.25766648483507099</v>
      </c>
      <c r="F65" s="78"/>
      <c r="K65" s="314"/>
    </row>
    <row r="66" spans="1:11" ht="14.25" x14ac:dyDescent="0.45">
      <c r="A66" s="7" t="s">
        <v>330</v>
      </c>
      <c r="B66" s="22" t="str">
        <f>'Inputs from R'!H30</f>
        <v>SAIFI cap</v>
      </c>
      <c r="C66" s="7" t="s">
        <v>167</v>
      </c>
      <c r="D66" s="87">
        <f>SUMPRODUCT('Inputs from R'!$B$31:$I$46*('Inputs from R'!$A$31:$A$46=$I$1)*('Inputs from R'!$B$30:$I$30=$B66))</f>
        <v>0.51533296967014297</v>
      </c>
      <c r="K66" s="314" t="s">
        <v>333</v>
      </c>
    </row>
    <row r="67" spans="1:11" ht="14.25" x14ac:dyDescent="0.45">
      <c r="A67" s="21"/>
      <c r="B67" s="21"/>
      <c r="C67" s="21"/>
      <c r="D67" s="21"/>
      <c r="K67" s="314"/>
    </row>
    <row r="68" spans="1:11" ht="14.25" x14ac:dyDescent="0.45">
      <c r="A68" s="12" t="str">
        <f>'Other Inputs'!A133</f>
        <v>DPP3 planned</v>
      </c>
      <c r="B68" s="22" t="str">
        <f>'Other Inputs'!B137</f>
        <v>SAIDI target (DPP/CPP)</v>
      </c>
      <c r="C68" s="7" t="s">
        <v>34</v>
      </c>
      <c r="D68" s="85" cm="1">
        <f t="array" ref="D68">SUMPRODUCT('Other Inputs'!$B$138:$G$153*('Other Inputs'!$A$138:$A$153=$I$1)*('Other Inputs'!$B$137:$G$137=$B68))</f>
        <v>54.991233333333334</v>
      </c>
      <c r="K68" s="314"/>
    </row>
    <row r="69" spans="1:11" ht="14.65" customHeight="1" x14ac:dyDescent="0.45">
      <c r="A69" s="12" t="str">
        <f>'Other Inputs'!A133</f>
        <v>DPP3 planned</v>
      </c>
      <c r="B69" s="22" t="str">
        <f>'Other Inputs'!E137</f>
        <v>SAIFI target (CPP/DPP)</v>
      </c>
      <c r="C69" s="7" t="s">
        <v>34</v>
      </c>
      <c r="D69" s="85" cm="1">
        <f t="array" ref="D69">SUMPRODUCT('Other Inputs'!$B$138:$G$153*('Other Inputs'!$A$138:$A$153=$I$1)*('Other Inputs'!$B$137:$G$137=$B69))</f>
        <v>0.23286669999999998</v>
      </c>
      <c r="K69" s="314"/>
    </row>
    <row r="70" spans="1:11" ht="14.65" customHeight="1" x14ac:dyDescent="0.45">
      <c r="A70" s="12" t="str">
        <f>'Other Inputs'!A133</f>
        <v>DPP3 planned</v>
      </c>
      <c r="B70" s="22" t="str">
        <f>'Other Inputs'!C137</f>
        <v>SAIDI cap
(derived)</v>
      </c>
      <c r="C70" s="7" t="s">
        <v>34</v>
      </c>
      <c r="D70" s="85" cm="1">
        <f t="array" ref="D70">SUMPRODUCT('Other Inputs'!$B$138:$G$153*('Other Inputs'!$A$138:$A$153=$I$1)*('Other Inputs'!$B$137:$G$137=$B70))</f>
        <v>164.97370000000001</v>
      </c>
      <c r="K70" s="314"/>
    </row>
    <row r="71" spans="1:11" ht="14.65" customHeight="1" x14ac:dyDescent="0.45">
      <c r="A71" s="12" t="str">
        <f>'Other Inputs'!A133</f>
        <v>DPP3 planned</v>
      </c>
      <c r="B71" s="22" t="str">
        <f>'Other Inputs'!F137</f>
        <v>SAIFI cap
(derived)</v>
      </c>
      <c r="C71" s="7" t="s">
        <v>34</v>
      </c>
      <c r="D71" s="85" cm="1">
        <f t="array" ref="D71">SUMPRODUCT('Other Inputs'!$B$138:$G$153*('Other Inputs'!$A$138:$A$153=$I$1)*('Other Inputs'!$B$137:$G$137=$B71))</f>
        <v>0.69860009999999995</v>
      </c>
      <c r="K71" s="314"/>
    </row>
    <row r="72" spans="1:11" ht="14.65" customHeight="1" x14ac:dyDescent="0.45">
      <c r="A72" s="22"/>
      <c r="B72" s="22"/>
      <c r="C72" s="7"/>
      <c r="D72" s="85"/>
      <c r="F72" s="117"/>
      <c r="K72" s="314"/>
    </row>
    <row r="73" spans="1:11" ht="14.25" x14ac:dyDescent="0.45">
      <c r="A73" s="21"/>
      <c r="B73" s="21"/>
      <c r="C73" s="21"/>
      <c r="D73" s="21"/>
      <c r="K73" s="314"/>
    </row>
    <row r="74" spans="1:11" ht="23.25" x14ac:dyDescent="0.7">
      <c r="A74" s="265" t="s">
        <v>5</v>
      </c>
      <c r="B74" s="226"/>
      <c r="C74" s="292" t="s">
        <v>91</v>
      </c>
      <c r="D74" s="292" t="s">
        <v>92</v>
      </c>
      <c r="E74" s="226"/>
      <c r="F74" s="226"/>
      <c r="G74" s="226"/>
      <c r="H74" s="226"/>
      <c r="I74" s="226"/>
      <c r="K74" s="314"/>
    </row>
    <row r="75" spans="1:11" ht="14.25" x14ac:dyDescent="0.45">
      <c r="A75" s="20"/>
      <c r="B75" s="20"/>
      <c r="C75" s="7"/>
      <c r="D75" s="88"/>
      <c r="K75" s="314"/>
    </row>
    <row r="76" spans="1:11" ht="14.25" x14ac:dyDescent="0.45">
      <c r="A76" s="150" t="s">
        <v>142</v>
      </c>
      <c r="B76" s="20"/>
      <c r="C76" s="7" t="s">
        <v>46</v>
      </c>
      <c r="D76" s="94">
        <f>D10*D11*D12</f>
        <v>525600</v>
      </c>
      <c r="K76" s="314"/>
    </row>
    <row r="77" spans="1:11" ht="14.25" x14ac:dyDescent="0.45">
      <c r="A77" s="108"/>
      <c r="B77" s="108"/>
      <c r="C77" s="109"/>
      <c r="D77" s="110"/>
      <c r="K77" s="314"/>
    </row>
    <row r="78" spans="1:11" ht="21" x14ac:dyDescent="0.65">
      <c r="A78" s="293" t="s">
        <v>129</v>
      </c>
      <c r="B78" s="294"/>
      <c r="C78" s="295"/>
      <c r="D78" s="296"/>
      <c r="E78" s="271"/>
      <c r="F78" s="271"/>
      <c r="G78" s="271"/>
      <c r="H78" s="271"/>
      <c r="I78" s="271"/>
      <c r="K78" s="314" t="s">
        <v>232</v>
      </c>
    </row>
    <row r="79" spans="1:11" ht="14.25" x14ac:dyDescent="0.45">
      <c r="A79" s="145" t="s">
        <v>144</v>
      </c>
      <c r="B79" s="146"/>
      <c r="C79" t="s">
        <v>46</v>
      </c>
      <c r="D79" s="147">
        <f>D48</f>
        <v>81.603509259999996</v>
      </c>
      <c r="K79" s="197" t="s">
        <v>230</v>
      </c>
    </row>
    <row r="80" spans="1:11" ht="14.25" x14ac:dyDescent="0.45">
      <c r="A80" s="145" t="s">
        <v>180</v>
      </c>
      <c r="B80" s="146"/>
      <c r="C80" t="s">
        <v>46</v>
      </c>
      <c r="D80" s="148">
        <f>D24*D50</f>
        <v>28.646513240000001</v>
      </c>
      <c r="K80" s="197" t="str">
        <f>CONCATENATE("plus a buffer of ",D24, "x the standard deviation")</f>
        <v>plus a buffer of 2x the standard deviation</v>
      </c>
    </row>
    <row r="81" spans="1:11" ht="14.25" x14ac:dyDescent="0.45">
      <c r="A81" s="145" t="s">
        <v>181</v>
      </c>
      <c r="B81" s="146"/>
      <c r="C81" t="s">
        <v>46</v>
      </c>
      <c r="D81" s="148">
        <f>SUM(D79:D80)</f>
        <v>110.2500225</v>
      </c>
      <c r="K81" s="197" t="str">
        <f>CONCATENATE("equals ",A81)</f>
        <v>equals SAIDI unadjusted cap</v>
      </c>
    </row>
    <row r="82" spans="1:11" ht="14.25" x14ac:dyDescent="0.45">
      <c r="A82" s="20" t="s">
        <v>186</v>
      </c>
      <c r="B82" s="20"/>
      <c r="C82" s="7" t="s">
        <v>93</v>
      </c>
      <c r="D82" s="77">
        <f>IFERROR(D81/D58-1,0)</f>
        <v>-0.11593321233519582</v>
      </c>
      <c r="K82" s="197" t="s">
        <v>231</v>
      </c>
    </row>
    <row r="83" spans="1:11" ht="14.25" x14ac:dyDescent="0.45">
      <c r="A83" s="20" t="s">
        <v>187</v>
      </c>
      <c r="B83" s="20"/>
      <c r="C83" s="7" t="s">
        <v>93</v>
      </c>
      <c r="D83" s="135">
        <f>IF(D82&gt;D26,(1+D26)/(1+D82)-1,IF(D82&lt;-D26,(1-D26)/(1+D82)-1,0))</f>
        <v>7.4579447226327034E-2</v>
      </c>
      <c r="K83" s="197" t="str">
        <f>CONCATENATE("make scaling adjustment for +/- ",TEXT(D26,"0%"), " cap on interperiod movement")</f>
        <v>make scaling adjustment for +/- 5% cap on interperiod movement</v>
      </c>
    </row>
    <row r="84" spans="1:11" ht="14.25" x14ac:dyDescent="0.45">
      <c r="A84" s="151" t="s">
        <v>188</v>
      </c>
      <c r="B84" s="12"/>
      <c r="C84" s="7" t="s">
        <v>46</v>
      </c>
      <c r="D84" s="96">
        <f>D81*(1+D83)</f>
        <v>118.47240823474012</v>
      </c>
      <c r="K84" s="197" t="str">
        <f>_xlfn.CONCAT("This adjusts the ",A81," of the +/- ",TEXT(D26,"0%")," is reached")</f>
        <v>This adjusts the SAIDI unadjusted cap of the +/- 5% is reached</v>
      </c>
    </row>
    <row r="85" spans="1:11" ht="14.25" x14ac:dyDescent="0.45">
      <c r="A85" s="108"/>
      <c r="B85" s="108"/>
      <c r="C85" s="109"/>
      <c r="D85" s="110"/>
      <c r="K85" s="314" t="s">
        <v>232</v>
      </c>
    </row>
    <row r="86" spans="1:11" ht="14.25" x14ac:dyDescent="0.45">
      <c r="A86" s="145" t="s">
        <v>149</v>
      </c>
      <c r="B86" s="146"/>
      <c r="C86" s="7" t="s">
        <v>127</v>
      </c>
      <c r="D86" s="147">
        <f>D52</f>
        <v>0.70939561699999998</v>
      </c>
      <c r="K86" s="197" t="s">
        <v>230</v>
      </c>
    </row>
    <row r="87" spans="1:11" ht="14.25" x14ac:dyDescent="0.45">
      <c r="A87" s="145" t="s">
        <v>193</v>
      </c>
      <c r="B87" s="146"/>
      <c r="C87" s="7" t="s">
        <v>127</v>
      </c>
      <c r="D87" s="148">
        <f>D24*D54</f>
        <v>0.23153618200000001</v>
      </c>
      <c r="K87" s="197" t="str">
        <f>CONCATENATE("plus a buffer of ",D24, "x the standard deviation")</f>
        <v>plus a buffer of 2x the standard deviation</v>
      </c>
    </row>
    <row r="88" spans="1:11" ht="14.25" x14ac:dyDescent="0.45">
      <c r="A88" s="145" t="s">
        <v>194</v>
      </c>
      <c r="B88" s="146"/>
      <c r="C88" s="7" t="s">
        <v>127</v>
      </c>
      <c r="D88" s="148">
        <f>SUM(D86:D87)</f>
        <v>0.94093179900000001</v>
      </c>
      <c r="K88" s="197" t="str">
        <f>CONCATENATE("equals ",A88)</f>
        <v>equals SAIFI unadjusted cap</v>
      </c>
    </row>
    <row r="89" spans="1:11" ht="14.25" x14ac:dyDescent="0.45">
      <c r="A89" s="20" t="s">
        <v>197</v>
      </c>
      <c r="B89" s="20"/>
      <c r="C89" s="7" t="s">
        <v>93</v>
      </c>
      <c r="D89" s="77">
        <f>IFERROR(D88/D59-1,0)</f>
        <v>-0.21395011105555461</v>
      </c>
      <c r="K89" s="197" t="s">
        <v>231</v>
      </c>
    </row>
    <row r="90" spans="1:11" ht="14.25" x14ac:dyDescent="0.45">
      <c r="A90" s="20" t="s">
        <v>189</v>
      </c>
      <c r="B90" s="20"/>
      <c r="C90" s="7" t="s">
        <v>93</v>
      </c>
      <c r="D90" s="135">
        <f>IF(D89&gt;D27,(1+D27)/(1+D89)-1,IF(D89&lt;-D27,(1-D27)/(1+D89)-1,0))</f>
        <v>0.20857468891156072</v>
      </c>
      <c r="K90" s="197" t="str">
        <f>CONCATENATE("make scaling adjustment for +/- ",TEXT(D26,"0%"), " cap on interperiod movement")</f>
        <v>make scaling adjustment for +/- 5% cap on interperiod movement</v>
      </c>
    </row>
    <row r="91" spans="1:11" ht="14.25" x14ac:dyDescent="0.45">
      <c r="A91" s="151" t="s">
        <v>190</v>
      </c>
      <c r="B91" s="12"/>
      <c r="C91" s="7" t="s">
        <v>127</v>
      </c>
      <c r="D91" s="96">
        <f>D88*(1+D90)</f>
        <v>1.1371863562634201</v>
      </c>
      <c r="K91" s="197" t="str">
        <f>_xlfn.CONCAT("This adjusts the ",A88," if the +/- ",TEXT(D26,"0%")," is reached")</f>
        <v>This adjusts the SAIFI unadjusted cap if the +/- 5% is reached</v>
      </c>
    </row>
    <row r="92" spans="1:11" ht="14.25" x14ac:dyDescent="0.45">
      <c r="A92" s="108"/>
      <c r="B92" s="108"/>
      <c r="C92" s="109"/>
      <c r="D92" s="110"/>
      <c r="K92" s="314"/>
    </row>
    <row r="93" spans="1:11" ht="21" x14ac:dyDescent="0.65">
      <c r="A93" s="293" t="s">
        <v>130</v>
      </c>
      <c r="B93" s="297"/>
      <c r="C93" s="271"/>
      <c r="D93" s="271"/>
      <c r="E93" s="271"/>
      <c r="F93" s="271"/>
      <c r="G93" s="271"/>
      <c r="H93" s="271"/>
      <c r="I93" s="271"/>
      <c r="K93" s="314" t="s">
        <v>286</v>
      </c>
    </row>
    <row r="94" spans="1:11" s="146" customFormat="1" ht="14.25" x14ac:dyDescent="0.45">
      <c r="A94" s="145" t="s">
        <v>144</v>
      </c>
      <c r="C94" t="s">
        <v>46</v>
      </c>
      <c r="D94" s="147">
        <f>D63</f>
        <v>82.576725648242402</v>
      </c>
      <c r="E94" s="117"/>
      <c r="K94" s="197" t="s">
        <v>288</v>
      </c>
    </row>
    <row r="95" spans="1:11" s="146" customFormat="1" ht="14.25" x14ac:dyDescent="0.45">
      <c r="A95" s="145" t="s">
        <v>180</v>
      </c>
      <c r="C95" t="s">
        <v>46</v>
      </c>
      <c r="D95" s="148">
        <f>D94*D28</f>
        <v>82.576725648242402</v>
      </c>
      <c r="K95" s="197" t="str">
        <f>_xlfn.CONCAT(A28," set at ",TEXT(D28,"0%"))</f>
        <v>Planned buffer added to SAIDI average set at 100%</v>
      </c>
    </row>
    <row r="96" spans="1:11" s="146" customFormat="1" ht="14.25" x14ac:dyDescent="0.45">
      <c r="A96" s="145" t="s">
        <v>181</v>
      </c>
      <c r="C96" t="s">
        <v>46</v>
      </c>
      <c r="D96" s="148">
        <f>SUM(D94:D95)</f>
        <v>165.1534512964848</v>
      </c>
      <c r="K96" s="197" t="s">
        <v>289</v>
      </c>
    </row>
    <row r="97" spans="1:11" s="146" customFormat="1" ht="14.25" x14ac:dyDescent="0.45">
      <c r="A97" s="20" t="s">
        <v>183</v>
      </c>
      <c r="B97" s="20"/>
      <c r="C97" s="7" t="s">
        <v>93</v>
      </c>
      <c r="D97" s="77">
        <f>IFERROR(D96/D70-1,0)</f>
        <v>1.0895754686037762E-3</v>
      </c>
      <c r="K97" s="197" t="s">
        <v>231</v>
      </c>
    </row>
    <row r="98" spans="1:11" s="146" customFormat="1" ht="14.25" x14ac:dyDescent="0.45">
      <c r="A98" s="20" t="s">
        <v>184</v>
      </c>
      <c r="B98" s="20"/>
      <c r="C98" s="7" t="s">
        <v>93</v>
      </c>
      <c r="D98" s="135">
        <f>IF(D97&gt;D30,(1+D30)/(1+D97)-1,IF(D97&lt;-D30,(1-D30)/(1+D97)-1,0))</f>
        <v>0</v>
      </c>
      <c r="K98" s="197" t="str">
        <f>_xlfn.CONCAT("Make scaling adjustment necessary to reflect the +/-",TEXT(D30,"0%"),"  cap on movement from current standard")</f>
        <v>Make scaling adjustment necessary to reflect the +/-10%  cap on movement from current standard</v>
      </c>
    </row>
    <row r="99" spans="1:11" s="146" customFormat="1" ht="14.25" x14ac:dyDescent="0.45">
      <c r="A99" s="12" t="s">
        <v>185</v>
      </c>
      <c r="B99" s="20"/>
      <c r="C99" s="7" t="s">
        <v>46</v>
      </c>
      <c r="D99" s="216">
        <f>D96*(1+D98)</f>
        <v>165.1534512964848</v>
      </c>
      <c r="K99" s="197" t="str">
        <f>_xlfn.CONCAT("This adjusts the ",A96," if the +/- ",TEXT(D30,"0%")," is reached")</f>
        <v>This adjusts the SAIDI unadjusted cap if the +/- 10% is reached</v>
      </c>
    </row>
    <row r="100" spans="1:11" ht="14.25" x14ac:dyDescent="0.45">
      <c r="A100" s="150" t="s">
        <v>132</v>
      </c>
      <c r="C100" s="7" t="s">
        <v>46</v>
      </c>
      <c r="D100" s="88">
        <f>D99*D25</f>
        <v>825.76725648242405</v>
      </c>
      <c r="K100" s="197" t="s">
        <v>44</v>
      </c>
    </row>
    <row r="101" spans="1:11" ht="14.25" x14ac:dyDescent="0.45">
      <c r="A101" s="20"/>
      <c r="B101" s="20"/>
      <c r="C101" s="7"/>
      <c r="D101" s="88"/>
      <c r="K101" s="314" t="s">
        <v>287</v>
      </c>
    </row>
    <row r="102" spans="1:11" ht="14.25" x14ac:dyDescent="0.45">
      <c r="A102" s="145" t="s">
        <v>149</v>
      </c>
      <c r="B102" s="146"/>
      <c r="C102" s="7" t="s">
        <v>127</v>
      </c>
      <c r="D102" s="147">
        <f>D65</f>
        <v>0.25766648483507099</v>
      </c>
      <c r="K102" s="197" t="s">
        <v>288</v>
      </c>
    </row>
    <row r="103" spans="1:11" ht="14.25" x14ac:dyDescent="0.45">
      <c r="A103" s="145" t="s">
        <v>193</v>
      </c>
      <c r="B103" s="146"/>
      <c r="C103" s="7" t="s">
        <v>127</v>
      </c>
      <c r="D103" s="148">
        <f>D102*D29</f>
        <v>0.25766648483507099</v>
      </c>
      <c r="K103" s="197" t="str">
        <f>_xlfn.CONCAT(A28," set at ",TEXT(D28,"0%"))</f>
        <v>Planned buffer added to SAIDI average set at 100%</v>
      </c>
    </row>
    <row r="104" spans="1:11" ht="14.25" x14ac:dyDescent="0.45">
      <c r="A104" s="145" t="s">
        <v>194</v>
      </c>
      <c r="B104" s="146"/>
      <c r="C104" s="7" t="s">
        <v>127</v>
      </c>
      <c r="D104" s="148">
        <f>SUM(D102:D103)</f>
        <v>0.51533296967014197</v>
      </c>
      <c r="K104" s="197" t="s">
        <v>289</v>
      </c>
    </row>
    <row r="105" spans="1:11" ht="14.25" x14ac:dyDescent="0.45">
      <c r="A105" s="20" t="s">
        <v>191</v>
      </c>
      <c r="B105" s="20"/>
      <c r="C105" s="7" t="s">
        <v>93</v>
      </c>
      <c r="D105" s="77">
        <f>IFERROR(D104/D71-1,0)</f>
        <v>-0.26233481834580041</v>
      </c>
      <c r="K105" s="197" t="s">
        <v>231</v>
      </c>
    </row>
    <row r="106" spans="1:11" ht="14.25" x14ac:dyDescent="0.45">
      <c r="A106" s="20" t="s">
        <v>195</v>
      </c>
      <c r="B106" s="20"/>
      <c r="C106" s="7" t="s">
        <v>93</v>
      </c>
      <c r="D106" s="135">
        <f>IF(D105&gt;D31,(1+D31)/(1+D105)-1,IF(D105&lt;-D31,(1-D31)/(1+D105)-1,0))</f>
        <v>0.22006571867980518</v>
      </c>
      <c r="K106" s="197" t="str">
        <f>_xlfn.CONCAT("Make scaling adjustment necessary to reflect the +/-",TEXT(D30,"0%"),"  cap on movement from the current standard")</f>
        <v>Make scaling adjustment necessary to reflect the +/-10%  cap on movement from the current standard</v>
      </c>
    </row>
    <row r="107" spans="1:11" ht="14.25" x14ac:dyDescent="0.45">
      <c r="A107" s="12" t="s">
        <v>276</v>
      </c>
      <c r="B107" s="12"/>
      <c r="C107" s="7" t="s">
        <v>127</v>
      </c>
      <c r="D107" s="166">
        <f>D104*(1+D106)</f>
        <v>0.62874008999999997</v>
      </c>
      <c r="K107" s="197" t="str">
        <f>_xlfn.CONCAT("This adjusts the ",A104," if the +/- ",TEXT(D30,"0%")," is reached")</f>
        <v>This adjusts the SAIFI unadjusted cap if the +/- 10% is reached</v>
      </c>
    </row>
    <row r="108" spans="1:11" ht="14.25" x14ac:dyDescent="0.45">
      <c r="A108" s="150" t="s">
        <v>133</v>
      </c>
      <c r="B108" s="20"/>
      <c r="C108" s="7" t="s">
        <v>127</v>
      </c>
      <c r="D108" s="89">
        <f>D107*D25</f>
        <v>3.1437004499999999</v>
      </c>
      <c r="K108" s="314" t="s">
        <v>45</v>
      </c>
    </row>
    <row r="109" spans="1:11" ht="14.25" x14ac:dyDescent="0.45">
      <c r="A109" s="20"/>
      <c r="B109" s="20"/>
      <c r="C109" s="7"/>
      <c r="D109" s="89"/>
      <c r="K109" s="314"/>
    </row>
    <row r="110" spans="1:11" ht="21" x14ac:dyDescent="0.65">
      <c r="A110" s="293" t="s">
        <v>196</v>
      </c>
      <c r="B110" s="294"/>
      <c r="C110" s="295"/>
      <c r="D110" s="296"/>
      <c r="E110" s="271"/>
      <c r="F110" s="271"/>
      <c r="G110" s="271"/>
      <c r="H110" s="271"/>
      <c r="I110" s="271"/>
      <c r="K110" s="314"/>
    </row>
    <row r="111" spans="1:11" ht="14.25" x14ac:dyDescent="0.45">
      <c r="A111" s="150" t="s">
        <v>124</v>
      </c>
      <c r="B111" s="112"/>
      <c r="C111" s="7" t="str">
        <f>IF(D23/G36&lt;D22,"Customer minutes","SAIDI minutes")</f>
        <v>SAIDI minutes</v>
      </c>
      <c r="D111" s="94">
        <f>IF(G36&lt;D23/D22,D22,D23)</f>
        <v>120</v>
      </c>
      <c r="K111" s="314" t="s">
        <v>123</v>
      </c>
    </row>
    <row r="112" spans="1:11" ht="14.25" x14ac:dyDescent="0.45">
      <c r="A112" s="150" t="s">
        <v>125</v>
      </c>
      <c r="B112" s="112"/>
      <c r="C112" s="7" t="s">
        <v>126</v>
      </c>
      <c r="D112" s="113">
        <f>IF(D23/G36&lt;D22,D23/G36,D22)</f>
        <v>120</v>
      </c>
      <c r="K112" s="314" t="s">
        <v>168</v>
      </c>
    </row>
    <row r="113" spans="1:11" ht="14.25" x14ac:dyDescent="0.45">
      <c r="K113" s="314"/>
    </row>
    <row r="114" spans="1:11" ht="21" x14ac:dyDescent="0.65">
      <c r="A114" s="293" t="s">
        <v>317</v>
      </c>
      <c r="B114" s="294"/>
      <c r="C114" s="295"/>
      <c r="D114" s="296"/>
      <c r="E114" s="271"/>
      <c r="F114" s="271"/>
      <c r="G114" s="271"/>
      <c r="H114" s="271"/>
      <c r="I114" s="271"/>
      <c r="K114" s="323"/>
    </row>
    <row r="115" spans="1:11" ht="14.25" x14ac:dyDescent="0.45">
      <c r="A115" s="9" t="s">
        <v>368</v>
      </c>
      <c r="C115" s="7" t="s">
        <v>33</v>
      </c>
      <c r="D115" s="90">
        <f>AVERAGE(E36:G36)</f>
        <v>33563.726000000002</v>
      </c>
      <c r="K115" s="314" t="s">
        <v>136</v>
      </c>
    </row>
    <row r="116" spans="1:11" ht="14.25" x14ac:dyDescent="0.45">
      <c r="A116" s="9" t="s">
        <v>369</v>
      </c>
      <c r="B116" s="9"/>
      <c r="C116" s="7" t="s">
        <v>134</v>
      </c>
      <c r="D116" s="90">
        <f>AVERAGE(E35:G35)</f>
        <v>825.64403699386673</v>
      </c>
      <c r="K116" s="314" t="s">
        <v>137</v>
      </c>
    </row>
    <row r="117" spans="1:11" ht="14.25" x14ac:dyDescent="0.45">
      <c r="A117" s="12" t="s">
        <v>221</v>
      </c>
      <c r="B117" s="9"/>
      <c r="C117" s="7" t="s">
        <v>47</v>
      </c>
      <c r="D117" s="90">
        <f>D42</f>
        <v>7879</v>
      </c>
      <c r="K117" s="314" t="s">
        <v>367</v>
      </c>
    </row>
    <row r="118" spans="1:11" ht="14.25" x14ac:dyDescent="0.45">
      <c r="A118" s="12" t="s">
        <v>35</v>
      </c>
      <c r="B118" s="12"/>
      <c r="C118" s="7" t="s">
        <v>48</v>
      </c>
      <c r="D118" s="91">
        <f>D117/D115</f>
        <v>0.23474747708284829</v>
      </c>
      <c r="K118" s="314" t="s">
        <v>192</v>
      </c>
    </row>
    <row r="119" spans="1:11" ht="14.25" x14ac:dyDescent="0.45">
      <c r="A119" s="12" t="s">
        <v>59</v>
      </c>
      <c r="B119" s="12"/>
      <c r="C119" s="7" t="s">
        <v>87</v>
      </c>
      <c r="D119" s="92">
        <f>D117*D76/(D116*1000)</f>
        <v>5015.7237434644758</v>
      </c>
      <c r="K119" s="314" t="s">
        <v>135</v>
      </c>
    </row>
    <row r="120" spans="1:11" ht="14.25" x14ac:dyDescent="0.45">
      <c r="A120" s="9" t="s">
        <v>371</v>
      </c>
      <c r="B120" s="12"/>
      <c r="C120" s="7" t="s">
        <v>47</v>
      </c>
      <c r="D120" s="90">
        <f>D43</f>
        <v>3939.5</v>
      </c>
      <c r="K120" s="314" t="s">
        <v>233</v>
      </c>
    </row>
    <row r="121" spans="1:11" ht="14.25" x14ac:dyDescent="0.45">
      <c r="A121" s="12" t="s">
        <v>372</v>
      </c>
      <c r="B121" s="12"/>
      <c r="C121" s="7" t="s">
        <v>47</v>
      </c>
      <c r="D121" s="90">
        <f>D44</f>
        <v>1969.75</v>
      </c>
      <c r="K121" s="314" t="s">
        <v>234</v>
      </c>
    </row>
    <row r="122" spans="1:11" ht="14.25" x14ac:dyDescent="0.45">
      <c r="K122" s="314"/>
    </row>
    <row r="123" spans="1:11" ht="21" x14ac:dyDescent="0.65">
      <c r="A123" s="293" t="s">
        <v>318</v>
      </c>
      <c r="B123" s="294"/>
      <c r="C123" s="295"/>
      <c r="D123" s="296"/>
      <c r="E123" s="271"/>
      <c r="F123" s="271"/>
      <c r="G123" s="271"/>
      <c r="H123" s="271"/>
      <c r="I123" s="271"/>
      <c r="K123" s="314"/>
    </row>
    <row r="124" spans="1:11" ht="14.25" x14ac:dyDescent="0.45">
      <c r="A124" s="9" t="s">
        <v>26</v>
      </c>
      <c r="B124" s="9"/>
      <c r="C124" s="7" t="s">
        <v>49</v>
      </c>
      <c r="D124" s="93">
        <f>1/(D10*D11*D12)*1000</f>
        <v>1.9025875190258751E-3</v>
      </c>
      <c r="E124" s="120"/>
      <c r="K124" s="314" t="s">
        <v>366</v>
      </c>
    </row>
    <row r="125" spans="1:11" ht="14.25" x14ac:dyDescent="0.45">
      <c r="A125" s="9" t="s">
        <v>368</v>
      </c>
      <c r="B125" s="9"/>
      <c r="C125" s="7" t="s">
        <v>33</v>
      </c>
      <c r="D125" s="94">
        <f>AVERAGE(E36:G36)</f>
        <v>33563.726000000002</v>
      </c>
      <c r="K125" s="314" t="s">
        <v>136</v>
      </c>
    </row>
    <row r="126" spans="1:11" ht="14.25" x14ac:dyDescent="0.45">
      <c r="A126" s="9" t="s">
        <v>369</v>
      </c>
      <c r="B126" s="12"/>
      <c r="C126" s="7" t="s">
        <v>134</v>
      </c>
      <c r="D126" s="94">
        <f>AVERAGE(E35:G35)</f>
        <v>825.64403699386673</v>
      </c>
      <c r="K126" s="314" t="s">
        <v>51</v>
      </c>
    </row>
    <row r="127" spans="1:11" ht="14.25" x14ac:dyDescent="0.45">
      <c r="A127" s="9" t="s">
        <v>138</v>
      </c>
      <c r="B127" s="9"/>
      <c r="C127" s="7" t="s">
        <v>47</v>
      </c>
      <c r="D127" s="311">
        <f>(1/D76)*(D126*1000)*D15*D16*D17</f>
        <v>16052.114816273321</v>
      </c>
      <c r="K127" s="314" t="s">
        <v>102</v>
      </c>
    </row>
    <row r="128" spans="1:11" ht="14.25" x14ac:dyDescent="0.45">
      <c r="A128" s="12" t="s">
        <v>140</v>
      </c>
      <c r="B128" s="12"/>
      <c r="C128" s="7" t="s">
        <v>48</v>
      </c>
      <c r="D128" s="95">
        <f>D127/D125</f>
        <v>0.47825783157308932</v>
      </c>
      <c r="K128" s="314" t="s">
        <v>235</v>
      </c>
    </row>
    <row r="129" spans="1:11" ht="14.25" x14ac:dyDescent="0.45">
      <c r="A129" s="9" t="s">
        <v>139</v>
      </c>
      <c r="B129" s="9"/>
      <c r="C129" s="7" t="s">
        <v>47</v>
      </c>
      <c r="D129" s="75">
        <f>D127*D19</f>
        <v>8026.0574081366603</v>
      </c>
      <c r="K129" s="314" t="str">
        <f>_xlfn.CONCAT("The incentive rate for planned interruptions in DPP4 is set at ",TEXT(D19,"0%")," of unplanned")</f>
        <v>The incentive rate for planned interruptions in DPP4 is set at 50% of unplanned</v>
      </c>
    </row>
    <row r="130" spans="1:11" ht="14.25" x14ac:dyDescent="0.45">
      <c r="A130" s="12" t="s">
        <v>220</v>
      </c>
      <c r="B130" s="9"/>
      <c r="C130" s="7" t="s">
        <v>47</v>
      </c>
      <c r="D130" s="175">
        <f>D127*D20</f>
        <v>4013.0287040683302</v>
      </c>
      <c r="K130" s="314" t="str">
        <f>_xlfn.CONCAT("The incentive rate for notified interruptions in DPP4 is set at ",TEXT(D20,"0%")," of unplanned")</f>
        <v>The incentive rate for notified interruptions in DPP4 is set at 25% of unplanned</v>
      </c>
    </row>
    <row r="131" spans="1:11" ht="14.25" x14ac:dyDescent="0.45">
      <c r="K131" s="314"/>
    </row>
    <row r="132" spans="1:11" ht="21" x14ac:dyDescent="0.65">
      <c r="A132" s="293" t="s">
        <v>131</v>
      </c>
      <c r="B132" s="294"/>
      <c r="C132" s="295"/>
      <c r="D132" s="296"/>
      <c r="E132" s="271"/>
      <c r="F132" s="271"/>
      <c r="G132" s="271"/>
      <c r="H132" s="271"/>
      <c r="I132" s="271"/>
      <c r="K132" s="314"/>
    </row>
    <row r="133" spans="1:11" ht="18" x14ac:dyDescent="0.55000000000000004">
      <c r="A133" s="14"/>
      <c r="B133" s="14"/>
      <c r="K133" s="314"/>
    </row>
    <row r="134" spans="1:11" ht="18" x14ac:dyDescent="0.55000000000000004">
      <c r="A134" s="149" t="s">
        <v>88</v>
      </c>
      <c r="B134" s="14"/>
      <c r="K134" s="314"/>
    </row>
    <row r="135" spans="1:11" ht="13.9" customHeight="1" x14ac:dyDescent="0.45">
      <c r="A135" s="20" t="s">
        <v>183</v>
      </c>
      <c r="B135" s="20"/>
      <c r="C135" s="7" t="s">
        <v>93</v>
      </c>
      <c r="D135" s="77">
        <f>IFERROR(D63/D68-1,0)</f>
        <v>0.50163436320290566</v>
      </c>
      <c r="K135" s="314" t="s">
        <v>334</v>
      </c>
    </row>
    <row r="136" spans="1:11" ht="14.25" x14ac:dyDescent="0.45">
      <c r="A136" s="20" t="s">
        <v>184</v>
      </c>
      <c r="B136" s="20"/>
      <c r="C136" s="7" t="s">
        <v>93</v>
      </c>
      <c r="D136" s="135"/>
      <c r="I136" s="155"/>
      <c r="J136" s="155"/>
      <c r="K136" s="314" t="s">
        <v>237</v>
      </c>
    </row>
    <row r="137" spans="1:11" ht="14.25" x14ac:dyDescent="0.45">
      <c r="A137" s="151" t="s">
        <v>292</v>
      </c>
      <c r="B137" s="12"/>
      <c r="C137" s="7" t="s">
        <v>46</v>
      </c>
      <c r="D137" s="96">
        <f>D63*(1+D136)</f>
        <v>82.576725648242402</v>
      </c>
      <c r="K137" s="314" t="s">
        <v>293</v>
      </c>
    </row>
    <row r="138" spans="1:11" ht="14.25" x14ac:dyDescent="0.45">
      <c r="A138" s="151" t="s">
        <v>294</v>
      </c>
      <c r="B138" s="12"/>
      <c r="C138" s="7" t="s">
        <v>46</v>
      </c>
      <c r="D138" s="96">
        <f>D62</f>
        <v>0</v>
      </c>
      <c r="K138" s="314" t="s">
        <v>290</v>
      </c>
    </row>
    <row r="139" spans="1:11" ht="14.25" x14ac:dyDescent="0.45">
      <c r="A139" s="151" t="s">
        <v>185</v>
      </c>
      <c r="B139" s="12"/>
      <c r="C139" s="7" t="s">
        <v>46</v>
      </c>
      <c r="D139" s="96">
        <f>D99</f>
        <v>165.1534512964848</v>
      </c>
      <c r="K139" s="314" t="s">
        <v>291</v>
      </c>
    </row>
    <row r="140" spans="1:11" ht="14.25" x14ac:dyDescent="0.45">
      <c r="A140" s="20"/>
      <c r="B140" s="20"/>
      <c r="C140" s="6"/>
      <c r="K140" s="314"/>
    </row>
    <row r="141" spans="1:11" ht="18" x14ac:dyDescent="0.55000000000000004">
      <c r="A141" s="149" t="s">
        <v>174</v>
      </c>
      <c r="B141" s="14"/>
      <c r="K141" s="314"/>
    </row>
    <row r="142" spans="1:11" ht="14.25" x14ac:dyDescent="0.45">
      <c r="A142" s="20" t="s">
        <v>186</v>
      </c>
      <c r="B142" s="20"/>
      <c r="C142" s="7" t="s">
        <v>93</v>
      </c>
      <c r="D142" s="77">
        <f>IFERROR(D48/D56-1,0)</f>
        <v>-0.11188165341504541</v>
      </c>
      <c r="E142" s="141"/>
      <c r="F142" s="141"/>
      <c r="K142" s="314" t="s">
        <v>236</v>
      </c>
    </row>
    <row r="143" spans="1:11" ht="14.25" x14ac:dyDescent="0.45">
      <c r="A143" s="20" t="s">
        <v>187</v>
      </c>
      <c r="B143" s="20"/>
      <c r="C143" s="7" t="s">
        <v>93</v>
      </c>
      <c r="D143" s="135">
        <f>IF(D142&gt;D26,(1+D26)/(1+D142)-1,IF(D142&lt;-D26,(1-D26)/(1+D142)-1,0))</f>
        <v>6.9677260528392848E-2</v>
      </c>
      <c r="E143" s="107"/>
      <c r="K143" s="314" t="s">
        <v>335</v>
      </c>
    </row>
    <row r="144" spans="1:11" ht="14.25" x14ac:dyDescent="0.45">
      <c r="A144" s="151" t="s">
        <v>172</v>
      </c>
      <c r="B144" s="12"/>
      <c r="C144" s="7" t="s">
        <v>46</v>
      </c>
      <c r="D144" s="96">
        <f>D48*(1+$D$143)</f>
        <v>87.28941823474014</v>
      </c>
      <c r="E144" s="78"/>
      <c r="K144" s="314" t="s">
        <v>103</v>
      </c>
    </row>
    <row r="145" spans="1:11" ht="14.25" x14ac:dyDescent="0.45">
      <c r="A145" s="151" t="s">
        <v>171</v>
      </c>
      <c r="B145" s="12"/>
      <c r="C145" s="7" t="s">
        <v>46</v>
      </c>
      <c r="D145" s="96">
        <f>D49</f>
        <v>0</v>
      </c>
      <c r="K145" s="314" t="s">
        <v>104</v>
      </c>
    </row>
    <row r="146" spans="1:11" ht="14.25" x14ac:dyDescent="0.45">
      <c r="A146" s="151" t="s">
        <v>173</v>
      </c>
      <c r="B146" s="12"/>
      <c r="C146" s="7" t="s">
        <v>46</v>
      </c>
      <c r="D146" s="96">
        <f>D84</f>
        <v>118.47240823474012</v>
      </c>
      <c r="I146" s="154"/>
      <c r="J146" s="154"/>
      <c r="K146" s="314" t="s">
        <v>238</v>
      </c>
    </row>
    <row r="147" spans="1:11" ht="14.25" x14ac:dyDescent="0.45">
      <c r="A147" s="20"/>
      <c r="B147" s="20"/>
      <c r="C147" s="6"/>
      <c r="K147" s="314"/>
    </row>
    <row r="148" spans="1:11" ht="14.25" x14ac:dyDescent="0.45">
      <c r="A148" s="20" t="s">
        <v>197</v>
      </c>
      <c r="C148" s="7" t="s">
        <v>93</v>
      </c>
      <c r="D148" s="77">
        <f>IFERROR(D52/D57-1,0)</f>
        <v>-0.21780974504289397</v>
      </c>
      <c r="F148" s="153"/>
      <c r="G148" s="153"/>
      <c r="I148" s="154"/>
      <c r="J148" s="154"/>
      <c r="K148" s="314" t="s">
        <v>396</v>
      </c>
    </row>
    <row r="149" spans="1:11" ht="14.25" x14ac:dyDescent="0.45">
      <c r="A149" s="20" t="s">
        <v>189</v>
      </c>
      <c r="B149" s="20"/>
      <c r="C149" s="7" t="s">
        <v>93</v>
      </c>
      <c r="D149" s="142">
        <f>IF(D148&gt;D27,(1+D27)/(1+D148)-1,IF(D148&lt;-D27,(1-D27)/(1+D148)-1,0))</f>
        <v>0.21453827119349156</v>
      </c>
      <c r="E149" s="140"/>
      <c r="K149" s="314" t="s">
        <v>50</v>
      </c>
    </row>
    <row r="150" spans="1:11" ht="14.25" x14ac:dyDescent="0.45">
      <c r="A150" s="152" t="s">
        <v>204</v>
      </c>
      <c r="B150" s="22"/>
      <c r="C150" s="7" t="s">
        <v>46</v>
      </c>
      <c r="D150" s="97">
        <f>D52*(1+D149)</f>
        <v>0.8615881262634203</v>
      </c>
      <c r="K150" s="314" t="s">
        <v>50</v>
      </c>
    </row>
    <row r="151" spans="1:11" ht="14.25" x14ac:dyDescent="0.45">
      <c r="A151" s="152" t="s">
        <v>205</v>
      </c>
      <c r="B151" s="22"/>
      <c r="C151" s="7" t="s">
        <v>46</v>
      </c>
      <c r="D151" s="97">
        <f>D53</f>
        <v>0</v>
      </c>
      <c r="K151" s="314" t="s">
        <v>50</v>
      </c>
    </row>
    <row r="152" spans="1:11" ht="14.25" x14ac:dyDescent="0.45">
      <c r="A152" s="152" t="s">
        <v>206</v>
      </c>
      <c r="B152" s="23"/>
      <c r="C152" s="7" t="s">
        <v>46</v>
      </c>
      <c r="D152" s="96">
        <f>D91</f>
        <v>1.1371863562634201</v>
      </c>
      <c r="K152" s="314" t="s">
        <v>50</v>
      </c>
    </row>
    <row r="153" spans="1:11" ht="14.25" x14ac:dyDescent="0.45">
      <c r="K153" s="314"/>
    </row>
    <row r="154" spans="1:11" ht="14.25" x14ac:dyDescent="0.45">
      <c r="A154" s="117" t="s">
        <v>182</v>
      </c>
      <c r="K154" s="314"/>
    </row>
    <row r="155" spans="1:11" ht="14.25" x14ac:dyDescent="0.45">
      <c r="A155" s="22" t="str">
        <f>"Average " &amp;A38</f>
        <v>Average MAR or net allowable revenue</v>
      </c>
      <c r="B155" s="6"/>
      <c r="C155" s="63" t="s">
        <v>61</v>
      </c>
      <c r="D155" s="98">
        <f>AVERAGE(E38:I38)*1000</f>
        <v>76353495.728212893</v>
      </c>
      <c r="K155" s="314" t="s">
        <v>406</v>
      </c>
    </row>
    <row r="156" spans="1:11" ht="14.25" x14ac:dyDescent="0.45">
      <c r="K156" s="314"/>
    </row>
    <row r="157" spans="1:11" ht="14.25" x14ac:dyDescent="0.45">
      <c r="A157" s="9" t="s">
        <v>97</v>
      </c>
      <c r="B157" s="9"/>
      <c r="C157" s="7" t="s">
        <v>100</v>
      </c>
      <c r="D157" s="76">
        <f>(D146-D144)*D127/D155</f>
        <v>6.5557304354009593E-3</v>
      </c>
      <c r="K157" s="314" t="s">
        <v>105</v>
      </c>
    </row>
    <row r="158" spans="1:11" ht="14.25" x14ac:dyDescent="0.45">
      <c r="A158" s="9" t="s">
        <v>96</v>
      </c>
      <c r="B158" s="9"/>
      <c r="C158" s="7" t="s">
        <v>100</v>
      </c>
      <c r="D158" s="76">
        <f>(D144-D145)*D127/D155</f>
        <v>1.8351219553029707E-2</v>
      </c>
      <c r="K158" s="314" t="s">
        <v>106</v>
      </c>
    </row>
    <row r="159" spans="1:11" ht="14.25" x14ac:dyDescent="0.45">
      <c r="A159" s="11"/>
      <c r="B159" s="11"/>
      <c r="D159" s="99"/>
      <c r="K159" s="314"/>
    </row>
    <row r="160" spans="1:11" ht="14.25" x14ac:dyDescent="0.45">
      <c r="A160" s="9" t="s">
        <v>94</v>
      </c>
      <c r="B160" s="9"/>
      <c r="C160" s="7" t="s">
        <v>100</v>
      </c>
      <c r="D160" s="76">
        <f>(D139-D137)*D129/D155</f>
        <v>8.6802252379893363E-3</v>
      </c>
      <c r="K160" s="314" t="s">
        <v>107</v>
      </c>
    </row>
    <row r="161" spans="1:11" ht="14.25" x14ac:dyDescent="0.45">
      <c r="A161" s="9" t="s">
        <v>98</v>
      </c>
      <c r="B161" s="9"/>
      <c r="C161" s="7" t="s">
        <v>100</v>
      </c>
      <c r="D161" s="76">
        <f>(D137-D138)*D129/D155</f>
        <v>8.6802252379893363E-3</v>
      </c>
      <c r="K161" s="314" t="s">
        <v>108</v>
      </c>
    </row>
    <row r="162" spans="1:11" ht="14.25" x14ac:dyDescent="0.45">
      <c r="K162" s="314"/>
    </row>
    <row r="163" spans="1:11" ht="14.25" x14ac:dyDescent="0.45">
      <c r="A163" s="9" t="s">
        <v>95</v>
      </c>
      <c r="B163" s="9"/>
      <c r="C163" s="7" t="s">
        <v>100</v>
      </c>
      <c r="D163" s="76">
        <f>MIN(D157+D160,$D$21)</f>
        <v>1.5235955673390296E-2</v>
      </c>
      <c r="K163" s="314" t="s">
        <v>109</v>
      </c>
    </row>
    <row r="164" spans="1:11" ht="14.25" x14ac:dyDescent="0.45">
      <c r="A164" s="9" t="s">
        <v>99</v>
      </c>
      <c r="B164" s="9"/>
      <c r="C164" s="7" t="s">
        <v>100</v>
      </c>
      <c r="D164" s="76">
        <f>MIN(D158+D161,$D$21)</f>
        <v>0.02</v>
      </c>
      <c r="K164" s="314" t="s">
        <v>110</v>
      </c>
    </row>
    <row r="165" spans="1:11" ht="14.25" x14ac:dyDescent="0.45">
      <c r="A165" s="9"/>
      <c r="B165" s="9"/>
      <c r="C165" s="7"/>
      <c r="D165" s="39"/>
      <c r="K165" s="314"/>
    </row>
    <row r="166" spans="1:11" ht="14.25" x14ac:dyDescent="0.45">
      <c r="A166" s="9" t="s">
        <v>60</v>
      </c>
      <c r="B166" s="9"/>
      <c r="C166" s="7" t="s">
        <v>101</v>
      </c>
      <c r="D166" s="94">
        <f>D127*D76/(D116*1000)</f>
        <v>10218.6792</v>
      </c>
      <c r="K166" s="314" t="s">
        <v>135</v>
      </c>
    </row>
    <row r="167" spans="1:11" ht="14.25" x14ac:dyDescent="0.45">
      <c r="A167" s="73"/>
      <c r="B167" s="73"/>
      <c r="K167" s="313"/>
    </row>
    <row r="168" spans="1:11" ht="23.25" x14ac:dyDescent="0.7">
      <c r="A168" s="265" t="s">
        <v>6</v>
      </c>
      <c r="B168" s="226"/>
      <c r="C168" s="322" t="s">
        <v>7</v>
      </c>
      <c r="D168" s="322" t="s">
        <v>31</v>
      </c>
      <c r="E168" s="226"/>
      <c r="F168" s="226"/>
      <c r="G168" s="226"/>
      <c r="H168" s="226"/>
      <c r="I168" s="226"/>
      <c r="K168" s="299" t="s">
        <v>392</v>
      </c>
    </row>
    <row r="169" spans="1:11" ht="23.25" x14ac:dyDescent="0.7">
      <c r="A169" s="72"/>
      <c r="C169" s="117"/>
      <c r="D169" s="117"/>
      <c r="K169" s="299"/>
    </row>
    <row r="170" spans="1:11" ht="21" x14ac:dyDescent="0.65">
      <c r="A170" s="293" t="s">
        <v>130</v>
      </c>
      <c r="B170" s="294"/>
      <c r="C170" s="295"/>
      <c r="D170" s="296"/>
      <c r="E170" s="271"/>
      <c r="F170" s="271"/>
      <c r="G170" s="271"/>
      <c r="H170" s="271"/>
      <c r="I170" s="271"/>
      <c r="K170" s="313"/>
    </row>
    <row r="171" spans="1:11" ht="23.25" x14ac:dyDescent="0.7">
      <c r="A171" s="172" t="str">
        <f>A137</f>
        <v>Planned SAIDI target</v>
      </c>
      <c r="B171" s="72"/>
      <c r="C171" s="172" t="str">
        <f t="shared" ref="C171:D173" si="0">C137</f>
        <v>minutes</v>
      </c>
      <c r="D171" s="173">
        <f t="shared" si="0"/>
        <v>82.576725648242402</v>
      </c>
      <c r="K171" s="313"/>
    </row>
    <row r="172" spans="1:11" ht="14.25" customHeight="1" x14ac:dyDescent="0.7">
      <c r="A172" s="172" t="str">
        <f>A138</f>
        <v>Planned SAIDI collar</v>
      </c>
      <c r="B172" s="72"/>
      <c r="C172" s="172" t="str">
        <f t="shared" si="0"/>
        <v>minutes</v>
      </c>
      <c r="D172" s="173">
        <f t="shared" si="0"/>
        <v>0</v>
      </c>
      <c r="K172" s="313"/>
    </row>
    <row r="173" spans="1:11" ht="14.25" customHeight="1" x14ac:dyDescent="0.7">
      <c r="A173" s="172" t="str">
        <f>A139</f>
        <v>Planned Adjusted SAIDI cap</v>
      </c>
      <c r="B173" s="72"/>
      <c r="C173" s="172" t="str">
        <f t="shared" si="0"/>
        <v>minutes</v>
      </c>
      <c r="D173" s="173">
        <f t="shared" si="0"/>
        <v>165.1534512964848</v>
      </c>
      <c r="K173" s="313"/>
    </row>
    <row r="174" spans="1:11" ht="14.25" x14ac:dyDescent="0.45">
      <c r="A174" s="10" t="str">
        <f>CONCATENATE(A100," - ",C100)</f>
        <v>Planned reliability standard―SAIDI (5-year regulatory period limit) - minutes</v>
      </c>
      <c r="B174" s="10"/>
      <c r="C174" s="172"/>
      <c r="D174" s="123">
        <f>D100</f>
        <v>825.76725648242405</v>
      </c>
      <c r="K174" s="313"/>
    </row>
    <row r="175" spans="1:11" ht="15.75" customHeight="1" x14ac:dyDescent="0.45">
      <c r="A175" s="10"/>
      <c r="B175" s="10"/>
      <c r="C175" s="24"/>
      <c r="D175" s="123"/>
      <c r="K175" s="313"/>
    </row>
    <row r="176" spans="1:11" ht="14.25" x14ac:dyDescent="0.45">
      <c r="A176" s="172" t="str">
        <f>A102</f>
        <v>SAIFI average</v>
      </c>
      <c r="B176" s="10"/>
      <c r="C176" s="172" t="str">
        <f>C102</f>
        <v>frequency</v>
      </c>
      <c r="D176" s="123">
        <f>D102</f>
        <v>0.25766648483507099</v>
      </c>
      <c r="K176" s="313"/>
    </row>
    <row r="177" spans="1:11" ht="14.25" x14ac:dyDescent="0.45">
      <c r="A177" s="172" t="str">
        <f>A107</f>
        <v>Planned Adjusted SAIFI cap</v>
      </c>
      <c r="B177" s="10"/>
      <c r="C177" s="172" t="str">
        <f>C107</f>
        <v>frequency</v>
      </c>
      <c r="D177" s="123">
        <f>D107</f>
        <v>0.62874008999999997</v>
      </c>
      <c r="K177" s="313"/>
    </row>
    <row r="178" spans="1:11" ht="14.25" x14ac:dyDescent="0.45">
      <c r="A178" s="10" t="str">
        <f>CONCATENATE(A108," - ",C108)</f>
        <v>Planned reliability standard―SAIFI (5-year regulatory period limit) - frequency</v>
      </c>
      <c r="B178" s="10"/>
      <c r="C178" s="172" t="str">
        <f>C108</f>
        <v>frequency</v>
      </c>
      <c r="D178" s="123">
        <f>D108</f>
        <v>3.1437004499999999</v>
      </c>
      <c r="K178" s="313"/>
    </row>
    <row r="179" spans="1:11" ht="14.25" x14ac:dyDescent="0.45">
      <c r="A179" s="10"/>
      <c r="B179" s="10"/>
      <c r="C179" s="24"/>
      <c r="D179" s="123"/>
      <c r="K179" s="313"/>
    </row>
    <row r="180" spans="1:11" ht="14.25" x14ac:dyDescent="0.45">
      <c r="A180" s="172" t="str">
        <f>A97</f>
        <v>Planned SAIDI percent increase in DPP4 vs DPP3</v>
      </c>
      <c r="B180" s="10"/>
      <c r="C180" s="24"/>
      <c r="D180" s="77">
        <f>D97</f>
        <v>1.0895754686037762E-3</v>
      </c>
      <c r="K180" s="313"/>
    </row>
    <row r="181" spans="1:11" ht="14.25" x14ac:dyDescent="0.45">
      <c r="A181" s="172" t="str">
        <f>A98</f>
        <v>Planned SAIDI scaling adjustment</v>
      </c>
      <c r="B181" s="10"/>
      <c r="C181" s="24"/>
      <c r="D181" s="77">
        <f>D98</f>
        <v>0</v>
      </c>
      <c r="K181" s="313"/>
    </row>
    <row r="182" spans="1:11" ht="14.25" x14ac:dyDescent="0.45">
      <c r="A182" s="172" t="str">
        <f>A105</f>
        <v>Planned SAIFI percent increase in DPP4 vs DPP3</v>
      </c>
      <c r="B182" s="10"/>
      <c r="C182" s="24"/>
      <c r="D182" s="77">
        <f>D105</f>
        <v>-0.26233481834580041</v>
      </c>
      <c r="K182" s="313"/>
    </row>
    <row r="183" spans="1:11" ht="14.25" x14ac:dyDescent="0.45">
      <c r="A183" s="172" t="str">
        <f>A106</f>
        <v>Planned SAIFI scaling adjustment</v>
      </c>
      <c r="B183" s="10"/>
      <c r="C183" s="24"/>
      <c r="D183" s="77">
        <f>D106</f>
        <v>0.22006571867980518</v>
      </c>
      <c r="K183" s="313"/>
    </row>
    <row r="184" spans="1:11" ht="14.65" customHeight="1" x14ac:dyDescent="0.45">
      <c r="A184" s="10"/>
      <c r="B184" s="10"/>
      <c r="C184" s="24"/>
      <c r="D184" s="123"/>
      <c r="K184" s="313"/>
    </row>
    <row r="185" spans="1:11" ht="21" x14ac:dyDescent="0.65">
      <c r="A185" s="293" t="s">
        <v>124</v>
      </c>
      <c r="B185" s="294"/>
      <c r="C185" s="295"/>
      <c r="D185" s="296"/>
      <c r="E185" s="271"/>
      <c r="F185" s="271"/>
      <c r="G185" s="271"/>
      <c r="H185" s="271"/>
      <c r="I185" s="271"/>
      <c r="K185" s="313"/>
    </row>
    <row r="186" spans="1:11" ht="14.25" x14ac:dyDescent="0.45">
      <c r="A186" s="10" t="str">
        <f>CONCATENATE(A111," - ",C111)</f>
        <v>Extreme event standard - SAIDI minutes</v>
      </c>
      <c r="B186" s="10"/>
      <c r="C186" s="24"/>
      <c r="D186" s="100">
        <f>D111</f>
        <v>120</v>
      </c>
      <c r="K186" s="313"/>
    </row>
    <row r="187" spans="1:11" ht="14.25" x14ac:dyDescent="0.45">
      <c r="A187" s="10" t="str">
        <f>CONCATENATE(A112," - ",C112)</f>
        <v>Extreme event standard―approx SAIDI equivalent - SAIDI minutes</v>
      </c>
      <c r="B187" s="10"/>
      <c r="C187" s="24"/>
      <c r="D187" s="114">
        <f>D112</f>
        <v>120</v>
      </c>
      <c r="K187" s="313"/>
    </row>
    <row r="188" spans="1:11" ht="23.25" x14ac:dyDescent="0.7">
      <c r="A188" s="72"/>
      <c r="B188" s="72"/>
      <c r="C188" s="62"/>
      <c r="D188" s="62"/>
      <c r="K188" s="313"/>
    </row>
    <row r="189" spans="1:11" ht="21" x14ac:dyDescent="0.65">
      <c r="A189" s="293" t="s">
        <v>129</v>
      </c>
      <c r="B189" s="294"/>
      <c r="C189" s="295"/>
      <c r="D189" s="296"/>
      <c r="E189" s="271"/>
      <c r="F189" s="271"/>
      <c r="G189" s="271"/>
      <c r="H189" s="271"/>
      <c r="I189" s="271"/>
      <c r="K189" s="313"/>
    </row>
    <row r="190" spans="1:11" ht="14.25" x14ac:dyDescent="0.45">
      <c r="A190" s="10" t="str">
        <f>CONCATENATE(MID(A144,10,50)," - ",C144)</f>
        <v xml:space="preserve"> SAIDI target - minutes</v>
      </c>
      <c r="B190" s="10"/>
      <c r="C190" s="10"/>
      <c r="D190" s="86">
        <f>D144</f>
        <v>87.28941823474014</v>
      </c>
      <c r="K190" s="313"/>
    </row>
    <row r="191" spans="1:11" ht="14.25" x14ac:dyDescent="0.45">
      <c r="A191" s="10" t="str">
        <f>CONCATENATE(MID(A145,10,50)," - ",C145)</f>
        <v xml:space="preserve"> SAIDI collar - minutes</v>
      </c>
      <c r="B191" s="10"/>
      <c r="C191" s="10"/>
      <c r="D191" s="86">
        <f>D145</f>
        <v>0</v>
      </c>
      <c r="K191" s="313"/>
    </row>
    <row r="192" spans="1:11" ht="14.25" x14ac:dyDescent="0.45">
      <c r="A192" s="10" t="str">
        <f>CONCATENATE(MID(A146,10,50)," - ",C146)</f>
        <v xml:space="preserve"> SAIDI cap - minutes</v>
      </c>
      <c r="B192" s="10"/>
      <c r="C192" s="10"/>
      <c r="D192" s="86">
        <f>D146</f>
        <v>118.47240823474012</v>
      </c>
      <c r="K192" s="313"/>
    </row>
    <row r="193" spans="1:11" ht="14.25" x14ac:dyDescent="0.45">
      <c r="K193" s="313"/>
    </row>
    <row r="194" spans="1:11" ht="14.25" x14ac:dyDescent="0.45">
      <c r="A194" s="10" t="str">
        <f>CONCATENATE(MID(A150,10,50)," - ",C150)</f>
        <v xml:space="preserve"> SAIFI target - minutes</v>
      </c>
      <c r="B194" s="10"/>
      <c r="C194" s="10"/>
      <c r="D194" s="86">
        <f>D150</f>
        <v>0.8615881262634203</v>
      </c>
      <c r="K194" s="313"/>
    </row>
    <row r="195" spans="1:11" ht="14.25" x14ac:dyDescent="0.45">
      <c r="A195" s="10" t="str">
        <f>CONCATENATE(MID(A151,10,50)," - ",C151)</f>
        <v xml:space="preserve"> SAIFI collar - minutes</v>
      </c>
      <c r="B195" s="10"/>
      <c r="C195" s="10"/>
      <c r="D195" s="86">
        <f>D151</f>
        <v>0</v>
      </c>
      <c r="K195" s="313"/>
    </row>
    <row r="196" spans="1:11" ht="14.25" x14ac:dyDescent="0.45">
      <c r="A196" s="10" t="str">
        <f>CONCATENATE(MID(A152,10,50)," - ",C152)</f>
        <v xml:space="preserve"> SAIFI cap - minutes</v>
      </c>
      <c r="B196" s="10"/>
      <c r="C196" s="10"/>
      <c r="D196" s="86">
        <f>D152</f>
        <v>1.1371863562634201</v>
      </c>
      <c r="K196" s="313"/>
    </row>
    <row r="197" spans="1:11" ht="14.25" x14ac:dyDescent="0.45">
      <c r="K197" s="313"/>
    </row>
    <row r="198" spans="1:11" ht="14.25" x14ac:dyDescent="0.45">
      <c r="A198" s="10" t="str">
        <f>CONCATENATE("Target - ",A142)</f>
        <v>Target - Unplanned SAIDI percent increase in DPP4 vs DPP3</v>
      </c>
      <c r="B198" s="10"/>
      <c r="C198" s="10"/>
      <c r="D198" s="102">
        <f>D142</f>
        <v>-0.11188165341504541</v>
      </c>
      <c r="K198" s="313"/>
    </row>
    <row r="199" spans="1:11" ht="14.25" x14ac:dyDescent="0.45">
      <c r="A199" s="10" t="str">
        <f>CONCATENATE("Target - ",A143)</f>
        <v>Target - Unplanned SAIDI scaling adjustment</v>
      </c>
      <c r="B199" s="10"/>
      <c r="C199" s="10"/>
      <c r="D199" s="102">
        <f>D143</f>
        <v>6.9677260528392848E-2</v>
      </c>
      <c r="K199" s="313"/>
    </row>
    <row r="200" spans="1:11" ht="14.25" x14ac:dyDescent="0.45">
      <c r="A200" s="10" t="str">
        <f>CONCATENATE("Target - ",A148)</f>
        <v>Target - Unplanned SAIFI percent increase in DPP4 vs DPP3</v>
      </c>
      <c r="B200" s="10"/>
      <c r="C200" s="10"/>
      <c r="D200" s="102">
        <f>D148</f>
        <v>-0.21780974504289397</v>
      </c>
      <c r="K200" s="313"/>
    </row>
    <row r="201" spans="1:11" ht="14.25" x14ac:dyDescent="0.45">
      <c r="A201" s="10" t="str">
        <f>CONCATENATE("Target - ",A149)</f>
        <v>Target - Unplanned SAIFI scaling adjustment</v>
      </c>
      <c r="B201" s="10"/>
      <c r="C201" s="10"/>
      <c r="D201" s="102">
        <f>D149</f>
        <v>0.21453827119349156</v>
      </c>
      <c r="F201" s="153"/>
      <c r="K201" s="313"/>
    </row>
    <row r="202" spans="1:11" ht="14.25" x14ac:dyDescent="0.45">
      <c r="A202" s="10" t="str">
        <f>CONCATENATE("Limit - ",A82)</f>
        <v>Limit - Unplanned SAIDI percent increase in DPP4 vs DPP3</v>
      </c>
      <c r="B202" s="10"/>
      <c r="C202" s="10"/>
      <c r="D202" s="102">
        <f>D82</f>
        <v>-0.11593321233519582</v>
      </c>
      <c r="F202" s="153"/>
      <c r="K202" s="313"/>
    </row>
    <row r="203" spans="1:11" ht="14.25" x14ac:dyDescent="0.45">
      <c r="A203" s="10" t="str">
        <f>CONCATENATE("Limit - ",A83)</f>
        <v>Limit - Unplanned SAIDI scaling adjustment</v>
      </c>
      <c r="B203" s="10"/>
      <c r="C203" s="10"/>
      <c r="D203" s="102">
        <f>D83</f>
        <v>7.4579447226327034E-2</v>
      </c>
      <c r="F203" s="153"/>
      <c r="K203" s="313"/>
    </row>
    <row r="204" spans="1:11" ht="14.25" x14ac:dyDescent="0.45">
      <c r="A204" s="10" t="str">
        <f>CONCATENATE("Limit - ",A89)</f>
        <v>Limit - Unplanned SAIFI percent increase in DPP4 vs DPP3</v>
      </c>
      <c r="B204" s="10"/>
      <c r="C204" s="10"/>
      <c r="D204" s="102">
        <f>D89</f>
        <v>-0.21395011105555461</v>
      </c>
      <c r="F204" s="153"/>
      <c r="K204" s="313"/>
    </row>
    <row r="205" spans="1:11" ht="14.25" x14ac:dyDescent="0.45">
      <c r="A205" s="10" t="str">
        <f>CONCATENATE("Limit - ",A90)</f>
        <v>Limit - Unplanned SAIFI scaling adjustment</v>
      </c>
      <c r="B205" s="10"/>
      <c r="C205" s="10"/>
      <c r="D205" s="102">
        <f>D90</f>
        <v>0.20857468891156072</v>
      </c>
      <c r="F205" s="153"/>
      <c r="K205" s="313"/>
    </row>
    <row r="206" spans="1:11" ht="23.25" x14ac:dyDescent="0.7">
      <c r="A206" s="72"/>
      <c r="B206" s="72"/>
      <c r="C206" s="62"/>
      <c r="D206" s="62"/>
      <c r="K206" s="313"/>
    </row>
    <row r="207" spans="1:11" ht="21" x14ac:dyDescent="0.65">
      <c r="A207" s="293" t="s">
        <v>216</v>
      </c>
      <c r="B207" s="294"/>
      <c r="C207" s="295"/>
      <c r="D207" s="296"/>
      <c r="E207" s="271"/>
      <c r="F207" s="271"/>
      <c r="G207" s="271"/>
      <c r="H207" s="271"/>
      <c r="I207" s="271"/>
      <c r="K207" s="313"/>
    </row>
    <row r="208" spans="1:11" ht="14.25" x14ac:dyDescent="0.45">
      <c r="A208" s="10" t="str">
        <f>CONCATENATE(A117," - ",C117)</f>
        <v>Unplanned Incentive Rate - $ / minute</v>
      </c>
      <c r="B208" s="10"/>
      <c r="C208" s="24" t="s">
        <v>40</v>
      </c>
      <c r="D208" s="123">
        <f>D117</f>
        <v>7879</v>
      </c>
      <c r="K208" s="313"/>
    </row>
    <row r="209" spans="1:11" ht="14.25" x14ac:dyDescent="0.45">
      <c r="A209" s="10" t="str">
        <f>CONCATENATE(A120," - ",C120)</f>
        <v>Planned incentive rate (implied) - $ / minute</v>
      </c>
      <c r="B209" s="10"/>
      <c r="C209" s="24" t="s">
        <v>40</v>
      </c>
      <c r="D209" s="123">
        <f>D120</f>
        <v>3939.5</v>
      </c>
      <c r="K209" s="313"/>
    </row>
    <row r="210" spans="1:11" ht="14.25" x14ac:dyDescent="0.45">
      <c r="A210" s="10" t="str">
        <f>CONCATENATE(A121," - ",C121)</f>
        <v>Notified incentive rate (implied) - $ / minute</v>
      </c>
      <c r="B210" s="10"/>
      <c r="C210" s="24" t="s">
        <v>40</v>
      </c>
      <c r="D210" s="123">
        <f>D121</f>
        <v>1969.75</v>
      </c>
      <c r="K210" s="313"/>
    </row>
    <row r="211" spans="1:11" ht="14.25" x14ac:dyDescent="0.45">
      <c r="A211" s="10" t="str">
        <f>CONCATENATE(A118," - ",C118)</f>
        <v>Incentive Rate per customer - $ / minute / ICP</v>
      </c>
      <c r="B211" s="10"/>
      <c r="C211" s="24" t="s">
        <v>40</v>
      </c>
      <c r="D211" s="123">
        <f>D118</f>
        <v>0.23474747708284829</v>
      </c>
      <c r="K211" s="313"/>
    </row>
    <row r="212" spans="1:11" ht="14.25" x14ac:dyDescent="0.45">
      <c r="A212" s="10" t="str">
        <f>CONCATENATE(A119," - ",C119)</f>
        <v>Implied VoLL - $ / MWh</v>
      </c>
      <c r="B212" s="10"/>
      <c r="C212" s="24" t="s">
        <v>40</v>
      </c>
      <c r="D212" s="123">
        <f>D119</f>
        <v>5015.7237434644758</v>
      </c>
      <c r="K212" s="313"/>
    </row>
    <row r="213" spans="1:11" ht="14.25" x14ac:dyDescent="0.45">
      <c r="A213" s="10"/>
      <c r="B213" s="10"/>
      <c r="C213" s="24"/>
      <c r="D213" s="174"/>
      <c r="K213" s="313"/>
    </row>
    <row r="214" spans="1:11" ht="14.25" x14ac:dyDescent="0.45">
      <c r="A214" s="10" t="str">
        <f>CONCATENATE(A127," - ",C127)</f>
        <v>Unplanned incentive rate - $ / minute</v>
      </c>
      <c r="B214" s="10"/>
      <c r="C214" s="24" t="s">
        <v>165</v>
      </c>
      <c r="D214" s="123">
        <f>D127</f>
        <v>16052.114816273321</v>
      </c>
      <c r="K214" s="313"/>
    </row>
    <row r="215" spans="1:11" ht="14.25" x14ac:dyDescent="0.45">
      <c r="A215" s="10" t="str">
        <f>CONCATENATE(A129," - ",C129)</f>
        <v>Planned incentive rate - $ / minute</v>
      </c>
      <c r="B215" s="10"/>
      <c r="C215" s="24" t="s">
        <v>165</v>
      </c>
      <c r="D215" s="123">
        <f>D129</f>
        <v>8026.0574081366603</v>
      </c>
      <c r="K215" s="313"/>
    </row>
    <row r="216" spans="1:11" ht="14.25" x14ac:dyDescent="0.45">
      <c r="A216" s="10" t="str">
        <f>CONCATENATE(A130," - ",C130)</f>
        <v>Notified incentive rate - $ / minute</v>
      </c>
      <c r="B216" s="10"/>
      <c r="C216" s="24" t="s">
        <v>165</v>
      </c>
      <c r="D216" s="123">
        <f>D130</f>
        <v>4013.0287040683302</v>
      </c>
      <c r="K216" s="313"/>
    </row>
    <row r="217" spans="1:11" ht="14.25" x14ac:dyDescent="0.45">
      <c r="A217" s="10" t="str">
        <f>CONCATENATE(A128," - ",C128)</f>
        <v>Unplanned incentive rate per customer - $ / minute / ICP</v>
      </c>
      <c r="B217" s="10"/>
      <c r="C217" s="24" t="s">
        <v>165</v>
      </c>
      <c r="D217" s="123">
        <f>D128</f>
        <v>0.47825783157308932</v>
      </c>
      <c r="K217" s="313"/>
    </row>
    <row r="218" spans="1:11" ht="14.25" x14ac:dyDescent="0.45">
      <c r="A218" s="10" t="str">
        <f>A166</f>
        <v>Implied value of lost load</v>
      </c>
      <c r="B218" s="10"/>
      <c r="C218" s="24" t="s">
        <v>165</v>
      </c>
      <c r="D218" s="103">
        <f>D166</f>
        <v>10218.6792</v>
      </c>
      <c r="K218" s="313"/>
    </row>
    <row r="219" spans="1:11" ht="14.25" x14ac:dyDescent="0.45">
      <c r="K219" s="313"/>
    </row>
    <row r="220" spans="1:11" ht="14.25" x14ac:dyDescent="0.45">
      <c r="A220" s="10" t="str">
        <f>A157</f>
        <v>Unplanned: Maximum revenue loss</v>
      </c>
      <c r="B220" s="10"/>
      <c r="C220" s="24" t="s">
        <v>165</v>
      </c>
      <c r="D220" s="101">
        <f>D157</f>
        <v>6.5557304354009593E-3</v>
      </c>
      <c r="K220" s="313"/>
    </row>
    <row r="221" spans="1:11" ht="14.25" x14ac:dyDescent="0.45">
      <c r="A221" s="10" t="str">
        <f>A158</f>
        <v>Unplanned: Maximum revenue gain</v>
      </c>
      <c r="B221" s="10"/>
      <c r="C221" s="24" t="s">
        <v>165</v>
      </c>
      <c r="D221" s="101">
        <f>D158</f>
        <v>1.8351219553029707E-2</v>
      </c>
      <c r="K221" s="313"/>
    </row>
    <row r="222" spans="1:11" ht="14.25" x14ac:dyDescent="0.45">
      <c r="K222" s="313"/>
    </row>
    <row r="223" spans="1:11" ht="14.25" x14ac:dyDescent="0.45">
      <c r="A223" s="10" t="str">
        <f>A160</f>
        <v>Planned: Maximum revenue loss</v>
      </c>
      <c r="B223" s="10"/>
      <c r="C223" s="25" t="s">
        <v>165</v>
      </c>
      <c r="D223" s="101">
        <f>D160</f>
        <v>8.6802252379893363E-3</v>
      </c>
      <c r="K223" s="313"/>
    </row>
    <row r="224" spans="1:11" ht="14.25" x14ac:dyDescent="0.45">
      <c r="A224" s="10" t="str">
        <f>A161</f>
        <v>Planned: Maximum revenue gain</v>
      </c>
      <c r="B224" s="10"/>
      <c r="C224" s="25" t="s">
        <v>165</v>
      </c>
      <c r="D224" s="101">
        <f>D161</f>
        <v>8.6802252379893363E-3</v>
      </c>
      <c r="K224" s="313"/>
    </row>
    <row r="225" spans="1:11" ht="14.25" x14ac:dyDescent="0.45">
      <c r="K225" s="313"/>
    </row>
    <row r="226" spans="1:11" ht="14.25" x14ac:dyDescent="0.45">
      <c r="A226" s="10" t="str">
        <f>A163</f>
        <v>Total: Maximum revenue loss</v>
      </c>
      <c r="B226" s="10"/>
      <c r="C226" s="25" t="s">
        <v>165</v>
      </c>
      <c r="D226" s="101">
        <f>D163</f>
        <v>1.5235955673390296E-2</v>
      </c>
      <c r="K226" s="313"/>
    </row>
    <row r="227" spans="1:11" ht="14.25" x14ac:dyDescent="0.45">
      <c r="A227" s="10" t="str">
        <f>A164</f>
        <v>Total: Maximum revenue gain</v>
      </c>
      <c r="B227" s="10"/>
      <c r="C227" s="25" t="s">
        <v>165</v>
      </c>
      <c r="D227" s="101">
        <f>D164</f>
        <v>0.02</v>
      </c>
      <c r="K227" s="313"/>
    </row>
    <row r="228" spans="1:11" ht="14.25" x14ac:dyDescent="0.45">
      <c r="K228" s="313"/>
    </row>
    <row r="229" spans="1:11" ht="14.25" x14ac:dyDescent="0.45">
      <c r="K229" s="313"/>
    </row>
    <row r="230" spans="1:11" ht="15" customHeight="1" x14ac:dyDescent="0.45">
      <c r="K230" s="313"/>
    </row>
    <row r="231" spans="1:11" ht="15" customHeight="1" x14ac:dyDescent="0.45">
      <c r="K231" s="313"/>
    </row>
    <row r="232" spans="1:11" ht="15" customHeight="1" x14ac:dyDescent="0.45">
      <c r="K232" s="313"/>
    </row>
    <row r="233" spans="1:11" ht="15" customHeight="1" x14ac:dyDescent="0.45">
      <c r="K233" s="313"/>
    </row>
    <row r="234" spans="1:11" ht="15" customHeight="1" x14ac:dyDescent="0.45">
      <c r="K234" s="313"/>
    </row>
    <row r="235" spans="1:11" ht="15" customHeight="1" x14ac:dyDescent="0.45">
      <c r="K235" s="313"/>
    </row>
    <row r="236" spans="1:11" ht="15" customHeight="1" x14ac:dyDescent="0.45">
      <c r="K236" s="313"/>
    </row>
    <row r="237" spans="1:11" ht="15" customHeight="1" x14ac:dyDescent="0.45">
      <c r="K237" s="313"/>
    </row>
    <row r="238" spans="1:11" ht="15" customHeight="1" x14ac:dyDescent="0.45">
      <c r="K238" s="313"/>
    </row>
    <row r="239" spans="1:11" ht="15" customHeight="1" x14ac:dyDescent="0.45">
      <c r="K239" s="313"/>
    </row>
  </sheetData>
  <sheetProtection formatColumns="0" formatRows="0"/>
  <phoneticPr fontId="38" type="noConversion"/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headerFooter>
    <oddFooter>&amp;L&amp;F&amp;C&amp;A&amp;R&amp;P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909F4-352D-4105-BE6E-FCA473B55889}">
  <sheetPr codeName="Sheet4">
    <tabColor rgb="FF99988E"/>
    <pageSetUpPr fitToPage="1"/>
  </sheetPr>
  <dimension ref="A1:F18"/>
  <sheetViews>
    <sheetView showGridLines="0" zoomScaleNormal="100" zoomScaleSheetLayoutView="100" workbookViewId="0"/>
  </sheetViews>
  <sheetFormatPr defaultColWidth="9.1328125" defaultRowHeight="15" customHeight="1" x14ac:dyDescent="0.45"/>
  <cols>
    <col min="1" max="1" width="15.3984375" customWidth="1"/>
    <col min="2" max="2" width="33.3984375" bestFit="1" customWidth="1"/>
    <col min="3" max="3" width="10.265625" customWidth="1"/>
    <col min="6" max="6" width="10" bestFit="1" customWidth="1"/>
    <col min="8" max="8" width="2.73046875" customWidth="1"/>
    <col min="10" max="30" width="9.1328125" customWidth="1"/>
  </cols>
  <sheetData>
    <row r="1" spans="1:6" ht="25.5" x14ac:dyDescent="0.75">
      <c r="A1" s="64" t="s">
        <v>275</v>
      </c>
    </row>
    <row r="2" spans="1:6" ht="14.25" x14ac:dyDescent="0.45"/>
    <row r="3" spans="1:6" ht="23.25" x14ac:dyDescent="0.7">
      <c r="A3" s="72" t="s">
        <v>4</v>
      </c>
    </row>
    <row r="4" spans="1:6" ht="15.75" customHeight="1" x14ac:dyDescent="0.65">
      <c r="A4" s="29"/>
    </row>
    <row r="5" spans="1:6" ht="15.75" customHeight="1" x14ac:dyDescent="0.65">
      <c r="A5" s="29"/>
      <c r="B5" s="13" t="str">
        <f>'Other Inputs'!A101</f>
        <v>Circuit Length</v>
      </c>
    </row>
    <row r="6" spans="1:6" ht="15.75" customHeight="1" x14ac:dyDescent="0.65">
      <c r="A6" s="29"/>
      <c r="B6" s="34" t="s">
        <v>54</v>
      </c>
      <c r="C6" s="34" t="str">
        <f>'Other Inputs'!B104</f>
        <v>2024 Circuit length (km)</v>
      </c>
    </row>
    <row r="7" spans="1:6" ht="15.75" customHeight="1" x14ac:dyDescent="0.65">
      <c r="A7" s="29"/>
      <c r="B7" s="10" t="str">
        <f>'Other Inputs'!A105</f>
        <v>Electricity Invercargill</v>
      </c>
      <c r="C7" s="10">
        <f>'Other Inputs'!B105</f>
        <v>665</v>
      </c>
    </row>
    <row r="8" spans="1:6" ht="15.75" customHeight="1" x14ac:dyDescent="0.65">
      <c r="A8" s="29"/>
      <c r="B8" s="10" t="str">
        <f>'Other Inputs'!A106</f>
        <v>Nelson Electricity</v>
      </c>
      <c r="C8" s="10">
        <f>'Other Inputs'!B106</f>
        <v>297</v>
      </c>
    </row>
    <row r="9" spans="1:6" ht="15.75" customHeight="1" x14ac:dyDescent="0.65">
      <c r="A9" s="29"/>
    </row>
    <row r="10" spans="1:6" ht="12" customHeight="1" x14ac:dyDescent="0.65">
      <c r="A10" s="29"/>
      <c r="B10" s="13"/>
    </row>
    <row r="11" spans="1:6" ht="23.25" x14ac:dyDescent="0.7">
      <c r="A11" s="72" t="s">
        <v>5</v>
      </c>
      <c r="B11" s="13"/>
    </row>
    <row r="12" spans="1:6" ht="14.25" x14ac:dyDescent="0.45"/>
    <row r="13" spans="1:6" ht="21" x14ac:dyDescent="0.65">
      <c r="A13" s="29"/>
      <c r="B13" s="13" t="s">
        <v>58</v>
      </c>
    </row>
    <row r="14" spans="1:6" ht="52.9" x14ac:dyDescent="0.45">
      <c r="B14" s="34" t="str">
        <f t="shared" ref="B14:C16" si="0">B6</f>
        <v>Distributor</v>
      </c>
      <c r="C14" s="34" t="str">
        <f t="shared" si="0"/>
        <v>2024 Circuit length (km)</v>
      </c>
      <c r="D14" s="34" t="s">
        <v>120</v>
      </c>
      <c r="E14" s="34" t="s">
        <v>121</v>
      </c>
    </row>
    <row r="15" spans="1:6" ht="14.25" x14ac:dyDescent="0.45">
      <c r="B15" s="23" t="str">
        <f t="shared" si="0"/>
        <v>Electricity Invercargill</v>
      </c>
      <c r="C15" s="36">
        <f t="shared" si="0"/>
        <v>665</v>
      </c>
      <c r="D15" s="58">
        <f>23*C15/1000</f>
        <v>15.295</v>
      </c>
      <c r="E15" s="60">
        <f>1104*C15/1000</f>
        <v>734.16</v>
      </c>
      <c r="F15" s="78"/>
    </row>
    <row r="16" spans="1:6" ht="14.25" x14ac:dyDescent="0.45">
      <c r="B16" s="23" t="str">
        <f t="shared" si="0"/>
        <v>Nelson Electricity</v>
      </c>
      <c r="C16" s="36">
        <f t="shared" si="0"/>
        <v>297</v>
      </c>
      <c r="D16" s="58">
        <f>23*C16/1000</f>
        <v>6.8310000000000004</v>
      </c>
      <c r="E16" s="60">
        <f>1104*C16/1000</f>
        <v>327.88799999999998</v>
      </c>
    </row>
    <row r="17" ht="14.25" x14ac:dyDescent="0.45"/>
    <row r="18" ht="14.25" x14ac:dyDescent="0.45"/>
  </sheetData>
  <pageMargins left="0.7" right="0.7" top="0.75" bottom="0.75" header="0.3" footer="0.3"/>
  <pageSetup paperSize="9" scale="88" orientation="portrait" r:id="rId1"/>
  <headerFooter>
    <oddFooter>&amp;L&amp;F&amp;C&amp;A&amp;R&amp;P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tabColor rgb="FF2E666C"/>
    <pageSetUpPr fitToPage="1"/>
  </sheetPr>
  <dimension ref="A1:T99"/>
  <sheetViews>
    <sheetView showGridLines="0" zoomScale="82" zoomScaleNormal="82" zoomScaleSheetLayoutView="100" workbookViewId="0"/>
  </sheetViews>
  <sheetFormatPr defaultRowHeight="15" customHeight="1" x14ac:dyDescent="0.45"/>
  <cols>
    <col min="1" max="1" width="48.59765625" customWidth="1"/>
    <col min="2" max="20" width="13.73046875" customWidth="1"/>
  </cols>
  <sheetData>
    <row r="1" spans="1:19" ht="25.5" x14ac:dyDescent="0.75">
      <c r="A1" s="3" t="s">
        <v>6</v>
      </c>
    </row>
    <row r="2" spans="1:19" ht="14.25" x14ac:dyDescent="0.45">
      <c r="A2" s="270" t="s">
        <v>114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</row>
    <row r="3" spans="1:19" ht="14.25" x14ac:dyDescent="0.45">
      <c r="A3" s="16"/>
    </row>
    <row r="4" spans="1:19" ht="14.25" x14ac:dyDescent="0.45">
      <c r="A4" s="31" t="s">
        <v>212</v>
      </c>
      <c r="B4" s="74"/>
      <c r="C4" s="74" t="s">
        <v>36</v>
      </c>
    </row>
    <row r="5" spans="1:19" ht="14.25" x14ac:dyDescent="0.45">
      <c r="A5" s="17" t="s">
        <v>37</v>
      </c>
      <c r="B5" s="6"/>
      <c r="C5" s="26" t="s">
        <v>10</v>
      </c>
    </row>
    <row r="6" spans="1:19" ht="14.25" x14ac:dyDescent="0.45"/>
    <row r="7" spans="1:19" ht="14.25" x14ac:dyDescent="0.45">
      <c r="E7" s="137"/>
      <c r="G7" s="137"/>
    </row>
    <row r="8" spans="1:19" ht="35.25" customHeight="1" x14ac:dyDescent="0.45">
      <c r="A8" s="271"/>
      <c r="B8" s="324" t="s">
        <v>38</v>
      </c>
      <c r="C8" s="325" t="s">
        <v>10</v>
      </c>
      <c r="D8" s="325" t="s">
        <v>11</v>
      </c>
      <c r="E8" s="325" t="s">
        <v>12</v>
      </c>
      <c r="F8" s="325" t="s">
        <v>13</v>
      </c>
      <c r="G8" s="325" t="s">
        <v>208</v>
      </c>
      <c r="H8" s="325" t="s">
        <v>14</v>
      </c>
      <c r="I8" s="325" t="s">
        <v>15</v>
      </c>
      <c r="J8" s="325" t="s">
        <v>16</v>
      </c>
      <c r="K8" s="325" t="s">
        <v>17</v>
      </c>
      <c r="L8" s="325" t="s">
        <v>18</v>
      </c>
      <c r="M8" s="325" t="s">
        <v>19</v>
      </c>
      <c r="N8" s="325" t="s">
        <v>20</v>
      </c>
      <c r="O8" s="325" t="s">
        <v>21</v>
      </c>
      <c r="P8" s="325" t="s">
        <v>22</v>
      </c>
      <c r="Q8" s="325" t="s">
        <v>23</v>
      </c>
      <c r="R8" s="325" t="s">
        <v>24</v>
      </c>
    </row>
    <row r="9" spans="1:19" ht="20.25" customHeight="1" x14ac:dyDescent="0.55000000000000004">
      <c r="A9" s="297" t="str">
        <f>Calculations!A93</f>
        <v>Planned reliability standards</v>
      </c>
      <c r="B9" s="324" t="str">
        <f>""</f>
        <v/>
      </c>
      <c r="C9" s="325" t="str">
        <f t="dataTable" ref="C9:R66" dt2D="0" dtr="1" r1="C5"/>
        <v/>
      </c>
      <c r="D9" s="325" t="str">
        <v/>
      </c>
      <c r="E9" s="325" t="str">
        <v/>
      </c>
      <c r="F9" s="325" t="str">
        <v/>
      </c>
      <c r="G9" s="325" t="str">
        <v/>
      </c>
      <c r="H9" s="325" t="str">
        <v/>
      </c>
      <c r="I9" s="325" t="str">
        <v/>
      </c>
      <c r="J9" s="325" t="str">
        <v/>
      </c>
      <c r="K9" s="325" t="str">
        <v/>
      </c>
      <c r="L9" s="325" t="str">
        <v/>
      </c>
      <c r="M9" s="325" t="str">
        <v/>
      </c>
      <c r="N9" s="325" t="str">
        <v/>
      </c>
      <c r="O9" s="325" t="str">
        <v/>
      </c>
      <c r="P9" s="325" t="str">
        <v/>
      </c>
      <c r="Q9" s="325" t="str">
        <v/>
      </c>
      <c r="R9" s="325" t="str">
        <v/>
      </c>
    </row>
    <row r="10" spans="1:19" ht="20.25" customHeight="1" x14ac:dyDescent="0.45">
      <c r="A10" s="12" t="str">
        <f>Calculations!A171</f>
        <v>Planned SAIDI target</v>
      </c>
      <c r="B10" s="134">
        <f>Calculations!D171</f>
        <v>82.576725648242402</v>
      </c>
      <c r="C10" s="272">
        <v>82.576725648242402</v>
      </c>
      <c r="D10" s="189">
        <v>181.700981283342</v>
      </c>
      <c r="E10" s="189">
        <v>118.055301433316</v>
      </c>
      <c r="F10" s="189">
        <v>18.049255858247299</v>
      </c>
      <c r="G10" s="189">
        <v>121.31511000302299</v>
      </c>
      <c r="H10" s="189">
        <v>110.029887727136</v>
      </c>
      <c r="I10" s="189">
        <v>15.700028760181</v>
      </c>
      <c r="J10" s="189">
        <v>106.79368391448099</v>
      </c>
      <c r="K10" s="189">
        <v>23.8275489887716</v>
      </c>
      <c r="L10" s="189">
        <v>232.37717940667901</v>
      </c>
      <c r="M10" s="189">
        <v>86.496536716942899</v>
      </c>
      <c r="N10" s="189">
        <v>128.415426300353</v>
      </c>
      <c r="O10" s="189">
        <v>172.75922696491901</v>
      </c>
      <c r="P10" s="189">
        <v>86.783539870679306</v>
      </c>
      <c r="Q10" s="189">
        <v>86.344450224104605</v>
      </c>
      <c r="R10" s="189">
        <v>10.953056268404501</v>
      </c>
      <c r="S10" s="217"/>
    </row>
    <row r="11" spans="1:19" ht="14.25" x14ac:dyDescent="0.45">
      <c r="A11" s="12" t="str">
        <f>Calculations!A172</f>
        <v>Planned SAIDI collar</v>
      </c>
      <c r="B11" s="134">
        <f>Calculations!D172</f>
        <v>0</v>
      </c>
      <c r="C11" s="272">
        <v>0</v>
      </c>
      <c r="D11" s="189">
        <v>0</v>
      </c>
      <c r="E11" s="189">
        <v>0</v>
      </c>
      <c r="F11" s="189">
        <v>0</v>
      </c>
      <c r="G11" s="189">
        <v>0</v>
      </c>
      <c r="H11" s="189">
        <v>0</v>
      </c>
      <c r="I11" s="189">
        <v>0</v>
      </c>
      <c r="J11" s="189">
        <v>0</v>
      </c>
      <c r="K11" s="189">
        <v>0</v>
      </c>
      <c r="L11" s="189">
        <v>0</v>
      </c>
      <c r="M11" s="189">
        <v>0</v>
      </c>
      <c r="N11" s="189">
        <v>0</v>
      </c>
      <c r="O11" s="189">
        <v>0</v>
      </c>
      <c r="P11" s="189">
        <v>0</v>
      </c>
      <c r="Q11" s="189">
        <v>0</v>
      </c>
      <c r="R11" s="189">
        <v>0</v>
      </c>
    </row>
    <row r="12" spans="1:19" ht="14.25" x14ac:dyDescent="0.45">
      <c r="A12" s="12" t="str">
        <f>Calculations!A173</f>
        <v>Planned Adjusted SAIDI cap</v>
      </c>
      <c r="B12" s="134">
        <f>Calculations!D173</f>
        <v>165.1534512964848</v>
      </c>
      <c r="C12" s="272">
        <v>165.1534512964848</v>
      </c>
      <c r="D12" s="189">
        <v>215.55512000000004</v>
      </c>
      <c r="E12" s="189">
        <v>247.69476000000003</v>
      </c>
      <c r="F12" s="189">
        <v>25.188592000000003</v>
      </c>
      <c r="G12" s="189">
        <v>242.63022000604599</v>
      </c>
      <c r="H12" s="189">
        <v>188.89915000000002</v>
      </c>
      <c r="I12" s="189">
        <v>32.419970999999997</v>
      </c>
      <c r="J12" s="189">
        <v>213.58736782896199</v>
      </c>
      <c r="K12" s="189">
        <v>43.64866</v>
      </c>
      <c r="L12" s="189">
        <v>464.75435881335801</v>
      </c>
      <c r="M12" s="189">
        <v>169.94901000000002</v>
      </c>
      <c r="N12" s="189">
        <v>256.83085260070601</v>
      </c>
      <c r="O12" s="189">
        <v>345.51845392983802</v>
      </c>
      <c r="P12" s="189">
        <v>137.67479</v>
      </c>
      <c r="Q12" s="189">
        <v>128.78371000000001</v>
      </c>
      <c r="R12" s="189">
        <v>15.332932999999999</v>
      </c>
    </row>
    <row r="13" spans="1:19" ht="14.25" x14ac:dyDescent="0.45">
      <c r="A13" s="22" t="str">
        <f>Calculations!A174</f>
        <v>Planned reliability standard―SAIDI (5-year regulatory period limit) - minutes</v>
      </c>
      <c r="B13" s="134">
        <f>Calculations!D174</f>
        <v>825.76725648242405</v>
      </c>
      <c r="C13" s="273">
        <v>825.76725648242405</v>
      </c>
      <c r="D13" s="188">
        <v>1077.7756000000002</v>
      </c>
      <c r="E13" s="188">
        <v>1238.4738000000002</v>
      </c>
      <c r="F13" s="188">
        <v>125.94296000000001</v>
      </c>
      <c r="G13" s="188">
        <v>1213.1511000302298</v>
      </c>
      <c r="H13" s="188">
        <v>944.49575000000004</v>
      </c>
      <c r="I13" s="188">
        <v>162.09985499999999</v>
      </c>
      <c r="J13" s="188">
        <v>1067.9368391448099</v>
      </c>
      <c r="K13" s="188">
        <v>218.2433</v>
      </c>
      <c r="L13" s="188">
        <v>2323.7717940667899</v>
      </c>
      <c r="M13" s="188">
        <v>849.74505000000011</v>
      </c>
      <c r="N13" s="188">
        <v>1284.1542630035301</v>
      </c>
      <c r="O13" s="188">
        <v>1727.59226964919</v>
      </c>
      <c r="P13" s="188">
        <v>688.37395000000004</v>
      </c>
      <c r="Q13" s="188">
        <v>643.9185500000001</v>
      </c>
      <c r="R13" s="188">
        <v>76.664664999999999</v>
      </c>
    </row>
    <row r="14" spans="1:19" ht="14.25" x14ac:dyDescent="0.45">
      <c r="A14" s="22"/>
      <c r="B14" s="134" t="str">
        <f>""</f>
        <v/>
      </c>
      <c r="C14" s="274" t="str">
        <v/>
      </c>
      <c r="D14" s="180" t="str">
        <v/>
      </c>
      <c r="E14" s="180" t="str">
        <v/>
      </c>
      <c r="F14" s="180" t="str">
        <v/>
      </c>
      <c r="G14" s="180" t="str">
        <v/>
      </c>
      <c r="H14" s="180" t="str">
        <v/>
      </c>
      <c r="I14" s="180" t="str">
        <v/>
      </c>
      <c r="J14" s="180" t="str">
        <v/>
      </c>
      <c r="K14" s="180" t="str">
        <v/>
      </c>
      <c r="L14" s="180" t="str">
        <v/>
      </c>
      <c r="M14" s="180" t="str">
        <v/>
      </c>
      <c r="N14" s="180" t="str">
        <v/>
      </c>
      <c r="O14" s="180" t="str">
        <v/>
      </c>
      <c r="P14" s="180" t="str">
        <v/>
      </c>
      <c r="Q14" s="180" t="str">
        <v/>
      </c>
      <c r="R14" s="180" t="str">
        <v/>
      </c>
    </row>
    <row r="15" spans="1:19" ht="14.25" x14ac:dyDescent="0.45">
      <c r="A15" s="12" t="str">
        <f>Calculations!A176</f>
        <v>SAIFI average</v>
      </c>
      <c r="B15" s="129">
        <f>Calculations!D176</f>
        <v>0.25766648483507099</v>
      </c>
      <c r="C15" s="275">
        <v>0.25766648483507099</v>
      </c>
      <c r="D15" s="181">
        <v>0.84447646701712298</v>
      </c>
      <c r="E15" s="181">
        <v>0.39990853541754601</v>
      </c>
      <c r="F15" s="181">
        <v>6.7705204092970206E-2</v>
      </c>
      <c r="G15" s="181">
        <v>0.49832476197061998</v>
      </c>
      <c r="H15" s="181">
        <v>0.73635537169336895</v>
      </c>
      <c r="I15" s="181">
        <v>5.3934017529872702E-2</v>
      </c>
      <c r="J15" s="181">
        <v>0.35323967809839002</v>
      </c>
      <c r="K15" s="181">
        <v>7.3989678442510906E-2</v>
      </c>
      <c r="L15" s="181">
        <v>0.92087875366363803</v>
      </c>
      <c r="M15" s="181">
        <v>0.38124750726822099</v>
      </c>
      <c r="N15" s="181">
        <v>0.59130809744467605</v>
      </c>
      <c r="O15" s="181">
        <v>0.87440093326821799</v>
      </c>
      <c r="P15" s="181">
        <v>0.53361761513837502</v>
      </c>
      <c r="Q15" s="181">
        <v>0.34484174682881202</v>
      </c>
      <c r="R15" s="181">
        <v>6.7357042100622003E-2</v>
      </c>
    </row>
    <row r="16" spans="1:19" ht="14.25" x14ac:dyDescent="0.45">
      <c r="A16" s="12" t="str">
        <f>Calculations!A177</f>
        <v>Planned Adjusted SAIFI cap</v>
      </c>
      <c r="B16" s="129">
        <f>Calculations!D177</f>
        <v>0.62874008999999997</v>
      </c>
      <c r="C16" s="275">
        <v>0.62874008999999997</v>
      </c>
      <c r="D16" s="181">
        <v>1.2184699999999999</v>
      </c>
      <c r="E16" s="181">
        <v>0.8809011000000001</v>
      </c>
      <c r="F16" s="181">
        <v>0.11403381000000001</v>
      </c>
      <c r="G16" s="181">
        <v>1.3454127000000002</v>
      </c>
      <c r="H16" s="181">
        <v>1.197119</v>
      </c>
      <c r="I16" s="181">
        <v>0.42593093999999998</v>
      </c>
      <c r="J16" s="181">
        <v>0.88238691000000014</v>
      </c>
      <c r="K16" s="181">
        <v>0.14797935688502181</v>
      </c>
      <c r="L16" s="181">
        <v>1.8417575073272761</v>
      </c>
      <c r="M16" s="181">
        <v>0.76249501453644197</v>
      </c>
      <c r="N16" s="181">
        <v>1.5754779000000001</v>
      </c>
      <c r="O16" s="181">
        <v>1.7055764000000002</v>
      </c>
      <c r="P16" s="181">
        <v>0.98227404000000007</v>
      </c>
      <c r="Q16" s="181">
        <v>0.63322732000000004</v>
      </c>
      <c r="R16" s="181">
        <v>0.12178727000000002</v>
      </c>
    </row>
    <row r="17" spans="1:18" ht="15.75" customHeight="1" x14ac:dyDescent="0.45">
      <c r="A17" s="22" t="str">
        <f>Calculations!A178</f>
        <v>Planned reliability standard―SAIFI (5-year regulatory period limit) - frequency</v>
      </c>
      <c r="B17" s="157">
        <f>Calculations!D178</f>
        <v>3.1437004499999999</v>
      </c>
      <c r="C17" s="275">
        <v>3.1437004499999999</v>
      </c>
      <c r="D17" s="181">
        <v>6.0923499999999997</v>
      </c>
      <c r="E17" s="181">
        <v>4.4045055000000009</v>
      </c>
      <c r="F17" s="181">
        <v>0.57016905000000007</v>
      </c>
      <c r="G17" s="181">
        <v>6.7270635000000016</v>
      </c>
      <c r="H17" s="181">
        <v>5.985595</v>
      </c>
      <c r="I17" s="181">
        <v>2.1296546999999997</v>
      </c>
      <c r="J17" s="181">
        <v>4.4119345500000007</v>
      </c>
      <c r="K17" s="181">
        <v>0.73989678442510909</v>
      </c>
      <c r="L17" s="181">
        <v>9.2087875366363807</v>
      </c>
      <c r="M17" s="181">
        <v>3.8124750726822096</v>
      </c>
      <c r="N17" s="181">
        <v>7.8773895000000005</v>
      </c>
      <c r="O17" s="181">
        <v>8.5278820000000017</v>
      </c>
      <c r="P17" s="181">
        <v>4.9113702000000004</v>
      </c>
      <c r="Q17" s="181">
        <v>3.1661366000000002</v>
      </c>
      <c r="R17" s="181">
        <v>0.60893635000000013</v>
      </c>
    </row>
    <row r="18" spans="1:18" ht="14.25" x14ac:dyDescent="0.45">
      <c r="B18" t="str">
        <f>""</f>
        <v/>
      </c>
      <c r="C18" s="274" t="str">
        <v/>
      </c>
      <c r="D18" s="180" t="str">
        <v/>
      </c>
      <c r="E18" s="180" t="str">
        <v/>
      </c>
      <c r="F18" s="180" t="str">
        <v/>
      </c>
      <c r="G18" s="180" t="str">
        <v/>
      </c>
      <c r="H18" s="180" t="str">
        <v/>
      </c>
      <c r="I18" s="180" t="str">
        <v/>
      </c>
      <c r="J18" s="180" t="str">
        <v/>
      </c>
      <c r="K18" s="180" t="str">
        <v/>
      </c>
      <c r="L18" s="180" t="str">
        <v/>
      </c>
      <c r="M18" s="180" t="str">
        <v/>
      </c>
      <c r="N18" s="180" t="str">
        <v/>
      </c>
      <c r="O18" s="180" t="str">
        <v/>
      </c>
      <c r="P18" s="180" t="str">
        <v/>
      </c>
      <c r="Q18" s="180" t="str">
        <v/>
      </c>
      <c r="R18" s="180" t="str">
        <v/>
      </c>
    </row>
    <row r="19" spans="1:18" ht="14.25" x14ac:dyDescent="0.45">
      <c r="A19" s="73" t="str">
        <f>Calculations!A180</f>
        <v>Planned SAIDI percent increase in DPP4 vs DPP3</v>
      </c>
      <c r="B19" s="38">
        <f>Calculations!D180</f>
        <v>1.0895754686037762E-3</v>
      </c>
      <c r="C19" s="276">
        <v>1.0895754686037762E-3</v>
      </c>
      <c r="D19" s="190">
        <v>0.85447767987766832</v>
      </c>
      <c r="E19" s="190">
        <v>-0.14209108589956121</v>
      </c>
      <c r="F19" s="190">
        <v>0.57644233898203034</v>
      </c>
      <c r="G19" s="190">
        <v>-6.0066437951982521E-2</v>
      </c>
      <c r="H19" s="190">
        <v>0.28145496154799643</v>
      </c>
      <c r="I19" s="190">
        <v>-0.12831347787677538</v>
      </c>
      <c r="J19" s="190">
        <v>-5.4199572022303966E-2</v>
      </c>
      <c r="K19" s="190">
        <v>0.20096717230947125</v>
      </c>
      <c r="L19" s="190">
        <v>9.900469490723518E-2</v>
      </c>
      <c r="M19" s="190">
        <v>0.11970279072101908</v>
      </c>
      <c r="N19" s="190">
        <v>-3.5684935886361013E-2</v>
      </c>
      <c r="O19" s="190">
        <v>-9.3300190226644486E-2</v>
      </c>
      <c r="P19" s="190">
        <v>0.38677377111303013</v>
      </c>
      <c r="Q19" s="190">
        <v>0.47501411857936171</v>
      </c>
      <c r="R19" s="190">
        <v>0.57156649614851274</v>
      </c>
    </row>
    <row r="20" spans="1:18" ht="14.25" x14ac:dyDescent="0.45">
      <c r="A20" s="73" t="str">
        <f>Calculations!A181</f>
        <v>Planned SAIDI scaling adjustment</v>
      </c>
      <c r="B20" s="38">
        <f>Calculations!D181</f>
        <v>0</v>
      </c>
      <c r="C20" s="276">
        <v>0</v>
      </c>
      <c r="D20" s="190">
        <v>-0.40684106800759001</v>
      </c>
      <c r="E20" s="190">
        <v>4.9062418174889766E-2</v>
      </c>
      <c r="F20" s="190">
        <v>-0.30222630235222392</v>
      </c>
      <c r="G20" s="190">
        <v>0</v>
      </c>
      <c r="H20" s="190">
        <v>-0.14160073275521046</v>
      </c>
      <c r="I20" s="190">
        <v>3.2481261506499326E-2</v>
      </c>
      <c r="J20" s="190">
        <v>0</v>
      </c>
      <c r="K20" s="190">
        <v>-8.407155052815507E-2</v>
      </c>
      <c r="L20" s="190">
        <v>0</v>
      </c>
      <c r="M20" s="190">
        <v>-1.7596446918142994E-2</v>
      </c>
      <c r="N20" s="190">
        <v>0</v>
      </c>
      <c r="O20" s="190">
        <v>0</v>
      </c>
      <c r="P20" s="190">
        <v>-0.20679203564894677</v>
      </c>
      <c r="Q20" s="190">
        <v>-0.25424442644694889</v>
      </c>
      <c r="R20" s="190">
        <v>-0.30006143380136663</v>
      </c>
    </row>
    <row r="21" spans="1:18" ht="14.25" x14ac:dyDescent="0.45">
      <c r="A21" s="73" t="str">
        <f>Calculations!A182</f>
        <v>Planned SAIFI percent increase in DPP4 vs DPP3</v>
      </c>
      <c r="B21" s="38">
        <f>Calculations!D182</f>
        <v>-0.26233481834580041</v>
      </c>
      <c r="C21" s="276">
        <v>-0.26233481834580041</v>
      </c>
      <c r="D21" s="190">
        <v>0.52473858809627716</v>
      </c>
      <c r="E21" s="190">
        <v>-0.18284201966420199</v>
      </c>
      <c r="F21" s="190">
        <v>0.30620426524847733</v>
      </c>
      <c r="G21" s="190">
        <v>-0.33330154268120415</v>
      </c>
      <c r="H21" s="190">
        <v>0.35323373676753245</v>
      </c>
      <c r="I21" s="190">
        <v>-0.77207283520241365</v>
      </c>
      <c r="J21" s="190">
        <v>-0.27941879761441391</v>
      </c>
      <c r="K21" s="190">
        <v>-1.0914497771762011E-2</v>
      </c>
      <c r="L21" s="190">
        <v>-4.2866463680898859E-2</v>
      </c>
      <c r="M21" s="190">
        <v>8.5757789898786685E-2</v>
      </c>
      <c r="N21" s="190">
        <v>-0.32442430617375406</v>
      </c>
      <c r="O21" s="190">
        <v>0.12787797321191796</v>
      </c>
      <c r="P21" s="190">
        <v>0.19514382493955051</v>
      </c>
      <c r="Q21" s="190">
        <v>0.19807187571026863</v>
      </c>
      <c r="R21" s="190">
        <v>0.21675683034333892</v>
      </c>
    </row>
    <row r="22" spans="1:18" ht="14.25" x14ac:dyDescent="0.45">
      <c r="A22" s="73" t="str">
        <f>Calculations!A183</f>
        <v>Planned SAIFI scaling adjustment</v>
      </c>
      <c r="B22" s="38">
        <f>Calculations!D183</f>
        <v>0.22006571867980518</v>
      </c>
      <c r="C22" s="276">
        <v>0.22006571867980518</v>
      </c>
      <c r="D22" s="190">
        <v>-0.27856485787940044</v>
      </c>
      <c r="E22" s="190">
        <v>0.10137821774702549</v>
      </c>
      <c r="F22" s="190">
        <v>-0.15786525180979349</v>
      </c>
      <c r="G22" s="190">
        <v>0.34993562699912806</v>
      </c>
      <c r="H22" s="190">
        <v>-0.18713229642975904</v>
      </c>
      <c r="I22" s="190">
        <v>2.9486298212819722</v>
      </c>
      <c r="J22" s="190">
        <v>0.2489917819399432</v>
      </c>
      <c r="K22" s="190">
        <v>0</v>
      </c>
      <c r="L22" s="190">
        <v>0</v>
      </c>
      <c r="M22" s="190">
        <v>0</v>
      </c>
      <c r="N22" s="190">
        <v>0.33219712938854595</v>
      </c>
      <c r="O22" s="190">
        <v>-2.4717189158795505E-2</v>
      </c>
      <c r="P22" s="190">
        <v>-7.9608682197193081E-2</v>
      </c>
      <c r="Q22" s="190">
        <v>-8.1858090235301884E-2</v>
      </c>
      <c r="R22" s="190">
        <v>-9.5957406962238201E-2</v>
      </c>
    </row>
    <row r="23" spans="1:18" ht="14.25" x14ac:dyDescent="0.45">
      <c r="A23" s="22"/>
      <c r="B23" s="27" t="str">
        <f>""</f>
        <v/>
      </c>
      <c r="C23" s="277" t="str">
        <v/>
      </c>
      <c r="D23" s="182" t="str">
        <v/>
      </c>
      <c r="E23" s="182" t="str">
        <v/>
      </c>
      <c r="F23" s="182" t="str">
        <v/>
      </c>
      <c r="G23" s="182" t="str">
        <v/>
      </c>
      <c r="H23" s="182" t="str">
        <v/>
      </c>
      <c r="I23" s="182" t="str">
        <v/>
      </c>
      <c r="J23" s="182" t="str">
        <v/>
      </c>
      <c r="K23" s="182" t="str">
        <v/>
      </c>
      <c r="L23" s="182" t="str">
        <v/>
      </c>
      <c r="M23" s="182" t="str">
        <v/>
      </c>
      <c r="N23" s="182" t="str">
        <v/>
      </c>
      <c r="O23" s="182" t="str">
        <v/>
      </c>
      <c r="P23" s="182" t="str">
        <v/>
      </c>
      <c r="Q23" s="182" t="str">
        <v/>
      </c>
      <c r="R23" s="182" t="str">
        <v/>
      </c>
    </row>
    <row r="24" spans="1:18" ht="18" x14ac:dyDescent="0.55000000000000004">
      <c r="A24" s="297" t="s">
        <v>129</v>
      </c>
      <c r="B24" s="324" t="str">
        <f>""</f>
        <v/>
      </c>
      <c r="C24" s="325" t="str">
        <v/>
      </c>
      <c r="D24" s="325" t="str">
        <v/>
      </c>
      <c r="E24" s="325" t="str">
        <v/>
      </c>
      <c r="F24" s="325" t="str">
        <v/>
      </c>
      <c r="G24" s="325" t="str">
        <v/>
      </c>
      <c r="H24" s="325" t="str">
        <v/>
      </c>
      <c r="I24" s="325" t="str">
        <v/>
      </c>
      <c r="J24" s="325" t="str">
        <v/>
      </c>
      <c r="K24" s="325" t="str">
        <v/>
      </c>
      <c r="L24" s="325" t="str">
        <v/>
      </c>
      <c r="M24" s="325" t="str">
        <v/>
      </c>
      <c r="N24" s="325" t="str">
        <v/>
      </c>
      <c r="O24" s="325" t="str">
        <v/>
      </c>
      <c r="P24" s="325" t="str">
        <v/>
      </c>
      <c r="Q24" s="325" t="str">
        <v/>
      </c>
      <c r="R24" s="325" t="str">
        <v/>
      </c>
    </row>
    <row r="25" spans="1:18" ht="14.25" x14ac:dyDescent="0.45">
      <c r="A25" s="7" t="str">
        <f>Calculations!A190</f>
        <v xml:space="preserve"> SAIDI target - minutes</v>
      </c>
      <c r="B25" s="32">
        <f>Calculations!D190</f>
        <v>87.28941823474014</v>
      </c>
      <c r="C25" s="279">
        <v>87.28941823474014</v>
      </c>
      <c r="D25" s="183">
        <v>92.483999999999995</v>
      </c>
      <c r="E25" s="183">
        <v>68.071623000000002</v>
      </c>
      <c r="F25" s="183">
        <v>16.161901713773489</v>
      </c>
      <c r="G25" s="183">
        <v>182.54035766609741</v>
      </c>
      <c r="H25" s="183">
        <v>137.71367609999999</v>
      </c>
      <c r="I25" s="183">
        <v>9.0567043895257999</v>
      </c>
      <c r="J25" s="183">
        <v>72.700830179999997</v>
      </c>
      <c r="K25" s="183">
        <v>63.142643000000007</v>
      </c>
      <c r="L25" s="183">
        <v>126.02233547785373</v>
      </c>
      <c r="M25" s="183">
        <v>159.55684500000001</v>
      </c>
      <c r="N25" s="183">
        <v>150.18762934204403</v>
      </c>
      <c r="O25" s="183">
        <v>317.26733354977387</v>
      </c>
      <c r="P25" s="183">
        <v>67.282896260000001</v>
      </c>
      <c r="Q25" s="183">
        <v>93.741842538578851</v>
      </c>
      <c r="R25" s="183">
        <v>29.641693965530191</v>
      </c>
    </row>
    <row r="26" spans="1:18" ht="14.25" x14ac:dyDescent="0.45">
      <c r="A26" s="7" t="str">
        <f>Calculations!A191</f>
        <v xml:space="preserve"> SAIDI collar - minutes</v>
      </c>
      <c r="B26" s="32">
        <f>Calculations!D191</f>
        <v>0</v>
      </c>
      <c r="C26" s="279">
        <v>0</v>
      </c>
      <c r="D26" s="183">
        <v>0</v>
      </c>
      <c r="E26" s="183">
        <v>0</v>
      </c>
      <c r="F26" s="183">
        <v>0</v>
      </c>
      <c r="G26" s="183">
        <v>0</v>
      </c>
      <c r="H26" s="183">
        <v>0</v>
      </c>
      <c r="I26" s="183">
        <v>0</v>
      </c>
      <c r="J26" s="183">
        <v>0</v>
      </c>
      <c r="K26" s="183">
        <v>0</v>
      </c>
      <c r="L26" s="183">
        <v>0</v>
      </c>
      <c r="M26" s="183">
        <v>0</v>
      </c>
      <c r="N26" s="183">
        <v>0</v>
      </c>
      <c r="O26" s="183">
        <v>0</v>
      </c>
      <c r="P26" s="183">
        <v>0</v>
      </c>
      <c r="Q26" s="183">
        <v>0</v>
      </c>
      <c r="R26" s="183">
        <v>0</v>
      </c>
    </row>
    <row r="27" spans="1:18" ht="14.25" x14ac:dyDescent="0.45">
      <c r="A27" s="7" t="str">
        <f>Calculations!A192</f>
        <v xml:space="preserve"> SAIDI cap - minutes</v>
      </c>
      <c r="B27" s="32">
        <f>Calculations!D192</f>
        <v>118.47240823474012</v>
      </c>
      <c r="C27" s="279">
        <v>118.47240823474012</v>
      </c>
      <c r="D27" s="183">
        <v>128.36378507999999</v>
      </c>
      <c r="E27" s="183">
        <v>87.37668699999999</v>
      </c>
      <c r="F27" s="183">
        <v>27.147934113773488</v>
      </c>
      <c r="G27" s="183">
        <v>230.43331466609743</v>
      </c>
      <c r="H27" s="183">
        <v>184.800479</v>
      </c>
      <c r="I27" s="183">
        <v>18.617063589525795</v>
      </c>
      <c r="J27" s="183">
        <v>98.328682579999992</v>
      </c>
      <c r="K27" s="183">
        <v>80.474859100000003</v>
      </c>
      <c r="L27" s="183">
        <v>168.37240547785373</v>
      </c>
      <c r="M27" s="183">
        <v>189.26590200000004</v>
      </c>
      <c r="N27" s="183">
        <v>190.55170834204404</v>
      </c>
      <c r="O27" s="183">
        <v>399.24988454977381</v>
      </c>
      <c r="P27" s="183">
        <v>81.515934991999998</v>
      </c>
      <c r="Q27" s="183">
        <v>110.07128083857886</v>
      </c>
      <c r="R27" s="183">
        <v>37.817536465530196</v>
      </c>
    </row>
    <row r="28" spans="1:18" ht="14.25" x14ac:dyDescent="0.45">
      <c r="B28" s="33" t="str">
        <f>""</f>
        <v/>
      </c>
      <c r="C28" s="279" t="str">
        <v/>
      </c>
      <c r="D28" s="183" t="str">
        <v/>
      </c>
      <c r="E28" s="183" t="str">
        <v/>
      </c>
      <c r="F28" s="183" t="str">
        <v/>
      </c>
      <c r="G28" s="183" t="str">
        <v/>
      </c>
      <c r="H28" s="183" t="str">
        <v/>
      </c>
      <c r="I28" s="183" t="str">
        <v/>
      </c>
      <c r="J28" s="183" t="str">
        <v/>
      </c>
      <c r="K28" s="183" t="str">
        <v/>
      </c>
      <c r="L28" s="183" t="str">
        <v/>
      </c>
      <c r="M28" s="183" t="str">
        <v/>
      </c>
      <c r="N28" s="183" t="str">
        <v/>
      </c>
      <c r="O28" s="183" t="str">
        <v/>
      </c>
      <c r="P28" s="183" t="str">
        <v/>
      </c>
      <c r="Q28" s="183" t="str">
        <v/>
      </c>
      <c r="R28" s="183" t="str">
        <v/>
      </c>
    </row>
    <row r="29" spans="1:18" ht="13.9" customHeight="1" x14ac:dyDescent="0.45">
      <c r="A29" s="7" t="str">
        <f>Calculations!A194</f>
        <v xml:space="preserve"> SAIFI target - minutes</v>
      </c>
      <c r="B29" s="32">
        <f>Calculations!D194</f>
        <v>0.8615881262634203</v>
      </c>
      <c r="C29" s="279">
        <v>0.8615881262634203</v>
      </c>
      <c r="D29" s="183">
        <v>1.5974803959999999</v>
      </c>
      <c r="E29" s="183">
        <v>0.97792617800000003</v>
      </c>
      <c r="F29" s="183">
        <v>0.40596435073189346</v>
      </c>
      <c r="G29" s="183">
        <v>2.5935455406106409</v>
      </c>
      <c r="H29" s="183">
        <v>1.7456430499999995</v>
      </c>
      <c r="I29" s="183">
        <v>0.18884786689643504</v>
      </c>
      <c r="J29" s="183">
        <v>0.85894801975501189</v>
      </c>
      <c r="K29" s="183">
        <v>0.79525564000000004</v>
      </c>
      <c r="L29" s="183">
        <v>1.780701927</v>
      </c>
      <c r="M29" s="183">
        <v>1.8991491918335626</v>
      </c>
      <c r="N29" s="183">
        <v>2.6022395180000002</v>
      </c>
      <c r="O29" s="183">
        <v>3.9262030009835276</v>
      </c>
      <c r="P29" s="183">
        <v>1.4440915566757728</v>
      </c>
      <c r="Q29" s="183">
        <v>1.2392782499999999</v>
      </c>
      <c r="R29" s="183">
        <v>0.45976396167954098</v>
      </c>
    </row>
    <row r="30" spans="1:18" ht="14.25" x14ac:dyDescent="0.45">
      <c r="A30" s="7" t="str">
        <f>Calculations!A195</f>
        <v xml:space="preserve"> SAIFI collar - minutes</v>
      </c>
      <c r="B30" s="32">
        <f>Calculations!D195</f>
        <v>0</v>
      </c>
      <c r="C30" s="279">
        <v>0</v>
      </c>
      <c r="D30" s="183">
        <v>0</v>
      </c>
      <c r="E30" s="183">
        <v>0</v>
      </c>
      <c r="F30" s="183">
        <v>0</v>
      </c>
      <c r="G30" s="183">
        <v>0</v>
      </c>
      <c r="H30" s="183">
        <v>0</v>
      </c>
      <c r="I30" s="183">
        <v>0</v>
      </c>
      <c r="J30" s="183">
        <v>0</v>
      </c>
      <c r="K30" s="183">
        <v>0</v>
      </c>
      <c r="L30" s="183">
        <v>0</v>
      </c>
      <c r="M30" s="183">
        <v>0</v>
      </c>
      <c r="N30" s="183">
        <v>0</v>
      </c>
      <c r="O30" s="183">
        <v>0</v>
      </c>
      <c r="P30" s="183">
        <v>0</v>
      </c>
      <c r="Q30" s="183">
        <v>0</v>
      </c>
      <c r="R30" s="183">
        <v>0</v>
      </c>
    </row>
    <row r="31" spans="1:18" ht="14.25" x14ac:dyDescent="0.45">
      <c r="A31" s="7" t="str">
        <f>Calculations!A196</f>
        <v xml:space="preserve"> SAIFI cap - minutes</v>
      </c>
      <c r="B31" s="32">
        <f>Calculations!D196</f>
        <v>1.1371863562634201</v>
      </c>
      <c r="C31" s="279">
        <v>1.1371863562634201</v>
      </c>
      <c r="D31" s="183">
        <v>1.9674499999999999</v>
      </c>
      <c r="E31" s="183">
        <v>1.24161363</v>
      </c>
      <c r="F31" s="183">
        <v>0.66080660073189346</v>
      </c>
      <c r="G31" s="183">
        <v>3.3101392506106411</v>
      </c>
      <c r="H31" s="183">
        <v>2.2708919699999996</v>
      </c>
      <c r="I31" s="183">
        <v>0.40634675689643501</v>
      </c>
      <c r="J31" s="183">
        <v>1.1357865697550116</v>
      </c>
      <c r="K31" s="183">
        <v>0.98187516000000008</v>
      </c>
      <c r="L31" s="183">
        <v>2.3401315990000002</v>
      </c>
      <c r="M31" s="183">
        <v>2.1549610118335627</v>
      </c>
      <c r="N31" s="183">
        <v>3.2838625800000001</v>
      </c>
      <c r="O31" s="183">
        <v>4.8195552609835275</v>
      </c>
      <c r="P31" s="183">
        <v>1.7244437766757728</v>
      </c>
      <c r="Q31" s="183">
        <v>1.4034190799999999</v>
      </c>
      <c r="R31" s="183">
        <v>0.58286211167954094</v>
      </c>
    </row>
    <row r="32" spans="1:18" ht="14.25" x14ac:dyDescent="0.45">
      <c r="A32" s="7"/>
      <c r="B32" s="33" t="str">
        <f>""</f>
        <v/>
      </c>
      <c r="C32" s="279" t="str">
        <v/>
      </c>
      <c r="D32" s="183" t="str">
        <v/>
      </c>
      <c r="E32" s="183" t="str">
        <v/>
      </c>
      <c r="F32" s="183" t="str">
        <v/>
      </c>
      <c r="G32" s="183" t="str">
        <v/>
      </c>
      <c r="H32" s="183" t="str">
        <v/>
      </c>
      <c r="I32" s="183" t="str">
        <v/>
      </c>
      <c r="J32" s="183" t="str">
        <v/>
      </c>
      <c r="K32" s="183" t="str">
        <v/>
      </c>
      <c r="L32" s="183" t="str">
        <v/>
      </c>
      <c r="M32" s="183" t="str">
        <v/>
      </c>
      <c r="N32" s="183" t="str">
        <v/>
      </c>
      <c r="O32" s="183" t="str">
        <v/>
      </c>
      <c r="P32" s="183" t="str">
        <v/>
      </c>
      <c r="Q32" s="183" t="str">
        <v/>
      </c>
      <c r="R32" s="183" t="str">
        <v/>
      </c>
    </row>
    <row r="33" spans="1:18" ht="14.25" x14ac:dyDescent="0.45">
      <c r="A33" s="7" t="str">
        <f>Calculations!A198</f>
        <v>Target - Unplanned SAIDI percent increase in DPP4 vs DPP3</v>
      </c>
      <c r="B33" s="38">
        <f>Calculations!D198</f>
        <v>-0.11188165341504541</v>
      </c>
      <c r="C33" s="280">
        <v>-0.11188165341504541</v>
      </c>
      <c r="D33" s="184">
        <v>0.16892894300635786</v>
      </c>
      <c r="E33" s="184">
        <v>-8.3001626419278995E-2</v>
      </c>
      <c r="F33" s="184">
        <v>0.14944888383203558</v>
      </c>
      <c r="G33" s="184">
        <v>0.20992177063658435</v>
      </c>
      <c r="H33" s="184">
        <v>-4.5989702284132461E-2</v>
      </c>
      <c r="I33" s="184">
        <v>-0.42496143347429238</v>
      </c>
      <c r="J33" s="184">
        <v>-2.404892935899805E-2</v>
      </c>
      <c r="K33" s="184">
        <v>-0.33929182014126336</v>
      </c>
      <c r="L33" s="184">
        <v>0.10771977094910978</v>
      </c>
      <c r="M33" s="184">
        <v>7.4722537475593764E-2</v>
      </c>
      <c r="N33" s="184">
        <v>0.25213060705363555</v>
      </c>
      <c r="O33" s="184">
        <v>6.3311246356457573E-2</v>
      </c>
      <c r="P33" s="184">
        <v>-7.8401216083934244E-3</v>
      </c>
      <c r="Q33" s="184">
        <v>0.33744999207160586</v>
      </c>
      <c r="R33" s="184">
        <v>-8.272220217513937E-2</v>
      </c>
    </row>
    <row r="34" spans="1:18" ht="14.25" x14ac:dyDescent="0.45">
      <c r="A34" s="7" t="str">
        <f>Calculations!A199</f>
        <v>Target - Unplanned SAIDI scaling adjustment</v>
      </c>
      <c r="B34" s="38">
        <f>Calculations!D199</f>
        <v>6.9677260528392848E-2</v>
      </c>
      <c r="C34" s="280">
        <v>6.9677260528392848E-2</v>
      </c>
      <c r="D34" s="184">
        <v>-0.10174180707724245</v>
      </c>
      <c r="E34" s="184">
        <v>3.5988751310880973E-2</v>
      </c>
      <c r="F34" s="184">
        <v>-8.6518752796116205E-2</v>
      </c>
      <c r="G34" s="184">
        <v>-0.13217529803802408</v>
      </c>
      <c r="H34" s="184">
        <v>0</v>
      </c>
      <c r="I34" s="184">
        <v>0.65206310550568847</v>
      </c>
      <c r="J34" s="184">
        <v>0</v>
      </c>
      <c r="K34" s="184">
        <v>0.43785112544408888</v>
      </c>
      <c r="L34" s="184">
        <v>-5.2106834655171519E-2</v>
      </c>
      <c r="M34" s="184">
        <v>-2.3003646628332763E-2</v>
      </c>
      <c r="N34" s="184">
        <v>-0.16142933166474149</v>
      </c>
      <c r="O34" s="184">
        <v>-1.2518673532392222E-2</v>
      </c>
      <c r="P34" s="184">
        <v>0</v>
      </c>
      <c r="Q34" s="184">
        <v>-0.21492391773569652</v>
      </c>
      <c r="R34" s="184">
        <v>3.5673164937310542E-2</v>
      </c>
    </row>
    <row r="35" spans="1:18" ht="14.25" x14ac:dyDescent="0.45">
      <c r="A35" s="7" t="str">
        <f>Calculations!A200</f>
        <v>Target - Unplanned SAIFI percent increase in DPP4 vs DPP3</v>
      </c>
      <c r="B35" s="38">
        <f>Calculations!D200</f>
        <v>-0.21780974504289397</v>
      </c>
      <c r="C35" s="280">
        <v>-0.21780974504289397</v>
      </c>
      <c r="D35" s="184">
        <v>1.7503436942674977E-2</v>
      </c>
      <c r="E35" s="184">
        <v>-2.8433695032318407E-2</v>
      </c>
      <c r="F35" s="184">
        <v>-0.13402173844526943</v>
      </c>
      <c r="G35" s="184">
        <v>7.8676454102794002E-2</v>
      </c>
      <c r="H35" s="184">
        <v>-0.13904634074532007</v>
      </c>
      <c r="I35" s="184">
        <v>-0.48254931228008124</v>
      </c>
      <c r="J35" s="184">
        <v>-0.16068503195848549</v>
      </c>
      <c r="K35" s="184">
        <v>-0.28898337759666815</v>
      </c>
      <c r="L35" s="184">
        <v>-7.4361170517519559E-3</v>
      </c>
      <c r="M35" s="184">
        <v>-8.6637523971830444E-2</v>
      </c>
      <c r="N35" s="184">
        <v>1.7376362919418131E-2</v>
      </c>
      <c r="O35" s="184">
        <v>-0.14498861386966677</v>
      </c>
      <c r="P35" s="184">
        <v>-6.0993313940930771E-2</v>
      </c>
      <c r="Q35" s="184">
        <v>8.2953919670582632E-2</v>
      </c>
      <c r="R35" s="184">
        <v>-0.11510870781653093</v>
      </c>
    </row>
    <row r="36" spans="1:18" ht="14.25" x14ac:dyDescent="0.45">
      <c r="A36" s="7" t="str">
        <f>Calculations!A201</f>
        <v>Target - Unplanned SAIFI scaling adjustment</v>
      </c>
      <c r="B36" s="38">
        <f>Calculations!D201</f>
        <v>0.21453827119349156</v>
      </c>
      <c r="C36" s="280">
        <v>0.21453827119349156</v>
      </c>
      <c r="D36" s="184">
        <v>0</v>
      </c>
      <c r="E36" s="184">
        <v>0</v>
      </c>
      <c r="F36" s="184">
        <v>9.7025228201942815E-2</v>
      </c>
      <c r="G36" s="184">
        <v>-2.6584852198934916E-2</v>
      </c>
      <c r="H36" s="184">
        <v>0.10342756522157837</v>
      </c>
      <c r="I36" s="184">
        <v>0.8359237363970955</v>
      </c>
      <c r="J36" s="184">
        <v>0.13187544148862451</v>
      </c>
      <c r="K36" s="184">
        <v>0.33611503594511216</v>
      </c>
      <c r="L36" s="184">
        <v>0</v>
      </c>
      <c r="M36" s="184">
        <v>4.0112797419871615E-2</v>
      </c>
      <c r="N36" s="184">
        <v>0</v>
      </c>
      <c r="O36" s="184">
        <v>0.11109631451760249</v>
      </c>
      <c r="P36" s="184">
        <v>1.1707386224339533E-2</v>
      </c>
      <c r="Q36" s="184">
        <v>-3.0429660091730093E-2</v>
      </c>
      <c r="R36" s="184">
        <v>7.3578199256402632E-2</v>
      </c>
    </row>
    <row r="37" spans="1:18" ht="14.25" x14ac:dyDescent="0.45">
      <c r="A37" s="7"/>
      <c r="B37" s="33" t="str">
        <f>""</f>
        <v/>
      </c>
      <c r="C37" s="280" t="str">
        <v/>
      </c>
      <c r="D37" s="184" t="str">
        <v/>
      </c>
      <c r="E37" s="184" t="str">
        <v/>
      </c>
      <c r="F37" s="184" t="str">
        <v/>
      </c>
      <c r="G37" s="184" t="str">
        <v/>
      </c>
      <c r="H37" s="184" t="str">
        <v/>
      </c>
      <c r="I37" s="184" t="str">
        <v/>
      </c>
      <c r="J37" s="184" t="str">
        <v/>
      </c>
      <c r="K37" s="184" t="str">
        <v/>
      </c>
      <c r="L37" s="184" t="str">
        <v/>
      </c>
      <c r="M37" s="184" t="str">
        <v/>
      </c>
      <c r="N37" s="184" t="str">
        <v/>
      </c>
      <c r="O37" s="184" t="str">
        <v/>
      </c>
      <c r="P37" s="184" t="str">
        <v/>
      </c>
      <c r="Q37" s="184" t="str">
        <v/>
      </c>
      <c r="R37" s="184" t="str">
        <v/>
      </c>
    </row>
    <row r="38" spans="1:18" ht="14.25" x14ac:dyDescent="0.45">
      <c r="A38" s="7" t="str">
        <f>Calculations!A202</f>
        <v>Limit - Unplanned SAIDI percent increase in DPP4 vs DPP3</v>
      </c>
      <c r="B38" s="303">
        <f>Calculations!D202</f>
        <v>-0.11593321233519582</v>
      </c>
      <c r="C38" s="280">
        <v>-0.11593321233519582</v>
      </c>
      <c r="D38" s="184">
        <v>2.7403434288458373E-2</v>
      </c>
      <c r="E38" s="184">
        <v>-9.1196913241858191E-2</v>
      </c>
      <c r="F38" s="184">
        <v>0.17450521062385249</v>
      </c>
      <c r="G38" s="184">
        <v>0.20403974378458245</v>
      </c>
      <c r="H38" s="184">
        <v>-7.076103151226143E-2</v>
      </c>
      <c r="I38" s="184">
        <v>-0.27440390299251916</v>
      </c>
      <c r="J38" s="184">
        <v>-2.6760798393465679E-2</v>
      </c>
      <c r="K38" s="184">
        <v>-0.37052861178355267</v>
      </c>
      <c r="L38" s="184">
        <v>8.0721579510449892E-2</v>
      </c>
      <c r="M38" s="184">
        <v>5.718827567260365E-2</v>
      </c>
      <c r="N38" s="184">
        <v>0.25084818269461451</v>
      </c>
      <c r="O38" s="184">
        <v>6.0266269760753E-2</v>
      </c>
      <c r="P38" s="184">
        <v>-1.0060527786645901E-2</v>
      </c>
      <c r="Q38" s="184">
        <v>0.31903058714942589</v>
      </c>
      <c r="R38" s="184">
        <v>-9.7815784952091978E-2</v>
      </c>
    </row>
    <row r="39" spans="1:18" ht="14.25" x14ac:dyDescent="0.45">
      <c r="A39" s="7" t="str">
        <f>Calculations!A203</f>
        <v>Limit - Unplanned SAIDI scaling adjustment</v>
      </c>
      <c r="B39" s="303">
        <f>Calculations!D203</f>
        <v>7.4579447226327034E-2</v>
      </c>
      <c r="C39" s="280">
        <v>7.4579447226327034E-2</v>
      </c>
      <c r="D39" s="184">
        <v>0</v>
      </c>
      <c r="E39" s="184">
        <v>4.5330956553871982E-2</v>
      </c>
      <c r="F39" s="184">
        <v>-0.10600652044593317</v>
      </c>
      <c r="G39" s="184">
        <v>-0.12793576339963575</v>
      </c>
      <c r="H39" s="184">
        <v>2.2341972534845711E-2</v>
      </c>
      <c r="I39" s="184">
        <v>0.309268343528873</v>
      </c>
      <c r="J39" s="184">
        <v>0</v>
      </c>
      <c r="K39" s="184">
        <v>0.50920282920522042</v>
      </c>
      <c r="L39" s="184">
        <v>-2.8426914103414358E-2</v>
      </c>
      <c r="M39" s="184">
        <v>-6.7994281037880855E-3</v>
      </c>
      <c r="N39" s="184">
        <v>-0.16056959227613166</v>
      </c>
      <c r="O39" s="184">
        <v>-9.6827278708673248E-3</v>
      </c>
      <c r="P39" s="184">
        <v>0</v>
      </c>
      <c r="Q39" s="184">
        <v>-0.20396084046150231</v>
      </c>
      <c r="R39" s="184">
        <v>5.3000023891520698E-2</v>
      </c>
    </row>
    <row r="40" spans="1:18" ht="14.25" x14ac:dyDescent="0.45">
      <c r="A40" s="7" t="str">
        <f>Calculations!A204</f>
        <v>Limit - Unplanned SAIFI percent increase in DPP4 vs DPP3</v>
      </c>
      <c r="B40" s="303">
        <f>Calculations!D204</f>
        <v>-0.21395011105555461</v>
      </c>
      <c r="C40" s="280">
        <v>-0.21395011105555461</v>
      </c>
      <c r="D40" s="184">
        <v>-6.2394634476098609E-2</v>
      </c>
      <c r="E40" s="184">
        <v>-3.1984371272330892E-2</v>
      </c>
      <c r="F40" s="184">
        <v>-9.4069117746470532E-2</v>
      </c>
      <c r="G40" s="184">
        <v>7.3393018841893864E-2</v>
      </c>
      <c r="H40" s="184">
        <v>-0.14701374022208546</v>
      </c>
      <c r="I40" s="184">
        <v>-0.32526157439007375</v>
      </c>
      <c r="J40" s="184">
        <v>-0.15307286204529869</v>
      </c>
      <c r="K40" s="184">
        <v>-0.31172879024661349</v>
      </c>
      <c r="L40" s="184">
        <v>-3.1879667024751979E-2</v>
      </c>
      <c r="M40" s="184">
        <v>-8.9823328250781542E-2</v>
      </c>
      <c r="N40" s="184">
        <v>3.7654471125696531E-3</v>
      </c>
      <c r="O40" s="184">
        <v>-0.15119784974409034</v>
      </c>
      <c r="P40" s="184">
        <v>-6.8960930639916151E-2</v>
      </c>
      <c r="Q40" s="184">
        <v>8.1015810687139922E-2</v>
      </c>
      <c r="R40" s="184">
        <v>-0.12485570407011126</v>
      </c>
    </row>
    <row r="41" spans="1:18" ht="14.25" x14ac:dyDescent="0.45">
      <c r="A41" s="7" t="str">
        <f>Calculations!A205</f>
        <v>Limit - Unplanned SAIFI scaling adjustment</v>
      </c>
      <c r="B41" s="303">
        <f>Calculations!D205</f>
        <v>0.20857468891156072</v>
      </c>
      <c r="C41" s="280">
        <v>0.20857468891156072</v>
      </c>
      <c r="D41" s="184">
        <v>1.3219457707745574E-2</v>
      </c>
      <c r="E41" s="184">
        <v>0</v>
      </c>
      <c r="F41" s="184">
        <v>4.8645121399159441E-2</v>
      </c>
      <c r="G41" s="184">
        <v>-2.1793526165404975E-2</v>
      </c>
      <c r="H41" s="184">
        <v>0.11373423558703522</v>
      </c>
      <c r="I41" s="184">
        <v>0.40795301400131834</v>
      </c>
      <c r="J41" s="184">
        <v>0.1217021599924355</v>
      </c>
      <c r="K41" s="184">
        <v>0.38026985080545961</v>
      </c>
      <c r="L41" s="184">
        <v>0</v>
      </c>
      <c r="M41" s="184">
        <v>4.375340468158484E-2</v>
      </c>
      <c r="N41" s="184">
        <v>0</v>
      </c>
      <c r="O41" s="184">
        <v>0.11922430888467894</v>
      </c>
      <c r="P41" s="184">
        <v>2.036534369384535E-2</v>
      </c>
      <c r="Q41" s="184">
        <v>-2.8691357129573269E-2</v>
      </c>
      <c r="R41" s="184">
        <v>8.5535270489963011E-2</v>
      </c>
    </row>
    <row r="42" spans="1:18" ht="14.25" x14ac:dyDescent="0.45">
      <c r="A42" s="7"/>
      <c r="B42" s="33" t="str">
        <f>""</f>
        <v/>
      </c>
      <c r="C42" s="280" t="str">
        <v/>
      </c>
      <c r="D42" s="184" t="str">
        <v/>
      </c>
      <c r="E42" s="184" t="str">
        <v/>
      </c>
      <c r="F42" s="184" t="str">
        <v/>
      </c>
      <c r="G42" s="184" t="str">
        <v/>
      </c>
      <c r="H42" s="184" t="str">
        <v/>
      </c>
      <c r="I42" s="184" t="str">
        <v/>
      </c>
      <c r="J42" s="184" t="str">
        <v/>
      </c>
      <c r="K42" s="184" t="str">
        <v/>
      </c>
      <c r="L42" s="184" t="str">
        <v/>
      </c>
      <c r="M42" s="184" t="str">
        <v/>
      </c>
      <c r="N42" s="184" t="str">
        <v/>
      </c>
      <c r="O42" s="184" t="str">
        <v/>
      </c>
      <c r="P42" s="184" t="str">
        <v/>
      </c>
      <c r="Q42" s="184" t="str">
        <v/>
      </c>
      <c r="R42" s="184" t="str">
        <v/>
      </c>
    </row>
    <row r="43" spans="1:18" ht="18" x14ac:dyDescent="0.55000000000000004">
      <c r="A43" s="297" t="s">
        <v>124</v>
      </c>
      <c r="B43" s="324" t="str">
        <f>""</f>
        <v/>
      </c>
      <c r="C43" s="325" t="str">
        <v/>
      </c>
      <c r="D43" s="325" t="str">
        <v/>
      </c>
      <c r="E43" s="325" t="str">
        <v/>
      </c>
      <c r="F43" s="325" t="str">
        <v/>
      </c>
      <c r="G43" s="325" t="str">
        <v/>
      </c>
      <c r="H43" s="325" t="str">
        <v/>
      </c>
      <c r="I43" s="325" t="str">
        <v/>
      </c>
      <c r="J43" s="325" t="str">
        <v/>
      </c>
      <c r="K43" s="325" t="str">
        <v/>
      </c>
      <c r="L43" s="325" t="str">
        <v/>
      </c>
      <c r="M43" s="325" t="str">
        <v/>
      </c>
      <c r="N43" s="325" t="str">
        <v/>
      </c>
      <c r="O43" s="325" t="str">
        <v/>
      </c>
      <c r="P43" s="325" t="str">
        <v/>
      </c>
      <c r="Q43" s="325" t="str">
        <v/>
      </c>
      <c r="R43" s="325" t="str">
        <v/>
      </c>
    </row>
    <row r="44" spans="1:18" ht="14.25" x14ac:dyDescent="0.45">
      <c r="A44" s="22" t="str">
        <f>Calculations!A187</f>
        <v>Extreme event standard―approx SAIDI equivalent - SAIDI minutes</v>
      </c>
      <c r="B44" s="27">
        <f>Calculations!D187</f>
        <v>120</v>
      </c>
      <c r="C44" s="281">
        <v>120</v>
      </c>
      <c r="D44" s="191">
        <v>62.998047265671005</v>
      </c>
      <c r="E44" s="191">
        <v>120</v>
      </c>
      <c r="F44" s="191">
        <v>120</v>
      </c>
      <c r="G44" s="191">
        <v>120</v>
      </c>
      <c r="H44" s="191">
        <v>120</v>
      </c>
      <c r="I44" s="191">
        <v>120</v>
      </c>
      <c r="J44" s="191">
        <v>120</v>
      </c>
      <c r="K44" s="191">
        <v>26.900160055952334</v>
      </c>
      <c r="L44" s="191">
        <v>120</v>
      </c>
      <c r="M44" s="191">
        <v>16.67328966784028</v>
      </c>
      <c r="N44" s="191">
        <v>120</v>
      </c>
      <c r="O44" s="191">
        <v>120</v>
      </c>
      <c r="P44" s="191">
        <v>50.343172626738934</v>
      </c>
      <c r="Q44" s="191">
        <v>9.7291249462871221</v>
      </c>
      <c r="R44" s="191">
        <v>34.237032486188681</v>
      </c>
    </row>
    <row r="45" spans="1:18" ht="14.25" x14ac:dyDescent="0.45">
      <c r="A45" s="161"/>
      <c r="B45" s="33" t="str">
        <f>""</f>
        <v/>
      </c>
      <c r="C45" s="280" t="str">
        <v/>
      </c>
      <c r="D45" s="184" t="str">
        <v/>
      </c>
      <c r="E45" s="184" t="str">
        <v/>
      </c>
      <c r="F45" s="184" t="str">
        <v/>
      </c>
      <c r="G45" s="184" t="str">
        <v/>
      </c>
      <c r="H45" s="184" t="str">
        <v/>
      </c>
      <c r="I45" s="184" t="str">
        <v/>
      </c>
      <c r="J45" s="184" t="str">
        <v/>
      </c>
      <c r="K45" s="184" t="str">
        <v/>
      </c>
      <c r="L45" s="184" t="str">
        <v/>
      </c>
      <c r="M45" s="184" t="str">
        <v/>
      </c>
      <c r="N45" s="184" t="str">
        <v/>
      </c>
      <c r="O45" s="184" t="str">
        <v/>
      </c>
      <c r="P45" s="184" t="str">
        <v/>
      </c>
      <c r="Q45" s="184" t="str">
        <v/>
      </c>
      <c r="R45" s="184" t="str">
        <v/>
      </c>
    </row>
    <row r="46" spans="1:18" ht="18" x14ac:dyDescent="0.55000000000000004">
      <c r="A46" s="297" t="str">
        <f>Calculations!A114</f>
        <v>SAIDI Incentive Rate – DPP3</v>
      </c>
      <c r="B46" s="324" t="str">
        <f>""</f>
        <v/>
      </c>
      <c r="C46" s="325" t="str">
        <v/>
      </c>
      <c r="D46" s="325" t="str">
        <v/>
      </c>
      <c r="E46" s="325" t="str">
        <v/>
      </c>
      <c r="F46" s="325" t="str">
        <v/>
      </c>
      <c r="G46" s="325" t="str">
        <v/>
      </c>
      <c r="H46" s="325" t="str">
        <v/>
      </c>
      <c r="I46" s="325" t="str">
        <v/>
      </c>
      <c r="J46" s="325" t="str">
        <v/>
      </c>
      <c r="K46" s="325" t="str">
        <v/>
      </c>
      <c r="L46" s="325" t="str">
        <v/>
      </c>
      <c r="M46" s="325" t="str">
        <v/>
      </c>
      <c r="N46" s="325" t="str">
        <v/>
      </c>
      <c r="O46" s="325" t="str">
        <v/>
      </c>
      <c r="P46" s="325" t="str">
        <v/>
      </c>
      <c r="Q46" s="325" t="str">
        <v/>
      </c>
      <c r="R46" s="325" t="str">
        <v/>
      </c>
    </row>
    <row r="47" spans="1:18" ht="14.25" x14ac:dyDescent="0.45">
      <c r="A47" s="22" t="str">
        <f>Calculations!A208</f>
        <v>Unplanned Incentive Rate - $ / minute</v>
      </c>
      <c r="B47" s="15">
        <f>Calculations!D208</f>
        <v>7879</v>
      </c>
      <c r="C47" s="274">
        <v>7879</v>
      </c>
      <c r="D47" s="180">
        <v>14279</v>
      </c>
      <c r="E47" s="180">
        <v>5394</v>
      </c>
      <c r="F47" s="180">
        <v>2544</v>
      </c>
      <c r="G47" s="180">
        <v>2797</v>
      </c>
      <c r="H47" s="180">
        <v>5397</v>
      </c>
      <c r="I47" s="180">
        <v>1417</v>
      </c>
      <c r="J47" s="180">
        <v>6260</v>
      </c>
      <c r="K47" s="180">
        <v>31686</v>
      </c>
      <c r="L47" s="180">
        <v>4339</v>
      </c>
      <c r="M47" s="180">
        <v>47908</v>
      </c>
      <c r="N47" s="180">
        <v>3827</v>
      </c>
      <c r="O47" s="180">
        <v>3283</v>
      </c>
      <c r="P47" s="180">
        <v>16185</v>
      </c>
      <c r="Q47" s="180">
        <v>84519</v>
      </c>
      <c r="R47" s="180">
        <v>23215</v>
      </c>
    </row>
    <row r="48" spans="1:18" ht="14.25" x14ac:dyDescent="0.45">
      <c r="A48" s="22" t="s">
        <v>215</v>
      </c>
      <c r="B48" s="15">
        <f>Calculations!D209</f>
        <v>3939.5</v>
      </c>
      <c r="C48" s="274">
        <v>3939.5</v>
      </c>
      <c r="D48" s="180">
        <v>7139.5</v>
      </c>
      <c r="E48" s="180">
        <v>2697</v>
      </c>
      <c r="F48" s="180">
        <v>1272</v>
      </c>
      <c r="G48" s="180">
        <v>1398.5</v>
      </c>
      <c r="H48" s="180">
        <v>2698.5</v>
      </c>
      <c r="I48" s="180">
        <v>708.5</v>
      </c>
      <c r="J48" s="180">
        <v>3130</v>
      </c>
      <c r="K48" s="180">
        <v>15843</v>
      </c>
      <c r="L48" s="180">
        <v>2169.5</v>
      </c>
      <c r="M48" s="180">
        <v>23954</v>
      </c>
      <c r="N48" s="180">
        <v>1913.5</v>
      </c>
      <c r="O48" s="180">
        <v>1641.5</v>
      </c>
      <c r="P48" s="180">
        <v>8092.5</v>
      </c>
      <c r="Q48" s="180">
        <v>42259.5</v>
      </c>
      <c r="R48" s="180">
        <v>11607.5</v>
      </c>
    </row>
    <row r="49" spans="1:20" ht="14.25" x14ac:dyDescent="0.45">
      <c r="A49" s="22" t="s">
        <v>222</v>
      </c>
      <c r="B49" s="15">
        <f>Calculations!D210</f>
        <v>1969.75</v>
      </c>
      <c r="C49" s="274">
        <v>1969.75</v>
      </c>
      <c r="D49" s="180">
        <v>3569.75</v>
      </c>
      <c r="E49" s="180">
        <v>1348.5</v>
      </c>
      <c r="F49" s="180">
        <v>636</v>
      </c>
      <c r="G49" s="180">
        <v>699.25</v>
      </c>
      <c r="H49" s="180">
        <v>1349.25</v>
      </c>
      <c r="I49" s="180">
        <v>354.25</v>
      </c>
      <c r="J49" s="180">
        <v>1565</v>
      </c>
      <c r="K49" s="180">
        <v>7921.5</v>
      </c>
      <c r="L49" s="180">
        <v>1084.75</v>
      </c>
      <c r="M49" s="180">
        <v>11977</v>
      </c>
      <c r="N49" s="180">
        <v>956.75</v>
      </c>
      <c r="O49" s="180">
        <v>820.75</v>
      </c>
      <c r="P49" s="180">
        <v>4046.25</v>
      </c>
      <c r="Q49" s="180">
        <v>21129.75</v>
      </c>
      <c r="R49" s="180">
        <v>5803.75</v>
      </c>
    </row>
    <row r="50" spans="1:20" ht="14.25" x14ac:dyDescent="0.45">
      <c r="A50" s="22" t="str">
        <f>Calculations!A211</f>
        <v>Incentive Rate per customer - $ / minute / ICP</v>
      </c>
      <c r="B50" s="30">
        <f>Calculations!D211</f>
        <v>0.23474747708284829</v>
      </c>
      <c r="C50" s="282">
        <v>0.23474747708284829</v>
      </c>
      <c r="D50" s="185">
        <v>0.15144677215807201</v>
      </c>
      <c r="E50" s="185">
        <v>0.26146460515680631</v>
      </c>
      <c r="F50" s="185">
        <v>0.14482523055903448</v>
      </c>
      <c r="G50" s="185">
        <v>0.10815757673406912</v>
      </c>
      <c r="H50" s="185">
        <v>0.21428134011581862</v>
      </c>
      <c r="I50" s="185">
        <v>0.15240109702977395</v>
      </c>
      <c r="J50" s="185">
        <v>0.14826862042285768</v>
      </c>
      <c r="K50" s="185">
        <v>0.14513934800433015</v>
      </c>
      <c r="L50" s="185">
        <v>0.22459754645685595</v>
      </c>
      <c r="M50" s="185">
        <v>0.13443922388109963</v>
      </c>
      <c r="N50" s="185">
        <v>0.1591061667452689</v>
      </c>
      <c r="O50" s="185">
        <v>9.7421584971584721E-2</v>
      </c>
      <c r="P50" s="185">
        <v>0.13695877062896528</v>
      </c>
      <c r="Q50" s="185">
        <v>0.13978924410591381</v>
      </c>
      <c r="R50" s="185">
        <v>0.13374850946445063</v>
      </c>
    </row>
    <row r="51" spans="1:20" ht="14.25" x14ac:dyDescent="0.45">
      <c r="A51" s="22" t="str">
        <f>Calculations!A212</f>
        <v>Implied VoLL - $ / MWh</v>
      </c>
      <c r="B51" s="192">
        <f>Calculations!D212</f>
        <v>5015.7237434644758</v>
      </c>
      <c r="C51" s="283">
        <v>5015.7237434644758</v>
      </c>
      <c r="D51" s="193">
        <v>5510.1789469752775</v>
      </c>
      <c r="E51" s="193">
        <v>4850.4157498700961</v>
      </c>
      <c r="F51" s="193">
        <v>5295.6227304855374</v>
      </c>
      <c r="G51" s="193">
        <v>5085.9543711611095</v>
      </c>
      <c r="H51" s="193">
        <v>5362.5213278704805</v>
      </c>
      <c r="I51" s="193">
        <v>5497.9007149540248</v>
      </c>
      <c r="J51" s="193">
        <v>5047.5586725370613</v>
      </c>
      <c r="K51" s="193">
        <v>4928.5415063923247</v>
      </c>
      <c r="L51" s="193">
        <v>4918.2876180110461</v>
      </c>
      <c r="M51" s="193">
        <v>5050.1934236643347</v>
      </c>
      <c r="N51" s="193">
        <v>5474.6179372797715</v>
      </c>
      <c r="O51" s="193">
        <v>5214.1271582222271</v>
      </c>
      <c r="P51" s="193">
        <v>5103.7311847383335</v>
      </c>
      <c r="Q51" s="193">
        <v>5207.6560886461912</v>
      </c>
      <c r="R51" s="193">
        <v>5330.1036021430737</v>
      </c>
    </row>
    <row r="52" spans="1:20" ht="27" customHeight="1" x14ac:dyDescent="0.55000000000000004">
      <c r="A52" s="297" t="str">
        <f>Calculations!A123</f>
        <v>SAIDI Incentive Rate – DPP4</v>
      </c>
      <c r="B52" s="324" t="str">
        <f>""</f>
        <v/>
      </c>
      <c r="C52" s="325" t="str">
        <v/>
      </c>
      <c r="D52" s="325" t="str">
        <v/>
      </c>
      <c r="E52" s="325" t="str">
        <v/>
      </c>
      <c r="F52" s="325" t="str">
        <v/>
      </c>
      <c r="G52" s="325" t="str">
        <v/>
      </c>
      <c r="H52" s="325" t="str">
        <v/>
      </c>
      <c r="I52" s="325" t="str">
        <v/>
      </c>
      <c r="J52" s="325" t="str">
        <v/>
      </c>
      <c r="K52" s="325" t="str">
        <v/>
      </c>
      <c r="L52" s="325" t="str">
        <v/>
      </c>
      <c r="M52" s="325" t="str">
        <v/>
      </c>
      <c r="N52" s="325" t="str">
        <v/>
      </c>
      <c r="O52" s="325" t="str">
        <v/>
      </c>
      <c r="P52" s="325" t="str">
        <v/>
      </c>
      <c r="Q52" s="325" t="str">
        <v/>
      </c>
      <c r="R52" s="325" t="str">
        <v/>
      </c>
    </row>
    <row r="53" spans="1:20" ht="14.25" x14ac:dyDescent="0.45">
      <c r="A53" s="22" t="str">
        <f>Calculations!A214</f>
        <v>Unplanned incentive rate - $ / minute</v>
      </c>
      <c r="B53" s="15">
        <f>Calculations!D214</f>
        <v>16052.114816273321</v>
      </c>
      <c r="C53" s="274">
        <v>16052.114816273321</v>
      </c>
      <c r="D53" s="180">
        <v>26480.541140482612</v>
      </c>
      <c r="E53" s="180">
        <v>11363.882695267144</v>
      </c>
      <c r="F53" s="180">
        <v>4909.0203754783888</v>
      </c>
      <c r="G53" s="180">
        <v>5619.7212237031699</v>
      </c>
      <c r="H53" s="180">
        <v>10284.380848197163</v>
      </c>
      <c r="I53" s="180">
        <v>2633.7086057257193</v>
      </c>
      <c r="J53" s="180">
        <v>12673.241846606852</v>
      </c>
      <c r="K53" s="180">
        <v>65696.731723014847</v>
      </c>
      <c r="L53" s="180">
        <v>9015.0988499388786</v>
      </c>
      <c r="M53" s="180">
        <v>96938.164946242032</v>
      </c>
      <c r="N53" s="180">
        <v>7143.3085827047553</v>
      </c>
      <c r="O53" s="180">
        <v>6434.0440490980027</v>
      </c>
      <c r="P53" s="180">
        <v>32405.570917716635</v>
      </c>
      <c r="Q53" s="180">
        <v>165846.69429069856</v>
      </c>
      <c r="R53" s="180">
        <v>44506.946831693538</v>
      </c>
    </row>
    <row r="54" spans="1:20" ht="14.25" x14ac:dyDescent="0.45">
      <c r="A54" s="22" t="str">
        <f>Calculations!A215</f>
        <v>Planned incentive rate - $ / minute</v>
      </c>
      <c r="B54" s="15">
        <f>Calculations!D215</f>
        <v>8026.0574081366603</v>
      </c>
      <c r="C54" s="274">
        <v>8026.0574081366603</v>
      </c>
      <c r="D54" s="180">
        <v>13240.270570241306</v>
      </c>
      <c r="E54" s="180">
        <v>5681.9413476335721</v>
      </c>
      <c r="F54" s="180">
        <v>2454.5101877391944</v>
      </c>
      <c r="G54" s="180">
        <v>2809.860611851585</v>
      </c>
      <c r="H54" s="180">
        <v>5142.1904240985814</v>
      </c>
      <c r="I54" s="180">
        <v>1316.8543028628596</v>
      </c>
      <c r="J54" s="180">
        <v>6336.620923303426</v>
      </c>
      <c r="K54" s="180">
        <v>32848.365861507424</v>
      </c>
      <c r="L54" s="180">
        <v>4507.5494249694393</v>
      </c>
      <c r="M54" s="180">
        <v>48469.082473121016</v>
      </c>
      <c r="N54" s="180">
        <v>3571.6542913523776</v>
      </c>
      <c r="O54" s="180">
        <v>3217.0220245490013</v>
      </c>
      <c r="P54" s="180">
        <v>16202.785458858318</v>
      </c>
      <c r="Q54" s="180">
        <v>82923.347145349282</v>
      </c>
      <c r="R54" s="180">
        <v>22253.473415846769</v>
      </c>
    </row>
    <row r="55" spans="1:20" ht="14.25" x14ac:dyDescent="0.45">
      <c r="A55" s="22" t="s">
        <v>222</v>
      </c>
      <c r="B55" s="15">
        <f>Calculations!D216</f>
        <v>4013.0287040683302</v>
      </c>
      <c r="C55" s="274">
        <v>4013.0287040683302</v>
      </c>
      <c r="D55" s="180">
        <v>6620.135285120653</v>
      </c>
      <c r="E55" s="180">
        <v>2840.9706738167861</v>
      </c>
      <c r="F55" s="180">
        <v>1227.2550938695972</v>
      </c>
      <c r="G55" s="180">
        <v>1404.9303059257925</v>
      </c>
      <c r="H55" s="180">
        <v>2571.0952120492907</v>
      </c>
      <c r="I55" s="180">
        <v>658.42715143142982</v>
      </c>
      <c r="J55" s="180">
        <v>3168.310461651713</v>
      </c>
      <c r="K55" s="180">
        <v>16424.182930753712</v>
      </c>
      <c r="L55" s="180">
        <v>2253.7747124847197</v>
      </c>
      <c r="M55" s="180">
        <v>24234.541236560508</v>
      </c>
      <c r="N55" s="180">
        <v>1785.8271456761888</v>
      </c>
      <c r="O55" s="180">
        <v>1608.5110122745007</v>
      </c>
      <c r="P55" s="180">
        <v>8101.3927294291589</v>
      </c>
      <c r="Q55" s="180">
        <v>41461.673572674641</v>
      </c>
      <c r="R55" s="180">
        <v>11126.736707923385</v>
      </c>
    </row>
    <row r="56" spans="1:20" ht="13.5" customHeight="1" x14ac:dyDescent="0.45">
      <c r="A56" s="22" t="str">
        <f>Calculations!A217</f>
        <v>Unplanned incentive rate per customer - $ / minute / ICP</v>
      </c>
      <c r="B56" s="129">
        <f>Calculations!D217</f>
        <v>0.47825783157308932</v>
      </c>
      <c r="C56" s="284">
        <v>0.47825783157308932</v>
      </c>
      <c r="D56" s="186">
        <v>0.28085947760523305</v>
      </c>
      <c r="E56" s="186">
        <v>0.55084410492515534</v>
      </c>
      <c r="F56" s="186">
        <v>0.27946148101322948</v>
      </c>
      <c r="G56" s="186">
        <v>0.21730977099633622</v>
      </c>
      <c r="H56" s="186">
        <v>0.40832886981900079</v>
      </c>
      <c r="I56" s="186">
        <v>0.28326046631570645</v>
      </c>
      <c r="J56" s="186">
        <v>0.30016678672230468</v>
      </c>
      <c r="K56" s="186">
        <v>0.3009272488889026</v>
      </c>
      <c r="L56" s="186">
        <v>0.46664417671405761</v>
      </c>
      <c r="M56" s="186">
        <v>0.27202746221572172</v>
      </c>
      <c r="N56" s="186">
        <v>0.29698051906786865</v>
      </c>
      <c r="O56" s="186">
        <v>0.19092743498023762</v>
      </c>
      <c r="P56" s="186">
        <v>0.27421854522213285</v>
      </c>
      <c r="Q56" s="186">
        <v>0.27430026422888726</v>
      </c>
      <c r="R56" s="186">
        <v>0.25641773851184857</v>
      </c>
    </row>
    <row r="57" spans="1:20" ht="13.5" customHeight="1" x14ac:dyDescent="0.45">
      <c r="A57" s="22" t="str">
        <f>Calculations!A218</f>
        <v>Implied value of lost load</v>
      </c>
      <c r="B57" s="179">
        <f>Calculations!D218</f>
        <v>10218.6792</v>
      </c>
      <c r="C57" s="285">
        <v>10218.6792</v>
      </c>
      <c r="D57" s="194">
        <v>10218.679199999999</v>
      </c>
      <c r="E57" s="194">
        <v>10218.679199999999</v>
      </c>
      <c r="F57" s="194">
        <v>10218.679200000002</v>
      </c>
      <c r="G57" s="194">
        <v>10218.679199999999</v>
      </c>
      <c r="H57" s="194">
        <v>10218.679199999999</v>
      </c>
      <c r="I57" s="194">
        <v>10218.6792</v>
      </c>
      <c r="J57" s="194">
        <v>10218.6792</v>
      </c>
      <c r="K57" s="194">
        <v>10218.679199999999</v>
      </c>
      <c r="L57" s="194">
        <v>10218.679200000002</v>
      </c>
      <c r="M57" s="194">
        <v>10218.6792</v>
      </c>
      <c r="N57" s="194">
        <v>10218.679199999999</v>
      </c>
      <c r="O57" s="194">
        <v>10218.6792</v>
      </c>
      <c r="P57" s="194">
        <v>10218.6792</v>
      </c>
      <c r="Q57" s="194">
        <v>10218.679199999999</v>
      </c>
      <c r="R57" s="194">
        <v>10218.6792</v>
      </c>
    </row>
    <row r="58" spans="1:20" ht="27" customHeight="1" x14ac:dyDescent="0.55000000000000004">
      <c r="A58" s="297" t="str">
        <f>Calculations!A132</f>
        <v>Interruption penalties and rewards</v>
      </c>
      <c r="B58" s="324" t="str">
        <f>""</f>
        <v/>
      </c>
      <c r="C58" s="325" t="str">
        <v/>
      </c>
      <c r="D58" s="325" t="str">
        <v/>
      </c>
      <c r="E58" s="325" t="str">
        <v/>
      </c>
      <c r="F58" s="325" t="str">
        <v/>
      </c>
      <c r="G58" s="325" t="str">
        <v/>
      </c>
      <c r="H58" s="325" t="str">
        <v/>
      </c>
      <c r="I58" s="325" t="str">
        <v/>
      </c>
      <c r="J58" s="325" t="str">
        <v/>
      </c>
      <c r="K58" s="325" t="str">
        <v/>
      </c>
      <c r="L58" s="325" t="str">
        <v/>
      </c>
      <c r="M58" s="325" t="str">
        <v/>
      </c>
      <c r="N58" s="325" t="str">
        <v/>
      </c>
      <c r="O58" s="325" t="str">
        <v/>
      </c>
      <c r="P58" s="325" t="str">
        <v/>
      </c>
      <c r="Q58" s="325" t="str">
        <v/>
      </c>
      <c r="R58" s="325" t="str">
        <v/>
      </c>
    </row>
    <row r="59" spans="1:20" ht="14.25" x14ac:dyDescent="0.45">
      <c r="A59" s="23" t="str">
        <f>Calculations!A220</f>
        <v>Unplanned: Maximum revenue loss</v>
      </c>
      <c r="B59" s="28">
        <f>Calculations!D220</f>
        <v>6.5557304354009593E-3</v>
      </c>
      <c r="C59" s="286">
        <v>6.5557304354009593E-3</v>
      </c>
      <c r="D59" s="187">
        <v>6.5782881115471958E-3</v>
      </c>
      <c r="E59" s="187">
        <v>3.8291062612888652E-3</v>
      </c>
      <c r="F59" s="187">
        <v>2.6134726439419986E-3</v>
      </c>
      <c r="G59" s="187">
        <v>6.1309387675432987E-3</v>
      </c>
      <c r="H59" s="187">
        <v>1.298209334066113E-2</v>
      </c>
      <c r="I59" s="187">
        <v>2.8998987894934187E-3</v>
      </c>
      <c r="J59" s="187">
        <v>7.0884719342261589E-3</v>
      </c>
      <c r="K59" s="187">
        <v>3.8731455455329722E-3</v>
      </c>
      <c r="L59" s="187">
        <v>8.2453168355378029E-3</v>
      </c>
      <c r="M59" s="187">
        <v>5.7279628034073646E-3</v>
      </c>
      <c r="N59" s="187">
        <v>5.0395027777512709E-3</v>
      </c>
      <c r="O59" s="187">
        <v>7.4530224334681591E-3</v>
      </c>
      <c r="P59" s="187">
        <v>2.6142199551469738E-3</v>
      </c>
      <c r="Q59" s="187">
        <v>3.8159430163351594E-3</v>
      </c>
      <c r="R59" s="187">
        <v>2.422822473445059E-3</v>
      </c>
      <c r="T59" s="122"/>
    </row>
    <row r="60" spans="1:20" ht="14.25" x14ac:dyDescent="0.45">
      <c r="A60" s="23" t="str">
        <f>Calculations!A221</f>
        <v>Unplanned: Maximum revenue gain</v>
      </c>
      <c r="B60" s="28">
        <f>Calculations!D221</f>
        <v>1.8351219553029707E-2</v>
      </c>
      <c r="C60" s="286">
        <v>1.8351219553029707E-2</v>
      </c>
      <c r="D60" s="187">
        <v>1.6956244201347122E-2</v>
      </c>
      <c r="E60" s="187">
        <v>1.3501818892980374E-2</v>
      </c>
      <c r="F60" s="187">
        <v>3.8447627373669794E-3</v>
      </c>
      <c r="G60" s="187">
        <v>2.3367606127479155E-2</v>
      </c>
      <c r="H60" s="187">
        <v>3.7968426125949042E-2</v>
      </c>
      <c r="I60" s="187">
        <v>2.7471275447459769E-3</v>
      </c>
      <c r="J60" s="187">
        <v>2.0108504851771042E-2</v>
      </c>
      <c r="K60" s="187">
        <v>1.4110177547845644E-2</v>
      </c>
      <c r="L60" s="187">
        <v>2.4535829205697659E-2</v>
      </c>
      <c r="M60" s="187">
        <v>3.0762863768750169E-2</v>
      </c>
      <c r="N60" s="187">
        <v>1.8751102316817612E-2</v>
      </c>
      <c r="O60" s="187">
        <v>2.8842729648081961E-2</v>
      </c>
      <c r="P60" s="187">
        <v>1.2358027920455162E-2</v>
      </c>
      <c r="Q60" s="187">
        <v>2.1906052296574094E-2</v>
      </c>
      <c r="R60" s="187">
        <v>8.7839953241109162E-3</v>
      </c>
      <c r="T60" s="122"/>
    </row>
    <row r="61" spans="1:20" ht="14.25" x14ac:dyDescent="0.45">
      <c r="A61" s="23"/>
      <c r="B61" s="22" t="str">
        <f>""</f>
        <v/>
      </c>
      <c r="C61" s="286" t="str">
        <v/>
      </c>
      <c r="D61" s="187" t="str">
        <v/>
      </c>
      <c r="E61" s="187" t="str">
        <v/>
      </c>
      <c r="F61" s="187" t="str">
        <v/>
      </c>
      <c r="G61" s="187" t="str">
        <v/>
      </c>
      <c r="H61" s="187" t="str">
        <v/>
      </c>
      <c r="I61" s="187" t="str">
        <v/>
      </c>
      <c r="J61" s="187" t="str">
        <v/>
      </c>
      <c r="K61" s="187" t="str">
        <v/>
      </c>
      <c r="L61" s="187" t="str">
        <v/>
      </c>
      <c r="M61" s="187" t="str">
        <v/>
      </c>
      <c r="N61" s="187" t="str">
        <v/>
      </c>
      <c r="O61" s="187" t="str">
        <v/>
      </c>
      <c r="P61" s="187" t="str">
        <v/>
      </c>
      <c r="Q61" s="187" t="str">
        <v/>
      </c>
      <c r="R61" s="187" t="str">
        <v/>
      </c>
      <c r="T61" s="122"/>
    </row>
    <row r="62" spans="1:20" ht="14.25" x14ac:dyDescent="0.45">
      <c r="A62" s="23" t="str">
        <f>Calculations!A223</f>
        <v>Planned: Maximum revenue loss</v>
      </c>
      <c r="B62" s="28">
        <f>Calculations!D223</f>
        <v>8.6802252379893363E-3</v>
      </c>
      <c r="C62" s="286">
        <v>8.6802252379893363E-3</v>
      </c>
      <c r="D62" s="187">
        <v>3.1034505606695973E-3</v>
      </c>
      <c r="E62" s="187">
        <v>1.2856814732854252E-2</v>
      </c>
      <c r="F62" s="187">
        <v>8.4919009079097163E-4</v>
      </c>
      <c r="G62" s="187">
        <v>7.7649779591424392E-3</v>
      </c>
      <c r="H62" s="187">
        <v>1.0872347042863297E-2</v>
      </c>
      <c r="I62" s="187">
        <v>2.5357907191212552E-3</v>
      </c>
      <c r="J62" s="187">
        <v>1.4769166361759175E-2</v>
      </c>
      <c r="K62" s="187">
        <v>2.2146633580414983E-3</v>
      </c>
      <c r="L62" s="187">
        <v>2.262125504818149E-2</v>
      </c>
      <c r="M62" s="187">
        <v>8.044897938323952E-3</v>
      </c>
      <c r="N62" s="187">
        <v>8.0164085689499141E-3</v>
      </c>
      <c r="O62" s="187">
        <v>7.8527587788660026E-3</v>
      </c>
      <c r="P62" s="187">
        <v>4.6736654110036118E-3</v>
      </c>
      <c r="Q62" s="187">
        <v>4.958706906662602E-3</v>
      </c>
      <c r="R62" s="187">
        <v>6.4896454256724366E-4</v>
      </c>
      <c r="T62" s="122"/>
    </row>
    <row r="63" spans="1:20" ht="14.25" x14ac:dyDescent="0.45">
      <c r="A63" s="23" t="str">
        <f>Calculations!A224</f>
        <v>Planned: Maximum revenue gain</v>
      </c>
      <c r="B63" s="28">
        <f>Calculations!D224</f>
        <v>8.6802252379893363E-3</v>
      </c>
      <c r="C63" s="286">
        <v>8.6802252379893363E-3</v>
      </c>
      <c r="D63" s="187">
        <v>1.6656752574849432E-2</v>
      </c>
      <c r="E63" s="187">
        <v>1.1707971905626807E-2</v>
      </c>
      <c r="F63" s="187">
        <v>2.1468731709292604E-3</v>
      </c>
      <c r="G63" s="187">
        <v>7.7649779591424392E-3</v>
      </c>
      <c r="H63" s="187">
        <v>1.5167925881161745E-2</v>
      </c>
      <c r="I63" s="187">
        <v>2.3811079397864448E-3</v>
      </c>
      <c r="J63" s="187">
        <v>1.4769166361759175E-2</v>
      </c>
      <c r="K63" s="187">
        <v>2.6623129060463716E-3</v>
      </c>
      <c r="L63" s="187">
        <v>2.262125504818149E-2</v>
      </c>
      <c r="M63" s="187">
        <v>8.3383485537458796E-3</v>
      </c>
      <c r="N63" s="187">
        <v>8.0164085689499141E-3</v>
      </c>
      <c r="O63" s="187">
        <v>7.8527587788660026E-3</v>
      </c>
      <c r="P63" s="187">
        <v>7.9698814139439692E-3</v>
      </c>
      <c r="Q63" s="187">
        <v>1.0088696738330877E-2</v>
      </c>
      <c r="R63" s="187">
        <v>1.622909864029223E-3</v>
      </c>
      <c r="T63" s="122"/>
    </row>
    <row r="64" spans="1:20" ht="14.25" x14ac:dyDescent="0.45">
      <c r="B64" t="str">
        <f>""</f>
        <v/>
      </c>
      <c r="C64" s="278" t="str">
        <v/>
      </c>
      <c r="D64" s="116" t="str">
        <v/>
      </c>
      <c r="E64" s="116" t="str">
        <v/>
      </c>
      <c r="F64" s="116" t="str">
        <v/>
      </c>
      <c r="G64" s="116" t="str">
        <v/>
      </c>
      <c r="H64" s="116" t="str">
        <v/>
      </c>
      <c r="I64" s="116" t="str">
        <v/>
      </c>
      <c r="J64" s="116" t="str">
        <v/>
      </c>
      <c r="K64" s="116" t="str">
        <v/>
      </c>
      <c r="L64" s="116" t="str">
        <v/>
      </c>
      <c r="M64" s="116" t="str">
        <v/>
      </c>
      <c r="N64" s="116" t="str">
        <v/>
      </c>
      <c r="O64" s="116" t="str">
        <v/>
      </c>
      <c r="P64" s="116" t="str">
        <v/>
      </c>
      <c r="Q64" s="116" t="str">
        <v/>
      </c>
      <c r="R64" s="116" t="str">
        <v/>
      </c>
      <c r="T64" s="122"/>
    </row>
    <row r="65" spans="1:20" ht="14.65" customHeight="1" x14ac:dyDescent="0.45">
      <c r="A65" s="23" t="str">
        <f>Calculations!A226</f>
        <v>Total: Maximum revenue loss</v>
      </c>
      <c r="B65" s="28">
        <f>Calculations!D226</f>
        <v>1.5235955673390296E-2</v>
      </c>
      <c r="C65" s="286">
        <v>1.5235955673390296E-2</v>
      </c>
      <c r="D65" s="187">
        <v>9.6817386722167931E-3</v>
      </c>
      <c r="E65" s="187">
        <v>1.6685920994143118E-2</v>
      </c>
      <c r="F65" s="187">
        <v>3.4626627347329702E-3</v>
      </c>
      <c r="G65" s="187">
        <v>1.3895916726685737E-2</v>
      </c>
      <c r="H65" s="187">
        <v>0.02</v>
      </c>
      <c r="I65" s="187">
        <v>5.4356895086146734E-3</v>
      </c>
      <c r="J65" s="187">
        <v>0.02</v>
      </c>
      <c r="K65" s="187">
        <v>6.0878089035744706E-3</v>
      </c>
      <c r="L65" s="187">
        <v>0.02</v>
      </c>
      <c r="M65" s="187">
        <v>1.3772860741731317E-2</v>
      </c>
      <c r="N65" s="187">
        <v>1.3055911346701185E-2</v>
      </c>
      <c r="O65" s="187">
        <v>1.5305781212334162E-2</v>
      </c>
      <c r="P65" s="187">
        <v>7.2878853661505856E-3</v>
      </c>
      <c r="Q65" s="187">
        <v>8.7746499229977605E-3</v>
      </c>
      <c r="R65" s="187">
        <v>3.0717870160123029E-3</v>
      </c>
      <c r="T65" s="122"/>
    </row>
    <row r="66" spans="1:20" ht="14.25" x14ac:dyDescent="0.45">
      <c r="A66" s="23" t="str">
        <f>Calculations!A227</f>
        <v>Total: Maximum revenue gain</v>
      </c>
      <c r="B66" s="28">
        <f>Calculations!D227</f>
        <v>0.02</v>
      </c>
      <c r="C66" s="286">
        <v>0.02</v>
      </c>
      <c r="D66" s="187">
        <v>0.02</v>
      </c>
      <c r="E66" s="187">
        <v>0.02</v>
      </c>
      <c r="F66" s="187">
        <v>5.9916359082962398E-3</v>
      </c>
      <c r="G66" s="187">
        <v>0.02</v>
      </c>
      <c r="H66" s="187">
        <v>0.02</v>
      </c>
      <c r="I66" s="187">
        <v>5.1282354845324212E-3</v>
      </c>
      <c r="J66" s="187">
        <v>0.02</v>
      </c>
      <c r="K66" s="187">
        <v>1.6772490453892015E-2</v>
      </c>
      <c r="L66" s="187">
        <v>0.02</v>
      </c>
      <c r="M66" s="187">
        <v>0.02</v>
      </c>
      <c r="N66" s="187">
        <v>0.02</v>
      </c>
      <c r="O66" s="187">
        <v>0.02</v>
      </c>
      <c r="P66" s="187">
        <v>0.02</v>
      </c>
      <c r="Q66" s="187">
        <v>0.02</v>
      </c>
      <c r="R66" s="187">
        <v>1.040690518814014E-2</v>
      </c>
      <c r="T66" s="122"/>
    </row>
    <row r="67" spans="1:20" ht="14.25" x14ac:dyDescent="0.45">
      <c r="A67" s="23"/>
      <c r="B67" s="28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</row>
    <row r="68" spans="1:20" ht="14.25" x14ac:dyDescent="0.45">
      <c r="A68" s="23"/>
      <c r="B68" s="28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</row>
    <row r="73" spans="1:20" ht="14.25" x14ac:dyDescent="0.45"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P73" s="115"/>
      <c r="Q73" s="115"/>
      <c r="R73" s="115"/>
    </row>
    <row r="74" spans="1:20" ht="27.4" x14ac:dyDescent="0.55000000000000004">
      <c r="A74" s="13" t="s">
        <v>164</v>
      </c>
      <c r="C74" s="74" t="str" cm="1">
        <f t="array" ref="C74:R74">TRANSPOSE('Inputs from R'!A8:A23)</f>
        <v>Alpine Energy</v>
      </c>
      <c r="D74" s="74" t="str">
        <v>Aurora Energy</v>
      </c>
      <c r="E74" s="74" t="str">
        <v>EA Networks</v>
      </c>
      <c r="F74" s="74" t="str">
        <v>Electricity Invercargill</v>
      </c>
      <c r="G74" s="74" t="str">
        <v>Firstlight Network</v>
      </c>
      <c r="H74" s="74" t="str">
        <v>Horizon Energy</v>
      </c>
      <c r="I74" s="74" t="str">
        <v>Nelson Electricity</v>
      </c>
      <c r="J74" s="74" t="str">
        <v>Network Tasman</v>
      </c>
      <c r="K74" s="74" t="str">
        <v>Orion NZ</v>
      </c>
      <c r="L74" s="74" t="str">
        <v>OtagoNet</v>
      </c>
      <c r="M74" s="74" t="str">
        <v>Powerco</v>
      </c>
      <c r="N74" s="74" t="str">
        <v>The Lines Company</v>
      </c>
      <c r="O74" s="74" t="str">
        <v>Top Energy</v>
      </c>
      <c r="P74" s="74" t="str">
        <v>Unison Networks</v>
      </c>
      <c r="Q74" s="74" t="str">
        <v>Vector Lines</v>
      </c>
      <c r="R74" s="62" t="str">
        <v>Wellington Electricity</v>
      </c>
    </row>
    <row r="75" spans="1:20" ht="14.25" x14ac:dyDescent="0.45">
      <c r="A75" s="195" t="str">
        <f>'Inputs from R'!A4</f>
        <v>Unplanned quality parameters - based on 10 year historical reference dataset (RY 2015-2024)</v>
      </c>
      <c r="R75" s="116"/>
    </row>
    <row r="76" spans="1:20" ht="14.25" x14ac:dyDescent="0.45">
      <c r="A76" s="23" t="str" cm="1">
        <f t="array" ref="A76:A84">TRANSPOSE('Inputs from R'!B7:J7)</f>
        <v>SAIDI boundary value</v>
      </c>
      <c r="B76" s="74"/>
      <c r="C76" s="35" cm="1">
        <f t="array" ref="C76:R84">TRANSPOSE('Inputs from R'!B8:J23)</f>
        <v>8.4740548059999998</v>
      </c>
      <c r="D76" s="35">
        <v>7.0544918210000001</v>
      </c>
      <c r="E76" s="35">
        <v>4.949344601</v>
      </c>
      <c r="F76" s="35">
        <v>5.0008040889999998</v>
      </c>
      <c r="G76" s="35">
        <v>18.798711879999999</v>
      </c>
      <c r="H76" s="35">
        <v>12.085283410000001</v>
      </c>
      <c r="I76" s="35">
        <v>6.0270967750000004</v>
      </c>
      <c r="J76" s="35">
        <v>6.8707344470000002</v>
      </c>
      <c r="K76" s="35">
        <v>3.0992012880000002</v>
      </c>
      <c r="L76" s="35">
        <v>11.438813720000001</v>
      </c>
      <c r="M76" s="35">
        <v>8.8371144220000009</v>
      </c>
      <c r="N76" s="35">
        <v>14.09038</v>
      </c>
      <c r="O76" s="35">
        <v>26.778091809999999</v>
      </c>
      <c r="P76" s="35">
        <v>3.666876818</v>
      </c>
      <c r="Q76" s="163">
        <v>5.7906690980000004</v>
      </c>
      <c r="R76" s="163">
        <v>1.653747555</v>
      </c>
    </row>
    <row r="77" spans="1:20" ht="14.25" x14ac:dyDescent="0.45">
      <c r="A77" s="23" t="str">
        <v>SAIDI average</v>
      </c>
      <c r="B77" s="74"/>
      <c r="C77" s="35">
        <v>81.603509259999996</v>
      </c>
      <c r="D77" s="35">
        <v>102.95926129999999</v>
      </c>
      <c r="E77" s="35">
        <v>65.706913240000006</v>
      </c>
      <c r="F77" s="35">
        <v>17.69264751</v>
      </c>
      <c r="G77" s="35">
        <v>210.34243119999999</v>
      </c>
      <c r="H77" s="35">
        <v>137.71367609999999</v>
      </c>
      <c r="I77" s="35">
        <v>5.4820571679999999</v>
      </c>
      <c r="J77" s="35">
        <v>72.700830179999997</v>
      </c>
      <c r="K77" s="35">
        <v>43.914590240000003</v>
      </c>
      <c r="L77" s="35">
        <v>132.94993579999999</v>
      </c>
      <c r="M77" s="35">
        <v>163.31365460000001</v>
      </c>
      <c r="N77" s="35">
        <v>179.09954999999999</v>
      </c>
      <c r="O77" s="35">
        <v>321.2894513</v>
      </c>
      <c r="P77" s="35">
        <v>67.282896260000001</v>
      </c>
      <c r="Q77" s="163">
        <v>119.4047872</v>
      </c>
      <c r="R77" s="163">
        <v>28.620702909999999</v>
      </c>
    </row>
    <row r="78" spans="1:20" ht="14.25" x14ac:dyDescent="0.45">
      <c r="A78" s="23" t="str">
        <v>SAIDI collar</v>
      </c>
      <c r="B78" s="74"/>
      <c r="C78" s="35">
        <v>0</v>
      </c>
      <c r="D78">
        <v>0</v>
      </c>
      <c r="E78" s="35">
        <v>0</v>
      </c>
      <c r="F78" s="35">
        <v>0</v>
      </c>
      <c r="G78" s="35">
        <v>0</v>
      </c>
      <c r="H78" s="35">
        <v>0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163">
        <v>0</v>
      </c>
      <c r="R78" s="163">
        <v>0</v>
      </c>
    </row>
    <row r="79" spans="1:20" ht="14.25" x14ac:dyDescent="0.45">
      <c r="A79" s="23" t="str">
        <v>SAIDI standard deviation</v>
      </c>
      <c r="B79" s="74"/>
      <c r="C79" s="35">
        <v>14.32325662</v>
      </c>
      <c r="D79" s="35">
        <v>12.702261890000001</v>
      </c>
      <c r="E79" s="35">
        <v>8.9403343569999993</v>
      </c>
      <c r="F79" s="35">
        <v>6.337195328</v>
      </c>
      <c r="G79" s="35">
        <v>26.9482459</v>
      </c>
      <c r="H79" s="35">
        <v>21.524112729999999</v>
      </c>
      <c r="I79" s="35">
        <v>4.3686917730000001</v>
      </c>
      <c r="J79" s="35">
        <v>12.813926199999999</v>
      </c>
      <c r="K79" s="35">
        <v>4.7040844980000003</v>
      </c>
      <c r="L79" s="35">
        <v>20.174409239999999</v>
      </c>
      <c r="M79" s="35">
        <v>13.62397869</v>
      </c>
      <c r="N79" s="35">
        <v>23.950824090000001</v>
      </c>
      <c r="O79" s="35">
        <v>40.932029489999998</v>
      </c>
      <c r="P79" s="35">
        <v>7.1165193660000003</v>
      </c>
      <c r="Q79" s="163">
        <v>9.4344569679999992</v>
      </c>
      <c r="R79" s="163">
        <v>3.6466929929999998</v>
      </c>
    </row>
    <row r="80" spans="1:20" ht="14.25" x14ac:dyDescent="0.45">
      <c r="A80" s="23" t="str">
        <v>SAIDI cap pre-adjustment</v>
      </c>
      <c r="B80" s="74"/>
      <c r="C80" s="35">
        <v>110.2500225</v>
      </c>
      <c r="D80" s="35">
        <v>128.3637851</v>
      </c>
      <c r="E80" s="35">
        <v>83.587581959999994</v>
      </c>
      <c r="F80" s="35">
        <v>30.367038170000001</v>
      </c>
      <c r="G80" s="35">
        <v>264.238923</v>
      </c>
      <c r="H80" s="35">
        <v>180.76190149999999</v>
      </c>
      <c r="I80" s="35">
        <v>14.219440710000001</v>
      </c>
      <c r="J80" s="35">
        <v>98.32868259</v>
      </c>
      <c r="K80" s="35">
        <v>53.322759240000003</v>
      </c>
      <c r="L80" s="35">
        <v>173.29875430000001</v>
      </c>
      <c r="M80" s="35">
        <v>190.561612</v>
      </c>
      <c r="N80" s="35">
        <v>227.0011982</v>
      </c>
      <c r="O80" s="35">
        <v>403.15351029999999</v>
      </c>
      <c r="P80" s="35">
        <v>81.515934999999999</v>
      </c>
      <c r="Q80" s="163">
        <v>138.27370110000001</v>
      </c>
      <c r="R80" s="163">
        <v>35.914088890000002</v>
      </c>
    </row>
    <row r="81" spans="1:18" ht="14.25" x14ac:dyDescent="0.45">
      <c r="A81" s="23" t="str">
        <v>SAIFI boundary value</v>
      </c>
      <c r="B81" s="74"/>
      <c r="C81" s="35">
        <v>5.8004814000000002E-2</v>
      </c>
      <c r="D81" s="35">
        <v>8.6924986999999995E-2</v>
      </c>
      <c r="E81" s="35">
        <v>6.9604719999999995E-2</v>
      </c>
      <c r="F81" s="35">
        <v>8.9965996000000006E-2</v>
      </c>
      <c r="G81" s="35">
        <v>0.180701414</v>
      </c>
      <c r="H81" s="35">
        <v>9.1999999999999998E-2</v>
      </c>
      <c r="I81" s="35">
        <v>0.14051471400000001</v>
      </c>
      <c r="J81" s="35">
        <v>6.1082589999999999E-2</v>
      </c>
      <c r="K81" s="35">
        <v>2.8703953000000001E-2</v>
      </c>
      <c r="L81" s="35">
        <v>0.15512954700000001</v>
      </c>
      <c r="M81" s="35">
        <v>5.1277982E-2</v>
      </c>
      <c r="N81" s="35">
        <v>0.14086000000000001</v>
      </c>
      <c r="O81" s="35">
        <v>0.16889298799999999</v>
      </c>
      <c r="P81" s="35">
        <v>6.3048999999999994E-2</v>
      </c>
      <c r="Q81" s="163">
        <v>4.0363359000000001E-2</v>
      </c>
      <c r="R81" s="163">
        <v>2.5922028E-2</v>
      </c>
    </row>
    <row r="82" spans="1:18" ht="14.25" x14ac:dyDescent="0.45">
      <c r="A82" s="23" t="str">
        <v>SAIFI average</v>
      </c>
      <c r="B82" s="74"/>
      <c r="C82" s="35">
        <v>0.70939561699999998</v>
      </c>
      <c r="D82" s="35">
        <v>1.5974803959999999</v>
      </c>
      <c r="E82" s="35">
        <v>0.97792617800000003</v>
      </c>
      <c r="F82" s="35">
        <v>0.370059266</v>
      </c>
      <c r="G82" s="35">
        <v>2.6643776259999998</v>
      </c>
      <c r="H82" s="35">
        <v>1.582018707</v>
      </c>
      <c r="I82" s="35">
        <v>0.102862588</v>
      </c>
      <c r="J82" s="35">
        <v>0.758871505</v>
      </c>
      <c r="K82" s="35">
        <v>0.59519997800000002</v>
      </c>
      <c r="L82" s="35">
        <v>1.780701927</v>
      </c>
      <c r="M82" s="35">
        <v>1.8259069560000001</v>
      </c>
      <c r="N82" s="35">
        <v>2.6022395180000002</v>
      </c>
      <c r="O82" s="35">
        <v>3.533629758</v>
      </c>
      <c r="P82" s="35">
        <v>1.4273806600000001</v>
      </c>
      <c r="Q82" s="163">
        <v>1.278172608</v>
      </c>
      <c r="R82" s="163">
        <v>0.42825381699999998</v>
      </c>
    </row>
    <row r="83" spans="1:18" ht="14.25" x14ac:dyDescent="0.45">
      <c r="A83" s="23" t="str">
        <v>SAIFI collar</v>
      </c>
      <c r="B83" s="74"/>
      <c r="C83" s="35">
        <v>0</v>
      </c>
      <c r="D83" s="35">
        <v>0</v>
      </c>
      <c r="E83" s="35">
        <v>0</v>
      </c>
      <c r="F83" s="35">
        <v>0</v>
      </c>
      <c r="G83" s="35"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v>0</v>
      </c>
      <c r="N83" s="35">
        <v>0</v>
      </c>
      <c r="O83" s="35">
        <v>0</v>
      </c>
      <c r="P83" s="35">
        <v>0</v>
      </c>
      <c r="Q83" s="163">
        <v>0</v>
      </c>
      <c r="R83" s="163">
        <v>0</v>
      </c>
    </row>
    <row r="84" spans="1:18" ht="14.25" x14ac:dyDescent="0.45">
      <c r="A84" s="23" t="str">
        <v>SAIFI standard deviation</v>
      </c>
      <c r="B84" s="74"/>
      <c r="C84" s="35">
        <v>0.115768091</v>
      </c>
      <c r="D84" s="35">
        <v>0.172150158</v>
      </c>
      <c r="E84" s="35">
        <v>0.13184372599999999</v>
      </c>
      <c r="F84" s="35">
        <v>0.13004673899999999</v>
      </c>
      <c r="G84" s="35">
        <v>0.35975421699999999</v>
      </c>
      <c r="H84" s="35">
        <v>0.228485198</v>
      </c>
      <c r="I84" s="35">
        <v>9.2872795999999994E-2</v>
      </c>
      <c r="J84" s="35">
        <v>0.126842389</v>
      </c>
      <c r="K84" s="35">
        <v>5.8082329000000002E-2</v>
      </c>
      <c r="L84" s="35">
        <v>0.27971483600000002</v>
      </c>
      <c r="M84" s="35">
        <v>0.119359807</v>
      </c>
      <c r="N84" s="35">
        <v>0.340811531</v>
      </c>
      <c r="O84" s="35">
        <v>0.38626347300000002</v>
      </c>
      <c r="P84" s="35">
        <v>0.13132257999999999</v>
      </c>
      <c r="Q84" s="163">
        <v>8.3350940999999998E-2</v>
      </c>
      <c r="R84" s="163">
        <v>5.4340698E-2</v>
      </c>
    </row>
    <row r="85" spans="1:18" ht="14.25" x14ac:dyDescent="0.45">
      <c r="A85" s="23"/>
      <c r="B85" s="7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163"/>
      <c r="R85" s="163"/>
    </row>
    <row r="86" spans="1:18" ht="14.25" x14ac:dyDescent="0.45">
      <c r="A86" s="195" t="str">
        <f>'Inputs from R'!A27</f>
        <v>Planned quality parameters - based on 7 year historical reference dataset (RY 2018-2024)</v>
      </c>
    </row>
    <row r="87" spans="1:18" ht="14.25" x14ac:dyDescent="0.45">
      <c r="A87" s="23" t="str" cm="1">
        <f t="array" ref="A87:A94">TRANSPOSE('Inputs from R'!B30:I30)</f>
        <v>SAIDI collar</v>
      </c>
      <c r="B87" s="74"/>
      <c r="C87" s="35" cm="1">
        <f t="array" ref="C87:R94">TRANSPOSE('Inputs from R'!B31:I46)</f>
        <v>0</v>
      </c>
      <c r="D87" s="35">
        <v>0</v>
      </c>
      <c r="E87" s="35">
        <v>0</v>
      </c>
      <c r="F87" s="35">
        <v>0</v>
      </c>
      <c r="G87" s="35">
        <v>0</v>
      </c>
      <c r="H87" s="35">
        <v>0</v>
      </c>
      <c r="I87" s="35">
        <v>0</v>
      </c>
      <c r="J87" s="35">
        <v>0</v>
      </c>
      <c r="K87" s="35">
        <v>0</v>
      </c>
      <c r="L87" s="35">
        <v>0</v>
      </c>
      <c r="M87" s="35">
        <v>0</v>
      </c>
      <c r="N87" s="35">
        <v>0</v>
      </c>
      <c r="O87" s="35">
        <v>0</v>
      </c>
      <c r="P87" s="35">
        <v>0</v>
      </c>
      <c r="Q87" s="35">
        <v>0</v>
      </c>
      <c r="R87" s="35">
        <v>0</v>
      </c>
    </row>
    <row r="88" spans="1:18" ht="14.25" x14ac:dyDescent="0.45">
      <c r="A88" s="23" t="str">
        <v>SAIDI average</v>
      </c>
      <c r="B88" s="6"/>
      <c r="C88" s="35">
        <v>82.576725648242402</v>
      </c>
      <c r="D88" s="35">
        <v>181.700981283342</v>
      </c>
      <c r="E88" s="35">
        <v>118.055301433316</v>
      </c>
      <c r="F88" s="35">
        <v>18.049255858247299</v>
      </c>
      <c r="G88" s="35">
        <v>121.31511000302299</v>
      </c>
      <c r="H88" s="35">
        <v>110.029887727136</v>
      </c>
      <c r="I88" s="35">
        <v>15.700028760181</v>
      </c>
      <c r="J88" s="35">
        <v>106.79368391448099</v>
      </c>
      <c r="K88" s="35">
        <v>23.8275489887716</v>
      </c>
      <c r="L88" s="35">
        <v>232.37717940667901</v>
      </c>
      <c r="M88" s="35">
        <v>86.496536716942899</v>
      </c>
      <c r="N88" s="35">
        <v>128.415426300353</v>
      </c>
      <c r="O88" s="35">
        <v>172.75922696491901</v>
      </c>
      <c r="P88" s="35">
        <v>86.783539870679306</v>
      </c>
      <c r="Q88" s="35">
        <v>86.344450224104605</v>
      </c>
      <c r="R88" s="35">
        <v>10.953056268404501</v>
      </c>
    </row>
    <row r="89" spans="1:18" ht="14.25" x14ac:dyDescent="0.45">
      <c r="A89" s="23" t="str">
        <v>SAIDI cap</v>
      </c>
      <c r="B89" s="6"/>
      <c r="C89" s="35">
        <v>165.153451296485</v>
      </c>
      <c r="D89" s="35">
        <v>363.40196256668401</v>
      </c>
      <c r="E89" s="35">
        <v>236.11060286663201</v>
      </c>
      <c r="F89" s="35">
        <v>36.098511716494599</v>
      </c>
      <c r="G89" s="35">
        <v>242.63022000604499</v>
      </c>
      <c r="H89" s="35">
        <v>220.059775454271</v>
      </c>
      <c r="I89" s="35">
        <v>31.400057520361901</v>
      </c>
      <c r="J89" s="35">
        <v>213.58736782896199</v>
      </c>
      <c r="K89" s="35">
        <v>47.655097977543299</v>
      </c>
      <c r="L89" s="35">
        <v>464.75435881335898</v>
      </c>
      <c r="M89" s="35">
        <v>172.993073433886</v>
      </c>
      <c r="N89" s="35">
        <v>256.83085260070698</v>
      </c>
      <c r="O89" s="35">
        <v>345.51845392983699</v>
      </c>
      <c r="P89" s="35">
        <v>173.56707974135901</v>
      </c>
      <c r="Q89" s="35">
        <v>172.68890044820901</v>
      </c>
      <c r="R89" s="35">
        <v>21.906112536808902</v>
      </c>
    </row>
    <row r="90" spans="1:18" ht="14.25" x14ac:dyDescent="0.45">
      <c r="A90" s="23" t="str">
        <v>SAIDI standard</v>
      </c>
      <c r="B90" s="6"/>
      <c r="C90" s="35">
        <v>825.76725648242405</v>
      </c>
      <c r="D90" s="35">
        <v>1817.00981283342</v>
      </c>
      <c r="E90" s="35">
        <v>1180.55301433316</v>
      </c>
      <c r="F90" s="35">
        <v>180.49255858247301</v>
      </c>
      <c r="G90" s="35">
        <v>1213.1511000302301</v>
      </c>
      <c r="H90" s="35">
        <v>1100.29887727136</v>
      </c>
      <c r="I90" s="35">
        <v>157.00028760180999</v>
      </c>
      <c r="J90" s="35">
        <v>1067.9368391448099</v>
      </c>
      <c r="K90" s="35">
        <v>238.27548988771599</v>
      </c>
      <c r="L90" s="35">
        <v>2323.7717940667899</v>
      </c>
      <c r="M90" s="35">
        <v>864.96536716942899</v>
      </c>
      <c r="N90" s="35">
        <v>1284.1542630035301</v>
      </c>
      <c r="O90" s="35">
        <v>1727.59226964919</v>
      </c>
      <c r="P90" s="35">
        <v>867.83539870679294</v>
      </c>
      <c r="Q90" s="35">
        <v>863.44450224104605</v>
      </c>
      <c r="R90" s="35">
        <v>109.53056268404499</v>
      </c>
    </row>
    <row r="91" spans="1:18" ht="14.25" x14ac:dyDescent="0.45">
      <c r="A91" s="23" t="str">
        <v>SAIFI collar</v>
      </c>
      <c r="B91" s="6"/>
      <c r="C91" s="35">
        <v>0</v>
      </c>
      <c r="D91" s="35">
        <v>0</v>
      </c>
      <c r="E91" s="35">
        <v>0</v>
      </c>
      <c r="F91" s="35">
        <v>0</v>
      </c>
      <c r="G91" s="35">
        <v>0</v>
      </c>
      <c r="H91" s="35">
        <v>0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>
        <v>0</v>
      </c>
      <c r="R91" s="35">
        <v>0</v>
      </c>
    </row>
    <row r="92" spans="1:18" ht="14.25" x14ac:dyDescent="0.45">
      <c r="A92" s="23" t="str">
        <v>SAIFI average</v>
      </c>
      <c r="B92" s="6"/>
      <c r="C92" s="35">
        <v>0.25766648483507099</v>
      </c>
      <c r="D92" s="35">
        <v>0.84447646701712298</v>
      </c>
      <c r="E92" s="35">
        <v>0.39990853541754601</v>
      </c>
      <c r="F92" s="35">
        <v>6.7705204092970206E-2</v>
      </c>
      <c r="G92" s="35">
        <v>0.49832476197061998</v>
      </c>
      <c r="H92" s="35">
        <v>0.73635537169336895</v>
      </c>
      <c r="I92" s="35">
        <v>5.3934017529872702E-2</v>
      </c>
      <c r="J92" s="35">
        <v>0.35323967809839002</v>
      </c>
      <c r="K92" s="35">
        <v>7.3989678442510906E-2</v>
      </c>
      <c r="L92" s="35">
        <v>0.92087875366363803</v>
      </c>
      <c r="M92" s="35">
        <v>0.38124750726822099</v>
      </c>
      <c r="N92" s="35">
        <v>0.59130809744467605</v>
      </c>
      <c r="O92" s="35">
        <v>0.87440093326821799</v>
      </c>
      <c r="P92" s="35">
        <v>0.53361761513837502</v>
      </c>
      <c r="Q92" s="35">
        <v>0.34484174682881202</v>
      </c>
      <c r="R92" s="35">
        <v>6.7357042100622003E-2</v>
      </c>
    </row>
    <row r="93" spans="1:18" ht="14.25" x14ac:dyDescent="0.45">
      <c r="A93" s="23" t="str">
        <v>SAIFI cap</v>
      </c>
      <c r="B93" s="6"/>
      <c r="C93" s="35">
        <v>0.51533296967014297</v>
      </c>
      <c r="D93" s="35">
        <v>1.68895293403425</v>
      </c>
      <c r="E93" s="35">
        <v>0.79981707083509201</v>
      </c>
      <c r="F93" s="35">
        <v>0.13541040818594</v>
      </c>
      <c r="G93" s="35">
        <v>0.99664952394123996</v>
      </c>
      <c r="H93" s="35">
        <v>1.4727107433867399</v>
      </c>
      <c r="I93" s="35">
        <v>0.107868035059745</v>
      </c>
      <c r="J93" s="35">
        <v>0.70647935619678004</v>
      </c>
      <c r="K93" s="35">
        <v>0.14797935688502201</v>
      </c>
      <c r="L93" s="35">
        <v>1.8417575073272801</v>
      </c>
      <c r="M93" s="35">
        <v>0.76249501453644197</v>
      </c>
      <c r="N93" s="35">
        <v>1.1826161948893501</v>
      </c>
      <c r="O93" s="35">
        <v>1.74880186653644</v>
      </c>
      <c r="P93" s="35">
        <v>1.06723523027675</v>
      </c>
      <c r="Q93" s="35">
        <v>0.68968349365762405</v>
      </c>
      <c r="R93" s="35">
        <v>0.13471408420124401</v>
      </c>
    </row>
    <row r="94" spans="1:18" ht="14.25" x14ac:dyDescent="0.45">
      <c r="A94" s="23" t="str">
        <v>SAIFI standard</v>
      </c>
      <c r="B94" s="74"/>
      <c r="C94" s="35">
        <v>2.5766648483507102</v>
      </c>
      <c r="D94" s="35">
        <v>8.4447646701712298</v>
      </c>
      <c r="E94" s="35">
        <v>3.9990853541754601</v>
      </c>
      <c r="F94" s="35">
        <v>0.67705204092970295</v>
      </c>
      <c r="G94" s="35">
        <v>4.9832476197061997</v>
      </c>
      <c r="H94" s="35">
        <v>7.3635537169336898</v>
      </c>
      <c r="I94" s="35">
        <v>0.53934017529872702</v>
      </c>
      <c r="J94" s="35">
        <v>3.5323967809839001</v>
      </c>
      <c r="K94" s="35">
        <v>0.73989678442510898</v>
      </c>
      <c r="L94" s="35">
        <v>9.2087875366363807</v>
      </c>
      <c r="M94" s="35">
        <v>3.8124750726822101</v>
      </c>
      <c r="N94" s="35">
        <v>5.9130809744467596</v>
      </c>
      <c r="O94" s="35">
        <v>8.7440093326821806</v>
      </c>
      <c r="P94" s="35">
        <v>5.33617615138375</v>
      </c>
      <c r="Q94" s="35">
        <v>3.4484174682881199</v>
      </c>
      <c r="R94" s="35">
        <v>0.67357042100622</v>
      </c>
    </row>
    <row r="95" spans="1:18" ht="14.25" x14ac:dyDescent="0.45">
      <c r="A95" s="23"/>
      <c r="B95" s="7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</row>
    <row r="96" spans="1:18" ht="14.25" x14ac:dyDescent="0.45">
      <c r="A96" s="23"/>
      <c r="B96" s="74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</row>
    <row r="97" spans="1:18" ht="14.25" x14ac:dyDescent="0.45">
      <c r="A97" s="23"/>
      <c r="B97" s="74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</row>
    <row r="98" spans="1:18" ht="15" customHeight="1" x14ac:dyDescent="0.45">
      <c r="A98" s="23"/>
      <c r="B98" s="6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</row>
    <row r="99" spans="1:18" ht="14.25" x14ac:dyDescent="0.45"/>
  </sheetData>
  <sheetProtection formatColumns="0" formatRows="0"/>
  <dataValidations count="1">
    <dataValidation type="list" allowBlank="1" showInputMessage="1" showErrorMessage="1" sqref="C5" xr:uid="{8322EC75-9F2F-4055-B60C-BDA6F7602D0B}">
      <formula1>$C$8:$R$8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Height="0" orientation="portrait" r:id="rId1"/>
  <headerFooter>
    <oddFooter>&amp;L&amp;F&amp;C&amp;A&amp;R&amp;P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1600C2-4FD5-42BD-A3B9-7FAE69CD4311}">
  <sheetPr codeName="Sheet8">
    <tabColor theme="7"/>
    <pageSetUpPr fitToPage="1"/>
  </sheetPr>
  <dimension ref="A1:P308"/>
  <sheetViews>
    <sheetView showGridLines="0" zoomScale="92" zoomScaleNormal="92" zoomScaleSheetLayoutView="120" workbookViewId="0">
      <selection activeCell="A197" sqref="A197"/>
    </sheetView>
  </sheetViews>
  <sheetFormatPr defaultRowHeight="15" customHeight="1" x14ac:dyDescent="0.45"/>
  <cols>
    <col min="1" max="1" width="13.73046875" customWidth="1"/>
    <col min="2" max="2" width="29.86328125" customWidth="1"/>
    <col min="3" max="8" width="10.59765625" customWidth="1"/>
    <col min="9" max="9" width="10.6640625" customWidth="1"/>
    <col min="10" max="10" width="10.59765625" customWidth="1"/>
    <col min="11" max="11" width="25.59765625" customWidth="1"/>
    <col min="12" max="14" width="10.59765625" customWidth="1"/>
    <col min="15" max="15" width="10.73046875" customWidth="1"/>
    <col min="16" max="17" width="10.59765625" customWidth="1"/>
  </cols>
  <sheetData>
    <row r="1" spans="1:16" ht="25.5" x14ac:dyDescent="0.75">
      <c r="A1" s="3" t="s">
        <v>53</v>
      </c>
    </row>
    <row r="2" spans="1:16" ht="14.65" customHeight="1" x14ac:dyDescent="0.45">
      <c r="A2" s="117"/>
    </row>
    <row r="3" spans="1:16" ht="14.65" customHeight="1" x14ac:dyDescent="0.45">
      <c r="A3" s="144" t="s">
        <v>378</v>
      </c>
    </row>
    <row r="4" spans="1:16" ht="14.65" customHeight="1" x14ac:dyDescent="0.45"/>
    <row r="5" spans="1:16" ht="23.25" x14ac:dyDescent="0.7">
      <c r="A5" s="265" t="s">
        <v>355</v>
      </c>
      <c r="B5" s="226"/>
      <c r="C5" s="226"/>
      <c r="D5" s="226"/>
      <c r="E5" s="226"/>
      <c r="F5" s="226"/>
      <c r="G5" s="226"/>
      <c r="H5" s="265"/>
      <c r="I5" s="226"/>
      <c r="J5" s="226"/>
      <c r="K5" s="226"/>
      <c r="L5" s="226"/>
      <c r="M5" s="226"/>
      <c r="N5" s="226"/>
      <c r="O5" s="265"/>
      <c r="P5" s="265"/>
    </row>
    <row r="6" spans="1:16" ht="14.25" customHeight="1" x14ac:dyDescent="0.45">
      <c r="C6" s="138"/>
      <c r="D6" s="138"/>
      <c r="E6" s="138"/>
      <c r="F6" s="138"/>
      <c r="G6" s="138"/>
    </row>
    <row r="7" spans="1:16" ht="21" x14ac:dyDescent="0.65">
      <c r="A7" s="201" t="s">
        <v>268</v>
      </c>
      <c r="C7" s="138"/>
      <c r="D7" s="138"/>
      <c r="E7" s="138"/>
      <c r="F7" s="138"/>
      <c r="G7" s="138"/>
    </row>
    <row r="8" spans="1:16" ht="14.25" customHeight="1" x14ac:dyDescent="0.45">
      <c r="C8" s="138"/>
      <c r="D8" s="138"/>
      <c r="E8" s="138"/>
      <c r="F8" s="138"/>
      <c r="G8" s="138"/>
    </row>
    <row r="9" spans="1:16" ht="63" x14ac:dyDescent="0.55000000000000004">
      <c r="A9" s="215" t="s">
        <v>340</v>
      </c>
      <c r="B9" s="207" t="s">
        <v>269</v>
      </c>
      <c r="C9" s="208"/>
      <c r="D9" s="208"/>
      <c r="E9" s="208"/>
      <c r="F9" s="208"/>
      <c r="G9" s="208"/>
      <c r="J9" s="300" t="s">
        <v>398</v>
      </c>
      <c r="K9" s="13" t="s">
        <v>269</v>
      </c>
    </row>
    <row r="10" spans="1:16" ht="26.65" x14ac:dyDescent="0.45">
      <c r="B10" s="209"/>
      <c r="C10" s="209" t="str">
        <f>IF(Output!A27=" SAIDI cap - minutes","Unplanned SAIDI","ERROR")</f>
        <v>Unplanned SAIDI</v>
      </c>
      <c r="D10" s="209" t="str">
        <f>IF(Output!A31=" SAIFI cap - minutes","Unplanned SAIFI","ERROR")</f>
        <v>Unplanned SAIFI</v>
      </c>
      <c r="E10" s="209" t="str">
        <f>IF(Output!A13="Planned reliability standard―SAIDI (5-year regulatory period limit) - minutes","Planned SAIDI","ERROR")</f>
        <v>Planned SAIDI</v>
      </c>
      <c r="F10" s="209" t="str">
        <f>IF(Output!A17="Planned reliability standard―SAIFI (5-year regulatory period limit) - frequency","Planned SAIFI","ERROR")</f>
        <v>Planned SAIFI</v>
      </c>
      <c r="G10" s="209" t="str">
        <f>IF(Output!A44="Extreme event standard―approx SAIDI equivalent - SAIDI minutes","Extreme outage SAIDI","ERROR")</f>
        <v>Extreme outage SAIDI</v>
      </c>
      <c r="K10" s="326"/>
      <c r="L10" s="327" t="str">
        <f t="shared" ref="L10:L27" si="0">C10</f>
        <v>Unplanned SAIDI</v>
      </c>
      <c r="M10" s="327" t="str">
        <f t="shared" ref="M10:M27" si="1">D10</f>
        <v>Unplanned SAIFI</v>
      </c>
      <c r="N10" s="326" t="str">
        <f t="shared" ref="N10:N27" si="2">E10</f>
        <v>Planned SAIDI</v>
      </c>
      <c r="O10" s="327" t="str">
        <f t="shared" ref="O10:O27" si="3">F10</f>
        <v>Planned SAIFI</v>
      </c>
      <c r="P10" s="327" t="s">
        <v>308</v>
      </c>
    </row>
    <row r="11" spans="1:16" ht="14.25" x14ac:dyDescent="0.45">
      <c r="B11" s="316" t="s">
        <v>212</v>
      </c>
      <c r="C11" s="209" t="s">
        <v>55</v>
      </c>
      <c r="D11" s="209" t="s">
        <v>55</v>
      </c>
      <c r="E11" s="209" t="s">
        <v>56</v>
      </c>
      <c r="F11" s="210" t="s">
        <v>56</v>
      </c>
      <c r="G11" s="209"/>
      <c r="K11" s="326" t="s">
        <v>212</v>
      </c>
      <c r="L11" s="327" t="str">
        <f t="shared" si="0"/>
        <v>(1-year)</v>
      </c>
      <c r="M11" s="327" t="str">
        <f t="shared" si="1"/>
        <v>(1-year)</v>
      </c>
      <c r="N11" s="326" t="str">
        <f t="shared" si="2"/>
        <v>(5-year)</v>
      </c>
      <c r="O11" s="327" t="str">
        <f t="shared" si="3"/>
        <v>(5-year)</v>
      </c>
      <c r="P11" s="327" t="s">
        <v>211</v>
      </c>
    </row>
    <row r="12" spans="1:16" ht="14.25" x14ac:dyDescent="0.45">
      <c r="B12" s="211" t="str" cm="1">
        <f t="array" ref="B12:B27">TRANSPOSE(Output!C8:R8)</f>
        <v>Alpine Energy</v>
      </c>
      <c r="C12" s="212" cm="1">
        <f t="array" ref="C12:C27">TRANSPOSE(Output!C27:R27)</f>
        <v>118.47240823474012</v>
      </c>
      <c r="D12" s="213" cm="1">
        <f t="array" ref="D12:D27">TRANSPOSE(Output!C31:R31)</f>
        <v>1.1371863562634201</v>
      </c>
      <c r="E12" s="212" cm="1">
        <f t="array" ref="E12:E27">TRANSPOSE(Output!C13:R13)</f>
        <v>825.76725648242405</v>
      </c>
      <c r="F12" s="213" cm="1">
        <f t="array" ref="F12:F27">TRANSPOSE(Output!C17:R17)</f>
        <v>3.1437004499999999</v>
      </c>
      <c r="G12" s="214" cm="1">
        <f t="array" ref="G12:G27">TRANSPOSE(Output!C44:R44)</f>
        <v>120</v>
      </c>
      <c r="K12" s="328" t="str">
        <f t="shared" ref="K12:K27" si="4">B12</f>
        <v>Alpine Energy</v>
      </c>
      <c r="L12" s="332">
        <f t="shared" si="0"/>
        <v>118.47240823474012</v>
      </c>
      <c r="M12" s="334">
        <f t="shared" si="1"/>
        <v>1.1371863562634201</v>
      </c>
      <c r="N12" s="332">
        <f t="shared" si="2"/>
        <v>825.76725648242405</v>
      </c>
      <c r="O12" s="334">
        <f t="shared" si="3"/>
        <v>3.1437004499999999</v>
      </c>
      <c r="P12" s="330" t="str">
        <f t="shared" ref="P12:P27" si="5">IF(G12=120,"120 SAIDI","6m CIM")</f>
        <v>120 SAIDI</v>
      </c>
    </row>
    <row r="13" spans="1:16" ht="14.25" x14ac:dyDescent="0.45">
      <c r="B13" s="211" t="str">
        <v>Aurora Energy</v>
      </c>
      <c r="C13" s="212">
        <v>128.36378507999999</v>
      </c>
      <c r="D13" s="213">
        <v>1.9674499999999999</v>
      </c>
      <c r="E13" s="212">
        <v>1077.7756000000002</v>
      </c>
      <c r="F13" s="213">
        <v>6.0923499999999997</v>
      </c>
      <c r="G13" s="214">
        <v>62.998047265671005</v>
      </c>
      <c r="K13" s="329" t="str">
        <f t="shared" si="4"/>
        <v>Aurora Energy</v>
      </c>
      <c r="L13" s="333">
        <f t="shared" si="0"/>
        <v>128.36378507999999</v>
      </c>
      <c r="M13" s="335">
        <f t="shared" si="1"/>
        <v>1.9674499999999999</v>
      </c>
      <c r="N13" s="333">
        <f t="shared" si="2"/>
        <v>1077.7756000000002</v>
      </c>
      <c r="O13" s="335">
        <f t="shared" si="3"/>
        <v>6.0923499999999997</v>
      </c>
      <c r="P13" s="331" t="str">
        <f t="shared" si="5"/>
        <v>6m CIM</v>
      </c>
    </row>
    <row r="14" spans="1:16" ht="14.25" x14ac:dyDescent="0.45">
      <c r="B14" s="211" t="str">
        <v>EA Networks</v>
      </c>
      <c r="C14" s="212">
        <v>87.37668699999999</v>
      </c>
      <c r="D14" s="213">
        <v>1.24161363</v>
      </c>
      <c r="E14" s="212">
        <v>1238.4738000000002</v>
      </c>
      <c r="F14" s="213">
        <v>4.4045055000000009</v>
      </c>
      <c r="G14" s="214">
        <v>120</v>
      </c>
      <c r="K14" s="328" t="str">
        <f t="shared" si="4"/>
        <v>EA Networks</v>
      </c>
      <c r="L14" s="332">
        <f t="shared" si="0"/>
        <v>87.37668699999999</v>
      </c>
      <c r="M14" s="334">
        <f t="shared" si="1"/>
        <v>1.24161363</v>
      </c>
      <c r="N14" s="332">
        <f t="shared" si="2"/>
        <v>1238.4738000000002</v>
      </c>
      <c r="O14" s="334">
        <f t="shared" si="3"/>
        <v>4.4045055000000009</v>
      </c>
      <c r="P14" s="330" t="str">
        <f t="shared" si="5"/>
        <v>120 SAIDI</v>
      </c>
    </row>
    <row r="15" spans="1:16" ht="14.25" x14ac:dyDescent="0.45">
      <c r="B15" s="211" t="str">
        <v>Electricity Invercargill</v>
      </c>
      <c r="C15" s="212">
        <v>27.147934113773488</v>
      </c>
      <c r="D15" s="213">
        <v>0.66080660073189346</v>
      </c>
      <c r="E15" s="212">
        <v>125.94296000000001</v>
      </c>
      <c r="F15" s="213">
        <v>0.57016905000000007</v>
      </c>
      <c r="G15" s="214">
        <v>120</v>
      </c>
      <c r="K15" s="329" t="str">
        <f t="shared" si="4"/>
        <v>Electricity Invercargill</v>
      </c>
      <c r="L15" s="333">
        <f t="shared" si="0"/>
        <v>27.147934113773488</v>
      </c>
      <c r="M15" s="335">
        <f t="shared" si="1"/>
        <v>0.66080660073189346</v>
      </c>
      <c r="N15" s="333">
        <f t="shared" si="2"/>
        <v>125.94296000000001</v>
      </c>
      <c r="O15" s="335">
        <f t="shared" si="3"/>
        <v>0.57016905000000007</v>
      </c>
      <c r="P15" s="331" t="str">
        <f t="shared" si="5"/>
        <v>120 SAIDI</v>
      </c>
    </row>
    <row r="16" spans="1:16" ht="14.25" x14ac:dyDescent="0.45">
      <c r="B16" s="211" t="str">
        <v>Firstlight Network</v>
      </c>
      <c r="C16" s="212">
        <v>230.43331466609743</v>
      </c>
      <c r="D16" s="213">
        <v>3.3101392506106411</v>
      </c>
      <c r="E16" s="212">
        <v>1213.1511000302298</v>
      </c>
      <c r="F16" s="213">
        <v>6.7270635000000016</v>
      </c>
      <c r="G16" s="214">
        <v>120</v>
      </c>
      <c r="K16" s="328" t="str">
        <f t="shared" si="4"/>
        <v>Firstlight Network</v>
      </c>
      <c r="L16" s="332">
        <f t="shared" si="0"/>
        <v>230.43331466609743</v>
      </c>
      <c r="M16" s="334">
        <f t="shared" si="1"/>
        <v>3.3101392506106411</v>
      </c>
      <c r="N16" s="332">
        <f t="shared" si="2"/>
        <v>1213.1511000302298</v>
      </c>
      <c r="O16" s="334">
        <f t="shared" si="3"/>
        <v>6.7270635000000016</v>
      </c>
      <c r="P16" s="330" t="str">
        <f t="shared" si="5"/>
        <v>120 SAIDI</v>
      </c>
    </row>
    <row r="17" spans="1:16" ht="14.25" x14ac:dyDescent="0.45">
      <c r="B17" s="211" t="str">
        <v>Horizon Energy</v>
      </c>
      <c r="C17" s="212">
        <v>184.800479</v>
      </c>
      <c r="D17" s="213">
        <v>2.2708919699999996</v>
      </c>
      <c r="E17" s="212">
        <v>944.49575000000004</v>
      </c>
      <c r="F17" s="213">
        <v>5.985595</v>
      </c>
      <c r="G17" s="214">
        <v>120</v>
      </c>
      <c r="K17" s="329" t="str">
        <f t="shared" si="4"/>
        <v>Horizon Energy</v>
      </c>
      <c r="L17" s="333">
        <f t="shared" si="0"/>
        <v>184.800479</v>
      </c>
      <c r="M17" s="335">
        <f t="shared" si="1"/>
        <v>2.2708919699999996</v>
      </c>
      <c r="N17" s="333">
        <f t="shared" si="2"/>
        <v>944.49575000000004</v>
      </c>
      <c r="O17" s="335">
        <f t="shared" si="3"/>
        <v>5.985595</v>
      </c>
      <c r="P17" s="331" t="str">
        <f t="shared" si="5"/>
        <v>120 SAIDI</v>
      </c>
    </row>
    <row r="18" spans="1:16" ht="14.25" x14ac:dyDescent="0.45">
      <c r="B18" s="211" t="str">
        <v>Nelson Electricity</v>
      </c>
      <c r="C18" s="212">
        <v>18.617063589525795</v>
      </c>
      <c r="D18" s="213">
        <v>0.40634675689643501</v>
      </c>
      <c r="E18" s="212">
        <v>162.09985499999999</v>
      </c>
      <c r="F18" s="213">
        <v>2.1296546999999997</v>
      </c>
      <c r="G18" s="214">
        <v>120</v>
      </c>
      <c r="K18" s="328" t="str">
        <f t="shared" si="4"/>
        <v>Nelson Electricity</v>
      </c>
      <c r="L18" s="332">
        <f t="shared" si="0"/>
        <v>18.617063589525795</v>
      </c>
      <c r="M18" s="334">
        <f t="shared" si="1"/>
        <v>0.40634675689643501</v>
      </c>
      <c r="N18" s="332">
        <f t="shared" si="2"/>
        <v>162.09985499999999</v>
      </c>
      <c r="O18" s="334">
        <f t="shared" si="3"/>
        <v>2.1296546999999997</v>
      </c>
      <c r="P18" s="330" t="str">
        <f t="shared" si="5"/>
        <v>120 SAIDI</v>
      </c>
    </row>
    <row r="19" spans="1:16" ht="14.25" x14ac:dyDescent="0.45">
      <c r="B19" s="211" t="str">
        <v>Network Tasman</v>
      </c>
      <c r="C19" s="212">
        <v>98.328682579999992</v>
      </c>
      <c r="D19" s="213">
        <v>1.1357865697550116</v>
      </c>
      <c r="E19" s="212">
        <v>1067.9368391448099</v>
      </c>
      <c r="F19" s="213">
        <v>4.4119345500000007</v>
      </c>
      <c r="G19" s="214">
        <v>120</v>
      </c>
      <c r="K19" s="329" t="str">
        <f t="shared" si="4"/>
        <v>Network Tasman</v>
      </c>
      <c r="L19" s="333">
        <f t="shared" si="0"/>
        <v>98.328682579999992</v>
      </c>
      <c r="M19" s="335">
        <f t="shared" si="1"/>
        <v>1.1357865697550116</v>
      </c>
      <c r="N19" s="333">
        <f t="shared" si="2"/>
        <v>1067.9368391448099</v>
      </c>
      <c r="O19" s="335">
        <f t="shared" si="3"/>
        <v>4.4119345500000007</v>
      </c>
      <c r="P19" s="331" t="str">
        <f t="shared" si="5"/>
        <v>120 SAIDI</v>
      </c>
    </row>
    <row r="20" spans="1:16" ht="14.25" x14ac:dyDescent="0.45">
      <c r="B20" s="211" t="str">
        <v>Orion NZ</v>
      </c>
      <c r="C20" s="212">
        <v>80.474859100000003</v>
      </c>
      <c r="D20" s="213">
        <v>0.98187516000000008</v>
      </c>
      <c r="E20" s="212">
        <v>218.2433</v>
      </c>
      <c r="F20" s="213">
        <v>0.73989678442510909</v>
      </c>
      <c r="G20" s="214">
        <v>26.900160055952334</v>
      </c>
      <c r="K20" s="328" t="str">
        <f t="shared" si="4"/>
        <v>Orion NZ</v>
      </c>
      <c r="L20" s="332">
        <f t="shared" si="0"/>
        <v>80.474859100000003</v>
      </c>
      <c r="M20" s="334">
        <f t="shared" si="1"/>
        <v>0.98187516000000008</v>
      </c>
      <c r="N20" s="332">
        <f t="shared" si="2"/>
        <v>218.2433</v>
      </c>
      <c r="O20" s="334">
        <f t="shared" si="3"/>
        <v>0.73989678442510909</v>
      </c>
      <c r="P20" s="330" t="str">
        <f t="shared" si="5"/>
        <v>6m CIM</v>
      </c>
    </row>
    <row r="21" spans="1:16" ht="14.25" x14ac:dyDescent="0.45">
      <c r="B21" s="211" t="str">
        <v>OtagoNet</v>
      </c>
      <c r="C21" s="212">
        <v>168.37240547785373</v>
      </c>
      <c r="D21" s="213">
        <v>2.3401315990000002</v>
      </c>
      <c r="E21" s="212">
        <v>2323.7717940667899</v>
      </c>
      <c r="F21" s="213">
        <v>9.2087875366363807</v>
      </c>
      <c r="G21" s="214">
        <v>120</v>
      </c>
      <c r="K21" s="329" t="str">
        <f t="shared" si="4"/>
        <v>OtagoNet</v>
      </c>
      <c r="L21" s="333">
        <f t="shared" si="0"/>
        <v>168.37240547785373</v>
      </c>
      <c r="M21" s="335">
        <f t="shared" si="1"/>
        <v>2.3401315990000002</v>
      </c>
      <c r="N21" s="333">
        <f t="shared" si="2"/>
        <v>2323.7717940667899</v>
      </c>
      <c r="O21" s="335">
        <f t="shared" si="3"/>
        <v>9.2087875366363807</v>
      </c>
      <c r="P21" s="331" t="str">
        <f t="shared" si="5"/>
        <v>120 SAIDI</v>
      </c>
    </row>
    <row r="22" spans="1:16" ht="14.25" x14ac:dyDescent="0.45">
      <c r="B22" s="211" t="str">
        <v>Powerco</v>
      </c>
      <c r="C22" s="212">
        <v>189.26590200000004</v>
      </c>
      <c r="D22" s="213">
        <v>2.1549610118335627</v>
      </c>
      <c r="E22" s="212">
        <v>849.74505000000011</v>
      </c>
      <c r="F22" s="213">
        <v>3.8124750726822096</v>
      </c>
      <c r="G22" s="214">
        <v>16.67328966784028</v>
      </c>
      <c r="K22" s="328" t="str">
        <f t="shared" si="4"/>
        <v>Powerco</v>
      </c>
      <c r="L22" s="332">
        <f t="shared" si="0"/>
        <v>189.26590200000004</v>
      </c>
      <c r="M22" s="334">
        <f t="shared" si="1"/>
        <v>2.1549610118335627</v>
      </c>
      <c r="N22" s="332">
        <f t="shared" si="2"/>
        <v>849.74505000000011</v>
      </c>
      <c r="O22" s="334">
        <f t="shared" si="3"/>
        <v>3.8124750726822096</v>
      </c>
      <c r="P22" s="330" t="str">
        <f t="shared" si="5"/>
        <v>6m CIM</v>
      </c>
    </row>
    <row r="23" spans="1:16" ht="14.25" x14ac:dyDescent="0.45">
      <c r="B23" s="211" t="str">
        <v>The Lines Company</v>
      </c>
      <c r="C23" s="212">
        <v>190.55170834204404</v>
      </c>
      <c r="D23" s="213">
        <v>3.2838625800000001</v>
      </c>
      <c r="E23" s="212">
        <v>1284.1542630035301</v>
      </c>
      <c r="F23" s="213">
        <v>7.8773895000000005</v>
      </c>
      <c r="G23" s="214">
        <v>120</v>
      </c>
      <c r="K23" s="329" t="str">
        <f t="shared" si="4"/>
        <v>The Lines Company</v>
      </c>
      <c r="L23" s="333">
        <f t="shared" si="0"/>
        <v>190.55170834204404</v>
      </c>
      <c r="M23" s="335">
        <f t="shared" si="1"/>
        <v>3.2838625800000001</v>
      </c>
      <c r="N23" s="333">
        <f t="shared" si="2"/>
        <v>1284.1542630035301</v>
      </c>
      <c r="O23" s="335">
        <f t="shared" si="3"/>
        <v>7.8773895000000005</v>
      </c>
      <c r="P23" s="331" t="str">
        <f t="shared" si="5"/>
        <v>120 SAIDI</v>
      </c>
    </row>
    <row r="24" spans="1:16" ht="14.25" x14ac:dyDescent="0.45">
      <c r="B24" s="211" t="str">
        <v>Top Energy</v>
      </c>
      <c r="C24" s="212">
        <v>399.24988454977381</v>
      </c>
      <c r="D24" s="213">
        <v>4.8195552609835275</v>
      </c>
      <c r="E24" s="212">
        <v>1727.59226964919</v>
      </c>
      <c r="F24" s="213">
        <v>8.5278820000000017</v>
      </c>
      <c r="G24" s="214">
        <v>120</v>
      </c>
      <c r="K24" s="328" t="str">
        <f t="shared" si="4"/>
        <v>Top Energy</v>
      </c>
      <c r="L24" s="332">
        <f t="shared" si="0"/>
        <v>399.24988454977381</v>
      </c>
      <c r="M24" s="334">
        <f t="shared" si="1"/>
        <v>4.8195552609835275</v>
      </c>
      <c r="N24" s="332">
        <f t="shared" si="2"/>
        <v>1727.59226964919</v>
      </c>
      <c r="O24" s="334">
        <f t="shared" si="3"/>
        <v>8.5278820000000017</v>
      </c>
      <c r="P24" s="330" t="str">
        <f t="shared" si="5"/>
        <v>120 SAIDI</v>
      </c>
    </row>
    <row r="25" spans="1:16" ht="14.25" x14ac:dyDescent="0.45">
      <c r="B25" s="211" t="str">
        <v>Unison Networks</v>
      </c>
      <c r="C25" s="212">
        <v>81.515934991999998</v>
      </c>
      <c r="D25" s="213">
        <v>1.7244437766757728</v>
      </c>
      <c r="E25" s="212">
        <v>688.37395000000004</v>
      </c>
      <c r="F25" s="213">
        <v>4.9113702000000004</v>
      </c>
      <c r="G25" s="214">
        <v>50.343172626738934</v>
      </c>
      <c r="K25" s="329" t="str">
        <f t="shared" si="4"/>
        <v>Unison Networks</v>
      </c>
      <c r="L25" s="333">
        <f t="shared" si="0"/>
        <v>81.515934991999998</v>
      </c>
      <c r="M25" s="335">
        <f t="shared" si="1"/>
        <v>1.7244437766757728</v>
      </c>
      <c r="N25" s="333">
        <f t="shared" si="2"/>
        <v>688.37395000000004</v>
      </c>
      <c r="O25" s="335">
        <f t="shared" si="3"/>
        <v>4.9113702000000004</v>
      </c>
      <c r="P25" s="331" t="str">
        <f t="shared" si="5"/>
        <v>6m CIM</v>
      </c>
    </row>
    <row r="26" spans="1:16" ht="14.25" x14ac:dyDescent="0.45">
      <c r="B26" s="211" t="str">
        <v>Vector Lines</v>
      </c>
      <c r="C26" s="212">
        <v>110.07128083857886</v>
      </c>
      <c r="D26" s="213">
        <v>1.4034190799999999</v>
      </c>
      <c r="E26" s="212">
        <v>643.9185500000001</v>
      </c>
      <c r="F26" s="213">
        <v>3.1661366000000002</v>
      </c>
      <c r="G26" s="214">
        <v>9.7291249462871221</v>
      </c>
      <c r="K26" s="329" t="str">
        <f t="shared" si="4"/>
        <v>Vector Lines</v>
      </c>
      <c r="L26" s="333">
        <f t="shared" si="0"/>
        <v>110.07128083857886</v>
      </c>
      <c r="M26" s="335">
        <f t="shared" si="1"/>
        <v>1.4034190799999999</v>
      </c>
      <c r="N26" s="333">
        <f t="shared" si="2"/>
        <v>643.9185500000001</v>
      </c>
      <c r="O26" s="335">
        <f t="shared" si="3"/>
        <v>3.1661366000000002</v>
      </c>
      <c r="P26" s="331" t="str">
        <f t="shared" si="5"/>
        <v>6m CIM</v>
      </c>
    </row>
    <row r="27" spans="1:16" ht="14.25" x14ac:dyDescent="0.45">
      <c r="B27" s="211" t="str">
        <v>Wellington Electricity</v>
      </c>
      <c r="C27" s="212">
        <v>37.817536465530196</v>
      </c>
      <c r="D27" s="213">
        <v>0.58286211167954094</v>
      </c>
      <c r="E27" s="212">
        <v>76.664664999999999</v>
      </c>
      <c r="F27" s="213">
        <v>0.60893635000000013</v>
      </c>
      <c r="G27" s="214">
        <v>34.237032486188681</v>
      </c>
      <c r="K27" s="328" t="str">
        <f t="shared" si="4"/>
        <v>Wellington Electricity</v>
      </c>
      <c r="L27" s="332">
        <f t="shared" si="0"/>
        <v>37.817536465530196</v>
      </c>
      <c r="M27" s="334">
        <f t="shared" si="1"/>
        <v>0.58286211167954094</v>
      </c>
      <c r="N27" s="332">
        <f t="shared" si="2"/>
        <v>76.664664999999999</v>
      </c>
      <c r="O27" s="334">
        <f t="shared" si="3"/>
        <v>0.60893635000000013</v>
      </c>
      <c r="P27" s="330" t="str">
        <f t="shared" si="5"/>
        <v>6m CIM</v>
      </c>
    </row>
    <row r="28" spans="1:16" ht="14.65" customHeight="1" x14ac:dyDescent="0.45">
      <c r="B28" s="336"/>
      <c r="C28" s="337"/>
      <c r="D28" s="337"/>
      <c r="E28" s="337"/>
      <c r="F28" s="337"/>
      <c r="G28" s="337"/>
      <c r="J28" s="336"/>
      <c r="K28" s="337"/>
      <c r="L28" s="337"/>
      <c r="M28" s="337"/>
      <c r="N28" s="337"/>
      <c r="O28" s="338"/>
    </row>
    <row r="29" spans="1:16" ht="14.25" x14ac:dyDescent="0.45"/>
    <row r="30" spans="1:16" ht="14.25" x14ac:dyDescent="0.45"/>
    <row r="31" spans="1:16" ht="21" x14ac:dyDescent="0.65">
      <c r="A31" s="201" t="s">
        <v>270</v>
      </c>
    </row>
    <row r="32" spans="1:16" ht="18" x14ac:dyDescent="0.55000000000000004">
      <c r="A32" s="176" t="s">
        <v>273</v>
      </c>
    </row>
    <row r="33" spans="1:4" ht="14.25" x14ac:dyDescent="0.45"/>
    <row r="34" spans="1:4" ht="18.75" customHeight="1" x14ac:dyDescent="0.45"/>
    <row r="35" spans="1:4" ht="30" customHeight="1" x14ac:dyDescent="0.65">
      <c r="A35" s="29" t="s">
        <v>341</v>
      </c>
      <c r="B35" s="13" t="s">
        <v>356</v>
      </c>
    </row>
    <row r="36" spans="1:4" ht="28.35" customHeight="1" x14ac:dyDescent="0.45">
      <c r="B36" s="363" t="s">
        <v>212</v>
      </c>
      <c r="C36" s="327" t="str">
        <f>IF(Output!A27=" SAIDI cap - minutes","Unplanned SAIDI","ERROR")</f>
        <v>Unplanned SAIDI</v>
      </c>
      <c r="D36" s="327" t="str">
        <f>IF(Output!A31=" SAIFI cap - minutes","Unplanned SAIFI ","ERROR")</f>
        <v xml:space="preserve">Unplanned SAIFI </v>
      </c>
    </row>
    <row r="37" spans="1:4" ht="14.25" x14ac:dyDescent="0.45">
      <c r="B37" s="328" t="str" cm="1">
        <f t="array" ref="B37:B52">TRANSPOSE(Output!C$8:R$8)</f>
        <v>Alpine Energy</v>
      </c>
      <c r="C37" s="332" cm="1">
        <f t="array" ref="C37:C52">TRANSPOSE(Output!C27:R27)</f>
        <v>118.47240823474012</v>
      </c>
      <c r="D37" s="334" cm="1">
        <f t="array" ref="D37:D52">TRANSPOSE(Output!C31:R31)</f>
        <v>1.1371863562634201</v>
      </c>
    </row>
    <row r="38" spans="1:4" ht="14.65" customHeight="1" x14ac:dyDescent="0.45">
      <c r="B38" s="329" t="str">
        <v>Aurora Energy</v>
      </c>
      <c r="C38" s="333">
        <v>128.36378507999999</v>
      </c>
      <c r="D38" s="335">
        <v>1.9674499999999999</v>
      </c>
    </row>
    <row r="39" spans="1:4" ht="14.25" x14ac:dyDescent="0.45">
      <c r="B39" s="328" t="str">
        <v>EA Networks</v>
      </c>
      <c r="C39" s="332">
        <v>87.37668699999999</v>
      </c>
      <c r="D39" s="334">
        <v>1.24161363</v>
      </c>
    </row>
    <row r="40" spans="1:4" ht="14.25" x14ac:dyDescent="0.45">
      <c r="B40" s="329" t="str">
        <v>Electricity Invercargill</v>
      </c>
      <c r="C40" s="333">
        <v>27.147934113773488</v>
      </c>
      <c r="D40" s="335">
        <v>0.66080660073189346</v>
      </c>
    </row>
    <row r="41" spans="1:4" ht="14.25" x14ac:dyDescent="0.45">
      <c r="B41" s="328" t="str">
        <v>Firstlight Network</v>
      </c>
      <c r="C41" s="332">
        <v>230.43331466609743</v>
      </c>
      <c r="D41" s="334">
        <v>3.3101392506106411</v>
      </c>
    </row>
    <row r="42" spans="1:4" ht="14.25" x14ac:dyDescent="0.45">
      <c r="B42" s="329" t="str">
        <v>Horizon Energy</v>
      </c>
      <c r="C42" s="333">
        <v>184.800479</v>
      </c>
      <c r="D42" s="335">
        <v>2.2708919699999996</v>
      </c>
    </row>
    <row r="43" spans="1:4" ht="14.25" x14ac:dyDescent="0.45">
      <c r="B43" s="328" t="str">
        <v>Nelson Electricity</v>
      </c>
      <c r="C43" s="332">
        <v>18.617063589525795</v>
      </c>
      <c r="D43" s="334">
        <v>0.40634675689643501</v>
      </c>
    </row>
    <row r="44" spans="1:4" ht="14.25" x14ac:dyDescent="0.45">
      <c r="B44" s="329" t="str">
        <v>Network Tasman</v>
      </c>
      <c r="C44" s="333">
        <v>98.328682579999992</v>
      </c>
      <c r="D44" s="335">
        <v>1.1357865697550116</v>
      </c>
    </row>
    <row r="45" spans="1:4" ht="14.25" x14ac:dyDescent="0.45">
      <c r="B45" s="328" t="str">
        <v>Orion NZ</v>
      </c>
      <c r="C45" s="332">
        <v>80.474859100000003</v>
      </c>
      <c r="D45" s="334">
        <v>0.98187516000000008</v>
      </c>
    </row>
    <row r="46" spans="1:4" ht="14.25" x14ac:dyDescent="0.45">
      <c r="B46" s="329" t="str">
        <v>OtagoNet</v>
      </c>
      <c r="C46" s="333">
        <v>168.37240547785373</v>
      </c>
      <c r="D46" s="335">
        <v>2.3401315990000002</v>
      </c>
    </row>
    <row r="47" spans="1:4" ht="14.25" x14ac:dyDescent="0.45">
      <c r="B47" s="328" t="str">
        <v>Powerco</v>
      </c>
      <c r="C47" s="332">
        <v>189.26590200000004</v>
      </c>
      <c r="D47" s="334">
        <v>2.1549610118335627</v>
      </c>
    </row>
    <row r="48" spans="1:4" ht="14.25" x14ac:dyDescent="0.45">
      <c r="B48" s="329" t="str">
        <v>The Lines Company</v>
      </c>
      <c r="C48" s="333">
        <v>190.55170834204404</v>
      </c>
      <c r="D48" s="335">
        <v>3.2838625800000001</v>
      </c>
    </row>
    <row r="49" spans="1:4" ht="14.25" x14ac:dyDescent="0.45">
      <c r="B49" s="328" t="str">
        <v>Top Energy</v>
      </c>
      <c r="C49" s="332">
        <v>399.24988454977381</v>
      </c>
      <c r="D49" s="334">
        <v>4.8195552609835275</v>
      </c>
    </row>
    <row r="50" spans="1:4" ht="14.25" x14ac:dyDescent="0.45">
      <c r="B50" s="329" t="str">
        <v>Unison Networks</v>
      </c>
      <c r="C50" s="333">
        <v>81.515934991999998</v>
      </c>
      <c r="D50" s="335">
        <v>1.7244437766757728</v>
      </c>
    </row>
    <row r="51" spans="1:4" ht="14.25" x14ac:dyDescent="0.45">
      <c r="B51" s="329" t="str">
        <v>Vector Lines</v>
      </c>
      <c r="C51" s="333">
        <v>110.07128083857886</v>
      </c>
      <c r="D51" s="335">
        <v>1.4034190799999999</v>
      </c>
    </row>
    <row r="52" spans="1:4" ht="14.25" x14ac:dyDescent="0.45">
      <c r="B52" s="328" t="str">
        <v>Wellington Electricity</v>
      </c>
      <c r="C52" s="332">
        <v>37.817536465530196</v>
      </c>
      <c r="D52" s="334">
        <v>0.58286211167954094</v>
      </c>
    </row>
    <row r="53" spans="1:4" ht="13.9" customHeight="1" x14ac:dyDescent="0.45">
      <c r="B53" s="336"/>
      <c r="C53" s="337"/>
      <c r="D53" s="337"/>
    </row>
    <row r="54" spans="1:4" ht="14.25" x14ac:dyDescent="0.45">
      <c r="C54" s="37"/>
    </row>
    <row r="55" spans="1:4" ht="14.25" x14ac:dyDescent="0.45"/>
    <row r="56" spans="1:4" ht="21" x14ac:dyDescent="0.65">
      <c r="A56" s="29" t="s">
        <v>342</v>
      </c>
      <c r="B56" s="13" t="s">
        <v>357</v>
      </c>
    </row>
    <row r="57" spans="1:4" ht="26.25" x14ac:dyDescent="0.45">
      <c r="B57" s="326" t="s">
        <v>212</v>
      </c>
      <c r="C57" s="327" t="str">
        <f>IF(Output!A13="Planned reliability standard―SAIDI (5-year regulatory period limit) - minutes","Planned SAIDI","ERROR")</f>
        <v>Planned SAIDI</v>
      </c>
      <c r="D57" s="327" t="str">
        <f>IF(Output!A17="Planned reliability standard―SAIFI (5-year regulatory period limit) - frequency","Planned SAIFI ","ERROR")</f>
        <v xml:space="preserve">Planned SAIFI </v>
      </c>
    </row>
    <row r="58" spans="1:4" ht="14.25" x14ac:dyDescent="0.45">
      <c r="B58" s="328" t="str" cm="1">
        <f t="array" ref="B58:B73">TRANSPOSE(Output!C$8:R$8)</f>
        <v>Alpine Energy</v>
      </c>
      <c r="C58" s="332" cm="1">
        <f t="array" ref="C58:C73">TRANSPOSE(Output!C13:R13)</f>
        <v>825.76725648242405</v>
      </c>
      <c r="D58" s="334" cm="1">
        <f t="array" ref="D58:D73">TRANSPOSE(Output!C17:R17)</f>
        <v>3.1437004499999999</v>
      </c>
    </row>
    <row r="59" spans="1:4" ht="14.25" x14ac:dyDescent="0.45">
      <c r="B59" s="329" t="str">
        <v>Aurora Energy</v>
      </c>
      <c r="C59" s="333">
        <v>1077.7756000000002</v>
      </c>
      <c r="D59" s="335">
        <v>6.0923499999999997</v>
      </c>
    </row>
    <row r="60" spans="1:4" ht="14.25" x14ac:dyDescent="0.45">
      <c r="B60" s="328" t="str">
        <v>EA Networks</v>
      </c>
      <c r="C60" s="332">
        <v>1238.4738000000002</v>
      </c>
      <c r="D60" s="334">
        <v>4.4045055000000009</v>
      </c>
    </row>
    <row r="61" spans="1:4" ht="14.25" x14ac:dyDescent="0.45">
      <c r="B61" s="329" t="str">
        <v>Electricity Invercargill</v>
      </c>
      <c r="C61" s="333">
        <v>125.94296000000001</v>
      </c>
      <c r="D61" s="335">
        <v>0.57016905000000007</v>
      </c>
    </row>
    <row r="62" spans="1:4" ht="14.25" x14ac:dyDescent="0.45">
      <c r="B62" s="328" t="str">
        <v>Firstlight Network</v>
      </c>
      <c r="C62" s="332">
        <v>1213.1511000302298</v>
      </c>
      <c r="D62" s="334">
        <v>6.7270635000000016</v>
      </c>
    </row>
    <row r="63" spans="1:4" ht="14.25" x14ac:dyDescent="0.45">
      <c r="B63" s="329" t="str">
        <v>Horizon Energy</v>
      </c>
      <c r="C63" s="333">
        <v>944.49575000000004</v>
      </c>
      <c r="D63" s="335">
        <v>5.985595</v>
      </c>
    </row>
    <row r="64" spans="1:4" ht="14.25" x14ac:dyDescent="0.45">
      <c r="B64" s="328" t="str">
        <v>Nelson Electricity</v>
      </c>
      <c r="C64" s="332">
        <v>162.09985499999999</v>
      </c>
      <c r="D64" s="334">
        <v>2.1296546999999997</v>
      </c>
    </row>
    <row r="65" spans="1:14" ht="14.25" x14ac:dyDescent="0.45">
      <c r="B65" s="329" t="str">
        <v>Network Tasman</v>
      </c>
      <c r="C65" s="333">
        <v>1067.9368391448099</v>
      </c>
      <c r="D65" s="335">
        <v>4.4119345500000007</v>
      </c>
      <c r="N65" t="s">
        <v>370</v>
      </c>
    </row>
    <row r="66" spans="1:14" ht="14.25" x14ac:dyDescent="0.45">
      <c r="B66" s="328" t="str">
        <v>Orion NZ</v>
      </c>
      <c r="C66" s="332">
        <v>218.2433</v>
      </c>
      <c r="D66" s="334">
        <v>0.73989678442510909</v>
      </c>
    </row>
    <row r="67" spans="1:14" ht="14.25" x14ac:dyDescent="0.45">
      <c r="B67" s="329" t="str">
        <v>OtagoNet</v>
      </c>
      <c r="C67" s="333">
        <v>2323.7717940667899</v>
      </c>
      <c r="D67" s="335">
        <v>9.2087875366363807</v>
      </c>
    </row>
    <row r="68" spans="1:14" ht="14.25" x14ac:dyDescent="0.45">
      <c r="B68" s="328" t="str">
        <v>Powerco</v>
      </c>
      <c r="C68" s="332">
        <v>849.74505000000011</v>
      </c>
      <c r="D68" s="334">
        <v>3.8124750726822096</v>
      </c>
    </row>
    <row r="69" spans="1:14" ht="14.25" x14ac:dyDescent="0.45">
      <c r="B69" s="329" t="str">
        <v>The Lines Company</v>
      </c>
      <c r="C69" s="333">
        <v>1284.1542630035301</v>
      </c>
      <c r="D69" s="335">
        <v>7.8773895000000005</v>
      </c>
    </row>
    <row r="70" spans="1:14" ht="14.25" x14ac:dyDescent="0.45">
      <c r="B70" s="328" t="str">
        <v>Top Energy</v>
      </c>
      <c r="C70" s="332">
        <v>1727.59226964919</v>
      </c>
      <c r="D70" s="334">
        <v>8.5278820000000017</v>
      </c>
    </row>
    <row r="71" spans="1:14" ht="14.25" x14ac:dyDescent="0.45">
      <c r="B71" s="329" t="str">
        <v>Unison Networks</v>
      </c>
      <c r="C71" s="333">
        <v>688.37395000000004</v>
      </c>
      <c r="D71" s="335">
        <v>4.9113702000000004</v>
      </c>
    </row>
    <row r="72" spans="1:14" ht="14.25" x14ac:dyDescent="0.45">
      <c r="B72" s="329" t="str">
        <v>Vector Lines</v>
      </c>
      <c r="C72" s="333">
        <v>643.9185500000001</v>
      </c>
      <c r="D72" s="335">
        <v>3.1661366000000002</v>
      </c>
    </row>
    <row r="73" spans="1:14" ht="14.25" x14ac:dyDescent="0.45">
      <c r="B73" s="328" t="str">
        <v>Wellington Electricity</v>
      </c>
      <c r="C73" s="332">
        <v>76.664664999999999</v>
      </c>
      <c r="D73" s="334">
        <v>0.60893635000000013</v>
      </c>
    </row>
    <row r="74" spans="1:14" ht="14.25" x14ac:dyDescent="0.45">
      <c r="B74" s="339"/>
      <c r="C74" s="340"/>
      <c r="D74" s="341"/>
    </row>
    <row r="75" spans="1:14" ht="14.25" x14ac:dyDescent="0.45">
      <c r="B75" s="342"/>
      <c r="C75" s="343"/>
      <c r="D75" s="344"/>
    </row>
    <row r="76" spans="1:14" ht="14.25" x14ac:dyDescent="0.45">
      <c r="B76" s="342"/>
      <c r="C76" s="343"/>
      <c r="D76" s="344"/>
    </row>
    <row r="77" spans="1:14" ht="21" x14ac:dyDescent="0.65">
      <c r="A77" s="29" t="s">
        <v>271</v>
      </c>
      <c r="B77" s="13" t="s">
        <v>338</v>
      </c>
      <c r="I77" s="361"/>
      <c r="J77" s="136"/>
    </row>
    <row r="78" spans="1:14" ht="21" x14ac:dyDescent="0.65">
      <c r="A78" s="29"/>
      <c r="B78" s="13"/>
      <c r="I78" s="362"/>
      <c r="J78" s="136"/>
    </row>
    <row r="79" spans="1:14" ht="14.25" x14ac:dyDescent="0.45">
      <c r="B79" s="326"/>
      <c r="C79" s="359" t="s">
        <v>250</v>
      </c>
      <c r="D79" s="360"/>
      <c r="E79" s="360"/>
      <c r="F79" s="360"/>
      <c r="G79" s="360" t="s">
        <v>251</v>
      </c>
      <c r="H79" s="360"/>
      <c r="I79" s="360"/>
      <c r="J79" s="360"/>
    </row>
    <row r="80" spans="1:14" ht="26.25" x14ac:dyDescent="0.45">
      <c r="B80" s="363" t="s">
        <v>212</v>
      </c>
      <c r="C80" s="327" t="s">
        <v>246</v>
      </c>
      <c r="D80" s="327" t="s">
        <v>247</v>
      </c>
      <c r="E80" s="326" t="s">
        <v>343</v>
      </c>
      <c r="F80" s="327" t="s">
        <v>345</v>
      </c>
      <c r="G80" s="327" t="s">
        <v>252</v>
      </c>
      <c r="H80" s="326" t="s">
        <v>253</v>
      </c>
      <c r="I80" s="327" t="s">
        <v>343</v>
      </c>
      <c r="J80" s="327" t="s">
        <v>344</v>
      </c>
    </row>
    <row r="81" spans="2:10" ht="14.25" x14ac:dyDescent="0.45">
      <c r="B81" s="328" t="str" cm="1">
        <f t="array" ref="B81:B96">TRANSPOSE(Output!C$8:R$8)</f>
        <v>Alpine Energy</v>
      </c>
      <c r="C81" s="332">
        <f>'Other Inputs'!D138</f>
        <v>824.86850000000004</v>
      </c>
      <c r="D81" s="332">
        <f>'Inputs from R'!E31</f>
        <v>825.76725648242405</v>
      </c>
      <c r="E81" s="348">
        <f t="shared" ref="E81:E96" si="6">(D81-C81)/C81</f>
        <v>1.0895754686037898E-3</v>
      </c>
      <c r="F81" s="332" cm="1">
        <f t="array" ref="F81:F96">TRANSPOSE(Output!C13:R13)</f>
        <v>825.76725648242405</v>
      </c>
      <c r="G81" s="334">
        <f>'Other Inputs'!G138</f>
        <v>3.4930005</v>
      </c>
      <c r="H81" s="334">
        <f>'Inputs from R'!I31</f>
        <v>2.5766648483507102</v>
      </c>
      <c r="I81" s="348">
        <f t="shared" ref="I81:I96" si="7">(H81-G81)/G81</f>
        <v>-0.26233481834580036</v>
      </c>
      <c r="J81" s="334" cm="1">
        <f t="array" ref="J81:J96">TRANSPOSE(Output!C17:R17)</f>
        <v>3.1437004499999999</v>
      </c>
    </row>
    <row r="82" spans="2:10" ht="14.25" x14ac:dyDescent="0.45">
      <c r="B82" s="329" t="str">
        <v>Aurora Energy</v>
      </c>
      <c r="C82" s="333">
        <f>'Other Inputs'!D139</f>
        <v>979.79600000000005</v>
      </c>
      <c r="D82" s="333">
        <f>'Inputs from R'!E32</f>
        <v>1817.00981283342</v>
      </c>
      <c r="E82" s="349">
        <f t="shared" si="6"/>
        <v>0.85447767987766832</v>
      </c>
      <c r="F82" s="333">
        <v>1077.7756000000002</v>
      </c>
      <c r="G82" s="335">
        <f>'Other Inputs'!G139</f>
        <v>5.5384999999999991</v>
      </c>
      <c r="H82" s="335">
        <f>'Inputs from R'!I32</f>
        <v>8.4447646701712298</v>
      </c>
      <c r="I82" s="349">
        <f t="shared" si="7"/>
        <v>0.52473858809627716</v>
      </c>
      <c r="J82" s="335">
        <v>6.0923499999999997</v>
      </c>
    </row>
    <row r="83" spans="2:10" ht="14.25" x14ac:dyDescent="0.45">
      <c r="B83" s="328" t="str">
        <v>EA Networks</v>
      </c>
      <c r="C83" s="332">
        <f>'Other Inputs'!D140</f>
        <v>1376.0820000000001</v>
      </c>
      <c r="D83" s="332">
        <f>'Inputs from R'!E33</f>
        <v>1180.55301433316</v>
      </c>
      <c r="E83" s="348">
        <f t="shared" si="6"/>
        <v>-0.14209108589956126</v>
      </c>
      <c r="F83" s="332">
        <v>1238.4738000000002</v>
      </c>
      <c r="G83" s="334">
        <f>'Other Inputs'!G140</f>
        <v>4.8938949999999997</v>
      </c>
      <c r="H83" s="334">
        <f>'Inputs from R'!I33</f>
        <v>3.9990853541754601</v>
      </c>
      <c r="I83" s="348">
        <f t="shared" si="7"/>
        <v>-0.18284201966420197</v>
      </c>
      <c r="J83" s="334">
        <v>4.4045055000000009</v>
      </c>
    </row>
    <row r="84" spans="2:10" ht="14.25" x14ac:dyDescent="0.45">
      <c r="B84" s="329" t="str">
        <v>Electricity Invercargill</v>
      </c>
      <c r="C84" s="333">
        <f>'Other Inputs'!D141</f>
        <v>114.4936</v>
      </c>
      <c r="D84" s="333">
        <f>'Inputs from R'!E34</f>
        <v>180.49255858247301</v>
      </c>
      <c r="E84" s="349">
        <f t="shared" si="6"/>
        <v>0.57644233898203046</v>
      </c>
      <c r="F84" s="333">
        <v>125.94296000000001</v>
      </c>
      <c r="G84" s="335">
        <f>'Other Inputs'!G141</f>
        <v>0.51833549999999995</v>
      </c>
      <c r="H84" s="335">
        <f>'Inputs from R'!I34</f>
        <v>0.67705204092970295</v>
      </c>
      <c r="I84" s="349">
        <f t="shared" si="7"/>
        <v>0.30620426524847905</v>
      </c>
      <c r="J84" s="335">
        <v>0.57016905000000007</v>
      </c>
    </row>
    <row r="85" spans="2:10" ht="14.25" x14ac:dyDescent="0.45">
      <c r="B85" s="328" t="str">
        <v>Firstlight Network</v>
      </c>
      <c r="C85" s="332">
        <f>'Other Inputs'!D142</f>
        <v>1290.6774999999998</v>
      </c>
      <c r="D85" s="332">
        <f>'Inputs from R'!E35</f>
        <v>1213.1511000302301</v>
      </c>
      <c r="E85" s="348">
        <f t="shared" si="6"/>
        <v>-6.0066437951982382E-2</v>
      </c>
      <c r="F85" s="332">
        <v>1213.1511000302298</v>
      </c>
      <c r="G85" s="334">
        <f>'Other Inputs'!G142</f>
        <v>7.4745150000000002</v>
      </c>
      <c r="H85" s="334">
        <f>'Inputs from R'!I35</f>
        <v>4.9832476197061997</v>
      </c>
      <c r="I85" s="348">
        <f t="shared" si="7"/>
        <v>-0.33330154268120415</v>
      </c>
      <c r="J85" s="334">
        <v>6.7270635000000016</v>
      </c>
    </row>
    <row r="86" spans="2:10" ht="14.25" x14ac:dyDescent="0.45">
      <c r="B86" s="329" t="str">
        <v>Horizon Energy</v>
      </c>
      <c r="C86" s="333">
        <f>'Other Inputs'!D143</f>
        <v>858.63249999999994</v>
      </c>
      <c r="D86" s="333">
        <f>'Inputs from R'!E36</f>
        <v>1100.29887727136</v>
      </c>
      <c r="E86" s="349">
        <f t="shared" si="6"/>
        <v>0.28145496154799643</v>
      </c>
      <c r="F86" s="333">
        <v>944.49575000000004</v>
      </c>
      <c r="G86" s="335">
        <f>'Other Inputs'!G143</f>
        <v>5.4414499999999997</v>
      </c>
      <c r="H86" s="335">
        <f>'Inputs from R'!I36</f>
        <v>7.3635537169336898</v>
      </c>
      <c r="I86" s="349">
        <f t="shared" si="7"/>
        <v>0.35323373676753261</v>
      </c>
      <c r="J86" s="335">
        <v>5.985595</v>
      </c>
    </row>
    <row r="87" spans="2:10" ht="14.25" x14ac:dyDescent="0.45">
      <c r="B87" s="328" t="str">
        <v>Nelson Electricity</v>
      </c>
      <c r="C87" s="332">
        <f>'Other Inputs'!D144</f>
        <v>180.11095</v>
      </c>
      <c r="D87" s="332">
        <f>'Inputs from R'!E37</f>
        <v>157.00028760180999</v>
      </c>
      <c r="E87" s="348">
        <f t="shared" si="6"/>
        <v>-0.12831347787677549</v>
      </c>
      <c r="F87" s="332">
        <v>162.09985499999999</v>
      </c>
      <c r="G87" s="334">
        <f>'Other Inputs'!G144</f>
        <v>2.3662830000000001</v>
      </c>
      <c r="H87" s="334">
        <f>'Inputs from R'!I37</f>
        <v>0.53934017529872702</v>
      </c>
      <c r="I87" s="348">
        <f t="shared" si="7"/>
        <v>-0.77207283520241365</v>
      </c>
      <c r="J87" s="334">
        <v>2.1296546999999997</v>
      </c>
    </row>
    <row r="88" spans="2:10" ht="14.25" x14ac:dyDescent="0.45">
      <c r="B88" s="329" t="str">
        <v>Network Tasman</v>
      </c>
      <c r="C88" s="333">
        <f>'Other Inputs'!D145</f>
        <v>1129.1355000000001</v>
      </c>
      <c r="D88" s="333">
        <f>'Inputs from R'!E38</f>
        <v>1067.9368391448099</v>
      </c>
      <c r="E88" s="349">
        <f t="shared" si="6"/>
        <v>-5.4199572022303924E-2</v>
      </c>
      <c r="F88" s="333">
        <v>1067.9368391448099</v>
      </c>
      <c r="G88" s="335">
        <f>'Other Inputs'!G145</f>
        <v>4.9021495000000002</v>
      </c>
      <c r="H88" s="335">
        <f>'Inputs from R'!I38</f>
        <v>3.5323967809839001</v>
      </c>
      <c r="I88" s="349">
        <f t="shared" si="7"/>
        <v>-0.27941879761441385</v>
      </c>
      <c r="J88" s="335">
        <v>4.4119345500000007</v>
      </c>
    </row>
    <row r="89" spans="2:10" ht="14.25" x14ac:dyDescent="0.45">
      <c r="B89" s="328" t="str">
        <v>Orion NZ</v>
      </c>
      <c r="C89" s="332">
        <f>'Other Inputs'!D146</f>
        <v>198.40299999999999</v>
      </c>
      <c r="D89" s="332">
        <f>'Inputs from R'!E39</f>
        <v>238.27548988771599</v>
      </c>
      <c r="E89" s="348">
        <f t="shared" si="6"/>
        <v>0.20096717230947114</v>
      </c>
      <c r="F89" s="332">
        <v>218.2433</v>
      </c>
      <c r="G89" s="334">
        <f>'Other Inputs'!G146</f>
        <v>0.74806150000000005</v>
      </c>
      <c r="H89" s="334">
        <f>'Inputs from R'!I39</f>
        <v>0.73989678442510898</v>
      </c>
      <c r="I89" s="348">
        <f t="shared" si="7"/>
        <v>-1.0914497771762172E-2</v>
      </c>
      <c r="J89" s="334">
        <v>0.73989678442510909</v>
      </c>
    </row>
    <row r="90" spans="2:10" ht="14.25" x14ac:dyDescent="0.45">
      <c r="B90" s="329" t="str">
        <v>OtagoNet</v>
      </c>
      <c r="C90" s="333">
        <f>'Other Inputs'!D147</f>
        <v>2114.433</v>
      </c>
      <c r="D90" s="333">
        <f>'Inputs from R'!E40</f>
        <v>2323.7717940667899</v>
      </c>
      <c r="E90" s="349">
        <f t="shared" si="6"/>
        <v>9.9004694907235125E-2</v>
      </c>
      <c r="F90" s="333">
        <v>2323.7717940667899</v>
      </c>
      <c r="G90" s="335">
        <f>'Other Inputs'!G147</f>
        <v>9.6212149999999994</v>
      </c>
      <c r="H90" s="335">
        <f>'Inputs from R'!I40</f>
        <v>9.2087875366363807</v>
      </c>
      <c r="I90" s="349">
        <f t="shared" si="7"/>
        <v>-4.2866463680898796E-2</v>
      </c>
      <c r="J90" s="335">
        <v>9.2087875366363807</v>
      </c>
    </row>
    <row r="91" spans="2:10" ht="14.25" x14ac:dyDescent="0.45">
      <c r="B91" s="328" t="str">
        <v>Powerco</v>
      </c>
      <c r="C91" s="332">
        <f>'Other Inputs'!D148</f>
        <v>772.49549999999999</v>
      </c>
      <c r="D91" s="332">
        <f>'Inputs from R'!E41</f>
        <v>864.96536716942899</v>
      </c>
      <c r="E91" s="348">
        <f t="shared" si="6"/>
        <v>0.11970279072101908</v>
      </c>
      <c r="F91" s="332">
        <v>849.74505000000011</v>
      </c>
      <c r="G91" s="334">
        <f>'Other Inputs'!G148</f>
        <v>3.5113495000000001</v>
      </c>
      <c r="H91" s="334">
        <f>'Inputs from R'!I41</f>
        <v>3.8124750726822101</v>
      </c>
      <c r="I91" s="348">
        <f t="shared" si="7"/>
        <v>8.5757789898786768E-2</v>
      </c>
      <c r="J91" s="334">
        <v>3.8124750726822096</v>
      </c>
    </row>
    <row r="92" spans="2:10" ht="14.25" x14ac:dyDescent="0.45">
      <c r="B92" s="329" t="str">
        <v>The Lines Company</v>
      </c>
      <c r="C92" s="333">
        <f>'Other Inputs'!D149</f>
        <v>1331.675</v>
      </c>
      <c r="D92" s="333">
        <f>'Inputs from R'!E42</f>
        <v>1284.1542630035301</v>
      </c>
      <c r="E92" s="349">
        <f t="shared" si="6"/>
        <v>-3.5684935886361048E-2</v>
      </c>
      <c r="F92" s="333">
        <v>1284.1542630035301</v>
      </c>
      <c r="G92" s="335">
        <f>'Other Inputs'!G149</f>
        <v>8.7526550000000007</v>
      </c>
      <c r="H92" s="335">
        <f>'Inputs from R'!I42</f>
        <v>5.9130809744467596</v>
      </c>
      <c r="I92" s="349">
        <f t="shared" si="7"/>
        <v>-0.32442430617375423</v>
      </c>
      <c r="J92" s="335">
        <v>7.8773895000000005</v>
      </c>
    </row>
    <row r="93" spans="2:10" ht="14.25" x14ac:dyDescent="0.45">
      <c r="B93" s="328" t="str">
        <v>Top Energy</v>
      </c>
      <c r="C93" s="332">
        <f>'Other Inputs'!D150</f>
        <v>1905.3630000000001</v>
      </c>
      <c r="D93" s="332">
        <f>'Inputs from R'!E43</f>
        <v>1727.59226964919</v>
      </c>
      <c r="E93" s="348">
        <f t="shared" si="6"/>
        <v>-9.3300190226644486E-2</v>
      </c>
      <c r="F93" s="332">
        <v>1727.59226964919</v>
      </c>
      <c r="G93" s="334">
        <f>'Other Inputs'!G150</f>
        <v>7.7526200000000003</v>
      </c>
      <c r="H93" s="334">
        <f>'Inputs from R'!I43</f>
        <v>8.7440093326821806</v>
      </c>
      <c r="I93" s="348">
        <f t="shared" si="7"/>
        <v>0.12787797321191807</v>
      </c>
      <c r="J93" s="334">
        <v>8.5278820000000017</v>
      </c>
    </row>
    <row r="94" spans="2:10" ht="14.25" x14ac:dyDescent="0.45">
      <c r="B94" s="329" t="str">
        <v>Unison Networks</v>
      </c>
      <c r="C94" s="333">
        <f>'Other Inputs'!D151</f>
        <v>625.79449999999997</v>
      </c>
      <c r="D94" s="333">
        <f>'Inputs from R'!E44</f>
        <v>867.83539870679294</v>
      </c>
      <c r="E94" s="349">
        <f t="shared" si="6"/>
        <v>0.38677377111302991</v>
      </c>
      <c r="F94" s="333">
        <v>688.37395000000004</v>
      </c>
      <c r="G94" s="335">
        <f>'Other Inputs'!G151</f>
        <v>4.4648820000000002</v>
      </c>
      <c r="H94" s="335">
        <f>'Inputs from R'!I44</f>
        <v>5.33617615138375</v>
      </c>
      <c r="I94" s="349">
        <f t="shared" si="7"/>
        <v>0.1951438249395504</v>
      </c>
      <c r="J94" s="335">
        <v>4.9113702000000004</v>
      </c>
    </row>
    <row r="95" spans="2:10" ht="14.25" x14ac:dyDescent="0.45">
      <c r="B95" s="329" t="str">
        <v>Vector Lines</v>
      </c>
      <c r="C95" s="333">
        <f>'Other Inputs'!D152</f>
        <v>585.38049999999998</v>
      </c>
      <c r="D95" s="333">
        <f>'Inputs from R'!E45</f>
        <v>863.44450224104605</v>
      </c>
      <c r="E95" s="349">
        <f t="shared" si="6"/>
        <v>0.47501411857936177</v>
      </c>
      <c r="F95" s="333">
        <v>643.9185500000001</v>
      </c>
      <c r="G95" s="335">
        <f>'Other Inputs'!G152</f>
        <v>2.8783059999999998</v>
      </c>
      <c r="H95" s="335">
        <f>'Inputs from R'!I45</f>
        <v>3.4484174682881199</v>
      </c>
      <c r="I95" s="349">
        <f t="shared" si="7"/>
        <v>0.19807187571026852</v>
      </c>
      <c r="J95" s="335">
        <v>3.1661366000000002</v>
      </c>
    </row>
    <row r="96" spans="2:10" ht="14.25" x14ac:dyDescent="0.45">
      <c r="B96" s="328" t="str">
        <v>Wellington Electricity</v>
      </c>
      <c r="C96" s="332">
        <f>'Other Inputs'!D153</f>
        <v>69.695149999999998</v>
      </c>
      <c r="D96" s="332">
        <f>'Inputs from R'!E46</f>
        <v>109.53056268404499</v>
      </c>
      <c r="E96" s="348">
        <f t="shared" si="6"/>
        <v>0.5715664961485124</v>
      </c>
      <c r="F96" s="332">
        <v>76.664664999999999</v>
      </c>
      <c r="G96" s="334">
        <f>'Other Inputs'!G153</f>
        <v>0.55357849999999997</v>
      </c>
      <c r="H96" s="334">
        <f>'Inputs from R'!I46</f>
        <v>0.67357042100622</v>
      </c>
      <c r="I96" s="348">
        <f t="shared" si="7"/>
        <v>0.2167568303433389</v>
      </c>
      <c r="J96" s="334">
        <v>0.60893635000000013</v>
      </c>
    </row>
    <row r="97" spans="1:9" ht="14.25" x14ac:dyDescent="0.45">
      <c r="B97" s="342"/>
      <c r="C97" s="343"/>
      <c r="D97" s="344"/>
    </row>
    <row r="98" spans="1:9" ht="14.25" x14ac:dyDescent="0.45">
      <c r="B98" s="342"/>
      <c r="C98" s="343"/>
      <c r="D98" s="344"/>
    </row>
    <row r="99" spans="1:9" ht="14.25" x14ac:dyDescent="0.45">
      <c r="B99" s="342"/>
      <c r="C99" s="343"/>
      <c r="D99" s="344"/>
    </row>
    <row r="100" spans="1:9" ht="21" x14ac:dyDescent="0.65">
      <c r="A100" s="29" t="s">
        <v>346</v>
      </c>
      <c r="B100" s="13" t="s">
        <v>347</v>
      </c>
      <c r="I100" s="136"/>
    </row>
    <row r="101" spans="1:9" ht="39.4" x14ac:dyDescent="0.65">
      <c r="A101" s="29"/>
      <c r="B101" s="363" t="s">
        <v>212</v>
      </c>
      <c r="C101" s="327" t="s">
        <v>348</v>
      </c>
      <c r="D101" s="327" t="s">
        <v>349</v>
      </c>
      <c r="E101" s="171"/>
      <c r="F101" s="171"/>
      <c r="G101" s="136"/>
    </row>
    <row r="102" spans="1:9" ht="14.25" x14ac:dyDescent="0.45">
      <c r="B102" s="328" t="str" cm="1">
        <f t="array" ref="B102:B117">TRANSPOSE(Output!C$8:R$8)</f>
        <v>Alpine Energy</v>
      </c>
      <c r="C102" s="346" cm="1">
        <f t="array" ref="C102:C117">TRANSPOSE(Output!C47:R47)</f>
        <v>7879</v>
      </c>
      <c r="D102" s="346" cm="1">
        <f t="array" ref="D102:D117">TRANSPOSE(Output!C53:R53)</f>
        <v>16052.114816273321</v>
      </c>
      <c r="E102" s="345"/>
      <c r="F102" s="345"/>
      <c r="G102" s="136"/>
      <c r="H102" s="125"/>
    </row>
    <row r="103" spans="1:9" ht="14.25" x14ac:dyDescent="0.45">
      <c r="B103" s="329" t="str">
        <v>Aurora Energy</v>
      </c>
      <c r="C103" s="347">
        <v>14279</v>
      </c>
      <c r="D103" s="347">
        <v>26480.541140482612</v>
      </c>
      <c r="E103" s="345"/>
      <c r="F103" s="345"/>
      <c r="G103" s="136"/>
      <c r="H103" s="125"/>
    </row>
    <row r="104" spans="1:9" ht="14.25" x14ac:dyDescent="0.45">
      <c r="B104" s="328" t="str">
        <v>EA Networks</v>
      </c>
      <c r="C104" s="346">
        <v>5394</v>
      </c>
      <c r="D104" s="346">
        <v>11363.882695267144</v>
      </c>
      <c r="E104" s="345"/>
      <c r="F104" s="345"/>
      <c r="G104" s="136"/>
      <c r="H104" s="125"/>
    </row>
    <row r="105" spans="1:9" ht="14.25" x14ac:dyDescent="0.45">
      <c r="B105" s="329" t="str">
        <v>Electricity Invercargill</v>
      </c>
      <c r="C105" s="347">
        <v>2544</v>
      </c>
      <c r="D105" s="347">
        <v>4909.0203754783888</v>
      </c>
      <c r="E105" s="345"/>
      <c r="F105" s="345"/>
      <c r="G105" s="136"/>
      <c r="H105" s="125"/>
    </row>
    <row r="106" spans="1:9" ht="14.25" x14ac:dyDescent="0.45">
      <c r="B106" s="328" t="str">
        <v>Firstlight Network</v>
      </c>
      <c r="C106" s="346">
        <v>2797</v>
      </c>
      <c r="D106" s="346">
        <v>5619.7212237031699</v>
      </c>
      <c r="E106" s="345"/>
      <c r="F106" s="345"/>
      <c r="G106" s="136"/>
      <c r="H106" s="125"/>
    </row>
    <row r="107" spans="1:9" ht="14.25" x14ac:dyDescent="0.45">
      <c r="B107" s="329" t="str">
        <v>Horizon Energy</v>
      </c>
      <c r="C107" s="347">
        <v>5397</v>
      </c>
      <c r="D107" s="347">
        <v>10284.380848197163</v>
      </c>
      <c r="E107" s="345"/>
      <c r="F107" s="345"/>
      <c r="G107" s="136"/>
      <c r="H107" s="125"/>
    </row>
    <row r="108" spans="1:9" ht="14.25" x14ac:dyDescent="0.45">
      <c r="B108" s="328" t="str">
        <v>Nelson Electricity</v>
      </c>
      <c r="C108" s="346">
        <v>1417</v>
      </c>
      <c r="D108" s="346">
        <v>2633.7086057257193</v>
      </c>
      <c r="E108" s="345"/>
      <c r="F108" s="345"/>
      <c r="G108" s="136"/>
      <c r="H108" s="125"/>
    </row>
    <row r="109" spans="1:9" ht="14.25" x14ac:dyDescent="0.45">
      <c r="B109" s="329" t="str">
        <v>Network Tasman</v>
      </c>
      <c r="C109" s="347">
        <v>6260</v>
      </c>
      <c r="D109" s="347">
        <v>12673.241846606852</v>
      </c>
      <c r="E109" s="345"/>
      <c r="F109" s="345"/>
      <c r="G109" s="136"/>
      <c r="H109" s="125"/>
    </row>
    <row r="110" spans="1:9" ht="14.25" x14ac:dyDescent="0.45">
      <c r="B110" s="328" t="str">
        <v>Orion NZ</v>
      </c>
      <c r="C110" s="346">
        <v>31686</v>
      </c>
      <c r="D110" s="346">
        <v>65696.731723014847</v>
      </c>
      <c r="E110" s="345"/>
      <c r="F110" s="345"/>
      <c r="G110" s="136"/>
      <c r="H110" s="125"/>
    </row>
    <row r="111" spans="1:9" ht="14.25" x14ac:dyDescent="0.45">
      <c r="B111" s="329" t="str">
        <v>OtagoNet</v>
      </c>
      <c r="C111" s="347">
        <v>4339</v>
      </c>
      <c r="D111" s="347">
        <v>9015.0988499388786</v>
      </c>
      <c r="E111" s="345"/>
      <c r="F111" s="345"/>
      <c r="G111" s="136"/>
      <c r="H111" s="125"/>
    </row>
    <row r="112" spans="1:9" ht="14.25" x14ac:dyDescent="0.45">
      <c r="B112" s="328" t="str">
        <v>Powerco</v>
      </c>
      <c r="C112" s="346">
        <v>47908</v>
      </c>
      <c r="D112" s="346">
        <v>96938.164946242032</v>
      </c>
      <c r="E112" s="345"/>
      <c r="F112" s="345"/>
      <c r="G112" s="136"/>
      <c r="H112" s="125"/>
    </row>
    <row r="113" spans="1:13" ht="14.25" x14ac:dyDescent="0.45">
      <c r="B113" s="329" t="str">
        <v>The Lines Company</v>
      </c>
      <c r="C113" s="347">
        <v>3827</v>
      </c>
      <c r="D113" s="347">
        <v>7143.3085827047553</v>
      </c>
      <c r="E113" s="345"/>
      <c r="F113" s="345"/>
      <c r="G113" s="136"/>
      <c r="H113" s="125"/>
    </row>
    <row r="114" spans="1:13" ht="14.25" x14ac:dyDescent="0.45">
      <c r="B114" s="328" t="str">
        <v>Top Energy</v>
      </c>
      <c r="C114" s="346">
        <v>3283</v>
      </c>
      <c r="D114" s="346">
        <v>6434.0440490980027</v>
      </c>
      <c r="E114" s="345"/>
      <c r="F114" s="345"/>
      <c r="G114" s="136"/>
      <c r="H114" s="125"/>
    </row>
    <row r="115" spans="1:13" ht="14.25" x14ac:dyDescent="0.45">
      <c r="B115" s="329" t="str">
        <v>Unison Networks</v>
      </c>
      <c r="C115" s="347">
        <v>16185</v>
      </c>
      <c r="D115" s="347">
        <v>32405.570917716635</v>
      </c>
      <c r="E115" s="345"/>
      <c r="F115" s="345"/>
      <c r="G115" s="136"/>
      <c r="H115" s="125"/>
    </row>
    <row r="116" spans="1:13" ht="14.25" x14ac:dyDescent="0.45">
      <c r="B116" s="329" t="str">
        <v>Vector Lines</v>
      </c>
      <c r="C116" s="347">
        <v>84519</v>
      </c>
      <c r="D116" s="347">
        <v>165846.69429069856</v>
      </c>
      <c r="E116" s="345"/>
      <c r="F116" s="345"/>
      <c r="G116" s="136"/>
      <c r="H116" s="125"/>
    </row>
    <row r="117" spans="1:13" ht="14.25" x14ac:dyDescent="0.45">
      <c r="B117" s="328" t="str">
        <v>Wellington Electricity</v>
      </c>
      <c r="C117" s="346">
        <v>23215</v>
      </c>
      <c r="D117" s="346">
        <v>44506.946831693538</v>
      </c>
      <c r="E117" s="345"/>
      <c r="F117" s="345"/>
      <c r="G117" s="136"/>
      <c r="H117" s="125"/>
    </row>
    <row r="118" spans="1:13" ht="14.25" x14ac:dyDescent="0.45">
      <c r="B118" s="339"/>
      <c r="C118" s="340"/>
      <c r="D118" s="340"/>
      <c r="E118" s="343"/>
      <c r="F118" s="343"/>
      <c r="G118" s="136"/>
      <c r="H118" s="125"/>
      <c r="I118" s="125"/>
      <c r="J118" s="125"/>
      <c r="K118" s="125"/>
      <c r="L118" s="125"/>
      <c r="M118" s="125"/>
    </row>
    <row r="119" spans="1:13" ht="14.25" x14ac:dyDescent="0.45"/>
    <row r="120" spans="1:13" ht="14.25" x14ac:dyDescent="0.45"/>
    <row r="121" spans="1:13" ht="21" x14ac:dyDescent="0.65">
      <c r="A121" s="29" t="s">
        <v>350</v>
      </c>
      <c r="B121" s="13" t="s">
        <v>272</v>
      </c>
      <c r="J121" s="136"/>
      <c r="K121" s="153"/>
    </row>
    <row r="122" spans="1:13" ht="26.25" customHeight="1" x14ac:dyDescent="0.45">
      <c r="B122" s="326"/>
      <c r="C122" s="388" t="s">
        <v>117</v>
      </c>
      <c r="D122" s="389"/>
      <c r="E122" s="390"/>
      <c r="F122" s="388" t="s">
        <v>118</v>
      </c>
      <c r="G122" s="389"/>
      <c r="H122" s="390"/>
    </row>
    <row r="123" spans="1:13" ht="14.25" x14ac:dyDescent="0.45">
      <c r="B123" s="363" t="s">
        <v>212</v>
      </c>
      <c r="C123" s="327" t="str">
        <f>IF(Output!A59="Unplanned: Maximum revenue loss","Unplanned","ERROR")</f>
        <v>Unplanned</v>
      </c>
      <c r="D123" s="327" t="str">
        <f>IF(Output!A62="Planned: Maximum revenue loss","Planned","ERROR")</f>
        <v>Planned</v>
      </c>
      <c r="E123" s="326" t="str">
        <f>IF(Output!A65="Total: Maximum revenue loss","Total","ERROR")</f>
        <v>Total</v>
      </c>
      <c r="F123" s="327" t="str">
        <f>IF(Output!A60="Unplanned: Maximum revenue gain","Unplanned","ERROR")</f>
        <v>Unplanned</v>
      </c>
      <c r="G123" s="327" t="str">
        <f>IF(Output!A63="Planned: Maximum revenue gain","Planned","ERROR")</f>
        <v>Planned</v>
      </c>
      <c r="H123" s="326" t="str">
        <f>IF(Output!A66="Total: Maximum revenue gain","Total","ERROR")</f>
        <v>Total</v>
      </c>
    </row>
    <row r="124" spans="1:13" ht="14.25" x14ac:dyDescent="0.45">
      <c r="B124" s="328" t="str" cm="1">
        <f t="array" ref="B124:B139">TRANSPOSE(Output!C$8:R$8)</f>
        <v>Alpine Energy</v>
      </c>
      <c r="C124" s="350" cm="1">
        <f t="array" ref="C124:C139">TRANSPOSE(Output!C59:R59)</f>
        <v>6.5557304354009593E-3</v>
      </c>
      <c r="D124" s="350" cm="1">
        <f t="array" ref="D124:D139">TRANSPOSE(Output!C62:R62)</f>
        <v>8.6802252379893363E-3</v>
      </c>
      <c r="E124" s="350" cm="1">
        <f t="array" ref="E124:E139">TRANSPOSE(Output!C65:R65)</f>
        <v>1.5235955673390296E-2</v>
      </c>
      <c r="F124" s="350" cm="1">
        <f t="array" ref="F124:F139">TRANSPOSE(Output!C60:R60)</f>
        <v>1.8351219553029707E-2</v>
      </c>
      <c r="G124" s="350" cm="1">
        <f t="array" ref="G124:G139">TRANSPOSE(Output!C63:R63)</f>
        <v>8.6802252379893363E-3</v>
      </c>
      <c r="H124" s="350" cm="1">
        <f t="array" ref="H124:H139">TRANSPOSE(Output!C66:R66)</f>
        <v>0.02</v>
      </c>
    </row>
    <row r="125" spans="1:13" ht="14.25" hidden="1" x14ac:dyDescent="0.45">
      <c r="A125" t="s">
        <v>319</v>
      </c>
      <c r="B125" s="329" t="str">
        <v>Aurora Energy</v>
      </c>
      <c r="C125" s="351">
        <v>6.5782881115471958E-3</v>
      </c>
      <c r="D125" s="351">
        <v>3.1034505606695973E-3</v>
      </c>
      <c r="E125" s="351">
        <v>9.6817386722167931E-3</v>
      </c>
      <c r="F125" s="351">
        <v>1.6956244201347122E-2</v>
      </c>
      <c r="G125" s="351">
        <v>1.6656752574849432E-2</v>
      </c>
      <c r="H125" s="351">
        <v>0.02</v>
      </c>
    </row>
    <row r="126" spans="1:13" ht="14.25" x14ac:dyDescent="0.45">
      <c r="B126" s="328" t="str">
        <v>EA Networks</v>
      </c>
      <c r="C126" s="350">
        <v>3.8291062612888652E-3</v>
      </c>
      <c r="D126" s="350">
        <v>1.2856814732854252E-2</v>
      </c>
      <c r="E126" s="350">
        <v>1.6685920994143118E-2</v>
      </c>
      <c r="F126" s="350">
        <v>1.3501818892980374E-2</v>
      </c>
      <c r="G126" s="350">
        <v>1.1707971905626807E-2</v>
      </c>
      <c r="H126" s="350">
        <v>0.02</v>
      </c>
    </row>
    <row r="127" spans="1:13" ht="14.25" x14ac:dyDescent="0.45">
      <c r="B127" s="329" t="str">
        <v>Electricity Invercargill</v>
      </c>
      <c r="C127" s="351">
        <v>2.6134726439419986E-3</v>
      </c>
      <c r="D127" s="351">
        <v>8.4919009079097163E-4</v>
      </c>
      <c r="E127" s="351">
        <v>3.4626627347329702E-3</v>
      </c>
      <c r="F127" s="351">
        <v>3.8447627373669794E-3</v>
      </c>
      <c r="G127" s="351">
        <v>2.1468731709292604E-3</v>
      </c>
      <c r="H127" s="351">
        <v>5.9916359082962398E-3</v>
      </c>
    </row>
    <row r="128" spans="1:13" ht="14.25" x14ac:dyDescent="0.45">
      <c r="B128" s="328" t="str">
        <v>Firstlight Network</v>
      </c>
      <c r="C128" s="350">
        <v>6.1309387675432987E-3</v>
      </c>
      <c r="D128" s="350">
        <v>7.7649779591424392E-3</v>
      </c>
      <c r="E128" s="350">
        <v>1.3895916726685737E-2</v>
      </c>
      <c r="F128" s="350">
        <v>2.3367606127479155E-2</v>
      </c>
      <c r="G128" s="350">
        <v>7.7649779591424392E-3</v>
      </c>
      <c r="H128" s="350">
        <v>0.02</v>
      </c>
    </row>
    <row r="129" spans="2:8" ht="14.25" x14ac:dyDescent="0.45">
      <c r="B129" s="329" t="str">
        <v>Horizon Energy</v>
      </c>
      <c r="C129" s="351">
        <v>1.298209334066113E-2</v>
      </c>
      <c r="D129" s="351">
        <v>1.0872347042863297E-2</v>
      </c>
      <c r="E129" s="351">
        <v>0.02</v>
      </c>
      <c r="F129" s="351">
        <v>3.7968426125949042E-2</v>
      </c>
      <c r="G129" s="351">
        <v>1.5167925881161745E-2</v>
      </c>
      <c r="H129" s="351">
        <v>0.02</v>
      </c>
    </row>
    <row r="130" spans="2:8" ht="14.25" x14ac:dyDescent="0.45">
      <c r="B130" s="328" t="str">
        <v>Nelson Electricity</v>
      </c>
      <c r="C130" s="350">
        <v>2.8998987894934187E-3</v>
      </c>
      <c r="D130" s="350">
        <v>2.5357907191212552E-3</v>
      </c>
      <c r="E130" s="350">
        <v>5.4356895086146734E-3</v>
      </c>
      <c r="F130" s="350">
        <v>2.7471275447459769E-3</v>
      </c>
      <c r="G130" s="350">
        <v>2.3811079397864448E-3</v>
      </c>
      <c r="H130" s="350">
        <v>5.1282354845324212E-3</v>
      </c>
    </row>
    <row r="131" spans="2:8" ht="14.25" x14ac:dyDescent="0.45">
      <c r="B131" s="329" t="str">
        <v>Network Tasman</v>
      </c>
      <c r="C131" s="351">
        <v>7.0884719342261589E-3</v>
      </c>
      <c r="D131" s="351">
        <v>1.4769166361759175E-2</v>
      </c>
      <c r="E131" s="351">
        <v>0.02</v>
      </c>
      <c r="F131" s="351">
        <v>2.0108504851771042E-2</v>
      </c>
      <c r="G131" s="351">
        <v>1.4769166361759175E-2</v>
      </c>
      <c r="H131" s="351">
        <v>0.02</v>
      </c>
    </row>
    <row r="132" spans="2:8" ht="14.25" x14ac:dyDescent="0.45">
      <c r="B132" s="328" t="str">
        <v>Orion NZ</v>
      </c>
      <c r="C132" s="350">
        <v>3.8731455455329722E-3</v>
      </c>
      <c r="D132" s="350">
        <v>2.2146633580414983E-3</v>
      </c>
      <c r="E132" s="350">
        <v>6.0878089035744706E-3</v>
      </c>
      <c r="F132" s="350">
        <v>1.4110177547845644E-2</v>
      </c>
      <c r="G132" s="350">
        <v>2.6623129060463716E-3</v>
      </c>
      <c r="H132" s="350">
        <v>1.6772490453892015E-2</v>
      </c>
    </row>
    <row r="133" spans="2:8" ht="14.25" x14ac:dyDescent="0.45">
      <c r="B133" s="329" t="str">
        <v>OtagoNet</v>
      </c>
      <c r="C133" s="351">
        <v>8.2453168355378029E-3</v>
      </c>
      <c r="D133" s="351">
        <v>2.262125504818149E-2</v>
      </c>
      <c r="E133" s="351">
        <v>0.02</v>
      </c>
      <c r="F133" s="351">
        <v>2.4535829205697659E-2</v>
      </c>
      <c r="G133" s="351">
        <v>2.262125504818149E-2</v>
      </c>
      <c r="H133" s="351">
        <v>0.02</v>
      </c>
    </row>
    <row r="134" spans="2:8" ht="14.25" x14ac:dyDescent="0.45">
      <c r="B134" s="328" t="str">
        <v>Powerco</v>
      </c>
      <c r="C134" s="350">
        <v>5.7279628034073646E-3</v>
      </c>
      <c r="D134" s="350">
        <v>8.044897938323952E-3</v>
      </c>
      <c r="E134" s="350">
        <v>1.3772860741731317E-2</v>
      </c>
      <c r="F134" s="350">
        <v>3.0762863768750169E-2</v>
      </c>
      <c r="G134" s="350">
        <v>8.3383485537458796E-3</v>
      </c>
      <c r="H134" s="350">
        <v>0.02</v>
      </c>
    </row>
    <row r="135" spans="2:8" ht="14.25" x14ac:dyDescent="0.45">
      <c r="B135" s="329" t="str">
        <v>The Lines Company</v>
      </c>
      <c r="C135" s="351">
        <v>5.0395027777512709E-3</v>
      </c>
      <c r="D135" s="351">
        <v>8.0164085689499141E-3</v>
      </c>
      <c r="E135" s="351">
        <v>1.3055911346701185E-2</v>
      </c>
      <c r="F135" s="351">
        <v>1.8751102316817612E-2</v>
      </c>
      <c r="G135" s="351">
        <v>8.0164085689499141E-3</v>
      </c>
      <c r="H135" s="351">
        <v>0.02</v>
      </c>
    </row>
    <row r="136" spans="2:8" ht="14.25" x14ac:dyDescent="0.45">
      <c r="B136" s="328" t="str">
        <v>Top Energy</v>
      </c>
      <c r="C136" s="350">
        <v>7.4530224334681591E-3</v>
      </c>
      <c r="D136" s="350">
        <v>7.8527587788660026E-3</v>
      </c>
      <c r="E136" s="350">
        <v>1.5305781212334162E-2</v>
      </c>
      <c r="F136" s="350">
        <v>2.8842729648081961E-2</v>
      </c>
      <c r="G136" s="350">
        <v>7.8527587788660026E-3</v>
      </c>
      <c r="H136" s="350">
        <v>0.02</v>
      </c>
    </row>
    <row r="137" spans="2:8" ht="14.25" x14ac:dyDescent="0.45">
      <c r="B137" s="329" t="str">
        <v>Unison Networks</v>
      </c>
      <c r="C137" s="351">
        <v>2.6142199551469738E-3</v>
      </c>
      <c r="D137" s="351">
        <v>4.6736654110036118E-3</v>
      </c>
      <c r="E137" s="351">
        <v>7.2878853661505856E-3</v>
      </c>
      <c r="F137" s="351">
        <v>1.2358027920455162E-2</v>
      </c>
      <c r="G137" s="351">
        <v>7.9698814139439692E-3</v>
      </c>
      <c r="H137" s="351">
        <v>0.02</v>
      </c>
    </row>
    <row r="138" spans="2:8" ht="14.25" x14ac:dyDescent="0.45">
      <c r="B138" s="329" t="str">
        <v>Vector Lines</v>
      </c>
      <c r="C138" s="351">
        <v>3.8159430163351594E-3</v>
      </c>
      <c r="D138" s="351">
        <v>4.958706906662602E-3</v>
      </c>
      <c r="E138" s="351">
        <v>8.7746499229977605E-3</v>
      </c>
      <c r="F138" s="351">
        <v>2.1906052296574094E-2</v>
      </c>
      <c r="G138" s="351">
        <v>1.0088696738330877E-2</v>
      </c>
      <c r="H138" s="351">
        <v>0.02</v>
      </c>
    </row>
    <row r="139" spans="2:8" ht="14.25" x14ac:dyDescent="0.45">
      <c r="B139" s="328" t="str">
        <v>Wellington Electricity</v>
      </c>
      <c r="C139" s="350">
        <v>2.422822473445059E-3</v>
      </c>
      <c r="D139" s="350">
        <v>6.4896454256724366E-4</v>
      </c>
      <c r="E139" s="350">
        <v>3.0717870160123029E-3</v>
      </c>
      <c r="F139" s="350">
        <v>8.7839953241109162E-3</v>
      </c>
      <c r="G139" s="350">
        <v>1.622909864029223E-3</v>
      </c>
      <c r="H139" s="350">
        <v>1.040690518814014E-2</v>
      </c>
    </row>
    <row r="140" spans="2:8" ht="14.25" x14ac:dyDescent="0.45">
      <c r="B140" s="23"/>
      <c r="C140" s="162"/>
      <c r="D140" s="162"/>
      <c r="E140" s="162"/>
      <c r="F140" s="162"/>
      <c r="G140" s="162"/>
      <c r="H140" s="162"/>
    </row>
    <row r="141" spans="2:8" ht="14.25" x14ac:dyDescent="0.45">
      <c r="B141" t="s">
        <v>397</v>
      </c>
    </row>
    <row r="142" spans="2:8" ht="14.25" x14ac:dyDescent="0.45"/>
    <row r="143" spans="2:8" ht="14.25" x14ac:dyDescent="0.45"/>
    <row r="144" spans="2:8" ht="14.25" x14ac:dyDescent="0.45"/>
    <row r="145" spans="1:6" ht="21" x14ac:dyDescent="0.65">
      <c r="A145" s="29" t="s">
        <v>351</v>
      </c>
      <c r="B145" s="13" t="s">
        <v>58</v>
      </c>
    </row>
    <row r="146" spans="1:6" ht="52.5" x14ac:dyDescent="0.45">
      <c r="B146" s="363" t="s">
        <v>212</v>
      </c>
      <c r="C146" s="327" t="str">
        <f>'Calculations-Chartbook'!C14</f>
        <v>2024 Circuit length (km)</v>
      </c>
      <c r="D146" s="327" t="str">
        <f>'Calculations-Chartbook'!D14</f>
        <v>Major events (compared to 23)</v>
      </c>
      <c r="E146" s="326" t="str">
        <f>'Calculations-Chartbook'!E14</f>
        <v>‘Major half hours’ (compared to 1104)</v>
      </c>
    </row>
    <row r="147" spans="1:6" ht="14.25" x14ac:dyDescent="0.45">
      <c r="B147" s="328" t="str">
        <f>'Calculations-Chartbook'!B15</f>
        <v>Electricity Invercargill</v>
      </c>
      <c r="C147" s="352">
        <f>'Calculations-Chartbook'!C15</f>
        <v>665</v>
      </c>
      <c r="D147" s="354">
        <f>'Calculations-Chartbook'!D15</f>
        <v>15.295</v>
      </c>
      <c r="E147" s="352">
        <f>'Calculations-Chartbook'!E15</f>
        <v>734.16</v>
      </c>
    </row>
    <row r="148" spans="1:6" ht="14.25" x14ac:dyDescent="0.45">
      <c r="B148" s="329" t="str">
        <f>'Calculations-Chartbook'!B16</f>
        <v>Nelson Electricity</v>
      </c>
      <c r="C148" s="353">
        <f>'Calculations-Chartbook'!C16</f>
        <v>297</v>
      </c>
      <c r="D148" s="355">
        <f>'Calculations-Chartbook'!D16</f>
        <v>6.8310000000000004</v>
      </c>
      <c r="E148" s="353">
        <f>'Calculations-Chartbook'!E16</f>
        <v>327.88799999999998</v>
      </c>
    </row>
    <row r="149" spans="1:6" ht="14.25" x14ac:dyDescent="0.45"/>
    <row r="150" spans="1:6" ht="14.25" x14ac:dyDescent="0.45"/>
    <row r="151" spans="1:6" ht="14.25" x14ac:dyDescent="0.45"/>
    <row r="152" spans="1:6" ht="21" x14ac:dyDescent="0.65">
      <c r="A152" s="29" t="s">
        <v>352</v>
      </c>
      <c r="B152" s="13" t="s">
        <v>336</v>
      </c>
    </row>
    <row r="153" spans="1:6" ht="18" x14ac:dyDescent="0.55000000000000004">
      <c r="A153" s="317"/>
      <c r="B153" s="13"/>
    </row>
    <row r="154" spans="1:6" ht="39.4" x14ac:dyDescent="0.45">
      <c r="B154" s="363" t="s">
        <v>212</v>
      </c>
      <c r="C154" s="327" t="s">
        <v>243</v>
      </c>
      <c r="D154" s="327" t="s">
        <v>244</v>
      </c>
      <c r="E154" s="326" t="s">
        <v>245</v>
      </c>
      <c r="F154" s="327" t="s">
        <v>248</v>
      </c>
    </row>
    <row r="155" spans="1:6" ht="14.25" x14ac:dyDescent="0.45">
      <c r="B155" s="328" t="str" cm="1">
        <f t="array" ref="B155:B170">TRANSPOSE(Output!C$8:R$8)</f>
        <v>Alpine Energy</v>
      </c>
      <c r="C155" s="332">
        <f>'Other Inputs'!C114</f>
        <v>91.883598141831726</v>
      </c>
      <c r="D155" s="332">
        <f>'Inputs from R'!C8</f>
        <v>81.603509259999996</v>
      </c>
      <c r="E155" s="348" cm="1">
        <f t="array" ref="E155:E170">TRANSPOSE(Output!C33:R33)</f>
        <v>-0.11188165341504541</v>
      </c>
      <c r="F155" s="332" cm="1">
        <f t="array" ref="F155:F170">TRANSPOSE(Output!C25:R25)</f>
        <v>87.28941823474014</v>
      </c>
    </row>
    <row r="156" spans="1:6" ht="14.25" x14ac:dyDescent="0.45">
      <c r="B156" s="329" t="str">
        <v>Aurora Energy</v>
      </c>
      <c r="C156" s="333">
        <f>'Other Inputs'!C115</f>
        <v>88.08</v>
      </c>
      <c r="D156" s="333">
        <f>'Inputs from R'!C9</f>
        <v>102.95926129999999</v>
      </c>
      <c r="E156" s="349">
        <v>0.16892894300635786</v>
      </c>
      <c r="F156" s="333">
        <v>92.483999999999995</v>
      </c>
    </row>
    <row r="157" spans="1:6" ht="14.25" x14ac:dyDescent="0.45">
      <c r="B157" s="328" t="str">
        <v>EA Networks</v>
      </c>
      <c r="C157" s="332">
        <f>'Other Inputs'!C116</f>
        <v>71.654340000000005</v>
      </c>
      <c r="D157" s="332">
        <f>'Inputs from R'!C10</f>
        <v>65.706913240000006</v>
      </c>
      <c r="E157" s="348">
        <v>-8.3001626419278995E-2</v>
      </c>
      <c r="F157" s="332">
        <v>68.071623000000002</v>
      </c>
    </row>
    <row r="158" spans="1:6" ht="14.25" x14ac:dyDescent="0.45">
      <c r="B158" s="329" t="str">
        <v>Electricity Invercargill</v>
      </c>
      <c r="C158" s="333">
        <f>'Other Inputs'!C117</f>
        <v>15.392287346450942</v>
      </c>
      <c r="D158" s="333">
        <f>'Inputs from R'!C11</f>
        <v>17.69264751</v>
      </c>
      <c r="E158" s="349">
        <v>0.14944888383203558</v>
      </c>
      <c r="F158" s="333">
        <v>16.161901713773489</v>
      </c>
    </row>
    <row r="159" spans="1:6" ht="14.25" x14ac:dyDescent="0.45">
      <c r="B159" s="328" t="str">
        <v>Firstlight Network</v>
      </c>
      <c r="C159" s="332">
        <f>'Other Inputs'!C118</f>
        <v>173.84795968199754</v>
      </c>
      <c r="D159" s="332">
        <f>'Inputs from R'!C12</f>
        <v>210.34243119999999</v>
      </c>
      <c r="E159" s="348">
        <v>0.20992177063658435</v>
      </c>
      <c r="F159" s="332">
        <v>182.54035766609741</v>
      </c>
    </row>
    <row r="160" spans="1:6" ht="14.25" x14ac:dyDescent="0.45">
      <c r="B160" s="329" t="str">
        <v>Horizon Energy</v>
      </c>
      <c r="C160" s="333">
        <f>'Other Inputs'!C119</f>
        <v>144.35239999999999</v>
      </c>
      <c r="D160" s="333">
        <f>'Inputs from R'!C13</f>
        <v>137.71367609999999</v>
      </c>
      <c r="E160" s="349">
        <v>-4.5989702284132461E-2</v>
      </c>
      <c r="F160" s="333">
        <v>137.71367609999999</v>
      </c>
    </row>
    <row r="161" spans="1:10" ht="14.25" x14ac:dyDescent="0.45">
      <c r="B161" s="328" t="str">
        <v>Nelson Electricity</v>
      </c>
      <c r="C161" s="332">
        <f>'Other Inputs'!C120</f>
        <v>9.5333730416061044</v>
      </c>
      <c r="D161" s="332">
        <f>'Inputs from R'!C14</f>
        <v>5.4820571679999999</v>
      </c>
      <c r="E161" s="348">
        <v>-0.42496143347429238</v>
      </c>
      <c r="F161" s="332">
        <v>9.0567043895257999</v>
      </c>
    </row>
    <row r="162" spans="1:10" ht="14.25" x14ac:dyDescent="0.45">
      <c r="B162" s="329" t="str">
        <v>Network Tasman</v>
      </c>
      <c r="C162" s="333">
        <f>'Other Inputs'!C121</f>
        <v>74.492289999999997</v>
      </c>
      <c r="D162" s="333">
        <f>'Inputs from R'!C15</f>
        <v>72.700830179999997</v>
      </c>
      <c r="E162" s="349">
        <v>-2.404892935899805E-2</v>
      </c>
      <c r="F162" s="333">
        <v>72.700830179999997</v>
      </c>
    </row>
    <row r="163" spans="1:10" ht="14.25" x14ac:dyDescent="0.45">
      <c r="B163" s="328" t="str">
        <v>Orion NZ</v>
      </c>
      <c r="C163" s="332">
        <f>'Other Inputs'!C122</f>
        <v>66.465940000000003</v>
      </c>
      <c r="D163" s="332">
        <f>'Inputs from R'!C16</f>
        <v>43.914590240000003</v>
      </c>
      <c r="E163" s="348">
        <v>-0.33929182014126336</v>
      </c>
      <c r="F163" s="332">
        <v>63.142643000000007</v>
      </c>
    </row>
    <row r="164" spans="1:10" ht="14.25" x14ac:dyDescent="0.45">
      <c r="B164" s="329" t="str">
        <v>OtagoNet</v>
      </c>
      <c r="C164" s="333">
        <f>'Other Inputs'!C123</f>
        <v>120.0212718836702</v>
      </c>
      <c r="D164" s="333">
        <f>'Inputs from R'!C17</f>
        <v>132.94993579999999</v>
      </c>
      <c r="E164" s="349">
        <v>0.10771977094910978</v>
      </c>
      <c r="F164" s="333">
        <v>126.02233547785373</v>
      </c>
    </row>
    <row r="165" spans="1:10" ht="14.25" x14ac:dyDescent="0.45">
      <c r="B165" s="328" t="str">
        <v>Powerco</v>
      </c>
      <c r="C165" s="332">
        <f>'Other Inputs'!C124</f>
        <v>151.9589</v>
      </c>
      <c r="D165" s="332">
        <f>'Inputs from R'!C18</f>
        <v>163.31365460000001</v>
      </c>
      <c r="E165" s="348">
        <v>7.4722537475593764E-2</v>
      </c>
      <c r="F165" s="332">
        <v>159.55684500000001</v>
      </c>
    </row>
    <row r="166" spans="1:10" ht="14.25" x14ac:dyDescent="0.45">
      <c r="B166" s="329" t="str">
        <v>The Lines Company</v>
      </c>
      <c r="C166" s="333">
        <f>'Other Inputs'!C125</f>
        <v>143.03583746861335</v>
      </c>
      <c r="D166" s="333">
        <f>'Inputs from R'!C19</f>
        <v>179.09954999999999</v>
      </c>
      <c r="E166" s="349">
        <v>0.25213060705363555</v>
      </c>
      <c r="F166" s="333">
        <v>150.18762934204403</v>
      </c>
    </row>
    <row r="167" spans="1:10" ht="14.25" x14ac:dyDescent="0.45">
      <c r="B167" s="328" t="str">
        <v>Top Energy</v>
      </c>
      <c r="C167" s="332">
        <f>'Other Inputs'!C126</f>
        <v>302.15936528549889</v>
      </c>
      <c r="D167" s="332">
        <f>'Inputs from R'!C20</f>
        <v>321.2894513</v>
      </c>
      <c r="E167" s="348">
        <v>6.3311246356457573E-2</v>
      </c>
      <c r="F167" s="332">
        <v>317.26733354977387</v>
      </c>
    </row>
    <row r="168" spans="1:10" ht="14.25" x14ac:dyDescent="0.45">
      <c r="B168" s="329" t="str">
        <v>Unison Networks</v>
      </c>
      <c r="C168" s="333">
        <f>'Other Inputs'!C127</f>
        <v>67.81457074143384</v>
      </c>
      <c r="D168" s="333">
        <f>'Inputs from R'!C21</f>
        <v>67.282896260000001</v>
      </c>
      <c r="E168" s="349">
        <v>-7.8401216083934244E-3</v>
      </c>
      <c r="F168" s="333">
        <v>67.282896260000001</v>
      </c>
    </row>
    <row r="169" spans="1:10" ht="14.25" x14ac:dyDescent="0.45">
      <c r="B169" s="329" t="str">
        <v>Vector Lines</v>
      </c>
      <c r="C169" s="333">
        <f>'Other Inputs'!C128</f>
        <v>89.277945274836995</v>
      </c>
      <c r="D169" s="333">
        <f>'Inputs from R'!C22</f>
        <v>119.4047872</v>
      </c>
      <c r="E169" s="349">
        <v>0.33744999207160586</v>
      </c>
      <c r="F169" s="333">
        <v>93.741842538578851</v>
      </c>
    </row>
    <row r="170" spans="1:10" ht="14.25" x14ac:dyDescent="0.45">
      <c r="B170" s="328" t="str">
        <v>Wellington Electricity</v>
      </c>
      <c r="C170" s="332">
        <f>'Other Inputs'!C129</f>
        <v>31.201783121610735</v>
      </c>
      <c r="D170" s="332">
        <f>'Inputs from R'!C23</f>
        <v>28.620702909999999</v>
      </c>
      <c r="E170" s="348">
        <v>-8.272220217513937E-2</v>
      </c>
      <c r="F170" s="332">
        <v>29.641693965530191</v>
      </c>
    </row>
    <row r="171" spans="1:10" ht="14.25" x14ac:dyDescent="0.45"/>
    <row r="172" spans="1:10" ht="14.25" x14ac:dyDescent="0.45"/>
    <row r="173" spans="1:10" ht="14.25" x14ac:dyDescent="0.45"/>
    <row r="174" spans="1:10" ht="21" x14ac:dyDescent="0.65">
      <c r="A174" s="29" t="s">
        <v>353</v>
      </c>
      <c r="B174" s="13" t="s">
        <v>337</v>
      </c>
      <c r="J174" s="136"/>
    </row>
    <row r="175" spans="1:10" ht="18" x14ac:dyDescent="0.55000000000000004">
      <c r="A175" s="317"/>
      <c r="B175" s="13"/>
      <c r="J175" s="136"/>
    </row>
    <row r="176" spans="1:10" ht="21" x14ac:dyDescent="0.65">
      <c r="A176" s="29"/>
      <c r="B176" s="326"/>
      <c r="C176" s="359" t="s">
        <v>250</v>
      </c>
      <c r="D176" s="360"/>
      <c r="E176" s="360"/>
      <c r="F176" s="360"/>
      <c r="G176" s="360" t="s">
        <v>251</v>
      </c>
      <c r="H176" s="360"/>
      <c r="I176" s="360"/>
      <c r="J176" s="360"/>
    </row>
    <row r="177" spans="2:10" ht="39.4" x14ac:dyDescent="0.45">
      <c r="B177" s="363" t="s">
        <v>212</v>
      </c>
      <c r="C177" s="327" t="s">
        <v>246</v>
      </c>
      <c r="D177" s="327" t="s">
        <v>247</v>
      </c>
      <c r="E177" s="326" t="s">
        <v>343</v>
      </c>
      <c r="F177" s="327" t="s">
        <v>249</v>
      </c>
      <c r="G177" s="327" t="s">
        <v>252</v>
      </c>
      <c r="H177" s="326" t="s">
        <v>253</v>
      </c>
      <c r="I177" s="327" t="s">
        <v>343</v>
      </c>
      <c r="J177" s="327" t="s">
        <v>254</v>
      </c>
    </row>
    <row r="178" spans="2:10" ht="14.25" x14ac:dyDescent="0.45">
      <c r="B178" s="328" t="str" cm="1">
        <f t="array" ref="B178:B193">TRANSPOSE(Output!C$8:R$8)</f>
        <v>Alpine Energy</v>
      </c>
      <c r="C178" s="332">
        <f>'Other Inputs'!D114</f>
        <v>124.70779814183172</v>
      </c>
      <c r="D178" s="332">
        <f>'Inputs from R'!F8</f>
        <v>110.2500225</v>
      </c>
      <c r="E178" s="348">
        <f t="shared" ref="E178:E193" si="8">(D178-C178)/C178</f>
        <v>-0.11593321233519584</v>
      </c>
      <c r="F178" s="332" cm="1">
        <f t="array" ref="F178:F193">TRANSPOSE(Output!C27:R27)</f>
        <v>118.47240823474012</v>
      </c>
      <c r="G178" s="334">
        <f>'Other Inputs'!G114</f>
        <v>1.1970382697509687</v>
      </c>
      <c r="H178" s="334">
        <f>'Inputs from R'!K8</f>
        <v>0.94093179999999998</v>
      </c>
      <c r="I178" s="348">
        <f t="shared" ref="I178:I193" si="9">(H178-G178)/G178</f>
        <v>-0.21395011022015947</v>
      </c>
      <c r="J178" s="334" cm="1">
        <f t="array" ref="J178:J193">TRANSPOSE(Output!C31:R31)</f>
        <v>1.1371863562634201</v>
      </c>
    </row>
    <row r="179" spans="2:10" ht="14.25" x14ac:dyDescent="0.45">
      <c r="B179" s="329" t="str">
        <v>Aurora Energy</v>
      </c>
      <c r="C179" s="333">
        <f>'Other Inputs'!D115</f>
        <v>124.94</v>
      </c>
      <c r="D179" s="333">
        <f>'Inputs from R'!F9</f>
        <v>128.3637851</v>
      </c>
      <c r="E179" s="349">
        <f t="shared" si="8"/>
        <v>2.7403434448535324E-2</v>
      </c>
      <c r="F179" s="333">
        <v>128.36378507999999</v>
      </c>
      <c r="G179" s="335">
        <f>'Other Inputs'!G115</f>
        <v>2.0710000000000002</v>
      </c>
      <c r="H179" s="335">
        <f>'Inputs from R'!K9</f>
        <v>1.941780711</v>
      </c>
      <c r="I179" s="349">
        <f t="shared" si="9"/>
        <v>-6.2394634958957078E-2</v>
      </c>
      <c r="J179" s="335">
        <v>1.9674499999999999</v>
      </c>
    </row>
    <row r="180" spans="2:10" ht="14.25" x14ac:dyDescent="0.45">
      <c r="B180" s="328" t="str">
        <v>EA Networks</v>
      </c>
      <c r="C180" s="332">
        <f>'Other Inputs'!D116</f>
        <v>91.975459999999998</v>
      </c>
      <c r="D180" s="332">
        <f>'Inputs from R'!F10</f>
        <v>83.587581959999994</v>
      </c>
      <c r="E180" s="348">
        <f t="shared" si="8"/>
        <v>-9.1196913176623456E-2</v>
      </c>
      <c r="F180" s="332">
        <v>87.37668699999999</v>
      </c>
      <c r="G180" s="334">
        <f>'Other Inputs'!G116</f>
        <v>1.2826379999999999</v>
      </c>
      <c r="H180" s="334">
        <f>'Inputs from R'!K10</f>
        <v>1.2416136289999999</v>
      </c>
      <c r="I180" s="348">
        <f t="shared" si="9"/>
        <v>-3.1984372051974137E-2</v>
      </c>
      <c r="J180" s="334">
        <v>1.24161363</v>
      </c>
    </row>
    <row r="181" spans="2:10" ht="14.25" x14ac:dyDescent="0.45">
      <c r="B181" s="329" t="str">
        <v>Electricity Invercargill</v>
      </c>
      <c r="C181" s="333">
        <f>'Other Inputs'!D117</f>
        <v>25.855175346450942</v>
      </c>
      <c r="D181" s="333">
        <f>'Inputs from R'!F11</f>
        <v>30.367038170000001</v>
      </c>
      <c r="E181" s="349">
        <f t="shared" si="8"/>
        <v>0.17450521077856035</v>
      </c>
      <c r="F181" s="333">
        <v>27.147934113773488</v>
      </c>
      <c r="G181" s="335">
        <f>'Other Inputs'!G117</f>
        <v>0.69558589550725625</v>
      </c>
      <c r="H181" s="335">
        <f>'Inputs from R'!K11</f>
        <v>0.63015274300000002</v>
      </c>
      <c r="I181" s="349">
        <f t="shared" si="9"/>
        <v>-9.40691191841075E-2</v>
      </c>
      <c r="J181" s="335">
        <v>0.66080660073189346</v>
      </c>
    </row>
    <row r="182" spans="2:10" ht="14.25" x14ac:dyDescent="0.45">
      <c r="B182" s="328" t="str">
        <v>Firstlight Network</v>
      </c>
      <c r="C182" s="332">
        <f>'Other Inputs'!D118</f>
        <v>219.46029968199753</v>
      </c>
      <c r="D182" s="332">
        <f>'Inputs from R'!F12</f>
        <v>264.238923</v>
      </c>
      <c r="E182" s="348">
        <f t="shared" si="8"/>
        <v>0.20403974378458253</v>
      </c>
      <c r="F182" s="332">
        <v>230.43331466609743</v>
      </c>
      <c r="G182" s="334">
        <f>'Other Inputs'!G118</f>
        <v>3.1525135720101338</v>
      </c>
      <c r="H182" s="334">
        <f>'Inputs from R'!K12</f>
        <v>3.3838860589999999</v>
      </c>
      <c r="I182" s="348">
        <f t="shared" si="9"/>
        <v>7.3393018524686743E-2</v>
      </c>
      <c r="J182" s="334">
        <v>3.3101392506106411</v>
      </c>
    </row>
    <row r="183" spans="2:10" ht="14.25" x14ac:dyDescent="0.45">
      <c r="B183" s="329" t="str">
        <v>Horizon Energy</v>
      </c>
      <c r="C183" s="333">
        <f>'Other Inputs'!D119</f>
        <v>194.52681999999999</v>
      </c>
      <c r="D183" s="333">
        <f>'Inputs from R'!F13</f>
        <v>180.76190149999999</v>
      </c>
      <c r="E183" s="349">
        <f t="shared" si="8"/>
        <v>-7.0761031820702119E-2</v>
      </c>
      <c r="F183" s="333">
        <v>184.800479</v>
      </c>
      <c r="G183" s="335">
        <f>'Other Inputs'!G119</f>
        <v>2.3904125999999999</v>
      </c>
      <c r="H183" s="335">
        <f>'Inputs from R'!K13</f>
        <v>2.038989103</v>
      </c>
      <c r="I183" s="349">
        <f t="shared" si="9"/>
        <v>-0.14701374022208546</v>
      </c>
      <c r="J183" s="335">
        <v>2.2708919699999996</v>
      </c>
    </row>
    <row r="184" spans="2:10" ht="14.25" x14ac:dyDescent="0.45">
      <c r="B184" s="328" t="str">
        <v>Nelson Electricity</v>
      </c>
      <c r="C184" s="332">
        <f>'Other Inputs'!D120</f>
        <v>19.596909041606104</v>
      </c>
      <c r="D184" s="332">
        <f>'Inputs from R'!F14</f>
        <v>14.219440710000001</v>
      </c>
      <c r="E184" s="348">
        <f t="shared" si="8"/>
        <v>-0.27440390319663299</v>
      </c>
      <c r="F184" s="332">
        <v>18.617063589525795</v>
      </c>
      <c r="G184" s="334">
        <f>'Other Inputs'!G120</f>
        <v>0.42773342831203687</v>
      </c>
      <c r="H184" s="334">
        <f>'Inputs from R'!K14</f>
        <v>0.28860817900000002</v>
      </c>
      <c r="I184" s="348">
        <f t="shared" si="9"/>
        <v>-0.32526157672797845</v>
      </c>
      <c r="J184" s="334">
        <v>0.40634675689643501</v>
      </c>
    </row>
    <row r="185" spans="2:10" ht="14.25" x14ac:dyDescent="0.45">
      <c r="B185" s="329" t="str">
        <v>Network Tasman</v>
      </c>
      <c r="C185" s="333">
        <f>'Other Inputs'!D121</f>
        <v>101.03238999999999</v>
      </c>
      <c r="D185" s="333">
        <f>'Inputs from R'!F15</f>
        <v>98.32868259</v>
      </c>
      <c r="E185" s="349">
        <f t="shared" si="8"/>
        <v>-2.6760798294487471E-2</v>
      </c>
      <c r="F185" s="333">
        <v>98.328682579999992</v>
      </c>
      <c r="G185" s="335">
        <f>'Other Inputs'!G121</f>
        <v>1.1955648102684335</v>
      </c>
      <c r="H185" s="335">
        <f>'Inputs from R'!K15</f>
        <v>1.012556284</v>
      </c>
      <c r="I185" s="349">
        <f t="shared" si="9"/>
        <v>-0.15307286120887387</v>
      </c>
      <c r="J185" s="335">
        <v>1.1357865697550116</v>
      </c>
    </row>
    <row r="186" spans="2:10" ht="14.25" x14ac:dyDescent="0.45">
      <c r="B186" s="328" t="str">
        <v>Orion NZ</v>
      </c>
      <c r="C186" s="332">
        <f>'Other Inputs'!D122</f>
        <v>84.710378000000006</v>
      </c>
      <c r="D186" s="332">
        <f>'Inputs from R'!F16</f>
        <v>53.322759240000003</v>
      </c>
      <c r="E186" s="348">
        <f t="shared" si="8"/>
        <v>-0.37052861173633295</v>
      </c>
      <c r="F186" s="332">
        <v>80.474859100000003</v>
      </c>
      <c r="G186" s="334">
        <f>'Other Inputs'!G122</f>
        <v>1.0335528</v>
      </c>
      <c r="H186" s="334">
        <f>'Inputs from R'!K16</f>
        <v>0.71136463699999997</v>
      </c>
      <c r="I186" s="348">
        <f t="shared" si="9"/>
        <v>-0.31172878927907705</v>
      </c>
      <c r="J186" s="334">
        <v>0.98187516000000008</v>
      </c>
    </row>
    <row r="187" spans="2:10" ht="14.25" x14ac:dyDescent="0.45">
      <c r="B187" s="329" t="str">
        <v>OtagoNet</v>
      </c>
      <c r="C187" s="333">
        <f>'Other Inputs'!D123</f>
        <v>160.35467188367019</v>
      </c>
      <c r="D187" s="333">
        <f>'Inputs from R'!F17</f>
        <v>173.29875430000001</v>
      </c>
      <c r="E187" s="349">
        <f t="shared" si="8"/>
        <v>8.0721579635173624E-2</v>
      </c>
      <c r="F187" s="333">
        <v>168.37240547785373</v>
      </c>
      <c r="G187" s="335">
        <f>'Other Inputs'!G123</f>
        <v>2.4171908380523917</v>
      </c>
      <c r="H187" s="335">
        <f>'Inputs from R'!K17</f>
        <v>2.3401315999999999</v>
      </c>
      <c r="I187" s="349">
        <f t="shared" si="9"/>
        <v>-3.1879666611048754E-2</v>
      </c>
      <c r="J187" s="335">
        <v>2.3401315990000002</v>
      </c>
    </row>
    <row r="188" spans="2:10" ht="14.25" x14ac:dyDescent="0.45">
      <c r="B188" s="328" t="str">
        <v>Powerco</v>
      </c>
      <c r="C188" s="332">
        <f>'Other Inputs'!D124</f>
        <v>180.25324000000001</v>
      </c>
      <c r="D188" s="332">
        <f>'Inputs from R'!F18</f>
        <v>190.561612</v>
      </c>
      <c r="E188" s="348">
        <f t="shared" si="8"/>
        <v>5.718827578355868E-2</v>
      </c>
      <c r="F188" s="332">
        <v>189.26590200000004</v>
      </c>
      <c r="G188" s="334">
        <f>'Other Inputs'!G124</f>
        <v>2.2683800124563818</v>
      </c>
      <c r="H188" s="334">
        <f>'Inputs from R'!K18</f>
        <v>2.0646265690000001</v>
      </c>
      <c r="I188" s="348">
        <f t="shared" si="9"/>
        <v>-8.9823328691624862E-2</v>
      </c>
      <c r="J188" s="334">
        <v>2.1549610118335627</v>
      </c>
    </row>
    <row r="189" spans="2:10" ht="14.25" x14ac:dyDescent="0.45">
      <c r="B189" s="329" t="str">
        <v>The Lines Company</v>
      </c>
      <c r="C189" s="333">
        <f>'Other Inputs'!D125</f>
        <v>181.47781746861335</v>
      </c>
      <c r="D189" s="333">
        <f>'Inputs from R'!F19</f>
        <v>227.0011982</v>
      </c>
      <c r="E189" s="349">
        <f t="shared" si="8"/>
        <v>0.25084818280482096</v>
      </c>
      <c r="F189" s="333">
        <v>190.55170834204404</v>
      </c>
      <c r="G189" s="335">
        <f>'Other Inputs'!G125</f>
        <v>3.2715437550140374</v>
      </c>
      <c r="H189" s="335">
        <f>'Inputs from R'!K19</f>
        <v>3.2838625800000001</v>
      </c>
      <c r="I189" s="349">
        <f t="shared" si="9"/>
        <v>3.7654471125695976E-3</v>
      </c>
      <c r="J189" s="335">
        <v>3.2838625800000001</v>
      </c>
    </row>
    <row r="190" spans="2:10" ht="14.25" x14ac:dyDescent="0.45">
      <c r="B190" s="328" t="str">
        <v>Top Energy</v>
      </c>
      <c r="C190" s="332">
        <f>'Other Inputs'!D126</f>
        <v>380.23798528549889</v>
      </c>
      <c r="D190" s="332">
        <f>'Inputs from R'!F20</f>
        <v>403.15351029999999</v>
      </c>
      <c r="E190" s="348">
        <f t="shared" si="8"/>
        <v>6.0266269813351619E-2</v>
      </c>
      <c r="F190" s="332">
        <v>399.24988454977381</v>
      </c>
      <c r="G190" s="334">
        <f>'Other Inputs'!G126</f>
        <v>5.0732160641931872</v>
      </c>
      <c r="H190" s="334">
        <f>'Inputs from R'!K20</f>
        <v>4.3061567030000001</v>
      </c>
      <c r="I190" s="348">
        <f t="shared" si="9"/>
        <v>-0.151197849941204</v>
      </c>
      <c r="J190" s="334">
        <v>4.8195552609835275</v>
      </c>
    </row>
    <row r="191" spans="2:10" ht="14.25" x14ac:dyDescent="0.45">
      <c r="B191" s="329" t="str">
        <v>Unison Networks</v>
      </c>
      <c r="C191" s="333">
        <f>'Other Inputs'!D127</f>
        <v>82.344362741433841</v>
      </c>
      <c r="D191" s="333">
        <f>'Inputs from R'!F21</f>
        <v>81.515934999999999</v>
      </c>
      <c r="E191" s="349">
        <f t="shared" si="8"/>
        <v>-1.0060527689492891E-2</v>
      </c>
      <c r="F191" s="333">
        <v>81.515934991999998</v>
      </c>
      <c r="G191" s="335">
        <f>'Other Inputs'!G127</f>
        <v>1.8152039754481821</v>
      </c>
      <c r="H191" s="335">
        <f>'Inputs from R'!K21</f>
        <v>1.69002582</v>
      </c>
      <c r="I191" s="349">
        <f t="shared" si="9"/>
        <v>-6.8960930639916138E-2</v>
      </c>
      <c r="J191" s="335">
        <v>1.7244437766757728</v>
      </c>
    </row>
    <row r="192" spans="2:10" ht="14.25" x14ac:dyDescent="0.45">
      <c r="B192" s="329" t="str">
        <v>Vector Lines</v>
      </c>
      <c r="C192" s="333">
        <f>'Other Inputs'!D128</f>
        <v>104.82979127483699</v>
      </c>
      <c r="D192" s="333">
        <f>'Inputs from R'!F22</f>
        <v>138.27370110000001</v>
      </c>
      <c r="E192" s="349">
        <f t="shared" si="8"/>
        <v>0.31903058680601215</v>
      </c>
      <c r="F192" s="333">
        <v>110.07128083857886</v>
      </c>
      <c r="G192" s="335">
        <f>'Other Inputs'!G128</f>
        <v>1.3365895999999999</v>
      </c>
      <c r="H192" s="335">
        <f>'Inputs from R'!K22</f>
        <v>1.444874491</v>
      </c>
      <c r="I192" s="349">
        <f t="shared" si="9"/>
        <v>8.1015811435312723E-2</v>
      </c>
      <c r="J192" s="335">
        <v>1.4034190799999999</v>
      </c>
    </row>
    <row r="193" spans="1:16" ht="14.25" x14ac:dyDescent="0.45">
      <c r="B193" s="328" t="str">
        <v>Wellington Electricity</v>
      </c>
      <c r="C193" s="332">
        <f>'Other Inputs'!D129</f>
        <v>39.807933121610731</v>
      </c>
      <c r="D193" s="332">
        <f>'Inputs from R'!F23</f>
        <v>35.914088890000002</v>
      </c>
      <c r="E193" s="348">
        <f t="shared" si="8"/>
        <v>-9.781578510281555E-2</v>
      </c>
      <c r="F193" s="332">
        <v>37.817536465530196</v>
      </c>
      <c r="G193" s="334">
        <f>'Other Inputs'!G129</f>
        <v>0.61353906492583254</v>
      </c>
      <c r="H193" s="334">
        <f>'Inputs from R'!K23</f>
        <v>0.53693521399999999</v>
      </c>
      <c r="I193" s="348">
        <f t="shared" si="9"/>
        <v>-0.12485570244022323</v>
      </c>
      <c r="J193" s="334">
        <v>0.58286211167954094</v>
      </c>
    </row>
    <row r="194" spans="1:16" ht="14.25" x14ac:dyDescent="0.45"/>
    <row r="195" spans="1:16" ht="14.25" x14ac:dyDescent="0.45"/>
    <row r="196" spans="1:16" ht="14.25" x14ac:dyDescent="0.45"/>
    <row r="197" spans="1:16" ht="23.25" x14ac:dyDescent="0.7">
      <c r="A197" s="265" t="s">
        <v>378</v>
      </c>
      <c r="B197" s="226"/>
      <c r="C197" s="226"/>
      <c r="D197" s="226"/>
      <c r="E197" s="226"/>
      <c r="F197" s="226"/>
      <c r="G197" s="226"/>
      <c r="H197" s="265"/>
      <c r="I197" s="226"/>
      <c r="J197" s="226"/>
      <c r="K197" s="226"/>
      <c r="L197" s="226"/>
      <c r="M197" s="226"/>
      <c r="N197" s="226"/>
      <c r="O197" s="265"/>
      <c r="P197" s="226"/>
    </row>
    <row r="198" spans="1:16" ht="14.25" x14ac:dyDescent="0.45"/>
    <row r="199" spans="1:16" ht="14.25" x14ac:dyDescent="0.45"/>
    <row r="200" spans="1:16" ht="21" x14ac:dyDescent="0.65">
      <c r="A200" s="29" t="s">
        <v>157</v>
      </c>
      <c r="B200" s="53" t="s">
        <v>359</v>
      </c>
      <c r="C200" s="54"/>
      <c r="D200" s="54"/>
      <c r="E200" s="54"/>
      <c r="F200" s="54"/>
      <c r="G200" s="54"/>
      <c r="H200" s="54"/>
    </row>
    <row r="201" spans="1:16" ht="15.75" x14ac:dyDescent="0.45">
      <c r="B201" s="45" t="s">
        <v>358</v>
      </c>
    </row>
    <row r="202" spans="1:16" ht="16.149999999999999" thickBot="1" x14ac:dyDescent="0.5">
      <c r="B202" s="46"/>
      <c r="C202" s="393"/>
      <c r="D202" s="393"/>
    </row>
    <row r="203" spans="1:16" ht="79.150000000000006" thickBot="1" x14ac:dyDescent="0.5">
      <c r="B203" s="202" t="s">
        <v>64</v>
      </c>
      <c r="C203" s="44" t="s">
        <v>255</v>
      </c>
      <c r="D203" s="44" t="s">
        <v>256</v>
      </c>
    </row>
    <row r="204" spans="1:16" ht="14.65" thickBot="1" x14ac:dyDescent="0.5">
      <c r="B204" s="22" t="s">
        <v>65</v>
      </c>
      <c r="C204" s="196">
        <f t="shared" ref="C204:C219" si="10">E12</f>
        <v>825.76725648242405</v>
      </c>
      <c r="D204" s="203">
        <f t="shared" ref="D204:D219" si="11">F12</f>
        <v>3.1437004499999999</v>
      </c>
    </row>
    <row r="205" spans="1:16" ht="15.4" customHeight="1" thickBot="1" x14ac:dyDescent="0.5">
      <c r="B205" s="22" t="s">
        <v>66</v>
      </c>
      <c r="C205" s="196">
        <f t="shared" si="10"/>
        <v>1077.7756000000002</v>
      </c>
      <c r="D205" s="203">
        <f t="shared" si="11"/>
        <v>6.0923499999999997</v>
      </c>
    </row>
    <row r="206" spans="1:16" ht="14.65" thickBot="1" x14ac:dyDescent="0.5">
      <c r="B206" s="22" t="s">
        <v>67</v>
      </c>
      <c r="C206" s="196">
        <f t="shared" si="10"/>
        <v>1238.4738000000002</v>
      </c>
      <c r="D206" s="203">
        <f t="shared" si="11"/>
        <v>4.4045055000000009</v>
      </c>
    </row>
    <row r="207" spans="1:16" ht="14.65" thickBot="1" x14ac:dyDescent="0.5">
      <c r="B207" s="22" t="s">
        <v>68</v>
      </c>
      <c r="C207" s="196">
        <f t="shared" si="10"/>
        <v>125.94296000000001</v>
      </c>
      <c r="D207" s="203">
        <f t="shared" si="11"/>
        <v>0.57016905000000007</v>
      </c>
      <c r="F207" s="310"/>
    </row>
    <row r="208" spans="1:16" ht="14.65" thickBot="1" x14ac:dyDescent="0.5">
      <c r="B208" s="22" t="s">
        <v>257</v>
      </c>
      <c r="C208" s="196">
        <f t="shared" si="10"/>
        <v>1213.1511000302298</v>
      </c>
      <c r="D208" s="203">
        <f t="shared" si="11"/>
        <v>6.7270635000000016</v>
      </c>
      <c r="F208" s="310"/>
    </row>
    <row r="209" spans="1:15" ht="14.65" thickBot="1" x14ac:dyDescent="0.5">
      <c r="B209" s="22" t="s">
        <v>69</v>
      </c>
      <c r="C209" s="196">
        <f t="shared" si="10"/>
        <v>944.49575000000004</v>
      </c>
      <c r="D209" s="203">
        <f t="shared" si="11"/>
        <v>5.985595</v>
      </c>
    </row>
    <row r="210" spans="1:15" ht="14.65" thickBot="1" x14ac:dyDescent="0.5">
      <c r="B210" s="22" t="s">
        <v>70</v>
      </c>
      <c r="C210" s="196">
        <f t="shared" si="10"/>
        <v>162.09985499999999</v>
      </c>
      <c r="D210" s="203">
        <f t="shared" si="11"/>
        <v>2.1296546999999997</v>
      </c>
    </row>
    <row r="211" spans="1:15" ht="14.65" thickBot="1" x14ac:dyDescent="0.5">
      <c r="B211" s="22" t="s">
        <v>71</v>
      </c>
      <c r="C211" s="196">
        <f t="shared" si="10"/>
        <v>1067.9368391448099</v>
      </c>
      <c r="D211" s="203">
        <f t="shared" si="11"/>
        <v>4.4119345500000007</v>
      </c>
    </row>
    <row r="212" spans="1:15" ht="14.65" thickBot="1" x14ac:dyDescent="0.5">
      <c r="B212" s="22" t="s">
        <v>72</v>
      </c>
      <c r="C212" s="196">
        <f t="shared" si="10"/>
        <v>218.2433</v>
      </c>
      <c r="D212" s="203">
        <f t="shared" si="11"/>
        <v>0.73989678442510909</v>
      </c>
    </row>
    <row r="213" spans="1:15" ht="14.65" thickBot="1" x14ac:dyDescent="0.5">
      <c r="B213" s="22" t="s">
        <v>73</v>
      </c>
      <c r="C213" s="196">
        <f t="shared" si="10"/>
        <v>2323.7717940667899</v>
      </c>
      <c r="D213" s="203">
        <f t="shared" si="11"/>
        <v>9.2087875366363807</v>
      </c>
    </row>
    <row r="214" spans="1:15" ht="14.65" thickBot="1" x14ac:dyDescent="0.5">
      <c r="B214" s="22" t="s">
        <v>74</v>
      </c>
      <c r="C214" s="196">
        <f t="shared" si="10"/>
        <v>849.74505000000011</v>
      </c>
      <c r="D214" s="203">
        <f t="shared" si="11"/>
        <v>3.8124750726822096</v>
      </c>
    </row>
    <row r="215" spans="1:15" ht="14.65" thickBot="1" x14ac:dyDescent="0.5">
      <c r="B215" s="22" t="s">
        <v>75</v>
      </c>
      <c r="C215" s="196">
        <f t="shared" si="10"/>
        <v>1284.1542630035301</v>
      </c>
      <c r="D215" s="203">
        <f t="shared" si="11"/>
        <v>7.8773895000000005</v>
      </c>
    </row>
    <row r="216" spans="1:15" ht="14.65" thickBot="1" x14ac:dyDescent="0.5">
      <c r="B216" s="22" t="s">
        <v>76</v>
      </c>
      <c r="C216" s="196">
        <f t="shared" si="10"/>
        <v>1727.59226964919</v>
      </c>
      <c r="D216" s="203">
        <f t="shared" si="11"/>
        <v>8.5278820000000017</v>
      </c>
    </row>
    <row r="217" spans="1:15" ht="14.65" thickBot="1" x14ac:dyDescent="0.5">
      <c r="B217" s="22" t="s">
        <v>77</v>
      </c>
      <c r="C217" s="196">
        <f t="shared" si="10"/>
        <v>688.37395000000004</v>
      </c>
      <c r="D217" s="203">
        <f t="shared" si="11"/>
        <v>4.9113702000000004</v>
      </c>
    </row>
    <row r="218" spans="1:15" ht="14.65" thickBot="1" x14ac:dyDescent="0.5">
      <c r="B218" s="22" t="s">
        <v>78</v>
      </c>
      <c r="C218" s="196">
        <f t="shared" si="10"/>
        <v>643.9185500000001</v>
      </c>
      <c r="D218" s="203">
        <f t="shared" si="11"/>
        <v>3.1661366000000002</v>
      </c>
    </row>
    <row r="219" spans="1:15" ht="14.65" thickBot="1" x14ac:dyDescent="0.5">
      <c r="B219" s="22" t="s">
        <v>79</v>
      </c>
      <c r="C219" s="196">
        <f t="shared" si="10"/>
        <v>76.664664999999999</v>
      </c>
      <c r="D219" s="203">
        <f t="shared" si="11"/>
        <v>0.60893635000000013</v>
      </c>
    </row>
    <row r="220" spans="1:15" ht="14.25" x14ac:dyDescent="0.45"/>
    <row r="221" spans="1:15" ht="14.25" x14ac:dyDescent="0.45">
      <c r="N221" s="131"/>
      <c r="O221" s="318"/>
    </row>
    <row r="222" spans="1:15" ht="21" x14ac:dyDescent="0.65">
      <c r="A222" s="29" t="s">
        <v>158</v>
      </c>
      <c r="B222" s="55" t="s">
        <v>258</v>
      </c>
      <c r="C222" s="54"/>
      <c r="D222" s="54"/>
      <c r="E222" s="54"/>
      <c r="F222" s="54"/>
      <c r="G222" s="54"/>
      <c r="H222" s="54"/>
    </row>
    <row r="223" spans="1:15" ht="15.75" x14ac:dyDescent="0.45">
      <c r="B223" s="42" t="s">
        <v>263</v>
      </c>
    </row>
    <row r="224" spans="1:15" ht="14.65" thickBot="1" x14ac:dyDescent="0.5">
      <c r="B224" s="206"/>
      <c r="C224" s="391"/>
      <c r="D224" s="391"/>
      <c r="E224" s="391"/>
      <c r="F224" s="391"/>
    </row>
    <row r="225" spans="2:6" ht="49.5" customHeight="1" thickBot="1" x14ac:dyDescent="0.5">
      <c r="B225" s="41" t="s">
        <v>64</v>
      </c>
      <c r="C225" s="50" t="s">
        <v>259</v>
      </c>
      <c r="D225" s="50" t="s">
        <v>260</v>
      </c>
      <c r="E225" s="50" t="s">
        <v>261</v>
      </c>
      <c r="F225" s="50" t="s">
        <v>262</v>
      </c>
    </row>
    <row r="226" spans="2:6" ht="14.65" thickBot="1" x14ac:dyDescent="0.5">
      <c r="B226" s="23" t="str">
        <f>$B$204</f>
        <v>Alpine Energy Limited</v>
      </c>
      <c r="C226" s="51">
        <f t="shared" ref="C226:D241" si="12">C12</f>
        <v>118.47240823474012</v>
      </c>
      <c r="D226" s="204">
        <f t="shared" si="12"/>
        <v>1.1371863562634201</v>
      </c>
      <c r="E226" s="49" cm="1">
        <f t="array" ref="E226:E241">TRANSPOSE(Output!C76:R76)</f>
        <v>8.4740548059999998</v>
      </c>
      <c r="F226" s="205" cm="1">
        <f t="array" ref="F226:F241">TRANSPOSE(Output!C81:R81)</f>
        <v>5.8004814000000002E-2</v>
      </c>
    </row>
    <row r="227" spans="2:6" ht="14.65" thickBot="1" x14ac:dyDescent="0.5">
      <c r="B227" s="23" t="str">
        <f>$B$205</f>
        <v>Aurora Energy Limited</v>
      </c>
      <c r="C227" s="51">
        <f t="shared" si="12"/>
        <v>128.36378507999999</v>
      </c>
      <c r="D227" s="204">
        <f t="shared" si="12"/>
        <v>1.9674499999999999</v>
      </c>
      <c r="E227" s="49">
        <v>7.0544918210000001</v>
      </c>
      <c r="F227" s="205">
        <v>8.6924986999999995E-2</v>
      </c>
    </row>
    <row r="228" spans="2:6" ht="14.65" thickBot="1" x14ac:dyDescent="0.5">
      <c r="B228" s="23" t="str">
        <f>$B$206</f>
        <v>Electricity Ashburton Limited</v>
      </c>
      <c r="C228" s="51">
        <f t="shared" si="12"/>
        <v>87.37668699999999</v>
      </c>
      <c r="D228" s="204">
        <f t="shared" si="12"/>
        <v>1.24161363</v>
      </c>
      <c r="E228" s="49">
        <v>4.949344601</v>
      </c>
      <c r="F228" s="205">
        <v>6.9604719999999995E-2</v>
      </c>
    </row>
    <row r="229" spans="2:6" ht="14.65" thickBot="1" x14ac:dyDescent="0.5">
      <c r="B229" s="23" t="str">
        <f>$B$207</f>
        <v>Electricity Invercargill Limited</v>
      </c>
      <c r="C229" s="51">
        <f t="shared" si="12"/>
        <v>27.147934113773488</v>
      </c>
      <c r="D229" s="204">
        <f t="shared" si="12"/>
        <v>0.66080660073189346</v>
      </c>
      <c r="E229" s="49">
        <v>5.0008040889999998</v>
      </c>
      <c r="F229" s="205">
        <v>8.9965996000000006E-2</v>
      </c>
    </row>
    <row r="230" spans="2:6" ht="14.65" thickBot="1" x14ac:dyDescent="0.5">
      <c r="B230" s="23" t="str">
        <f>$B$208</f>
        <v>Firstlight Network Limited</v>
      </c>
      <c r="C230" s="51">
        <f t="shared" si="12"/>
        <v>230.43331466609743</v>
      </c>
      <c r="D230" s="204">
        <f t="shared" si="12"/>
        <v>3.3101392506106411</v>
      </c>
      <c r="E230" s="49">
        <v>18.798711879999999</v>
      </c>
      <c r="F230" s="205">
        <v>0.180701414</v>
      </c>
    </row>
    <row r="231" spans="2:6" ht="14.65" thickBot="1" x14ac:dyDescent="0.5">
      <c r="B231" s="23" t="str">
        <f>$B$209</f>
        <v>Horizon Energy Distribution Limited</v>
      </c>
      <c r="C231" s="51">
        <f t="shared" si="12"/>
        <v>184.800479</v>
      </c>
      <c r="D231" s="204">
        <f t="shared" si="12"/>
        <v>2.2708919699999996</v>
      </c>
      <c r="E231" s="49">
        <v>12.085283410000001</v>
      </c>
      <c r="F231" s="205">
        <v>9.1999999999999998E-2</v>
      </c>
    </row>
    <row r="232" spans="2:6" ht="14.65" thickBot="1" x14ac:dyDescent="0.5">
      <c r="B232" s="23" t="str">
        <f>$B$210</f>
        <v>Nelson Electricity Limited</v>
      </c>
      <c r="C232" s="51">
        <f t="shared" si="12"/>
        <v>18.617063589525795</v>
      </c>
      <c r="D232" s="204">
        <f t="shared" si="12"/>
        <v>0.40634675689643501</v>
      </c>
      <c r="E232" s="49">
        <v>6.0270967750000004</v>
      </c>
      <c r="F232" s="205">
        <v>0.14051471400000001</v>
      </c>
    </row>
    <row r="233" spans="2:6" ht="14.65" thickBot="1" x14ac:dyDescent="0.5">
      <c r="B233" s="23" t="str">
        <f>$B$211</f>
        <v>Network Tasman Limited</v>
      </c>
      <c r="C233" s="51">
        <f t="shared" si="12"/>
        <v>98.328682579999992</v>
      </c>
      <c r="D233" s="204">
        <f t="shared" si="12"/>
        <v>1.1357865697550116</v>
      </c>
      <c r="E233" s="49">
        <v>6.8707344470000002</v>
      </c>
      <c r="F233" s="205">
        <v>6.1082589999999999E-2</v>
      </c>
    </row>
    <row r="234" spans="2:6" ht="14.65" thickBot="1" x14ac:dyDescent="0.5">
      <c r="B234" s="23" t="str">
        <f>$B$212</f>
        <v>Orion New Zealand Limited</v>
      </c>
      <c r="C234" s="51">
        <f t="shared" si="12"/>
        <v>80.474859100000003</v>
      </c>
      <c r="D234" s="204">
        <f t="shared" si="12"/>
        <v>0.98187516000000008</v>
      </c>
      <c r="E234" s="49">
        <v>3.0992012880000002</v>
      </c>
      <c r="F234" s="205">
        <v>2.8703953000000001E-2</v>
      </c>
    </row>
    <row r="235" spans="2:6" ht="14.65" thickBot="1" x14ac:dyDescent="0.5">
      <c r="B235" s="23" t="str">
        <f>$B$213</f>
        <v>OtagoNet Joint Venture</v>
      </c>
      <c r="C235" s="51">
        <f t="shared" si="12"/>
        <v>168.37240547785373</v>
      </c>
      <c r="D235" s="204">
        <f t="shared" si="12"/>
        <v>2.3401315990000002</v>
      </c>
      <c r="E235" s="49">
        <v>11.438813720000001</v>
      </c>
      <c r="F235" s="205">
        <v>0.15512954700000001</v>
      </c>
    </row>
    <row r="236" spans="2:6" ht="14.65" thickBot="1" x14ac:dyDescent="0.5">
      <c r="B236" s="23" t="str">
        <f>$B$214</f>
        <v>Powerco Limited</v>
      </c>
      <c r="C236" s="51">
        <f t="shared" si="12"/>
        <v>189.26590200000004</v>
      </c>
      <c r="D236" s="204">
        <f t="shared" si="12"/>
        <v>2.1549610118335627</v>
      </c>
      <c r="E236" s="49">
        <v>8.8371144220000009</v>
      </c>
      <c r="F236" s="205">
        <v>5.1277982E-2</v>
      </c>
    </row>
    <row r="237" spans="2:6" ht="14.65" thickBot="1" x14ac:dyDescent="0.5">
      <c r="B237" s="23" t="str">
        <f>$B$215</f>
        <v>The Lines Company Limited</v>
      </c>
      <c r="C237" s="51">
        <f t="shared" si="12"/>
        <v>190.55170834204404</v>
      </c>
      <c r="D237" s="204">
        <f t="shared" si="12"/>
        <v>3.2838625800000001</v>
      </c>
      <c r="E237" s="49">
        <v>14.09038</v>
      </c>
      <c r="F237" s="205">
        <v>0.14086000000000001</v>
      </c>
    </row>
    <row r="238" spans="2:6" ht="14.65" thickBot="1" x14ac:dyDescent="0.5">
      <c r="B238" s="23" t="str">
        <f>$B$216</f>
        <v>Top Energy Limited</v>
      </c>
      <c r="C238" s="51">
        <f t="shared" si="12"/>
        <v>399.24988454977381</v>
      </c>
      <c r="D238" s="204">
        <f t="shared" si="12"/>
        <v>4.8195552609835275</v>
      </c>
      <c r="E238" s="49">
        <v>26.778091809999999</v>
      </c>
      <c r="F238" s="205">
        <v>0.16889298799999999</v>
      </c>
    </row>
    <row r="239" spans="2:6" ht="14.65" thickBot="1" x14ac:dyDescent="0.5">
      <c r="B239" s="23" t="str">
        <f>$B$217</f>
        <v>Unison Networks Limited</v>
      </c>
      <c r="C239" s="51">
        <f t="shared" si="12"/>
        <v>81.515934991999998</v>
      </c>
      <c r="D239" s="204">
        <f t="shared" si="12"/>
        <v>1.7244437766757728</v>
      </c>
      <c r="E239" s="49">
        <v>3.666876818</v>
      </c>
      <c r="F239" s="205">
        <v>6.3048999999999994E-2</v>
      </c>
    </row>
    <row r="240" spans="2:6" ht="14.65" thickBot="1" x14ac:dyDescent="0.5">
      <c r="B240" s="23" t="str">
        <f>$B$218</f>
        <v>Vector Limited</v>
      </c>
      <c r="C240" s="51">
        <f t="shared" si="12"/>
        <v>110.07128083857886</v>
      </c>
      <c r="D240" s="204">
        <f t="shared" si="12"/>
        <v>1.4034190799999999</v>
      </c>
      <c r="E240" s="49">
        <v>5.7906690980000004</v>
      </c>
      <c r="F240" s="205">
        <v>4.0363359000000001E-2</v>
      </c>
    </row>
    <row r="241" spans="1:8" ht="14.65" thickBot="1" x14ac:dyDescent="0.5">
      <c r="B241" s="23" t="str">
        <f>$B$219</f>
        <v>Wellington Electricity Lines Limited</v>
      </c>
      <c r="C241" s="51">
        <f t="shared" si="12"/>
        <v>37.817536465530196</v>
      </c>
      <c r="D241" s="204">
        <f t="shared" si="12"/>
        <v>0.58286211167954094</v>
      </c>
      <c r="E241" s="49">
        <v>1.653747555</v>
      </c>
      <c r="F241" s="205">
        <v>2.5922028E-2</v>
      </c>
    </row>
    <row r="242" spans="1:8" ht="14.25" x14ac:dyDescent="0.45">
      <c r="E242" s="37"/>
      <c r="F242" s="37"/>
    </row>
    <row r="243" spans="1:8" ht="14.25" x14ac:dyDescent="0.45"/>
    <row r="244" spans="1:8" ht="14.25" x14ac:dyDescent="0.45"/>
    <row r="245" spans="1:8" ht="21" x14ac:dyDescent="0.65">
      <c r="A245" s="29" t="s">
        <v>159</v>
      </c>
      <c r="B245" s="47" t="s">
        <v>265</v>
      </c>
    </row>
    <row r="246" spans="1:8" ht="21" x14ac:dyDescent="0.65">
      <c r="A246" s="29"/>
      <c r="B246" s="47" t="s">
        <v>264</v>
      </c>
    </row>
    <row r="247" spans="1:8" ht="15.75" x14ac:dyDescent="0.45">
      <c r="B247" s="46"/>
      <c r="C247" s="392"/>
      <c r="D247" s="392"/>
      <c r="E247" s="392"/>
      <c r="F247" s="392"/>
      <c r="G247" s="392"/>
      <c r="H247" s="392"/>
    </row>
    <row r="248" spans="1:8" ht="52.9" thickBot="1" x14ac:dyDescent="0.5">
      <c r="B248" s="48" t="s">
        <v>64</v>
      </c>
      <c r="C248" s="44" t="s">
        <v>81</v>
      </c>
      <c r="D248" s="44" t="s">
        <v>80</v>
      </c>
      <c r="E248" s="44" t="s">
        <v>82</v>
      </c>
      <c r="F248" s="48"/>
      <c r="G248" s="48"/>
    </row>
    <row r="249" spans="1:8" ht="16.149999999999999" thickBot="1" x14ac:dyDescent="0.5">
      <c r="B249" s="23" t="str">
        <f>$B$204</f>
        <v>Alpine Energy Limited</v>
      </c>
      <c r="C249" s="49" cm="1">
        <f t="array" ref="C249:C264">TRANSPOSE(Output!C26:R26)</f>
        <v>0</v>
      </c>
      <c r="D249" s="49" cm="1">
        <f t="array" ref="D249:D264">TRANSPOSE(Output!C25:R25)</f>
        <v>87.28941823474014</v>
      </c>
      <c r="E249" s="49" cm="1">
        <f t="array" ref="E249:E264">TRANSPOSE(Output!C27:R27)</f>
        <v>118.47240823474012</v>
      </c>
      <c r="F249" s="43"/>
      <c r="G249" s="43"/>
    </row>
    <row r="250" spans="1:8" ht="16.149999999999999" thickBot="1" x14ac:dyDescent="0.5">
      <c r="B250" s="23" t="str">
        <f>$B$205</f>
        <v>Aurora Energy Limited</v>
      </c>
      <c r="C250" s="49">
        <v>0</v>
      </c>
      <c r="D250" s="49">
        <v>92.483999999999995</v>
      </c>
      <c r="E250" s="49">
        <v>128.36378507999999</v>
      </c>
      <c r="F250" s="43"/>
      <c r="G250" s="43"/>
    </row>
    <row r="251" spans="1:8" ht="16.149999999999999" thickBot="1" x14ac:dyDescent="0.5">
      <c r="B251" s="23" t="str">
        <f>$B$206</f>
        <v>Electricity Ashburton Limited</v>
      </c>
      <c r="C251" s="49">
        <v>0</v>
      </c>
      <c r="D251" s="49">
        <v>68.071623000000002</v>
      </c>
      <c r="E251" s="49">
        <v>87.37668699999999</v>
      </c>
      <c r="F251" s="43"/>
      <c r="G251" s="43"/>
    </row>
    <row r="252" spans="1:8" ht="16.149999999999999" thickBot="1" x14ac:dyDescent="0.5">
      <c r="B252" s="23" t="str">
        <f>$B$207</f>
        <v>Electricity Invercargill Limited</v>
      </c>
      <c r="C252" s="49">
        <v>0</v>
      </c>
      <c r="D252" s="49">
        <v>16.161901713773489</v>
      </c>
      <c r="E252" s="49">
        <v>27.147934113773488</v>
      </c>
      <c r="F252" s="43"/>
      <c r="G252" s="43"/>
    </row>
    <row r="253" spans="1:8" ht="16.149999999999999" thickBot="1" x14ac:dyDescent="0.5">
      <c r="B253" s="23" t="str">
        <f>$B$208</f>
        <v>Firstlight Network Limited</v>
      </c>
      <c r="C253" s="49">
        <v>0</v>
      </c>
      <c r="D253" s="49">
        <v>182.54035766609741</v>
      </c>
      <c r="E253" s="49">
        <v>230.43331466609743</v>
      </c>
      <c r="F253" s="43"/>
      <c r="G253" s="43"/>
    </row>
    <row r="254" spans="1:8" ht="16.149999999999999" thickBot="1" x14ac:dyDescent="0.5">
      <c r="B254" s="23" t="str">
        <f>$B$209</f>
        <v>Horizon Energy Distribution Limited</v>
      </c>
      <c r="C254" s="49">
        <v>0</v>
      </c>
      <c r="D254" s="49">
        <v>137.71367609999999</v>
      </c>
      <c r="E254" s="49">
        <v>184.800479</v>
      </c>
      <c r="F254" s="43"/>
      <c r="G254" s="43"/>
    </row>
    <row r="255" spans="1:8" ht="16.149999999999999" thickBot="1" x14ac:dyDescent="0.5">
      <c r="B255" s="23" t="str">
        <f>$B$210</f>
        <v>Nelson Electricity Limited</v>
      </c>
      <c r="C255" s="49">
        <v>0</v>
      </c>
      <c r="D255" s="49">
        <v>9.0567043895257999</v>
      </c>
      <c r="E255" s="49">
        <v>18.617063589525795</v>
      </c>
      <c r="F255" s="43"/>
      <c r="G255" s="43"/>
    </row>
    <row r="256" spans="1:8" ht="16.149999999999999" thickBot="1" x14ac:dyDescent="0.5">
      <c r="B256" s="23" t="str">
        <f>$B$211</f>
        <v>Network Tasman Limited</v>
      </c>
      <c r="C256" s="49">
        <v>0</v>
      </c>
      <c r="D256" s="49">
        <v>72.700830179999997</v>
      </c>
      <c r="E256" s="49">
        <v>98.328682579999992</v>
      </c>
      <c r="F256" s="43"/>
      <c r="G256" s="43"/>
    </row>
    <row r="257" spans="1:8" ht="16.149999999999999" thickBot="1" x14ac:dyDescent="0.5">
      <c r="B257" s="23" t="str">
        <f>$B$212</f>
        <v>Orion New Zealand Limited</v>
      </c>
      <c r="C257" s="49">
        <v>0</v>
      </c>
      <c r="D257" s="49">
        <v>63.142643000000007</v>
      </c>
      <c r="E257" s="49">
        <v>80.474859100000003</v>
      </c>
      <c r="F257" s="43"/>
      <c r="G257" s="43"/>
    </row>
    <row r="258" spans="1:8" ht="16.149999999999999" thickBot="1" x14ac:dyDescent="0.5">
      <c r="B258" s="23" t="str">
        <f>$B$213</f>
        <v>OtagoNet Joint Venture</v>
      </c>
      <c r="C258" s="49">
        <v>0</v>
      </c>
      <c r="D258" s="49">
        <v>126.02233547785373</v>
      </c>
      <c r="E258" s="49">
        <v>168.37240547785373</v>
      </c>
      <c r="F258" s="43"/>
      <c r="G258" s="43"/>
    </row>
    <row r="259" spans="1:8" ht="16.149999999999999" thickBot="1" x14ac:dyDescent="0.5">
      <c r="B259" s="23" t="str">
        <f>$B$214</f>
        <v>Powerco Limited</v>
      </c>
      <c r="C259" s="49">
        <v>0</v>
      </c>
      <c r="D259" s="49">
        <v>159.55684500000001</v>
      </c>
      <c r="E259" s="49">
        <v>189.26590200000004</v>
      </c>
      <c r="F259" s="43"/>
      <c r="G259" s="43"/>
    </row>
    <row r="260" spans="1:8" ht="16.149999999999999" thickBot="1" x14ac:dyDescent="0.5">
      <c r="B260" s="23" t="str">
        <f>$B$215</f>
        <v>The Lines Company Limited</v>
      </c>
      <c r="C260" s="49">
        <v>0</v>
      </c>
      <c r="D260" s="49">
        <v>150.18762934204403</v>
      </c>
      <c r="E260" s="49">
        <v>190.55170834204404</v>
      </c>
      <c r="F260" s="43"/>
      <c r="G260" s="43"/>
    </row>
    <row r="261" spans="1:8" ht="16.149999999999999" thickBot="1" x14ac:dyDescent="0.5">
      <c r="B261" s="23" t="str">
        <f>$B$216</f>
        <v>Top Energy Limited</v>
      </c>
      <c r="C261" s="49">
        <v>0</v>
      </c>
      <c r="D261" s="49">
        <v>317.26733354977387</v>
      </c>
      <c r="E261" s="49">
        <v>399.24988454977381</v>
      </c>
      <c r="F261" s="43"/>
      <c r="G261" s="43"/>
    </row>
    <row r="262" spans="1:8" ht="16.149999999999999" thickBot="1" x14ac:dyDescent="0.5">
      <c r="B262" s="23" t="str">
        <f>$B$217</f>
        <v>Unison Networks Limited</v>
      </c>
      <c r="C262" s="49">
        <v>0</v>
      </c>
      <c r="D262" s="49">
        <v>67.282896260000001</v>
      </c>
      <c r="E262" s="49">
        <v>81.515934991999998</v>
      </c>
      <c r="F262" s="43"/>
      <c r="G262" s="43"/>
    </row>
    <row r="263" spans="1:8" ht="16.149999999999999" thickBot="1" x14ac:dyDescent="0.5">
      <c r="B263" s="23" t="str">
        <f>$B$218</f>
        <v>Vector Limited</v>
      </c>
      <c r="C263" s="49">
        <v>0</v>
      </c>
      <c r="D263" s="49">
        <v>93.741842538578851</v>
      </c>
      <c r="E263" s="49">
        <v>110.07128083857886</v>
      </c>
      <c r="F263" s="43"/>
      <c r="G263" s="43"/>
    </row>
    <row r="264" spans="1:8" ht="16.149999999999999" thickBot="1" x14ac:dyDescent="0.5">
      <c r="B264" s="23" t="str">
        <f>$B$219</f>
        <v>Wellington Electricity Lines Limited</v>
      </c>
      <c r="C264" s="49">
        <v>0</v>
      </c>
      <c r="D264" s="49">
        <v>29.641693965530191</v>
      </c>
      <c r="E264" s="49">
        <v>37.817536465530196</v>
      </c>
      <c r="F264" s="43"/>
      <c r="G264" s="43"/>
    </row>
    <row r="265" spans="1:8" ht="14.25" x14ac:dyDescent="0.45">
      <c r="C265" s="37"/>
      <c r="D265" s="37"/>
      <c r="E265" s="37"/>
    </row>
    <row r="266" spans="1:8" ht="14.25" x14ac:dyDescent="0.45"/>
    <row r="267" spans="1:8" ht="21" x14ac:dyDescent="0.65">
      <c r="A267" s="29" t="s">
        <v>160</v>
      </c>
      <c r="B267" s="42" t="s">
        <v>266</v>
      </c>
    </row>
    <row r="268" spans="1:8" ht="21" x14ac:dyDescent="0.65">
      <c r="A268" s="29"/>
      <c r="B268" s="42" t="s">
        <v>354</v>
      </c>
    </row>
    <row r="269" spans="1:8" ht="15.75" x14ac:dyDescent="0.45">
      <c r="B269" s="46"/>
      <c r="C269" s="392"/>
      <c r="D269" s="392"/>
      <c r="E269" s="392"/>
      <c r="F269" s="392"/>
      <c r="G269" s="392"/>
      <c r="H269" s="392"/>
    </row>
    <row r="270" spans="1:8" ht="52.9" thickBot="1" x14ac:dyDescent="0.5">
      <c r="A270" s="54"/>
      <c r="B270" s="48" t="s">
        <v>64</v>
      </c>
      <c r="C270" s="56" t="s">
        <v>84</v>
      </c>
      <c r="D270" s="56" t="s">
        <v>85</v>
      </c>
      <c r="E270" s="56" t="s">
        <v>86</v>
      </c>
      <c r="F270" s="57"/>
    </row>
    <row r="271" spans="1:8" ht="16.149999999999999" thickBot="1" x14ac:dyDescent="0.5">
      <c r="B271" s="23" t="str">
        <f>$B$204</f>
        <v>Alpine Energy Limited</v>
      </c>
      <c r="C271" s="49" cm="1">
        <f t="array" ref="C271:C286">TRANSPOSE(Output!C11:R11)</f>
        <v>0</v>
      </c>
      <c r="D271" s="49" cm="1">
        <f t="array" ref="D271:D286">TRANSPOSE(Output!C10:R10)</f>
        <v>82.576725648242402</v>
      </c>
      <c r="E271" s="49" cm="1">
        <f t="array" ref="E271:E286">TRANSPOSE(Output!C12:R12)</f>
        <v>165.1534512964848</v>
      </c>
      <c r="F271" s="156"/>
    </row>
    <row r="272" spans="1:8" ht="16.149999999999999" thickBot="1" x14ac:dyDescent="0.5">
      <c r="B272" s="23" t="str">
        <f>$B$205</f>
        <v>Aurora Energy Limited</v>
      </c>
      <c r="C272" s="49">
        <v>0</v>
      </c>
      <c r="D272" s="49">
        <v>181.700981283342</v>
      </c>
      <c r="E272" s="49">
        <v>215.55512000000004</v>
      </c>
      <c r="F272" s="43"/>
    </row>
    <row r="273" spans="2:6" ht="16.149999999999999" thickBot="1" x14ac:dyDescent="0.5">
      <c r="B273" s="23" t="str">
        <f>$B$206</f>
        <v>Electricity Ashburton Limited</v>
      </c>
      <c r="C273" s="49">
        <v>0</v>
      </c>
      <c r="D273" s="49">
        <v>118.055301433316</v>
      </c>
      <c r="E273" s="49">
        <v>247.69476000000003</v>
      </c>
      <c r="F273" s="43"/>
    </row>
    <row r="274" spans="2:6" ht="16.149999999999999" thickBot="1" x14ac:dyDescent="0.5">
      <c r="B274" s="23" t="str">
        <f>$B$207</f>
        <v>Electricity Invercargill Limited</v>
      </c>
      <c r="C274" s="49">
        <v>0</v>
      </c>
      <c r="D274" s="49">
        <v>18.049255858247299</v>
      </c>
      <c r="E274" s="49">
        <v>25.188592000000003</v>
      </c>
      <c r="F274" s="43"/>
    </row>
    <row r="275" spans="2:6" ht="16.149999999999999" thickBot="1" x14ac:dyDescent="0.5">
      <c r="B275" s="23" t="str">
        <f>$B$208</f>
        <v>Firstlight Network Limited</v>
      </c>
      <c r="C275" s="49">
        <v>0</v>
      </c>
      <c r="D275" s="49">
        <v>121.31511000302299</v>
      </c>
      <c r="E275" s="49">
        <v>242.63022000604599</v>
      </c>
      <c r="F275" s="43"/>
    </row>
    <row r="276" spans="2:6" ht="16.149999999999999" thickBot="1" x14ac:dyDescent="0.5">
      <c r="B276" s="23" t="str">
        <f>$B$209</f>
        <v>Horizon Energy Distribution Limited</v>
      </c>
      <c r="C276" s="49">
        <v>0</v>
      </c>
      <c r="D276" s="49">
        <v>110.029887727136</v>
      </c>
      <c r="E276" s="49">
        <v>188.89915000000002</v>
      </c>
      <c r="F276" s="43"/>
    </row>
    <row r="277" spans="2:6" ht="16.149999999999999" thickBot="1" x14ac:dyDescent="0.5">
      <c r="B277" s="23" t="str">
        <f>$B$210</f>
        <v>Nelson Electricity Limited</v>
      </c>
      <c r="C277" s="49">
        <v>0</v>
      </c>
      <c r="D277" s="49">
        <v>15.700028760181</v>
      </c>
      <c r="E277" s="49">
        <v>32.419970999999997</v>
      </c>
      <c r="F277" s="43"/>
    </row>
    <row r="278" spans="2:6" ht="16.149999999999999" thickBot="1" x14ac:dyDescent="0.5">
      <c r="B278" s="23" t="str">
        <f>$B$211</f>
        <v>Network Tasman Limited</v>
      </c>
      <c r="C278" s="49">
        <v>0</v>
      </c>
      <c r="D278" s="49">
        <v>106.79368391448099</v>
      </c>
      <c r="E278" s="49">
        <v>213.58736782896199</v>
      </c>
      <c r="F278" s="43"/>
    </row>
    <row r="279" spans="2:6" ht="16.149999999999999" thickBot="1" x14ac:dyDescent="0.5">
      <c r="B279" s="23" t="str">
        <f>$B$212</f>
        <v>Orion New Zealand Limited</v>
      </c>
      <c r="C279" s="49">
        <v>0</v>
      </c>
      <c r="D279" s="49">
        <v>23.8275489887716</v>
      </c>
      <c r="E279" s="49">
        <v>43.64866</v>
      </c>
      <c r="F279" s="43"/>
    </row>
    <row r="280" spans="2:6" ht="16.149999999999999" thickBot="1" x14ac:dyDescent="0.5">
      <c r="B280" s="23" t="str">
        <f>$B$213</f>
        <v>OtagoNet Joint Venture</v>
      </c>
      <c r="C280" s="49">
        <v>0</v>
      </c>
      <c r="D280" s="49">
        <v>232.37717940667901</v>
      </c>
      <c r="E280" s="49">
        <v>464.75435881335801</v>
      </c>
      <c r="F280" s="43"/>
    </row>
    <row r="281" spans="2:6" ht="16.149999999999999" thickBot="1" x14ac:dyDescent="0.5">
      <c r="B281" s="23" t="str">
        <f>$B$214</f>
        <v>Powerco Limited</v>
      </c>
      <c r="C281" s="49">
        <v>0</v>
      </c>
      <c r="D281" s="49">
        <v>86.496536716942899</v>
      </c>
      <c r="E281" s="49">
        <v>169.94901000000002</v>
      </c>
      <c r="F281" s="43"/>
    </row>
    <row r="282" spans="2:6" ht="16.149999999999999" thickBot="1" x14ac:dyDescent="0.5">
      <c r="B282" s="23" t="str">
        <f>$B$215</f>
        <v>The Lines Company Limited</v>
      </c>
      <c r="C282" s="49">
        <v>0</v>
      </c>
      <c r="D282" s="49">
        <v>128.415426300353</v>
      </c>
      <c r="E282" s="49">
        <v>256.83085260070601</v>
      </c>
      <c r="F282" s="43"/>
    </row>
    <row r="283" spans="2:6" ht="16.149999999999999" thickBot="1" x14ac:dyDescent="0.5">
      <c r="B283" s="23" t="str">
        <f>$B$216</f>
        <v>Top Energy Limited</v>
      </c>
      <c r="C283" s="49">
        <v>0</v>
      </c>
      <c r="D283" s="49">
        <v>172.75922696491901</v>
      </c>
      <c r="E283" s="49">
        <v>345.51845392983802</v>
      </c>
      <c r="F283" s="43"/>
    </row>
    <row r="284" spans="2:6" ht="16.149999999999999" thickBot="1" x14ac:dyDescent="0.5">
      <c r="B284" s="23" t="str">
        <f>$B$217</f>
        <v>Unison Networks Limited</v>
      </c>
      <c r="C284" s="49">
        <v>0</v>
      </c>
      <c r="D284" s="49">
        <v>86.783539870679306</v>
      </c>
      <c r="E284" s="49">
        <v>137.67479</v>
      </c>
      <c r="F284" s="43"/>
    </row>
    <row r="285" spans="2:6" ht="16.149999999999999" thickBot="1" x14ac:dyDescent="0.5">
      <c r="B285" s="23" t="str">
        <f>$B$218</f>
        <v>Vector Limited</v>
      </c>
      <c r="C285" s="49">
        <v>0</v>
      </c>
      <c r="D285" s="49">
        <v>86.344450224104605</v>
      </c>
      <c r="E285" s="49">
        <v>128.78371000000001</v>
      </c>
      <c r="F285" s="43"/>
    </row>
    <row r="286" spans="2:6" ht="16.149999999999999" thickBot="1" x14ac:dyDescent="0.5">
      <c r="B286" s="23" t="str">
        <f>$B$219</f>
        <v>Wellington Electricity Lines Limited</v>
      </c>
      <c r="C286" s="49">
        <v>0</v>
      </c>
      <c r="D286" s="49">
        <v>10.953056268404501</v>
      </c>
      <c r="E286" s="49">
        <v>15.332932999999999</v>
      </c>
      <c r="F286" s="43"/>
    </row>
    <row r="287" spans="2:6" ht="14.25" x14ac:dyDescent="0.45">
      <c r="C287" s="37"/>
      <c r="D287" s="37"/>
      <c r="E287" s="37"/>
    </row>
    <row r="288" spans="2:6" ht="14.25" x14ac:dyDescent="0.45"/>
    <row r="289" spans="1:8" ht="21" x14ac:dyDescent="0.65">
      <c r="A289" s="29" t="s">
        <v>161</v>
      </c>
      <c r="B289" s="42" t="s">
        <v>83</v>
      </c>
    </row>
    <row r="290" spans="1:8" ht="21" x14ac:dyDescent="0.65">
      <c r="A290" s="29"/>
      <c r="B290" s="42" t="s">
        <v>207</v>
      </c>
    </row>
    <row r="291" spans="1:8" ht="15.75" x14ac:dyDescent="0.45">
      <c r="B291" s="46"/>
      <c r="C291" s="392"/>
      <c r="D291" s="392"/>
      <c r="E291" s="392"/>
      <c r="F291" s="392"/>
      <c r="G291" s="392"/>
      <c r="H291" s="392"/>
    </row>
    <row r="292" spans="1:8" ht="26.65" thickBot="1" x14ac:dyDescent="0.5">
      <c r="B292" s="48" t="s">
        <v>64</v>
      </c>
      <c r="C292" s="44" t="s">
        <v>57</v>
      </c>
      <c r="D292" s="48"/>
      <c r="G292" s="48"/>
      <c r="H292" s="48"/>
    </row>
    <row r="293" spans="1:8" ht="16.149999999999999" thickBot="1" x14ac:dyDescent="0.5">
      <c r="B293" s="23" t="str">
        <f>$B$204</f>
        <v>Alpine Energy Limited</v>
      </c>
      <c r="C293" s="52" cm="1">
        <f t="array" ref="C293:C308">TRANSPOSE(Output!C53:R53)</f>
        <v>16052.114816273321</v>
      </c>
      <c r="D293" s="43"/>
      <c r="G293" s="43"/>
      <c r="H293" s="43"/>
    </row>
    <row r="294" spans="1:8" ht="16.149999999999999" thickBot="1" x14ac:dyDescent="0.5">
      <c r="B294" s="23" t="str">
        <f>$B$205</f>
        <v>Aurora Energy Limited</v>
      </c>
      <c r="C294" s="52">
        <v>26480.541140482612</v>
      </c>
      <c r="D294" s="43"/>
      <c r="G294" s="43"/>
      <c r="H294" s="43"/>
    </row>
    <row r="295" spans="1:8" ht="16.149999999999999" thickBot="1" x14ac:dyDescent="0.5">
      <c r="B295" s="23" t="str">
        <f>$B$206</f>
        <v>Electricity Ashburton Limited</v>
      </c>
      <c r="C295" s="52">
        <v>11363.882695267144</v>
      </c>
      <c r="D295" s="43"/>
      <c r="G295" s="43"/>
      <c r="H295" s="43"/>
    </row>
    <row r="296" spans="1:8" ht="16.149999999999999" thickBot="1" x14ac:dyDescent="0.5">
      <c r="B296" s="23" t="str">
        <f>$B$207</f>
        <v>Electricity Invercargill Limited</v>
      </c>
      <c r="C296" s="52">
        <v>4909.0203754783888</v>
      </c>
      <c r="D296" s="43"/>
      <c r="G296" s="43"/>
      <c r="H296" s="43"/>
    </row>
    <row r="297" spans="1:8" ht="16.149999999999999" thickBot="1" x14ac:dyDescent="0.5">
      <c r="B297" s="23" t="str">
        <f>$B$208</f>
        <v>Firstlight Network Limited</v>
      </c>
      <c r="C297" s="52">
        <v>5619.7212237031699</v>
      </c>
      <c r="D297" s="43"/>
      <c r="G297" s="43"/>
      <c r="H297" s="43"/>
    </row>
    <row r="298" spans="1:8" ht="16.149999999999999" thickBot="1" x14ac:dyDescent="0.5">
      <c r="B298" s="23" t="str">
        <f>$B$209</f>
        <v>Horizon Energy Distribution Limited</v>
      </c>
      <c r="C298" s="52">
        <v>10284.380848197163</v>
      </c>
      <c r="D298" s="43"/>
      <c r="G298" s="43"/>
      <c r="H298" s="43"/>
    </row>
    <row r="299" spans="1:8" ht="16.149999999999999" thickBot="1" x14ac:dyDescent="0.5">
      <c r="B299" s="23" t="str">
        <f>$B$210</f>
        <v>Nelson Electricity Limited</v>
      </c>
      <c r="C299" s="52">
        <v>2633.7086057257193</v>
      </c>
      <c r="D299" s="43"/>
      <c r="G299" s="43"/>
      <c r="H299" s="43"/>
    </row>
    <row r="300" spans="1:8" ht="16.149999999999999" thickBot="1" x14ac:dyDescent="0.5">
      <c r="B300" s="23" t="str">
        <f>$B$211</f>
        <v>Network Tasman Limited</v>
      </c>
      <c r="C300" s="52">
        <v>12673.241846606852</v>
      </c>
      <c r="D300" s="43"/>
      <c r="G300" s="43"/>
      <c r="H300" s="43"/>
    </row>
    <row r="301" spans="1:8" ht="16.149999999999999" thickBot="1" x14ac:dyDescent="0.5">
      <c r="B301" s="23" t="str">
        <f>$B$212</f>
        <v>Orion New Zealand Limited</v>
      </c>
      <c r="C301" s="52">
        <v>65696.731723014847</v>
      </c>
      <c r="D301" s="43"/>
      <c r="G301" s="43"/>
      <c r="H301" s="43"/>
    </row>
    <row r="302" spans="1:8" ht="16.149999999999999" thickBot="1" x14ac:dyDescent="0.5">
      <c r="B302" s="23" t="str">
        <f>$B$213</f>
        <v>OtagoNet Joint Venture</v>
      </c>
      <c r="C302" s="52">
        <v>9015.0988499388786</v>
      </c>
      <c r="D302" s="43"/>
      <c r="G302" s="43"/>
      <c r="H302" s="43"/>
    </row>
    <row r="303" spans="1:8" ht="16.149999999999999" thickBot="1" x14ac:dyDescent="0.5">
      <c r="B303" s="23" t="str">
        <f>$B$214</f>
        <v>Powerco Limited</v>
      </c>
      <c r="C303" s="52">
        <v>96938.164946242032</v>
      </c>
      <c r="D303" s="43"/>
      <c r="G303" s="43"/>
      <c r="H303" s="43"/>
    </row>
    <row r="304" spans="1:8" ht="16.149999999999999" thickBot="1" x14ac:dyDescent="0.5">
      <c r="B304" s="23" t="str">
        <f>$B$215</f>
        <v>The Lines Company Limited</v>
      </c>
      <c r="C304" s="52">
        <v>7143.3085827047553</v>
      </c>
      <c r="D304" s="43"/>
      <c r="G304" s="43"/>
      <c r="H304" s="43"/>
    </row>
    <row r="305" spans="2:8" ht="16.149999999999999" thickBot="1" x14ac:dyDescent="0.5">
      <c r="B305" s="23" t="str">
        <f>$B$216</f>
        <v>Top Energy Limited</v>
      </c>
      <c r="C305" s="52">
        <v>6434.0440490980027</v>
      </c>
      <c r="D305" s="43"/>
      <c r="G305" s="43"/>
      <c r="H305" s="43"/>
    </row>
    <row r="306" spans="2:8" ht="16.149999999999999" thickBot="1" x14ac:dyDescent="0.5">
      <c r="B306" s="23" t="str">
        <f>$B$217</f>
        <v>Unison Networks Limited</v>
      </c>
      <c r="C306" s="52">
        <v>32405.570917716635</v>
      </c>
      <c r="D306" s="43"/>
      <c r="G306" s="43"/>
      <c r="H306" s="43"/>
    </row>
    <row r="307" spans="2:8" ht="16.149999999999999" thickBot="1" x14ac:dyDescent="0.5">
      <c r="B307" s="23" t="str">
        <f>$B$218</f>
        <v>Vector Limited</v>
      </c>
      <c r="C307" s="52">
        <v>165846.69429069856</v>
      </c>
      <c r="D307" s="43"/>
      <c r="G307" s="43"/>
      <c r="H307" s="43"/>
    </row>
    <row r="308" spans="2:8" ht="16.149999999999999" thickBot="1" x14ac:dyDescent="0.5">
      <c r="B308" s="23" t="str">
        <f>$B$219</f>
        <v>Wellington Electricity Lines Limited</v>
      </c>
      <c r="C308" s="52">
        <v>44506.946831693538</v>
      </c>
      <c r="D308" s="43"/>
      <c r="G308" s="43"/>
      <c r="H308" s="43"/>
    </row>
  </sheetData>
  <mergeCells count="7">
    <mergeCell ref="C122:E122"/>
    <mergeCell ref="F122:H122"/>
    <mergeCell ref="C224:F224"/>
    <mergeCell ref="C291:H291"/>
    <mergeCell ref="C269:H269"/>
    <mergeCell ref="C247:H247"/>
    <mergeCell ref="C202:D202"/>
  </mergeCells>
  <conditionalFormatting sqref="C122 F122 C123:D123 F123:G123">
    <cfRule type="cellIs" dxfId="21" priority="39" operator="equal">
      <formula>"ERROR"</formula>
    </cfRule>
  </conditionalFormatting>
  <conditionalFormatting sqref="C36:D36">
    <cfRule type="cellIs" dxfId="20" priority="42" operator="equal">
      <formula>"ERROR"</formula>
    </cfRule>
  </conditionalFormatting>
  <conditionalFormatting sqref="C57:D57">
    <cfRule type="cellIs" dxfId="19" priority="41" operator="equal">
      <formula>"ERROR"</formula>
    </cfRule>
  </conditionalFormatting>
  <conditionalFormatting sqref="C80:D80 F80:G80 I80:J80">
    <cfRule type="cellIs" dxfId="18" priority="23" operator="equal">
      <formula>"ERROR"</formula>
    </cfRule>
  </conditionalFormatting>
  <conditionalFormatting sqref="C101:D101">
    <cfRule type="cellIs" dxfId="17" priority="40" operator="equal">
      <formula>"ERROR"</formula>
    </cfRule>
  </conditionalFormatting>
  <conditionalFormatting sqref="C146:D146">
    <cfRule type="cellIs" dxfId="16" priority="35" operator="equal">
      <formula>"ERROR"</formula>
    </cfRule>
  </conditionalFormatting>
  <conditionalFormatting sqref="C154:D154 F154">
    <cfRule type="cellIs" dxfId="15" priority="16" operator="equal">
      <formula>"ERROR"</formula>
    </cfRule>
  </conditionalFormatting>
  <conditionalFormatting sqref="C177:D177 F177:G177 I177:J177">
    <cfRule type="cellIs" dxfId="14" priority="9" operator="equal">
      <formula>"ERROR"</formula>
    </cfRule>
  </conditionalFormatting>
  <conditionalFormatting sqref="E81:E96">
    <cfRule type="cellIs" dxfId="13" priority="21" operator="lessThan">
      <formula>-0.1</formula>
    </cfRule>
    <cfRule type="cellIs" dxfId="12" priority="22" operator="greaterThan">
      <formula>0.1</formula>
    </cfRule>
  </conditionalFormatting>
  <conditionalFormatting sqref="E124:E139">
    <cfRule type="cellIs" dxfId="11" priority="38" operator="equal">
      <formula>0.02</formula>
    </cfRule>
  </conditionalFormatting>
  <conditionalFormatting sqref="E147:E148">
    <cfRule type="cellIs" dxfId="10" priority="34" operator="equal">
      <formula>0.02</formula>
    </cfRule>
  </conditionalFormatting>
  <conditionalFormatting sqref="E155:E170">
    <cfRule type="cellIs" dxfId="9" priority="14" operator="lessThan">
      <formula>-5%</formula>
    </cfRule>
    <cfRule type="cellIs" dxfId="8" priority="15" operator="greaterThan">
      <formula>5%</formula>
    </cfRule>
  </conditionalFormatting>
  <conditionalFormatting sqref="E178:E193">
    <cfRule type="cellIs" dxfId="7" priority="3" operator="lessThan">
      <formula>-5%</formula>
    </cfRule>
    <cfRule type="cellIs" dxfId="6" priority="4" operator="greaterThan">
      <formula>5%</formula>
    </cfRule>
  </conditionalFormatting>
  <conditionalFormatting sqref="H124:H139">
    <cfRule type="cellIs" dxfId="5" priority="36" operator="equal">
      <formula>0.02</formula>
    </cfRule>
  </conditionalFormatting>
  <conditionalFormatting sqref="I81:I96">
    <cfRule type="cellIs" dxfId="4" priority="19" operator="lessThan">
      <formula>-0.1</formula>
    </cfRule>
    <cfRule type="cellIs" dxfId="3" priority="20" operator="greaterThan">
      <formula>0.1</formula>
    </cfRule>
  </conditionalFormatting>
  <conditionalFormatting sqref="I178:I193">
    <cfRule type="cellIs" dxfId="2" priority="1" operator="lessThan">
      <formula>-5%</formula>
    </cfRule>
    <cfRule type="cellIs" dxfId="1" priority="2" operator="greaterThan">
      <formula>5%</formula>
    </cfRule>
  </conditionalFormatting>
  <conditionalFormatting sqref="L10:M11 O10:P11">
    <cfRule type="cellIs" dxfId="0" priority="43" operator="equal">
      <formula>"ERROR"</formula>
    </cfRule>
  </conditionalFormatting>
  <hyperlinks>
    <hyperlink ref="A3" location="'Chart book'!A197" display="Tables for Determination" xr:uid="{9C3C3520-68F8-449A-981A-A4ADFD3CCA3A}"/>
  </hyperlinks>
  <pageMargins left="0.25" right="0.25" top="0.75" bottom="0.75" header="0.3" footer="0.3"/>
  <pageSetup paperSize="9" scale="87" fitToHeight="0" orientation="portrait" r:id="rId1"/>
  <headerFooter>
    <oddFooter>&amp;L&amp;F&amp;C&amp;A&amp;R&amp;P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14</vt:i4>
      </vt:variant>
    </vt:vector>
  </HeadingPairs>
  <TitlesOfParts>
    <vt:vector size="23" baseType="lpstr">
      <vt:lpstr>CoverSheet</vt:lpstr>
      <vt:lpstr>Description</vt:lpstr>
      <vt:lpstr>Table of Contents</vt:lpstr>
      <vt:lpstr>Inputs from R</vt:lpstr>
      <vt:lpstr>Other Inputs</vt:lpstr>
      <vt:lpstr>Calculations</vt:lpstr>
      <vt:lpstr>Calculations-Chartbook</vt:lpstr>
      <vt:lpstr>Output</vt:lpstr>
      <vt:lpstr>Chart book</vt:lpstr>
      <vt:lpstr>Inputs_from_R_model</vt:lpstr>
      <vt:lpstr>Inputs_that_are_specific_to_individual_distributors</vt:lpstr>
      <vt:lpstr>Planned_disruption_standards</vt:lpstr>
      <vt:lpstr>Calculations!Print_Area</vt:lpstr>
      <vt:lpstr>'Calculations-Chartbook'!Print_Area</vt:lpstr>
      <vt:lpstr>'Chart book'!Print_Area</vt:lpstr>
      <vt:lpstr>CoverSheet!Print_Area</vt:lpstr>
      <vt:lpstr>Description!Print_Area</vt:lpstr>
      <vt:lpstr>'Inputs from R'!Print_Area</vt:lpstr>
      <vt:lpstr>'Other Inputs'!Print_Area</vt:lpstr>
      <vt:lpstr>Output!Print_Area</vt:lpstr>
      <vt:lpstr>'Table of Contents'!Print_Area</vt:lpstr>
      <vt:lpstr>Tables_for_Draft_Determination</vt:lpstr>
      <vt:lpstr>Unplanned_disruption_standards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2019-05-27T08:32:45Z</dcterms:created>
  <dcterms:modified xsi:type="dcterms:W3CDTF">2024-11-18T19:47:03Z</dcterms:modified>
</cp:coreProperties>
</file>