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tabRatio="666" activeTab="1"/>
  </bookViews>
  <sheets>
    <sheet name="Regional Variance v2" sheetId="11" r:id="rId1"/>
    <sheet name="Trenching v2" sheetId="4" r:id="rId2"/>
    <sheet name="Buildups 50dia" sheetId="6" r:id="rId3"/>
    <sheet name="Buildups 100dia" sheetId="2" r:id="rId4"/>
    <sheet name="Urban Buildups 50dia" sheetId="7" r:id="rId5"/>
    <sheet name="Urban Buildups 100dia" sheetId="5" r:id="rId6"/>
    <sheet name="Dir.Drilling" sheetId="9" r:id="rId7"/>
    <sheet name="Chain Trench" sheetId="12" r:id="rId8"/>
  </sheets>
  <definedNames>
    <definedName name="Hard100">Dir.Drilling!$AD$51</definedName>
    <definedName name="Hard32">Dir.Drilling!$AD$39</definedName>
    <definedName name="Hard50">Dir.Drilling!$AD$45</definedName>
    <definedName name="Medium100">Dir.Drilling!$AD$50</definedName>
    <definedName name="Medium32">Dir.Drilling!$AD$38</definedName>
    <definedName name="Medium50">Dir.Drilling!$AD$44</definedName>
    <definedName name="_xlnm.Print_Area" localSheetId="0">'Regional Variance v2'!$A$1:$F$34</definedName>
    <definedName name="Soft100">Dir.Drilling!$AD$49</definedName>
    <definedName name="Soft32">Dir.Drilling!$AD$37</definedName>
    <definedName name="Soft50">Dir.Drilling!$AD$43</definedName>
    <definedName name="Urban100">Dir.Drilling!$AD$52</definedName>
    <definedName name="Urban32">Dir.Drilling!$AD$40</definedName>
    <definedName name="Urban50">Dir.Drilling!$AD$46</definedName>
  </definedNames>
  <calcPr calcId="145621"/>
</workbook>
</file>

<file path=xl/calcChain.xml><?xml version="1.0" encoding="utf-8"?>
<calcChain xmlns="http://schemas.openxmlformats.org/spreadsheetml/2006/main">
  <c r="Z15" i="5" l="1"/>
  <c r="T13" i="6"/>
  <c r="T13" i="2"/>
  <c r="T51" i="5"/>
  <c r="U45" i="5"/>
  <c r="S22" i="9" l="1"/>
  <c r="U22" i="9"/>
  <c r="U20" i="9"/>
  <c r="U24" i="9" s="1"/>
  <c r="S20" i="9"/>
  <c r="S18" i="9"/>
  <c r="U18" i="9" s="1"/>
  <c r="M7" i="11"/>
  <c r="L7" i="11"/>
  <c r="AA70" i="9"/>
  <c r="AA67" i="9"/>
  <c r="AB68" i="9" s="1"/>
  <c r="AF45" i="9"/>
  <c r="AF44" i="9"/>
  <c r="AF43" i="9"/>
  <c r="Z61" i="9"/>
  <c r="X62" i="9" s="1"/>
  <c r="Z58" i="9"/>
  <c r="Y59" i="9" s="1"/>
  <c r="X59" i="9"/>
  <c r="W59" i="9"/>
  <c r="V59" i="9"/>
  <c r="D14" i="4"/>
  <c r="D25" i="4" s="1"/>
  <c r="E14" i="4"/>
  <c r="E25" i="4" s="1"/>
  <c r="F14" i="4"/>
  <c r="F25" i="4" s="1"/>
  <c r="G14" i="4"/>
  <c r="G25" i="4" s="1"/>
  <c r="H14" i="4"/>
  <c r="H25" i="4" s="1"/>
  <c r="I14" i="4"/>
  <c r="I25" i="4" s="1"/>
  <c r="J14" i="4"/>
  <c r="J25" i="4" s="1"/>
  <c r="K14" i="4"/>
  <c r="K25" i="4" s="1"/>
  <c r="L14" i="4"/>
  <c r="L25" i="4" s="1"/>
  <c r="M14" i="4"/>
  <c r="M25" i="4" s="1"/>
  <c r="N14" i="4"/>
  <c r="N25" i="4" s="1"/>
  <c r="O14" i="4"/>
  <c r="O25" i="4" s="1"/>
  <c r="P14" i="4"/>
  <c r="P25" i="4" s="1"/>
  <c r="Q14" i="4"/>
  <c r="Q25" i="4" s="1"/>
  <c r="R14" i="4"/>
  <c r="R25" i="4" s="1"/>
  <c r="S14" i="4"/>
  <c r="S25" i="4" s="1"/>
  <c r="T14" i="4"/>
  <c r="T25" i="4" s="1"/>
  <c r="U14" i="4"/>
  <c r="U25" i="4" s="1"/>
  <c r="V14" i="4"/>
  <c r="V25" i="4" s="1"/>
  <c r="W14" i="4"/>
  <c r="W25" i="4" s="1"/>
  <c r="X14" i="4"/>
  <c r="X25" i="4" s="1"/>
  <c r="Y14" i="4"/>
  <c r="Y25" i="4" s="1"/>
  <c r="Z14" i="4"/>
  <c r="Z25" i="4" s="1"/>
  <c r="AA14" i="4"/>
  <c r="AA25" i="4" s="1"/>
  <c r="AB14" i="4"/>
  <c r="AB25" i="4" s="1"/>
  <c r="AC14" i="4"/>
  <c r="AC25" i="4" s="1"/>
  <c r="AD14" i="4"/>
  <c r="AD25" i="4" s="1"/>
  <c r="AE14" i="4"/>
  <c r="AE25" i="4" s="1"/>
  <c r="AF14" i="4"/>
  <c r="AF25" i="4" s="1"/>
  <c r="AG14" i="4"/>
  <c r="AG25" i="4" s="1"/>
  <c r="AH14" i="4"/>
  <c r="AH25" i="4" s="1"/>
  <c r="AI14" i="4"/>
  <c r="AI25" i="4" s="1"/>
  <c r="AJ14" i="4"/>
  <c r="AJ25" i="4" s="1"/>
  <c r="AK14" i="4"/>
  <c r="AK25" i="4" s="1"/>
  <c r="AL14" i="4"/>
  <c r="AL25" i="4" s="1"/>
  <c r="C14" i="4"/>
  <c r="C25" i="4" s="1"/>
  <c r="D9" i="4"/>
  <c r="D20" i="4" s="1"/>
  <c r="E9" i="4"/>
  <c r="E20" i="4" s="1"/>
  <c r="F9" i="4"/>
  <c r="F20" i="4" s="1"/>
  <c r="G9" i="4"/>
  <c r="G20" i="4" s="1"/>
  <c r="H9" i="4"/>
  <c r="H20" i="4" s="1"/>
  <c r="I9" i="4"/>
  <c r="I20" i="4" s="1"/>
  <c r="J9" i="4"/>
  <c r="J20" i="4" s="1"/>
  <c r="K9" i="4"/>
  <c r="K20" i="4" s="1"/>
  <c r="L9" i="4"/>
  <c r="L20" i="4" s="1"/>
  <c r="M9" i="4"/>
  <c r="M20" i="4" s="1"/>
  <c r="N9" i="4"/>
  <c r="N20" i="4" s="1"/>
  <c r="O9" i="4"/>
  <c r="O20" i="4" s="1"/>
  <c r="P9" i="4"/>
  <c r="P20" i="4" s="1"/>
  <c r="Q9" i="4"/>
  <c r="Q20" i="4" s="1"/>
  <c r="R9" i="4"/>
  <c r="R20" i="4" s="1"/>
  <c r="S9" i="4"/>
  <c r="S20" i="4" s="1"/>
  <c r="T9" i="4"/>
  <c r="T20" i="4" s="1"/>
  <c r="U9" i="4"/>
  <c r="U20" i="4" s="1"/>
  <c r="V9" i="4"/>
  <c r="V20" i="4" s="1"/>
  <c r="W9" i="4"/>
  <c r="W20" i="4" s="1"/>
  <c r="X9" i="4"/>
  <c r="X20" i="4" s="1"/>
  <c r="Y9" i="4"/>
  <c r="Y20" i="4" s="1"/>
  <c r="Z9" i="4"/>
  <c r="Z20" i="4" s="1"/>
  <c r="AA9" i="4"/>
  <c r="AA20" i="4" s="1"/>
  <c r="AB9" i="4"/>
  <c r="AB20" i="4" s="1"/>
  <c r="AC9" i="4"/>
  <c r="AC20" i="4" s="1"/>
  <c r="AD9" i="4"/>
  <c r="AD20" i="4" s="1"/>
  <c r="AE9" i="4"/>
  <c r="AE20" i="4" s="1"/>
  <c r="AF9" i="4"/>
  <c r="AF20" i="4" s="1"/>
  <c r="AG9" i="4"/>
  <c r="AG20" i="4" s="1"/>
  <c r="AH9" i="4"/>
  <c r="AH20" i="4" s="1"/>
  <c r="AI9" i="4"/>
  <c r="AI20" i="4" s="1"/>
  <c r="AJ9" i="4"/>
  <c r="AJ20" i="4" s="1"/>
  <c r="AK9" i="4"/>
  <c r="AK20" i="4" s="1"/>
  <c r="AL9" i="4"/>
  <c r="AL20" i="4" s="1"/>
  <c r="C9" i="4"/>
  <c r="C20" i="4" s="1"/>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J44" i="12"/>
  <c r="J43" i="12"/>
  <c r="J42" i="12"/>
  <c r="J41" i="12"/>
  <c r="J40" i="12"/>
  <c r="J39" i="12"/>
  <c r="E10" i="12"/>
  <c r="E11" i="12"/>
  <c r="E12" i="12"/>
  <c r="E13" i="12"/>
  <c r="E14" i="12"/>
  <c r="E15" i="12"/>
  <c r="E16" i="12"/>
  <c r="E17" i="12"/>
  <c r="E18" i="12"/>
  <c r="E19" i="12"/>
  <c r="E20" i="12"/>
  <c r="E21" i="12"/>
  <c r="J21" i="12" s="1"/>
  <c r="E22" i="12"/>
  <c r="E23" i="12"/>
  <c r="E24" i="12"/>
  <c r="E25" i="12"/>
  <c r="J25" i="12" s="1"/>
  <c r="E26" i="12"/>
  <c r="E27" i="12"/>
  <c r="E28" i="12"/>
  <c r="E29" i="12"/>
  <c r="J29" i="12" s="1"/>
  <c r="E30" i="12"/>
  <c r="E31" i="12"/>
  <c r="E32" i="12"/>
  <c r="E33" i="12"/>
  <c r="J33" i="12" s="1"/>
  <c r="E34" i="12"/>
  <c r="E35" i="12"/>
  <c r="E36" i="12"/>
  <c r="E37" i="12"/>
  <c r="J37" i="12" s="1"/>
  <c r="E38" i="12"/>
  <c r="E39" i="12"/>
  <c r="E40" i="12"/>
  <c r="E41" i="12"/>
  <c r="E42" i="12"/>
  <c r="E43" i="12"/>
  <c r="E44" i="12"/>
  <c r="E9" i="12"/>
  <c r="J9" i="12" s="1"/>
  <c r="D19" i="12"/>
  <c r="J19" i="12" s="1"/>
  <c r="F19" i="12"/>
  <c r="I19" i="12" s="1"/>
  <c r="G19" i="12"/>
  <c r="H19" i="12"/>
  <c r="D20" i="12"/>
  <c r="G20" i="12"/>
  <c r="H20" i="12"/>
  <c r="D21" i="12"/>
  <c r="F21" i="12" s="1"/>
  <c r="I21" i="12" s="1"/>
  <c r="G21" i="12"/>
  <c r="H21" i="12"/>
  <c r="D22" i="12"/>
  <c r="F22" i="12"/>
  <c r="I22" i="12" s="1"/>
  <c r="G22" i="12"/>
  <c r="H22" i="12"/>
  <c r="J22" i="12"/>
  <c r="D23" i="12"/>
  <c r="J23" i="12" s="1"/>
  <c r="F23" i="12"/>
  <c r="I23" i="12" s="1"/>
  <c r="G23" i="12"/>
  <c r="H23" i="12"/>
  <c r="D24" i="12"/>
  <c r="G24" i="12"/>
  <c r="H24" i="12"/>
  <c r="D25" i="12"/>
  <c r="F25" i="12" s="1"/>
  <c r="I25" i="12" s="1"/>
  <c r="G25" i="12"/>
  <c r="H25" i="12"/>
  <c r="D26" i="12"/>
  <c r="F26" i="12"/>
  <c r="I26" i="12" s="1"/>
  <c r="G26" i="12"/>
  <c r="H26" i="12"/>
  <c r="J26" i="12"/>
  <c r="D27" i="12"/>
  <c r="J27" i="12" s="1"/>
  <c r="F27" i="12"/>
  <c r="I27" i="12" s="1"/>
  <c r="G27" i="12"/>
  <c r="H27" i="12"/>
  <c r="D28" i="12"/>
  <c r="G28" i="12"/>
  <c r="H28" i="12"/>
  <c r="D29" i="12"/>
  <c r="F29" i="12" s="1"/>
  <c r="I29" i="12" s="1"/>
  <c r="G29" i="12"/>
  <c r="H29" i="12"/>
  <c r="D30" i="12"/>
  <c r="F30" i="12"/>
  <c r="I30" i="12" s="1"/>
  <c r="G30" i="12"/>
  <c r="H30" i="12"/>
  <c r="J30" i="12"/>
  <c r="D31" i="12"/>
  <c r="J31" i="12" s="1"/>
  <c r="F31" i="12"/>
  <c r="I31" i="12" s="1"/>
  <c r="G31" i="12"/>
  <c r="H31" i="12"/>
  <c r="D32" i="12"/>
  <c r="G32" i="12"/>
  <c r="H32" i="12"/>
  <c r="D33" i="12"/>
  <c r="F33" i="12" s="1"/>
  <c r="I33" i="12" s="1"/>
  <c r="G33" i="12"/>
  <c r="H33" i="12"/>
  <c r="D34" i="12"/>
  <c r="F34" i="12"/>
  <c r="I34" i="12" s="1"/>
  <c r="G34" i="12"/>
  <c r="H34" i="12"/>
  <c r="J34" i="12"/>
  <c r="D35" i="12"/>
  <c r="J35" i="12" s="1"/>
  <c r="F35" i="12"/>
  <c r="I35" i="12" s="1"/>
  <c r="G35" i="12"/>
  <c r="H35" i="12"/>
  <c r="D36" i="12"/>
  <c r="G36" i="12"/>
  <c r="H36" i="12"/>
  <c r="D37" i="12"/>
  <c r="F37" i="12" s="1"/>
  <c r="I37" i="12" s="1"/>
  <c r="G37" i="12"/>
  <c r="H37" i="12"/>
  <c r="D38" i="12"/>
  <c r="F38" i="12"/>
  <c r="I38" i="12" s="1"/>
  <c r="G38" i="12"/>
  <c r="H38" i="12"/>
  <c r="J38" i="12"/>
  <c r="D39" i="12"/>
  <c r="F39" i="12"/>
  <c r="I39" i="12" s="1"/>
  <c r="G39" i="12"/>
  <c r="H39" i="12"/>
  <c r="D40" i="12"/>
  <c r="G40" i="12"/>
  <c r="H40" i="12"/>
  <c r="D41" i="12"/>
  <c r="F41" i="12" s="1"/>
  <c r="I41" i="12" s="1"/>
  <c r="G41" i="12"/>
  <c r="H41" i="12"/>
  <c r="D42" i="12"/>
  <c r="F42" i="12"/>
  <c r="I42" i="12" s="1"/>
  <c r="G42" i="12"/>
  <c r="H42" i="12"/>
  <c r="D43" i="12"/>
  <c r="F43" i="12"/>
  <c r="I43" i="12" s="1"/>
  <c r="G43" i="12"/>
  <c r="H43" i="12"/>
  <c r="D44" i="12"/>
  <c r="G44" i="12"/>
  <c r="H44" i="12"/>
  <c r="D18" i="12"/>
  <c r="C11" i="12"/>
  <c r="C12" i="12" s="1"/>
  <c r="C10" i="12"/>
  <c r="D10" i="12" s="1"/>
  <c r="G10" i="12"/>
  <c r="H10" i="12"/>
  <c r="G11" i="12"/>
  <c r="H11" i="12"/>
  <c r="G12" i="12"/>
  <c r="H12" i="12"/>
  <c r="G13" i="12"/>
  <c r="H13" i="12"/>
  <c r="G14" i="12"/>
  <c r="H14" i="12"/>
  <c r="G15" i="12"/>
  <c r="H15" i="12"/>
  <c r="G16" i="12"/>
  <c r="H16" i="12"/>
  <c r="G17" i="12"/>
  <c r="H17" i="12"/>
  <c r="G18" i="12"/>
  <c r="H18" i="12"/>
  <c r="M9" i="12"/>
  <c r="L9" i="12"/>
  <c r="I9" i="12"/>
  <c r="H9" i="12"/>
  <c r="G9" i="12"/>
  <c r="F9" i="12"/>
  <c r="D9" i="12"/>
  <c r="D59" i="12"/>
  <c r="D58" i="12"/>
  <c r="D57" i="12"/>
  <c r="D56" i="12"/>
  <c r="D55" i="12"/>
  <c r="D54" i="12"/>
  <c r="E55" i="12"/>
  <c r="E56" i="12"/>
  <c r="E57" i="12"/>
  <c r="E58" i="12"/>
  <c r="J58" i="12" s="1"/>
  <c r="E59" i="12"/>
  <c r="E60" i="12"/>
  <c r="E61" i="12"/>
  <c r="E62" i="12"/>
  <c r="E63" i="12"/>
  <c r="E64" i="12"/>
  <c r="E65" i="12"/>
  <c r="E66" i="12"/>
  <c r="E67" i="12"/>
  <c r="E68" i="12"/>
  <c r="E69" i="12"/>
  <c r="E70" i="12"/>
  <c r="E71" i="12"/>
  <c r="E72" i="12"/>
  <c r="E73" i="12"/>
  <c r="E74" i="12"/>
  <c r="E75" i="12"/>
  <c r="E76" i="12"/>
  <c r="E77" i="12"/>
  <c r="E78" i="12"/>
  <c r="E79" i="12"/>
  <c r="E80" i="12"/>
  <c r="E81" i="12"/>
  <c r="J81" i="12" s="1"/>
  <c r="E82" i="12"/>
  <c r="J82" i="12" s="1"/>
  <c r="E83" i="12"/>
  <c r="E84" i="12"/>
  <c r="E85" i="12"/>
  <c r="J85" i="12" s="1"/>
  <c r="E86" i="12"/>
  <c r="J86" i="12" s="1"/>
  <c r="E87" i="12"/>
  <c r="E88" i="12"/>
  <c r="E89" i="12"/>
  <c r="J89" i="12" s="1"/>
  <c r="E54" i="12"/>
  <c r="J88" i="12"/>
  <c r="J87" i="12"/>
  <c r="J84" i="12"/>
  <c r="J83" i="12"/>
  <c r="J80" i="12"/>
  <c r="J79" i="12"/>
  <c r="J78" i="12"/>
  <c r="J59" i="12"/>
  <c r="J57" i="12"/>
  <c r="J56" i="12"/>
  <c r="J55" i="12"/>
  <c r="J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54" i="12"/>
  <c r="I57"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G70" i="12"/>
  <c r="H70" i="12"/>
  <c r="L70" i="12"/>
  <c r="M70" i="12"/>
  <c r="G71" i="12"/>
  <c r="H71" i="12"/>
  <c r="L71" i="12"/>
  <c r="M71" i="12"/>
  <c r="G72" i="12"/>
  <c r="H72" i="12"/>
  <c r="L72" i="12"/>
  <c r="M72" i="12"/>
  <c r="G73" i="12"/>
  <c r="H73" i="12"/>
  <c r="L73" i="12"/>
  <c r="M73" i="12"/>
  <c r="G74" i="12"/>
  <c r="H74" i="12"/>
  <c r="L74" i="12"/>
  <c r="M74" i="12"/>
  <c r="G75" i="12"/>
  <c r="H75" i="12"/>
  <c r="L75" i="12"/>
  <c r="M75" i="12"/>
  <c r="G76" i="12"/>
  <c r="H76" i="12"/>
  <c r="L76" i="12"/>
  <c r="M76" i="12"/>
  <c r="G77" i="12"/>
  <c r="H77" i="12"/>
  <c r="L77" i="12"/>
  <c r="M77" i="12"/>
  <c r="G78" i="12"/>
  <c r="H78" i="12"/>
  <c r="L78" i="12"/>
  <c r="M78" i="12"/>
  <c r="G79" i="12"/>
  <c r="H79" i="12"/>
  <c r="L79" i="12"/>
  <c r="M79" i="12"/>
  <c r="G80" i="12"/>
  <c r="H80" i="12"/>
  <c r="L80" i="12"/>
  <c r="M80" i="12"/>
  <c r="G81" i="12"/>
  <c r="H81" i="12"/>
  <c r="L81" i="12"/>
  <c r="M81" i="12"/>
  <c r="G82" i="12"/>
  <c r="H82" i="12"/>
  <c r="L82" i="12"/>
  <c r="M82" i="12"/>
  <c r="G83" i="12"/>
  <c r="H83" i="12"/>
  <c r="L83" i="12"/>
  <c r="M83" i="12"/>
  <c r="G84" i="12"/>
  <c r="H84" i="12"/>
  <c r="L84" i="12"/>
  <c r="M84" i="12"/>
  <c r="G85" i="12"/>
  <c r="H85" i="12"/>
  <c r="L85" i="12"/>
  <c r="M85" i="12"/>
  <c r="G86" i="12"/>
  <c r="H86" i="12"/>
  <c r="L86" i="12"/>
  <c r="M86" i="12"/>
  <c r="G87" i="12"/>
  <c r="H87" i="12"/>
  <c r="L87" i="12"/>
  <c r="M87" i="12"/>
  <c r="G88" i="12"/>
  <c r="H88" i="12"/>
  <c r="L88" i="12"/>
  <c r="M88" i="12"/>
  <c r="G89" i="12"/>
  <c r="H89" i="12"/>
  <c r="L89" i="12"/>
  <c r="M89" i="12"/>
  <c r="G68" i="12"/>
  <c r="H68" i="12"/>
  <c r="L68" i="12"/>
  <c r="M68" i="12"/>
  <c r="G69" i="12"/>
  <c r="H69" i="12"/>
  <c r="L69" i="12"/>
  <c r="M69" i="12"/>
  <c r="B60" i="12"/>
  <c r="B61" i="12" s="1"/>
  <c r="B59" i="12"/>
  <c r="G55" i="12"/>
  <c r="H55" i="12"/>
  <c r="L55" i="12"/>
  <c r="M55" i="12"/>
  <c r="G56" i="12"/>
  <c r="H56" i="12"/>
  <c r="L56" i="12"/>
  <c r="M56" i="12"/>
  <c r="G57" i="12"/>
  <c r="H57" i="12"/>
  <c r="L57" i="12"/>
  <c r="M57" i="12"/>
  <c r="G58" i="12"/>
  <c r="H58" i="12"/>
  <c r="L58" i="12"/>
  <c r="M58" i="12"/>
  <c r="G59" i="12"/>
  <c r="H59" i="12"/>
  <c r="L59" i="12"/>
  <c r="M59" i="12"/>
  <c r="G60" i="12"/>
  <c r="H60" i="12"/>
  <c r="L60" i="12"/>
  <c r="M60" i="12"/>
  <c r="G61" i="12"/>
  <c r="H61" i="12"/>
  <c r="L61" i="12"/>
  <c r="M61" i="12"/>
  <c r="G62" i="12"/>
  <c r="H62" i="12"/>
  <c r="L62" i="12"/>
  <c r="M62" i="12"/>
  <c r="G63" i="12"/>
  <c r="H63" i="12"/>
  <c r="L63" i="12"/>
  <c r="M63" i="12"/>
  <c r="G64" i="12"/>
  <c r="H64" i="12"/>
  <c r="L64" i="12"/>
  <c r="M64" i="12"/>
  <c r="G65" i="12"/>
  <c r="H65" i="12"/>
  <c r="L65" i="12"/>
  <c r="M65" i="12"/>
  <c r="G66" i="12"/>
  <c r="H66" i="12"/>
  <c r="L66" i="12"/>
  <c r="M66" i="12"/>
  <c r="G67" i="12"/>
  <c r="H67" i="12"/>
  <c r="L67" i="12"/>
  <c r="M67" i="12"/>
  <c r="M54" i="12"/>
  <c r="L54" i="12"/>
  <c r="H54" i="12"/>
  <c r="G54" i="12"/>
  <c r="Y68" i="9" l="1"/>
  <c r="U68" i="9"/>
  <c r="X71" i="9"/>
  <c r="T71" i="9"/>
  <c r="W68" i="9"/>
  <c r="V68" i="9"/>
  <c r="U71" i="9"/>
  <c r="X68" i="9"/>
  <c r="T68" i="9"/>
  <c r="W71" i="9"/>
  <c r="Z71" i="9"/>
  <c r="V71" i="9"/>
  <c r="Z68" i="9"/>
  <c r="Y71" i="9"/>
  <c r="W62" i="9"/>
  <c r="Y62" i="9"/>
  <c r="V62" i="9"/>
  <c r="J36" i="12"/>
  <c r="J32" i="12"/>
  <c r="J28" i="12"/>
  <c r="J24" i="12"/>
  <c r="J20" i="12"/>
  <c r="F44" i="12"/>
  <c r="I44" i="12" s="1"/>
  <c r="F40" i="12"/>
  <c r="I40" i="12" s="1"/>
  <c r="F36" i="12"/>
  <c r="I36" i="12" s="1"/>
  <c r="F32" i="12"/>
  <c r="I32" i="12" s="1"/>
  <c r="F28" i="12"/>
  <c r="I28" i="12" s="1"/>
  <c r="F24" i="12"/>
  <c r="I24" i="12" s="1"/>
  <c r="F20" i="12"/>
  <c r="I20" i="12" s="1"/>
  <c r="D12" i="12"/>
  <c r="C13" i="12"/>
  <c r="D11" i="12"/>
  <c r="J11" i="12" s="1"/>
  <c r="F10" i="12"/>
  <c r="I10" i="12" s="1"/>
  <c r="J10" i="12"/>
  <c r="F11" i="12"/>
  <c r="I11" i="12" s="1"/>
  <c r="I58" i="12"/>
  <c r="J61" i="12"/>
  <c r="J60" i="12"/>
  <c r="N59" i="12"/>
  <c r="O59" i="12" s="1"/>
  <c r="W3" i="12" s="1"/>
  <c r="I59" i="12"/>
  <c r="I61" i="12"/>
  <c r="I55" i="12"/>
  <c r="N55" i="12" s="1"/>
  <c r="N57" i="12"/>
  <c r="O57" i="12" s="1"/>
  <c r="U3" i="12" s="1"/>
  <c r="N58" i="12"/>
  <c r="O58" i="12" s="1"/>
  <c r="V3" i="12" s="1"/>
  <c r="I60" i="12"/>
  <c r="I56" i="12"/>
  <c r="I54" i="12"/>
  <c r="N54" i="12" s="1"/>
  <c r="O54" i="12" s="1"/>
  <c r="R3" i="12" s="1"/>
  <c r="B26" i="12"/>
  <c r="A47" i="12"/>
  <c r="D13" i="12" l="1"/>
  <c r="C14" i="12"/>
  <c r="F12" i="12"/>
  <c r="I12" i="12" s="1"/>
  <c r="N61" i="12"/>
  <c r="O61" i="12" s="1"/>
  <c r="Y3" i="12" s="1"/>
  <c r="I62" i="12"/>
  <c r="J62" i="12"/>
  <c r="B63" i="12"/>
  <c r="O55" i="12"/>
  <c r="S3" i="12" s="1"/>
  <c r="N56" i="12"/>
  <c r="O56" i="12" s="1"/>
  <c r="T3" i="12" s="1"/>
  <c r="N60" i="12"/>
  <c r="O60" i="12" s="1"/>
  <c r="X3" i="12" s="1"/>
  <c r="B27" i="12"/>
  <c r="M49" i="12"/>
  <c r="L49" i="12"/>
  <c r="H49" i="12"/>
  <c r="L42" i="12"/>
  <c r="L38" i="12"/>
  <c r="L32" i="12"/>
  <c r="L29" i="12"/>
  <c r="L25" i="12"/>
  <c r="M23" i="12"/>
  <c r="L22" i="12"/>
  <c r="M20" i="12"/>
  <c r="L20" i="12"/>
  <c r="M19" i="12"/>
  <c r="M17" i="12"/>
  <c r="L17" i="12"/>
  <c r="M16" i="12"/>
  <c r="L15" i="12"/>
  <c r="L14" i="12"/>
  <c r="M12" i="12"/>
  <c r="L12" i="12"/>
  <c r="M11" i="12"/>
  <c r="L10" i="12"/>
  <c r="M4" i="12"/>
  <c r="M39" i="12" s="1"/>
  <c r="L4" i="12"/>
  <c r="D23" i="11"/>
  <c r="C23" i="11"/>
  <c r="Q13" i="9"/>
  <c r="Q14" i="9" s="1"/>
  <c r="AL60" i="4"/>
  <c r="C26" i="9"/>
  <c r="L4" i="9"/>
  <c r="L17" i="9" s="1"/>
  <c r="L27" i="9"/>
  <c r="D23" i="9"/>
  <c r="E23" i="9" s="1"/>
  <c r="F23" i="9"/>
  <c r="G23" i="9"/>
  <c r="D24" i="9"/>
  <c r="E24" i="9" s="1"/>
  <c r="F24" i="9"/>
  <c r="G24" i="9"/>
  <c r="D25" i="9"/>
  <c r="E25" i="9" s="1"/>
  <c r="F25" i="9"/>
  <c r="G25" i="9"/>
  <c r="F26" i="9"/>
  <c r="G26" i="9"/>
  <c r="F27" i="9"/>
  <c r="G27" i="9"/>
  <c r="F28" i="9"/>
  <c r="G28" i="9"/>
  <c r="F29" i="9"/>
  <c r="G29" i="9"/>
  <c r="F30" i="9"/>
  <c r="G30" i="9"/>
  <c r="F31" i="9"/>
  <c r="G31" i="9"/>
  <c r="F32" i="9"/>
  <c r="G32" i="9"/>
  <c r="F33" i="9"/>
  <c r="G33" i="9"/>
  <c r="F34" i="9"/>
  <c r="G34" i="9"/>
  <c r="F35" i="9"/>
  <c r="G35" i="9"/>
  <c r="F36" i="9"/>
  <c r="G36" i="9"/>
  <c r="F37" i="9"/>
  <c r="G37" i="9"/>
  <c r="F38" i="9"/>
  <c r="G38" i="9"/>
  <c r="F39" i="9"/>
  <c r="G39" i="9"/>
  <c r="F40" i="9"/>
  <c r="G40" i="9"/>
  <c r="F41" i="9"/>
  <c r="G41" i="9"/>
  <c r="F42" i="9"/>
  <c r="G42" i="9"/>
  <c r="F43" i="9"/>
  <c r="G43" i="9"/>
  <c r="F44" i="9"/>
  <c r="G44" i="9"/>
  <c r="L49" i="9"/>
  <c r="L62" i="9" s="1"/>
  <c r="L39" i="9" l="1"/>
  <c r="L37" i="9"/>
  <c r="L24" i="9"/>
  <c r="L43" i="9"/>
  <c r="L36" i="9"/>
  <c r="L21" i="9"/>
  <c r="H25" i="9"/>
  <c r="L9" i="9"/>
  <c r="L40" i="9"/>
  <c r="L33" i="9"/>
  <c r="L11" i="9"/>
  <c r="L23" i="9"/>
  <c r="L20" i="9"/>
  <c r="C27" i="9"/>
  <c r="D26" i="9"/>
  <c r="E26" i="9" s="1"/>
  <c r="H26" i="9" s="1"/>
  <c r="L10" i="9"/>
  <c r="L13" i="9"/>
  <c r="L16" i="9"/>
  <c r="L19" i="9"/>
  <c r="L29" i="9"/>
  <c r="L32" i="9"/>
  <c r="L35" i="9"/>
  <c r="L12" i="9"/>
  <c r="L15" i="9"/>
  <c r="L25" i="9"/>
  <c r="L28" i="9"/>
  <c r="L31" i="9"/>
  <c r="L41" i="9"/>
  <c r="L44" i="9"/>
  <c r="J12" i="12"/>
  <c r="C15" i="12"/>
  <c r="D14" i="12"/>
  <c r="F13" i="12"/>
  <c r="I13" i="12" s="1"/>
  <c r="B64" i="12"/>
  <c r="I63" i="12"/>
  <c r="J63" i="12"/>
  <c r="N62" i="12"/>
  <c r="O62" i="12" s="1"/>
  <c r="Z3" i="12" s="1"/>
  <c r="B28" i="12"/>
  <c r="M10" i="12"/>
  <c r="M18" i="12"/>
  <c r="M21" i="12"/>
  <c r="M22" i="12"/>
  <c r="M44" i="12"/>
  <c r="M40" i="12"/>
  <c r="M37" i="12"/>
  <c r="M34" i="12"/>
  <c r="M30" i="12"/>
  <c r="M27" i="12"/>
  <c r="M24" i="12"/>
  <c r="M41" i="12"/>
  <c r="M38" i="12"/>
  <c r="M35" i="12"/>
  <c r="M31" i="12"/>
  <c r="M28" i="12"/>
  <c r="M42" i="12"/>
  <c r="M32" i="12"/>
  <c r="M29" i="12"/>
  <c r="M26" i="12"/>
  <c r="M43" i="12"/>
  <c r="M36" i="12"/>
  <c r="M33" i="12"/>
  <c r="M25" i="12"/>
  <c r="M14" i="12"/>
  <c r="N12" i="12"/>
  <c r="O12" i="12" s="1"/>
  <c r="M13" i="12"/>
  <c r="M15" i="12"/>
  <c r="L43" i="12"/>
  <c r="L39" i="12"/>
  <c r="L36" i="12"/>
  <c r="L33" i="12"/>
  <c r="L26" i="12"/>
  <c r="L44" i="12"/>
  <c r="L40" i="12"/>
  <c r="L37" i="12"/>
  <c r="L34" i="12"/>
  <c r="L30" i="12"/>
  <c r="L27" i="12"/>
  <c r="L24" i="12"/>
  <c r="L11" i="12"/>
  <c r="L13" i="12"/>
  <c r="L16" i="12"/>
  <c r="L18" i="12"/>
  <c r="L19" i="12"/>
  <c r="L21" i="12"/>
  <c r="L23" i="12"/>
  <c r="L28" i="12"/>
  <c r="L31" i="12"/>
  <c r="L41" i="12"/>
  <c r="L35" i="12"/>
  <c r="H24" i="9"/>
  <c r="L42" i="9"/>
  <c r="L38" i="9"/>
  <c r="L34" i="9"/>
  <c r="L30" i="9"/>
  <c r="L26" i="9"/>
  <c r="L22" i="9"/>
  <c r="L18" i="9"/>
  <c r="L14" i="9"/>
  <c r="H23" i="9"/>
  <c r="L54" i="9"/>
  <c r="L55" i="9"/>
  <c r="L56" i="9"/>
  <c r="L57" i="9"/>
  <c r="L58" i="9"/>
  <c r="L59" i="9"/>
  <c r="L60" i="9"/>
  <c r="L61" i="9"/>
  <c r="L63" i="9"/>
  <c r="L64" i="9"/>
  <c r="L65" i="9"/>
  <c r="L66" i="9"/>
  <c r="L53" i="9"/>
  <c r="AC37" i="9"/>
  <c r="AC38" i="9"/>
  <c r="AC42" i="9"/>
  <c r="AC43" i="9"/>
  <c r="AC44" i="9"/>
  <c r="AC48" i="9"/>
  <c r="AC49" i="9"/>
  <c r="AC50" i="9"/>
  <c r="AC36" i="9"/>
  <c r="D27" i="9" l="1"/>
  <c r="E27" i="9" s="1"/>
  <c r="H27" i="9" s="1"/>
  <c r="C28" i="9"/>
  <c r="F14" i="12"/>
  <c r="I14" i="12" s="1"/>
  <c r="D15" i="12"/>
  <c r="C16" i="12"/>
  <c r="J13" i="12"/>
  <c r="N13" i="12" s="1"/>
  <c r="O13" i="12" s="1"/>
  <c r="O63" i="12"/>
  <c r="AA3" i="12" s="1"/>
  <c r="N63" i="12"/>
  <c r="B65" i="12"/>
  <c r="J64" i="12"/>
  <c r="I64" i="12"/>
  <c r="Q12" i="12"/>
  <c r="B29" i="12"/>
  <c r="N10" i="12"/>
  <c r="O10" i="12" s="1"/>
  <c r="N11" i="12"/>
  <c r="O11" i="12" s="1"/>
  <c r="N9" i="12"/>
  <c r="O9" i="12" s="1"/>
  <c r="C31" i="9"/>
  <c r="D30" i="9"/>
  <c r="W43" i="9"/>
  <c r="W44" i="9" s="1"/>
  <c r="W45" i="9" s="1"/>
  <c r="W49" i="9"/>
  <c r="Z51" i="9"/>
  <c r="Z44" i="9"/>
  <c r="Z45" i="9" s="1"/>
  <c r="Z38" i="9"/>
  <c r="V50" i="9"/>
  <c r="V51" i="9" s="1"/>
  <c r="V44" i="9"/>
  <c r="V45" i="9" s="1"/>
  <c r="V38" i="9"/>
  <c r="V39" i="9" s="1"/>
  <c r="U50" i="9"/>
  <c r="U51" i="9" s="1"/>
  <c r="T50" i="9"/>
  <c r="T51" i="9" s="1"/>
  <c r="T44" i="9"/>
  <c r="T45" i="9" s="1"/>
  <c r="T38" i="9"/>
  <c r="T39" i="9" s="1"/>
  <c r="D55" i="9"/>
  <c r="E55" i="9" s="1"/>
  <c r="F66" i="9"/>
  <c r="F60" i="9"/>
  <c r="F65" i="9"/>
  <c r="F64" i="9"/>
  <c r="F63" i="9"/>
  <c r="F62" i="9"/>
  <c r="F61" i="9"/>
  <c r="G10" i="9"/>
  <c r="G11" i="9"/>
  <c r="G12" i="9"/>
  <c r="G13" i="9"/>
  <c r="G14" i="9"/>
  <c r="G15" i="9"/>
  <c r="G16" i="9"/>
  <c r="G17" i="9"/>
  <c r="G18" i="9"/>
  <c r="G19" i="9"/>
  <c r="G20" i="9"/>
  <c r="G21" i="9"/>
  <c r="G22" i="9"/>
  <c r="G9" i="9"/>
  <c r="F10" i="9"/>
  <c r="F11" i="9"/>
  <c r="F12" i="9"/>
  <c r="F13" i="9"/>
  <c r="F14" i="9"/>
  <c r="F15" i="9"/>
  <c r="F16" i="9"/>
  <c r="F17" i="9"/>
  <c r="F18" i="9"/>
  <c r="F19" i="9"/>
  <c r="F20" i="9"/>
  <c r="F21" i="9"/>
  <c r="F22" i="9"/>
  <c r="F9" i="9"/>
  <c r="D22" i="9"/>
  <c r="E22" i="9" s="1"/>
  <c r="D21" i="9"/>
  <c r="E21" i="9" s="1"/>
  <c r="D16" i="9"/>
  <c r="E16" i="9" s="1"/>
  <c r="D59" i="9"/>
  <c r="E59" i="9" s="1"/>
  <c r="D58" i="9"/>
  <c r="E58" i="9" s="1"/>
  <c r="D57" i="9"/>
  <c r="E57" i="9" s="1"/>
  <c r="D56" i="9"/>
  <c r="E56" i="9" s="1"/>
  <c r="D54" i="9"/>
  <c r="E54" i="9" s="1"/>
  <c r="D53" i="9"/>
  <c r="E53" i="9" s="1"/>
  <c r="F59" i="9"/>
  <c r="D20" i="9"/>
  <c r="E20" i="9" s="1"/>
  <c r="D19" i="9"/>
  <c r="E19" i="9" s="1"/>
  <c r="D18" i="9"/>
  <c r="E18" i="9" s="1"/>
  <c r="D17" i="9"/>
  <c r="E17" i="9" s="1"/>
  <c r="D15" i="9"/>
  <c r="E15" i="9" s="1"/>
  <c r="D14" i="9"/>
  <c r="E14" i="9" s="1"/>
  <c r="D13" i="9"/>
  <c r="E13" i="9" s="1"/>
  <c r="D12" i="9"/>
  <c r="E12" i="9" s="1"/>
  <c r="D11" i="9"/>
  <c r="E11" i="9" s="1"/>
  <c r="D10" i="9"/>
  <c r="E10" i="9" s="1"/>
  <c r="D9" i="9"/>
  <c r="E9" i="9" s="1"/>
  <c r="G49" i="9"/>
  <c r="G59" i="9" s="1"/>
  <c r="AG45" i="9"/>
  <c r="AG44" i="9"/>
  <c r="AG43" i="9"/>
  <c r="S51" i="9"/>
  <c r="S49" i="9"/>
  <c r="S45" i="9"/>
  <c r="S43" i="9"/>
  <c r="S39" i="9"/>
  <c r="S37" i="9"/>
  <c r="S38" i="9" s="1"/>
  <c r="S52" i="9"/>
  <c r="S46" i="9"/>
  <c r="S40" i="9"/>
  <c r="AB49" i="9" l="1"/>
  <c r="W54" i="9" s="1"/>
  <c r="S54" i="9"/>
  <c r="W50" i="9"/>
  <c r="W51" i="9" s="1"/>
  <c r="AB51" i="9" s="1"/>
  <c r="AD51" i="9" s="1"/>
  <c r="AB52" i="9"/>
  <c r="AD52" i="9" s="1"/>
  <c r="G60" i="9"/>
  <c r="AB45" i="9"/>
  <c r="C29" i="9"/>
  <c r="D29" i="9" s="1"/>
  <c r="E29" i="9" s="1"/>
  <c r="H29" i="9" s="1"/>
  <c r="D28" i="9"/>
  <c r="E28" i="9" s="1"/>
  <c r="H28" i="9" s="1"/>
  <c r="G64" i="9"/>
  <c r="AB38" i="9"/>
  <c r="G61" i="9"/>
  <c r="G63" i="9"/>
  <c r="G65" i="9"/>
  <c r="G66" i="9"/>
  <c r="AB43" i="9"/>
  <c r="H9" i="9"/>
  <c r="G62" i="9"/>
  <c r="AB37" i="9"/>
  <c r="E30" i="9"/>
  <c r="H30" i="9" s="1"/>
  <c r="S50" i="9"/>
  <c r="H19" i="9"/>
  <c r="Z39" i="9"/>
  <c r="AB39" i="9" s="1"/>
  <c r="C17" i="12"/>
  <c r="D16" i="12"/>
  <c r="J14" i="12"/>
  <c r="N14" i="12" s="1"/>
  <c r="O14" i="12" s="1"/>
  <c r="F15" i="12"/>
  <c r="I15" i="12" s="1"/>
  <c r="Q9" i="12"/>
  <c r="J65" i="12"/>
  <c r="I65" i="12"/>
  <c r="N64" i="12"/>
  <c r="O64" i="12" s="1"/>
  <c r="AB3" i="12" s="1"/>
  <c r="Q11" i="12"/>
  <c r="Q14" i="12"/>
  <c r="Q10" i="12"/>
  <c r="Q13" i="12"/>
  <c r="B30" i="12"/>
  <c r="Q60" i="12"/>
  <c r="Q58" i="12"/>
  <c r="Q61" i="12"/>
  <c r="Q57" i="12"/>
  <c r="Q56" i="12"/>
  <c r="Q62" i="12"/>
  <c r="Q63" i="12"/>
  <c r="Q59" i="12"/>
  <c r="Q54" i="12"/>
  <c r="Q55" i="12"/>
  <c r="E65" i="9"/>
  <c r="E61" i="9"/>
  <c r="H61" i="9" s="1"/>
  <c r="E60" i="9"/>
  <c r="E66" i="9"/>
  <c r="E62" i="9"/>
  <c r="E64" i="9"/>
  <c r="H59" i="9"/>
  <c r="E63" i="9"/>
  <c r="C32" i="9"/>
  <c r="D31" i="9"/>
  <c r="H18" i="9"/>
  <c r="H22" i="9"/>
  <c r="H10" i="9"/>
  <c r="H11" i="9"/>
  <c r="H21" i="9"/>
  <c r="H17" i="9"/>
  <c r="H13" i="9"/>
  <c r="H15" i="9"/>
  <c r="H14" i="9"/>
  <c r="H20" i="9"/>
  <c r="H16" i="9"/>
  <c r="H12" i="9"/>
  <c r="S44" i="9"/>
  <c r="AB44" i="9" s="1"/>
  <c r="K4" i="9"/>
  <c r="I4" i="9"/>
  <c r="H64" i="9" l="1"/>
  <c r="AD49" i="9"/>
  <c r="AD38" i="9"/>
  <c r="AD44" i="9"/>
  <c r="H66" i="9"/>
  <c r="AB50" i="9"/>
  <c r="AD50" i="9" s="1"/>
  <c r="X74" i="9"/>
  <c r="I12" i="11" s="1"/>
  <c r="C12" i="11" s="1"/>
  <c r="X75" i="9"/>
  <c r="J12" i="11" s="1"/>
  <c r="D12" i="11" s="1"/>
  <c r="H62" i="9"/>
  <c r="T74" i="9"/>
  <c r="I6" i="11" s="1"/>
  <c r="C6" i="11" s="1"/>
  <c r="T75" i="9"/>
  <c r="J6" i="11" s="1"/>
  <c r="D6" i="11" s="1"/>
  <c r="H65" i="9"/>
  <c r="V54" i="9"/>
  <c r="AA54" i="9"/>
  <c r="Z54" i="9"/>
  <c r="T54" i="9"/>
  <c r="E31" i="9"/>
  <c r="H31" i="9" s="1"/>
  <c r="I9" i="9"/>
  <c r="I11" i="9"/>
  <c r="I18" i="9"/>
  <c r="I21" i="9"/>
  <c r="I24" i="9"/>
  <c r="I27" i="9"/>
  <c r="M27" i="9" s="1"/>
  <c r="N27" i="9" s="1"/>
  <c r="AI2" i="9" s="1"/>
  <c r="U12" i="4" s="1"/>
  <c r="I34" i="9"/>
  <c r="I37" i="9"/>
  <c r="I40" i="9"/>
  <c r="I43" i="9"/>
  <c r="I14" i="9"/>
  <c r="I17" i="9"/>
  <c r="I20" i="9"/>
  <c r="M20" i="9" s="1"/>
  <c r="N20" i="9" s="1"/>
  <c r="AB2" i="9" s="1"/>
  <c r="N12" i="4" s="1"/>
  <c r="I23" i="9"/>
  <c r="I30" i="9"/>
  <c r="I33" i="9"/>
  <c r="I36" i="9"/>
  <c r="I39" i="9"/>
  <c r="I13" i="9"/>
  <c r="I16" i="9"/>
  <c r="I19" i="9"/>
  <c r="I42" i="9"/>
  <c r="I25" i="9"/>
  <c r="I31" i="9"/>
  <c r="I29" i="9"/>
  <c r="M29" i="9" s="1"/>
  <c r="N29" i="9" s="1"/>
  <c r="AK2" i="9" s="1"/>
  <c r="W12" i="4" s="1"/>
  <c r="I35" i="9"/>
  <c r="I12" i="9"/>
  <c r="I15" i="9"/>
  <c r="I38" i="9"/>
  <c r="I41" i="9"/>
  <c r="I44" i="9"/>
  <c r="I10" i="9"/>
  <c r="I22" i="9"/>
  <c r="M22" i="9" s="1"/>
  <c r="N22" i="9" s="1"/>
  <c r="AD2" i="9" s="1"/>
  <c r="P12" i="4" s="1"/>
  <c r="I28" i="9"/>
  <c r="I26" i="9"/>
  <c r="I32" i="9"/>
  <c r="AB40" i="9"/>
  <c r="AD40" i="9" s="1"/>
  <c r="AD37" i="9"/>
  <c r="AD43" i="9"/>
  <c r="AB46" i="9"/>
  <c r="AD46" i="9" s="1"/>
  <c r="K10" i="9"/>
  <c r="K12" i="9"/>
  <c r="M12" i="9" s="1"/>
  <c r="K15" i="9"/>
  <c r="K22" i="9"/>
  <c r="K25" i="9"/>
  <c r="K28" i="9"/>
  <c r="K31" i="9"/>
  <c r="K38" i="9"/>
  <c r="K41" i="9"/>
  <c r="K44" i="9"/>
  <c r="K11" i="9"/>
  <c r="K18" i="9"/>
  <c r="M18" i="9" s="1"/>
  <c r="N18" i="9" s="1"/>
  <c r="Z2" i="9" s="1"/>
  <c r="L12" i="4" s="1"/>
  <c r="K21" i="9"/>
  <c r="K24" i="9"/>
  <c r="K27" i="9"/>
  <c r="K34" i="9"/>
  <c r="K37" i="9"/>
  <c r="K40" i="9"/>
  <c r="K43" i="9"/>
  <c r="K30" i="9"/>
  <c r="M30" i="9" s="1"/>
  <c r="N30" i="9" s="1"/>
  <c r="AL2" i="9" s="1"/>
  <c r="X12" i="4" s="1"/>
  <c r="K33" i="9"/>
  <c r="K39" i="9"/>
  <c r="K16" i="9"/>
  <c r="K42" i="9"/>
  <c r="K17" i="9"/>
  <c r="K23" i="9"/>
  <c r="K26" i="9"/>
  <c r="K29" i="9"/>
  <c r="K32" i="9"/>
  <c r="K35" i="9"/>
  <c r="K36" i="9"/>
  <c r="K13" i="9"/>
  <c r="M13" i="9" s="1"/>
  <c r="N13" i="9" s="1"/>
  <c r="U2" i="9" s="1"/>
  <c r="G12" i="4" s="1"/>
  <c r="K19" i="9"/>
  <c r="K9" i="9"/>
  <c r="K14" i="9"/>
  <c r="K20" i="9"/>
  <c r="AD45" i="9"/>
  <c r="H63" i="9"/>
  <c r="H60" i="9"/>
  <c r="AD39" i="9"/>
  <c r="F16" i="12"/>
  <c r="I16" i="12" s="1"/>
  <c r="J15" i="12"/>
  <c r="C18" i="12"/>
  <c r="D17" i="12"/>
  <c r="N65" i="12"/>
  <c r="O65" i="12" s="1"/>
  <c r="AC3" i="12" s="1"/>
  <c r="I66" i="12"/>
  <c r="B67" i="12"/>
  <c r="J66" i="12"/>
  <c r="Q64" i="12"/>
  <c r="B31" i="12"/>
  <c r="C33" i="9"/>
  <c r="D32" i="9"/>
  <c r="M14" i="9"/>
  <c r="N14" i="9"/>
  <c r="V2" i="9" s="1"/>
  <c r="H12" i="4" s="1"/>
  <c r="M15" i="9"/>
  <c r="N15" i="9" s="1"/>
  <c r="W2" i="9" s="1"/>
  <c r="I12" i="4" s="1"/>
  <c r="M16" i="9"/>
  <c r="N16" i="9" s="1"/>
  <c r="X2" i="9" s="1"/>
  <c r="J12" i="4" s="1"/>
  <c r="K49" i="9"/>
  <c r="G54" i="9"/>
  <c r="G55" i="9"/>
  <c r="G56" i="9"/>
  <c r="G57" i="9"/>
  <c r="G58" i="9"/>
  <c r="G53" i="9"/>
  <c r="F54" i="9"/>
  <c r="F55" i="9"/>
  <c r="F56" i="9"/>
  <c r="F57" i="9"/>
  <c r="F58" i="9"/>
  <c r="F53" i="9"/>
  <c r="I49" i="9"/>
  <c r="K7" i="5"/>
  <c r="M17" i="9" l="1"/>
  <c r="N17" i="9" s="1"/>
  <c r="Y2" i="9" s="1"/>
  <c r="K12" i="4" s="1"/>
  <c r="K59" i="4" s="1"/>
  <c r="M21" i="9"/>
  <c r="N21" i="9" s="1"/>
  <c r="AC2" i="9" s="1"/>
  <c r="O12" i="4" s="1"/>
  <c r="O59" i="4" s="1"/>
  <c r="M31" i="9"/>
  <c r="N31" i="9" s="1"/>
  <c r="AM2" i="9" s="1"/>
  <c r="Y12" i="4" s="1"/>
  <c r="Y23" i="4" s="1"/>
  <c r="M19" i="9"/>
  <c r="N19" i="9" s="1"/>
  <c r="AA2" i="9" s="1"/>
  <c r="M12" i="4" s="1"/>
  <c r="M59" i="4" s="1"/>
  <c r="Z75" i="9"/>
  <c r="J14" i="11" s="1"/>
  <c r="D14" i="11" s="1"/>
  <c r="Z74" i="9"/>
  <c r="I14" i="11" s="1"/>
  <c r="C14" i="11" s="1"/>
  <c r="V75" i="9"/>
  <c r="J10" i="11" s="1"/>
  <c r="D10" i="11" s="1"/>
  <c r="W74" i="9"/>
  <c r="I11" i="11" s="1"/>
  <c r="C11" i="11" s="1"/>
  <c r="V74" i="9"/>
  <c r="I10" i="11" s="1"/>
  <c r="C10" i="11" s="1"/>
  <c r="W75" i="9"/>
  <c r="J11" i="11" s="1"/>
  <c r="D11" i="11" s="1"/>
  <c r="H53" i="9"/>
  <c r="U74" i="9"/>
  <c r="I7" i="11" s="1"/>
  <c r="C7" i="11" s="1"/>
  <c r="U75" i="9"/>
  <c r="J7" i="11" s="1"/>
  <c r="D7" i="11" s="1"/>
  <c r="M9" i="9"/>
  <c r="N9" i="9" s="1"/>
  <c r="Q2" i="9" s="1"/>
  <c r="C12" i="4" s="1"/>
  <c r="Y74" i="9"/>
  <c r="I13" i="11" s="1"/>
  <c r="C13" i="11" s="1"/>
  <c r="Y75" i="9"/>
  <c r="J13" i="11" s="1"/>
  <c r="D13" i="11" s="1"/>
  <c r="G59" i="4"/>
  <c r="G33" i="4"/>
  <c r="G23" i="4"/>
  <c r="W59" i="4"/>
  <c r="W33" i="4"/>
  <c r="W23" i="4"/>
  <c r="N23" i="4"/>
  <c r="N59" i="4"/>
  <c r="N33" i="4"/>
  <c r="K63" i="9"/>
  <c r="K59" i="9"/>
  <c r="K56" i="9"/>
  <c r="K66" i="9"/>
  <c r="K62" i="9"/>
  <c r="K55" i="9"/>
  <c r="K58" i="9"/>
  <c r="K60" i="9"/>
  <c r="K65" i="9"/>
  <c r="K64" i="9"/>
  <c r="K53" i="9"/>
  <c r="K61" i="9"/>
  <c r="K57" i="9"/>
  <c r="K54" i="9"/>
  <c r="L59" i="4"/>
  <c r="L33" i="4"/>
  <c r="L23" i="4"/>
  <c r="X59" i="4"/>
  <c r="X33" i="4"/>
  <c r="X23" i="4"/>
  <c r="M23" i="9"/>
  <c r="N23" i="9" s="1"/>
  <c r="AE2" i="9" s="1"/>
  <c r="Q12" i="4" s="1"/>
  <c r="U33" i="4"/>
  <c r="U23" i="4"/>
  <c r="U59" i="4"/>
  <c r="N12" i="9"/>
  <c r="T2" i="9" s="1"/>
  <c r="F12" i="4" s="1"/>
  <c r="O33" i="4"/>
  <c r="M24" i="9"/>
  <c r="N24" i="9" s="1"/>
  <c r="AF2" i="9" s="1"/>
  <c r="R12" i="4" s="1"/>
  <c r="I63" i="9"/>
  <c r="M63" i="9" s="1"/>
  <c r="N63" i="9" s="1"/>
  <c r="I59" i="9"/>
  <c r="I66" i="9"/>
  <c r="M66" i="9" s="1"/>
  <c r="N66" i="9" s="1"/>
  <c r="I62" i="9"/>
  <c r="M62" i="9" s="1"/>
  <c r="N62" i="9" s="1"/>
  <c r="I58" i="9"/>
  <c r="I64" i="9"/>
  <c r="I61" i="9"/>
  <c r="M61" i="9" s="1"/>
  <c r="N61" i="9" s="1"/>
  <c r="I60" i="9"/>
  <c r="I65" i="9"/>
  <c r="M65" i="9" s="1"/>
  <c r="N65" i="9" s="1"/>
  <c r="I55" i="9"/>
  <c r="I57" i="9"/>
  <c r="I54" i="9"/>
  <c r="I56" i="9"/>
  <c r="I53" i="9"/>
  <c r="I33" i="4"/>
  <c r="I23" i="4"/>
  <c r="I59" i="4"/>
  <c r="E32" i="9"/>
  <c r="H32" i="9" s="1"/>
  <c r="M32" i="9" s="1"/>
  <c r="N32" i="9" s="1"/>
  <c r="AN2" i="9" s="1"/>
  <c r="Z12" i="4" s="1"/>
  <c r="M10" i="9"/>
  <c r="N10" i="9" s="1"/>
  <c r="R2" i="9" s="1"/>
  <c r="D12" i="4" s="1"/>
  <c r="M28" i="9"/>
  <c r="N28" i="9" s="1"/>
  <c r="AJ2" i="9" s="1"/>
  <c r="V12" i="4" s="1"/>
  <c r="M26" i="9"/>
  <c r="N26" i="9" s="1"/>
  <c r="AH2" i="9" s="1"/>
  <c r="T12" i="4" s="1"/>
  <c r="M25" i="9"/>
  <c r="N25" i="9" s="1"/>
  <c r="AG2" i="9" s="1"/>
  <c r="S12" i="4" s="1"/>
  <c r="M11" i="9"/>
  <c r="N11" i="9" s="1"/>
  <c r="S2" i="9" s="1"/>
  <c r="E12" i="4" s="1"/>
  <c r="P59" i="4"/>
  <c r="P33" i="4"/>
  <c r="P23" i="4"/>
  <c r="K23" i="4"/>
  <c r="K33" i="4"/>
  <c r="J59" i="4"/>
  <c r="J33" i="4"/>
  <c r="J23" i="4"/>
  <c r="H59" i="4"/>
  <c r="H33" i="4"/>
  <c r="H23" i="4"/>
  <c r="O15" i="12"/>
  <c r="N15" i="12"/>
  <c r="Q15" i="12"/>
  <c r="C19" i="12"/>
  <c r="F17" i="12"/>
  <c r="I17" i="12" s="1"/>
  <c r="J16" i="12"/>
  <c r="N16" i="12" s="1"/>
  <c r="O16" i="12" s="1"/>
  <c r="Q65" i="12"/>
  <c r="B68" i="12"/>
  <c r="I67" i="12"/>
  <c r="J67" i="12"/>
  <c r="N66" i="12"/>
  <c r="O66" i="12" s="1"/>
  <c r="AD3" i="12" s="1"/>
  <c r="B32" i="12"/>
  <c r="C34" i="9"/>
  <c r="D33" i="9"/>
  <c r="H57" i="9"/>
  <c r="H55" i="9"/>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K92" i="6"/>
  <c r="D92"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K49" i="6"/>
  <c r="D49"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K6" i="6"/>
  <c r="D6" i="6"/>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6" i="7"/>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6" i="5"/>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92"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49"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6" i="2"/>
  <c r="S62" i="2"/>
  <c r="T56" i="2"/>
  <c r="X30" i="5"/>
  <c r="X39" i="5" s="1"/>
  <c r="X29" i="5"/>
  <c r="X37" i="5" s="1"/>
  <c r="X38" i="5" s="1"/>
  <c r="V30" i="5"/>
  <c r="V39" i="5" s="1"/>
  <c r="V29" i="5"/>
  <c r="V37" i="5" s="1"/>
  <c r="O23" i="4" l="1"/>
  <c r="M23" i="4"/>
  <c r="M33" i="4"/>
  <c r="Y59" i="4"/>
  <c r="M60" i="9"/>
  <c r="N60" i="9" s="1"/>
  <c r="P60" i="9" s="1"/>
  <c r="Y33" i="4"/>
  <c r="M55" i="9"/>
  <c r="N55" i="9" s="1"/>
  <c r="P55" i="9" s="1"/>
  <c r="M57" i="9"/>
  <c r="N57" i="9" s="1"/>
  <c r="P57" i="9" s="1"/>
  <c r="Z59" i="4"/>
  <c r="Z33" i="4"/>
  <c r="Z23" i="4"/>
  <c r="D59" i="4"/>
  <c r="D33" i="4"/>
  <c r="D23" i="4"/>
  <c r="E33" i="4"/>
  <c r="E23" i="4"/>
  <c r="E59" i="4"/>
  <c r="V23" i="4"/>
  <c r="V59" i="4"/>
  <c r="V33" i="4"/>
  <c r="P63" i="9"/>
  <c r="AA3" i="9"/>
  <c r="P65" i="9"/>
  <c r="AC3" i="9"/>
  <c r="C33" i="4"/>
  <c r="C59" i="4"/>
  <c r="C23" i="4"/>
  <c r="X3" i="9"/>
  <c r="R59" i="4"/>
  <c r="R33" i="4"/>
  <c r="R23" i="4"/>
  <c r="Q33" i="4"/>
  <c r="Q23" i="4"/>
  <c r="Q59" i="4"/>
  <c r="M64" i="9"/>
  <c r="N64" i="9" s="1"/>
  <c r="M59" i="9"/>
  <c r="N59" i="9" s="1"/>
  <c r="M53" i="9"/>
  <c r="N53" i="9" s="1"/>
  <c r="U3" i="9"/>
  <c r="S59" i="4"/>
  <c r="S23" i="4"/>
  <c r="S33" i="4"/>
  <c r="P62" i="9"/>
  <c r="Z3" i="9"/>
  <c r="F23" i="4"/>
  <c r="F59" i="4"/>
  <c r="F33" i="4"/>
  <c r="E33" i="9"/>
  <c r="H33" i="9" s="1"/>
  <c r="M33" i="9" s="1"/>
  <c r="N33" i="9" s="1"/>
  <c r="AO2" i="9" s="1"/>
  <c r="AA12" i="4" s="1"/>
  <c r="T59" i="4"/>
  <c r="T33" i="4"/>
  <c r="T23" i="4"/>
  <c r="Y3" i="9"/>
  <c r="P66" i="9"/>
  <c r="AD3" i="9"/>
  <c r="Q16" i="12"/>
  <c r="F18" i="12"/>
  <c r="I18" i="12" s="1"/>
  <c r="C20" i="12"/>
  <c r="J17" i="12"/>
  <c r="N17" i="12" s="1"/>
  <c r="O17" i="12" s="1"/>
  <c r="B69" i="12"/>
  <c r="I68" i="12"/>
  <c r="J68" i="12"/>
  <c r="N67" i="12"/>
  <c r="O67" i="12" s="1"/>
  <c r="AE3" i="12" s="1"/>
  <c r="Q66" i="12"/>
  <c r="B33" i="12"/>
  <c r="D34" i="9"/>
  <c r="C35" i="9"/>
  <c r="H58" i="9"/>
  <c r="M58" i="9" s="1"/>
  <c r="N58" i="9" s="1"/>
  <c r="H54" i="9"/>
  <c r="M54" i="9" s="1"/>
  <c r="N54" i="9" s="1"/>
  <c r="H56" i="9"/>
  <c r="Z39" i="5"/>
  <c r="V38" i="5"/>
  <c r="Z38" i="5" s="1"/>
  <c r="Z37" i="5"/>
  <c r="V31" i="6"/>
  <c r="V32" i="6" s="1"/>
  <c r="V33" i="6" s="1"/>
  <c r="V29" i="2"/>
  <c r="V30" i="2" s="1"/>
  <c r="W28" i="2"/>
  <c r="V28" i="2"/>
  <c r="U28" i="2"/>
  <c r="U29" i="2" s="1"/>
  <c r="U30" i="2" s="1"/>
  <c r="W30" i="2" s="1"/>
  <c r="T30" i="2"/>
  <c r="T29" i="2"/>
  <c r="T28" i="2"/>
  <c r="T33" i="6"/>
  <c r="T32" i="6"/>
  <c r="T31" i="6"/>
  <c r="V10" i="7"/>
  <c r="V9" i="7"/>
  <c r="V8" i="7"/>
  <c r="V6" i="7"/>
  <c r="T9" i="6"/>
  <c r="S3" i="9" l="1"/>
  <c r="E17" i="4" s="1"/>
  <c r="P53" i="9"/>
  <c r="Q3" i="9"/>
  <c r="AA59" i="4"/>
  <c r="AA23" i="4"/>
  <c r="AA33" i="4"/>
  <c r="AI3" i="9"/>
  <c r="U17" i="4" s="1"/>
  <c r="G17" i="4"/>
  <c r="AQ3" i="9"/>
  <c r="AC17" i="4" s="1"/>
  <c r="O17" i="4"/>
  <c r="AG3" i="9"/>
  <c r="S17" i="4" s="1"/>
  <c r="P58" i="9"/>
  <c r="V3" i="9"/>
  <c r="P17" i="4"/>
  <c r="AR3" i="9"/>
  <c r="AD17" i="4" s="1"/>
  <c r="AN3" i="9"/>
  <c r="Z17" i="4" s="1"/>
  <c r="L17" i="4"/>
  <c r="P59" i="9"/>
  <c r="W3" i="9"/>
  <c r="J17" i="4"/>
  <c r="AL3" i="9"/>
  <c r="X17" i="4" s="1"/>
  <c r="E34" i="9"/>
  <c r="H34" i="9" s="1"/>
  <c r="M34" i="9" s="1"/>
  <c r="N34" i="9" s="1"/>
  <c r="AP2" i="9" s="1"/>
  <c r="AB12" i="4" s="1"/>
  <c r="P64" i="9"/>
  <c r="AB3" i="9"/>
  <c r="P54" i="9"/>
  <c r="R3" i="9"/>
  <c r="AM3" i="9"/>
  <c r="Y17" i="4" s="1"/>
  <c r="K17" i="4"/>
  <c r="M17" i="4"/>
  <c r="AO3" i="9"/>
  <c r="AA17" i="4" s="1"/>
  <c r="W29" i="2"/>
  <c r="Q17" i="12"/>
  <c r="J18" i="12"/>
  <c r="N18" i="12" s="1"/>
  <c r="O18" i="12" s="1"/>
  <c r="C21" i="12"/>
  <c r="N68" i="12"/>
  <c r="O68" i="12" s="1"/>
  <c r="I69" i="12"/>
  <c r="J69" i="12"/>
  <c r="Q67" i="12"/>
  <c r="B34" i="12"/>
  <c r="D35" i="9"/>
  <c r="M56" i="9"/>
  <c r="N56" i="9" s="1"/>
  <c r="T3" i="9" s="1"/>
  <c r="S34" i="2"/>
  <c r="J7" i="5"/>
  <c r="J8" i="5" s="1"/>
  <c r="J9" i="5" s="1"/>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3" i="5" s="1"/>
  <c r="J34" i="5" s="1"/>
  <c r="J35" i="5" s="1"/>
  <c r="J36" i="5" s="1"/>
  <c r="J37" i="5" s="1"/>
  <c r="J38" i="5" s="1"/>
  <c r="J39" i="5" s="1"/>
  <c r="J40" i="5" s="1"/>
  <c r="J41" i="5" s="1"/>
  <c r="B7" i="5"/>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E2" i="7"/>
  <c r="J40" i="7"/>
  <c r="J41" i="7" s="1"/>
  <c r="J39" i="7"/>
  <c r="J28" i="7"/>
  <c r="J29" i="7" s="1"/>
  <c r="J18" i="7"/>
  <c r="J19" i="7" s="1"/>
  <c r="J20" i="7" s="1"/>
  <c r="J7" i="7"/>
  <c r="J8" i="7" s="1"/>
  <c r="J9" i="7" s="1"/>
  <c r="J10" i="7" s="1"/>
  <c r="B40" i="7"/>
  <c r="B41" i="7" s="1"/>
  <c r="B33" i="7"/>
  <c r="C33" i="7" s="1"/>
  <c r="B28" i="7"/>
  <c r="B29" i="7" s="1"/>
  <c r="B27" i="7"/>
  <c r="B21" i="7"/>
  <c r="B22" i="7" s="1"/>
  <c r="B20" i="7"/>
  <c r="B14" i="7"/>
  <c r="F14" i="7" s="1"/>
  <c r="B7" i="7"/>
  <c r="B8" i="7" s="1"/>
  <c r="K39" i="7"/>
  <c r="N39" i="7"/>
  <c r="F39" i="7"/>
  <c r="C39" i="7"/>
  <c r="N38" i="7"/>
  <c r="K38" i="7"/>
  <c r="F33" i="7"/>
  <c r="F32" i="7"/>
  <c r="C32" i="7"/>
  <c r="F28" i="7"/>
  <c r="C28" i="7"/>
  <c r="N27" i="7"/>
  <c r="F27" i="7"/>
  <c r="C27" i="7"/>
  <c r="F26" i="7"/>
  <c r="C26" i="7"/>
  <c r="F20" i="7"/>
  <c r="C20" i="7"/>
  <c r="F19" i="7"/>
  <c r="C19" i="7"/>
  <c r="F13" i="7"/>
  <c r="C13" i="7"/>
  <c r="O8" i="7"/>
  <c r="O9" i="7" s="1"/>
  <c r="O10" i="7" s="1"/>
  <c r="O11" i="7" s="1"/>
  <c r="O12" i="7" s="1"/>
  <c r="O13" i="7" s="1"/>
  <c r="O14" i="7" s="1"/>
  <c r="O15" i="7" s="1"/>
  <c r="O16" i="7" s="1"/>
  <c r="O17" i="7" s="1"/>
  <c r="O18" i="7" s="1"/>
  <c r="O19" i="7" s="1"/>
  <c r="O20" i="7" s="1"/>
  <c r="O21" i="7" s="1"/>
  <c r="O22" i="7" s="1"/>
  <c r="O23" i="7" s="1"/>
  <c r="O24" i="7" s="1"/>
  <c r="O25" i="7" s="1"/>
  <c r="O26" i="7" s="1"/>
  <c r="O27" i="7" s="1"/>
  <c r="O28" i="7" s="1"/>
  <c r="O29" i="7" s="1"/>
  <c r="O30" i="7" s="1"/>
  <c r="O31" i="7" s="1"/>
  <c r="O32" i="7" s="1"/>
  <c r="O33" i="7" s="1"/>
  <c r="O34" i="7" s="1"/>
  <c r="O35" i="7" s="1"/>
  <c r="O36" i="7" s="1"/>
  <c r="O37" i="7" s="1"/>
  <c r="O38" i="7" s="1"/>
  <c r="O39" i="7" s="1"/>
  <c r="O40" i="7" s="1"/>
  <c r="O41" i="7" s="1"/>
  <c r="G8" i="7"/>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O7" i="7"/>
  <c r="G7" i="7"/>
  <c r="F7" i="7"/>
  <c r="C7" i="7"/>
  <c r="N6" i="7"/>
  <c r="K6" i="7"/>
  <c r="F6" i="7"/>
  <c r="C6" i="7"/>
  <c r="X18" i="6"/>
  <c r="AZ3" i="9" l="1"/>
  <c r="AL17" i="4" s="1"/>
  <c r="AL37" i="4" s="1"/>
  <c r="AU3" i="9"/>
  <c r="AG17" i="4" s="1"/>
  <c r="AG28" i="4" s="1"/>
  <c r="AW3" i="9"/>
  <c r="AI17" i="4" s="1"/>
  <c r="AI64" i="4" s="1"/>
  <c r="E35" i="9"/>
  <c r="H35" i="9" s="1"/>
  <c r="M35" i="9" s="1"/>
  <c r="N35" i="9" s="1"/>
  <c r="AQ2" i="9" s="1"/>
  <c r="AC12" i="4" s="1"/>
  <c r="K28" i="4"/>
  <c r="K37" i="4"/>
  <c r="K64" i="4"/>
  <c r="N17" i="4"/>
  <c r="AP3" i="9"/>
  <c r="AB17" i="4" s="1"/>
  <c r="AG37" i="4"/>
  <c r="AI28" i="4"/>
  <c r="Y37" i="4"/>
  <c r="Y64" i="4"/>
  <c r="Y28" i="4"/>
  <c r="X64" i="4"/>
  <c r="X37" i="4"/>
  <c r="X28" i="4"/>
  <c r="L64" i="4"/>
  <c r="L37" i="4"/>
  <c r="L28" i="4"/>
  <c r="H17" i="4"/>
  <c r="AX3" i="9"/>
  <c r="AJ17" i="4" s="1"/>
  <c r="AJ3" i="9"/>
  <c r="V17" i="4" s="1"/>
  <c r="E64" i="4"/>
  <c r="E37" i="4"/>
  <c r="E28" i="4"/>
  <c r="G28" i="4"/>
  <c r="G37" i="4"/>
  <c r="G64" i="4"/>
  <c r="F17" i="4"/>
  <c r="AV3" i="9"/>
  <c r="AH17" i="4" s="1"/>
  <c r="AH3" i="9"/>
  <c r="T17" i="4" s="1"/>
  <c r="AA37" i="4"/>
  <c r="AA64" i="4"/>
  <c r="AA28" i="4"/>
  <c r="AF3" i="9"/>
  <c r="R17" i="4" s="1"/>
  <c r="AT3" i="9"/>
  <c r="AF17" i="4" s="1"/>
  <c r="D17" i="4"/>
  <c r="J64" i="4"/>
  <c r="J37" i="4"/>
  <c r="J28" i="4"/>
  <c r="Z64" i="4"/>
  <c r="Z28" i="4"/>
  <c r="Z37" i="4"/>
  <c r="O64" i="4"/>
  <c r="O37" i="4"/>
  <c r="O28" i="4"/>
  <c r="U64" i="4"/>
  <c r="U28" i="4"/>
  <c r="U37" i="4"/>
  <c r="C17" i="4"/>
  <c r="AS3" i="9"/>
  <c r="AE17" i="4" s="1"/>
  <c r="AE3" i="9"/>
  <c r="Q17" i="4" s="1"/>
  <c r="P28" i="4"/>
  <c r="P64" i="4"/>
  <c r="P37" i="4"/>
  <c r="AB59" i="4"/>
  <c r="AB33" i="4"/>
  <c r="AB23" i="4"/>
  <c r="M64" i="4"/>
  <c r="M28" i="4"/>
  <c r="M37" i="4"/>
  <c r="I17" i="4"/>
  <c r="AY3" i="9"/>
  <c r="AK17" i="4" s="1"/>
  <c r="AK3" i="9"/>
  <c r="W17" i="4" s="1"/>
  <c r="AD64" i="4"/>
  <c r="AD37" i="4"/>
  <c r="AD28" i="4"/>
  <c r="S28" i="4"/>
  <c r="S64" i="4"/>
  <c r="S37" i="4"/>
  <c r="AC64" i="4"/>
  <c r="AC37" i="4"/>
  <c r="AC28" i="4"/>
  <c r="T34" i="2"/>
  <c r="C49" i="4"/>
  <c r="Q68" i="12"/>
  <c r="AF3" i="12"/>
  <c r="Q18" i="12"/>
  <c r="C22" i="12"/>
  <c r="N19" i="12"/>
  <c r="O19" i="12" s="1"/>
  <c r="B71" i="12"/>
  <c r="J70" i="12"/>
  <c r="I70" i="12"/>
  <c r="O69" i="12"/>
  <c r="N69" i="12"/>
  <c r="B35" i="12"/>
  <c r="C37" i="9"/>
  <c r="D36" i="9"/>
  <c r="P56" i="9"/>
  <c r="E36" i="7"/>
  <c r="M38" i="7"/>
  <c r="E26" i="7"/>
  <c r="M27" i="7"/>
  <c r="M29" i="7"/>
  <c r="N10" i="7"/>
  <c r="J11" i="7"/>
  <c r="K10" i="7"/>
  <c r="J21" i="7"/>
  <c r="K20" i="7"/>
  <c r="N20" i="7"/>
  <c r="J30" i="7"/>
  <c r="N29" i="7"/>
  <c r="K29" i="7"/>
  <c r="F22" i="7"/>
  <c r="C22" i="7"/>
  <c r="B23" i="7"/>
  <c r="C8" i="7"/>
  <c r="F8" i="7"/>
  <c r="B9" i="7"/>
  <c r="C29" i="7"/>
  <c r="B30" i="7"/>
  <c r="F29" i="7"/>
  <c r="C41" i="7"/>
  <c r="F41" i="7"/>
  <c r="C14" i="7"/>
  <c r="F21" i="7"/>
  <c r="F40" i="7"/>
  <c r="B15" i="7"/>
  <c r="B34" i="7"/>
  <c r="C21" i="7"/>
  <c r="C40" i="7"/>
  <c r="M40" i="7"/>
  <c r="E39" i="7"/>
  <c r="H39" i="7" s="1"/>
  <c r="AZ1" i="7" s="1"/>
  <c r="AJ57" i="4" s="1"/>
  <c r="E38" i="7"/>
  <c r="M35" i="7"/>
  <c r="M34" i="7"/>
  <c r="M33" i="7"/>
  <c r="M31" i="7"/>
  <c r="E30" i="7"/>
  <c r="E29" i="7"/>
  <c r="M26" i="7"/>
  <c r="E25" i="7"/>
  <c r="E24" i="7"/>
  <c r="M22" i="7"/>
  <c r="E21" i="7"/>
  <c r="H21" i="7" s="1"/>
  <c r="AH1" i="7" s="1"/>
  <c r="R57" i="4" s="1"/>
  <c r="E20" i="7"/>
  <c r="H20" i="7" s="1"/>
  <c r="AG1" i="7" s="1"/>
  <c r="Q57" i="4" s="1"/>
  <c r="E17" i="7"/>
  <c r="E14" i="7"/>
  <c r="E12" i="7"/>
  <c r="E8" i="7"/>
  <c r="M6" i="7"/>
  <c r="P6" i="7" s="1"/>
  <c r="S2" i="7" s="1"/>
  <c r="C58" i="4" s="1"/>
  <c r="M39" i="7"/>
  <c r="P39" i="7" s="1"/>
  <c r="AZ2" i="7" s="1"/>
  <c r="AJ58" i="4" s="1"/>
  <c r="E37" i="7"/>
  <c r="M30" i="7"/>
  <c r="E28" i="7"/>
  <c r="M25" i="7"/>
  <c r="M21" i="7"/>
  <c r="E19" i="7"/>
  <c r="M17" i="7"/>
  <c r="M15" i="7"/>
  <c r="M14" i="7"/>
  <c r="M12" i="7"/>
  <c r="E11" i="7"/>
  <c r="M10" i="7"/>
  <c r="P10" i="7" s="1"/>
  <c r="W2" i="7" s="1"/>
  <c r="G58" i="4" s="1"/>
  <c r="E9" i="7"/>
  <c r="M8" i="7"/>
  <c r="E6" i="7"/>
  <c r="H6" i="7" s="1"/>
  <c r="S1" i="7" s="1"/>
  <c r="C57" i="4" s="1"/>
  <c r="M20" i="7"/>
  <c r="M19" i="7"/>
  <c r="M18" i="7"/>
  <c r="E18" i="7"/>
  <c r="M11" i="7"/>
  <c r="E10" i="7"/>
  <c r="E22" i="7"/>
  <c r="M41" i="7"/>
  <c r="E41" i="7"/>
  <c r="E40" i="7"/>
  <c r="M32" i="7"/>
  <c r="E32" i="7"/>
  <c r="H32" i="7" s="1"/>
  <c r="AS1" i="7" s="1"/>
  <c r="AC57" i="4" s="1"/>
  <c r="E31" i="7"/>
  <c r="M24" i="7"/>
  <c r="M16" i="7"/>
  <c r="E16" i="7"/>
  <c r="M13" i="7"/>
  <c r="E13" i="7"/>
  <c r="H13" i="7" s="1"/>
  <c r="Z1" i="7" s="1"/>
  <c r="J57" i="4" s="1"/>
  <c r="M9" i="7"/>
  <c r="M7" i="7"/>
  <c r="E34" i="7"/>
  <c r="E33" i="7"/>
  <c r="H33" i="7" s="1"/>
  <c r="AT1" i="7" s="1"/>
  <c r="AD57" i="4" s="1"/>
  <c r="M23" i="7"/>
  <c r="E23" i="7"/>
  <c r="E7" i="7"/>
  <c r="H7" i="7" s="1"/>
  <c r="T1" i="7" s="1"/>
  <c r="D57" i="4" s="1"/>
  <c r="E15" i="7"/>
  <c r="H19" i="7"/>
  <c r="AF1" i="7" s="1"/>
  <c r="P57" i="4" s="1"/>
  <c r="E27" i="7"/>
  <c r="H27" i="7" s="1"/>
  <c r="AN1" i="7" s="1"/>
  <c r="X57" i="4" s="1"/>
  <c r="M28" i="7"/>
  <c r="M36" i="7"/>
  <c r="M37" i="7"/>
  <c r="H28" i="7"/>
  <c r="AO1" i="7" s="1"/>
  <c r="Y57" i="4" s="1"/>
  <c r="P29" i="7"/>
  <c r="AP2" i="7" s="1"/>
  <c r="Z58" i="4" s="1"/>
  <c r="E35" i="7"/>
  <c r="P38" i="7"/>
  <c r="AY2" i="7" s="1"/>
  <c r="AI58" i="4" s="1"/>
  <c r="N40" i="7"/>
  <c r="K40" i="7"/>
  <c r="K7" i="7"/>
  <c r="H26" i="7"/>
  <c r="AM1" i="7" s="1"/>
  <c r="W57" i="4" s="1"/>
  <c r="N7" i="7"/>
  <c r="K27" i="7"/>
  <c r="O60" i="4"/>
  <c r="P60" i="4"/>
  <c r="Q60" i="4"/>
  <c r="R60" i="4"/>
  <c r="S60" i="4"/>
  <c r="T60" i="4"/>
  <c r="U60" i="4"/>
  <c r="V60" i="4"/>
  <c r="W60" i="4"/>
  <c r="X60" i="4"/>
  <c r="Y60" i="4"/>
  <c r="Z60" i="4"/>
  <c r="AA60" i="4"/>
  <c r="AB60" i="4"/>
  <c r="AC60" i="4"/>
  <c r="AD60" i="4"/>
  <c r="AE60" i="4"/>
  <c r="AF60" i="4"/>
  <c r="AG60" i="4"/>
  <c r="AH60" i="4"/>
  <c r="AI60" i="4"/>
  <c r="AJ60" i="4"/>
  <c r="AK60" i="4"/>
  <c r="E60" i="4"/>
  <c r="F60" i="4"/>
  <c r="G60" i="4"/>
  <c r="H60" i="4"/>
  <c r="I60" i="4"/>
  <c r="J60" i="4"/>
  <c r="K60" i="4"/>
  <c r="L60" i="4"/>
  <c r="M60" i="4"/>
  <c r="N60" i="4"/>
  <c r="D60" i="4"/>
  <c r="C65" i="4"/>
  <c r="I124" i="2"/>
  <c r="M124" i="2" s="1"/>
  <c r="I123" i="2"/>
  <c r="I119" i="2"/>
  <c r="I120" i="2" s="1"/>
  <c r="I118" i="2"/>
  <c r="I114" i="2"/>
  <c r="I113" i="2"/>
  <c r="I109" i="2"/>
  <c r="M109" i="2" s="1"/>
  <c r="I108" i="2"/>
  <c r="I104" i="2"/>
  <c r="M104" i="2" s="1"/>
  <c r="I103" i="2"/>
  <c r="I99" i="2"/>
  <c r="M99" i="2" s="1"/>
  <c r="I98" i="2"/>
  <c r="I94" i="2"/>
  <c r="J94" i="2" s="1"/>
  <c r="I93" i="2"/>
  <c r="B126" i="2"/>
  <c r="B127" i="2" s="1"/>
  <c r="B123" i="2"/>
  <c r="F123" i="2" s="1"/>
  <c r="B120" i="2"/>
  <c r="B121" i="2" s="1"/>
  <c r="B117" i="2"/>
  <c r="F117" i="2" s="1"/>
  <c r="B114" i="2"/>
  <c r="B115" i="2" s="1"/>
  <c r="B111" i="2"/>
  <c r="F111" i="2" s="1"/>
  <c r="B108" i="2"/>
  <c r="B109" i="2" s="1"/>
  <c r="B105" i="2"/>
  <c r="F105" i="2" s="1"/>
  <c r="B102" i="2"/>
  <c r="B103" i="2" s="1"/>
  <c r="B99" i="2"/>
  <c r="F99" i="2" s="1"/>
  <c r="B96" i="2"/>
  <c r="B97" i="2" s="1"/>
  <c r="B93" i="2"/>
  <c r="F92" i="2"/>
  <c r="CL2" i="2"/>
  <c r="M94" i="2"/>
  <c r="C95" i="2"/>
  <c r="F95" i="2"/>
  <c r="C96" i="2"/>
  <c r="F96" i="2"/>
  <c r="J97" i="2"/>
  <c r="M97" i="2"/>
  <c r="C98" i="2"/>
  <c r="F98" i="2"/>
  <c r="J98" i="2"/>
  <c r="M98" i="2"/>
  <c r="C101" i="2"/>
  <c r="F101" i="2"/>
  <c r="C102" i="2"/>
  <c r="F102" i="2"/>
  <c r="J102" i="2"/>
  <c r="M102" i="2"/>
  <c r="J103" i="2"/>
  <c r="M103" i="2"/>
  <c r="C104" i="2"/>
  <c r="F104" i="2"/>
  <c r="J104" i="2"/>
  <c r="C107" i="2"/>
  <c r="F107" i="2"/>
  <c r="J107" i="2"/>
  <c r="M107" i="2"/>
  <c r="C108" i="2"/>
  <c r="F108" i="2"/>
  <c r="J108" i="2"/>
  <c r="M108" i="2"/>
  <c r="J109" i="2"/>
  <c r="C110" i="2"/>
  <c r="F110" i="2"/>
  <c r="J112" i="2"/>
  <c r="M112" i="2"/>
  <c r="C113" i="2"/>
  <c r="F113" i="2"/>
  <c r="J113" i="2"/>
  <c r="M113" i="2"/>
  <c r="C114" i="2"/>
  <c r="F114" i="2"/>
  <c r="C116" i="2"/>
  <c r="F116" i="2"/>
  <c r="J117" i="2"/>
  <c r="M117" i="2"/>
  <c r="J118" i="2"/>
  <c r="M118" i="2"/>
  <c r="C119" i="2"/>
  <c r="F119" i="2"/>
  <c r="J119" i="2"/>
  <c r="C120" i="2"/>
  <c r="F120" i="2"/>
  <c r="C122" i="2"/>
  <c r="F122" i="2"/>
  <c r="J122" i="2"/>
  <c r="M122" i="2"/>
  <c r="J123" i="2"/>
  <c r="M123" i="2"/>
  <c r="J124" i="2"/>
  <c r="C125" i="2"/>
  <c r="F125" i="2"/>
  <c r="C126" i="2"/>
  <c r="F126" i="2"/>
  <c r="J127" i="2"/>
  <c r="M127" i="2"/>
  <c r="M93" i="2"/>
  <c r="J93" i="2"/>
  <c r="K90" i="2"/>
  <c r="M92" i="2"/>
  <c r="J92" i="2"/>
  <c r="J49" i="2"/>
  <c r="C49" i="2"/>
  <c r="E65" i="4" l="1"/>
  <c r="AL65" i="4"/>
  <c r="AL28" i="4"/>
  <c r="AL64" i="4"/>
  <c r="AI37" i="4"/>
  <c r="AG64" i="4"/>
  <c r="AC33" i="4"/>
  <c r="AC23" i="4"/>
  <c r="AC59" i="4"/>
  <c r="W64" i="4"/>
  <c r="W37" i="4"/>
  <c r="W28" i="4"/>
  <c r="AE37" i="4"/>
  <c r="AE28" i="4"/>
  <c r="AE64" i="4"/>
  <c r="R64" i="4"/>
  <c r="R28" i="4"/>
  <c r="R37" i="4"/>
  <c r="I28" i="4"/>
  <c r="I64" i="4"/>
  <c r="I37" i="4"/>
  <c r="D64" i="4"/>
  <c r="D37" i="4"/>
  <c r="D28" i="4"/>
  <c r="F64" i="4"/>
  <c r="F37" i="4"/>
  <c r="F28" i="4"/>
  <c r="AJ28" i="4"/>
  <c r="AJ64" i="4"/>
  <c r="AJ37" i="4"/>
  <c r="E36" i="9"/>
  <c r="H36" i="9" s="1"/>
  <c r="M36" i="9" s="1"/>
  <c r="N36" i="9" s="1"/>
  <c r="AR2" i="9" s="1"/>
  <c r="AD12" i="4" s="1"/>
  <c r="Q28" i="4"/>
  <c r="Q37" i="4"/>
  <c r="Q64" i="4"/>
  <c r="AF64" i="4"/>
  <c r="AF28" i="4"/>
  <c r="AF37" i="4"/>
  <c r="H28" i="4"/>
  <c r="H37" i="4"/>
  <c r="H64" i="4"/>
  <c r="AB64" i="4"/>
  <c r="AB37" i="4"/>
  <c r="AB28" i="4"/>
  <c r="T64" i="4"/>
  <c r="T37" i="4"/>
  <c r="T28" i="4"/>
  <c r="N64" i="4"/>
  <c r="N37" i="4"/>
  <c r="N28" i="4"/>
  <c r="AK64" i="4"/>
  <c r="AK37" i="4"/>
  <c r="AK28" i="4"/>
  <c r="C37" i="4"/>
  <c r="C28" i="4"/>
  <c r="C64" i="4"/>
  <c r="AH64" i="4"/>
  <c r="AH37" i="4"/>
  <c r="AH28" i="4"/>
  <c r="V64" i="4"/>
  <c r="V28" i="4"/>
  <c r="V37" i="4"/>
  <c r="D49" i="4"/>
  <c r="Q69" i="12"/>
  <c r="AG3" i="12"/>
  <c r="Q19" i="12"/>
  <c r="C23" i="12"/>
  <c r="N20" i="12"/>
  <c r="O20" i="12" s="1"/>
  <c r="N70" i="12"/>
  <c r="O70" i="12" s="1"/>
  <c r="I71" i="12"/>
  <c r="N71" i="12" s="1"/>
  <c r="O71" i="12" s="1"/>
  <c r="B72" i="12"/>
  <c r="J71" i="12"/>
  <c r="B36" i="12"/>
  <c r="C38" i="9"/>
  <c r="D37" i="9"/>
  <c r="H8" i="7"/>
  <c r="U1" i="7" s="1"/>
  <c r="E57" i="4" s="1"/>
  <c r="H40" i="7"/>
  <c r="BA1" i="7" s="1"/>
  <c r="AK57" i="4" s="1"/>
  <c r="P20" i="7"/>
  <c r="AG2" i="7" s="1"/>
  <c r="Q58" i="4" s="1"/>
  <c r="J12" i="7"/>
  <c r="K11" i="7"/>
  <c r="N11" i="7"/>
  <c r="K30" i="7"/>
  <c r="J31" i="7"/>
  <c r="N30" i="7"/>
  <c r="P30" i="7" s="1"/>
  <c r="AQ2" i="7" s="1"/>
  <c r="AA58" i="4" s="1"/>
  <c r="K21" i="7"/>
  <c r="N21" i="7"/>
  <c r="J22" i="7"/>
  <c r="C23" i="7"/>
  <c r="H23" i="7" s="1"/>
  <c r="AJ1" i="7" s="1"/>
  <c r="T57" i="4" s="1"/>
  <c r="B24" i="7"/>
  <c r="F23" i="7"/>
  <c r="H22" i="7"/>
  <c r="AI1" i="7" s="1"/>
  <c r="S57" i="4" s="1"/>
  <c r="B35" i="7"/>
  <c r="F34" i="7"/>
  <c r="C34" i="7"/>
  <c r="H34" i="7" s="1"/>
  <c r="AU1" i="7" s="1"/>
  <c r="AE57" i="4" s="1"/>
  <c r="C9" i="7"/>
  <c r="B10" i="7"/>
  <c r="F9" i="7"/>
  <c r="H9" i="7" s="1"/>
  <c r="V1" i="7" s="1"/>
  <c r="F57" i="4" s="1"/>
  <c r="F15" i="7"/>
  <c r="B16" i="7"/>
  <c r="C15" i="7"/>
  <c r="B31" i="7"/>
  <c r="C30" i="7"/>
  <c r="F30" i="7"/>
  <c r="H41" i="7"/>
  <c r="BB1" i="7" s="1"/>
  <c r="AL57" i="4" s="1"/>
  <c r="H14" i="7"/>
  <c r="AA1" i="7" s="1"/>
  <c r="K57" i="4" s="1"/>
  <c r="H29" i="7"/>
  <c r="AP1" i="7" s="1"/>
  <c r="Z57" i="4" s="1"/>
  <c r="K28" i="7"/>
  <c r="N28" i="7"/>
  <c r="N8" i="7"/>
  <c r="K8" i="7"/>
  <c r="P40" i="7"/>
  <c r="BA2" i="7" s="1"/>
  <c r="AK58" i="4" s="1"/>
  <c r="N17" i="7"/>
  <c r="K17" i="7"/>
  <c r="P7" i="7"/>
  <c r="T2" i="7" s="1"/>
  <c r="D58" i="4" s="1"/>
  <c r="K41" i="7"/>
  <c r="N41" i="7"/>
  <c r="P27" i="7"/>
  <c r="AN2" i="7" s="1"/>
  <c r="X58" i="4" s="1"/>
  <c r="L65" i="4"/>
  <c r="AB65" i="4"/>
  <c r="Z65" i="4"/>
  <c r="J65" i="4"/>
  <c r="AJ65" i="4"/>
  <c r="T65" i="4"/>
  <c r="AH65" i="4"/>
  <c r="R65" i="4"/>
  <c r="AF65" i="4"/>
  <c r="X65" i="4"/>
  <c r="P65" i="4"/>
  <c r="H65" i="4"/>
  <c r="AD65" i="4"/>
  <c r="V65" i="4"/>
  <c r="N65" i="4"/>
  <c r="F65" i="4"/>
  <c r="D65" i="4"/>
  <c r="AI65" i="4"/>
  <c r="AE65" i="4"/>
  <c r="AA65" i="4"/>
  <c r="W65" i="4"/>
  <c r="S65" i="4"/>
  <c r="O65" i="4"/>
  <c r="K65" i="4"/>
  <c r="G65" i="4"/>
  <c r="AK65" i="4"/>
  <c r="AG65" i="4"/>
  <c r="AC65" i="4"/>
  <c r="Y65" i="4"/>
  <c r="U65" i="4"/>
  <c r="Q65" i="4"/>
  <c r="M65" i="4"/>
  <c r="I65" i="4"/>
  <c r="I121" i="2"/>
  <c r="M120" i="2"/>
  <c r="J120" i="2"/>
  <c r="J114" i="2"/>
  <c r="I100" i="2"/>
  <c r="I110" i="2"/>
  <c r="I115" i="2"/>
  <c r="I125" i="2"/>
  <c r="M119" i="2"/>
  <c r="M114" i="2"/>
  <c r="J99" i="2"/>
  <c r="I95" i="2"/>
  <c r="I105" i="2"/>
  <c r="F97" i="2"/>
  <c r="C97" i="2"/>
  <c r="F121" i="2"/>
  <c r="C121" i="2"/>
  <c r="F109" i="2"/>
  <c r="C109" i="2"/>
  <c r="F103" i="2"/>
  <c r="C103" i="2"/>
  <c r="F115" i="2"/>
  <c r="C115" i="2"/>
  <c r="F127" i="2"/>
  <c r="C127" i="2"/>
  <c r="F93" i="2"/>
  <c r="C123" i="2"/>
  <c r="C117" i="2"/>
  <c r="C111" i="2"/>
  <c r="C105" i="2"/>
  <c r="C99" i="2"/>
  <c r="B94" i="2"/>
  <c r="B100" i="2"/>
  <c r="B106" i="2"/>
  <c r="B112" i="2"/>
  <c r="B118" i="2"/>
  <c r="B124" i="2"/>
  <c r="C93" i="2"/>
  <c r="C92" i="2"/>
  <c r="CL2" i="6"/>
  <c r="I126" i="6"/>
  <c r="I127" i="6" s="1"/>
  <c r="I125" i="6"/>
  <c r="I115" i="6"/>
  <c r="I114" i="6"/>
  <c r="I104" i="6"/>
  <c r="I105" i="6" s="1"/>
  <c r="I93" i="6"/>
  <c r="J93" i="6" s="1"/>
  <c r="B126" i="6"/>
  <c r="B127" i="6" s="1"/>
  <c r="B119" i="6"/>
  <c r="B120" i="6" s="1"/>
  <c r="B114" i="6"/>
  <c r="B115" i="6" s="1"/>
  <c r="B113" i="6"/>
  <c r="B107" i="6"/>
  <c r="B108" i="6" s="1"/>
  <c r="B106" i="6"/>
  <c r="B100" i="6"/>
  <c r="B93" i="6"/>
  <c r="B94" i="6" s="1"/>
  <c r="F49" i="6"/>
  <c r="C49" i="6"/>
  <c r="C99" i="6"/>
  <c r="F99" i="6"/>
  <c r="C100" i="6"/>
  <c r="F100" i="6"/>
  <c r="J103" i="6"/>
  <c r="M103" i="6"/>
  <c r="J104" i="6"/>
  <c r="C105" i="6"/>
  <c r="F105" i="6"/>
  <c r="C106" i="6"/>
  <c r="F106" i="6"/>
  <c r="C112" i="6"/>
  <c r="F112" i="6"/>
  <c r="C113" i="6"/>
  <c r="F113" i="6"/>
  <c r="J113" i="6"/>
  <c r="M113" i="6"/>
  <c r="C114" i="6"/>
  <c r="F114" i="6"/>
  <c r="J114" i="6"/>
  <c r="M114" i="6"/>
  <c r="J115" i="6"/>
  <c r="C118" i="6"/>
  <c r="F118" i="6"/>
  <c r="C119" i="6"/>
  <c r="F119" i="6"/>
  <c r="J124" i="6"/>
  <c r="M124" i="6"/>
  <c r="C125" i="6"/>
  <c r="F125" i="6"/>
  <c r="J125" i="6"/>
  <c r="M125" i="6"/>
  <c r="M126" i="6"/>
  <c r="M93" i="6"/>
  <c r="C93" i="6"/>
  <c r="J92" i="6"/>
  <c r="M92" i="6"/>
  <c r="F92" i="6"/>
  <c r="C92" i="6"/>
  <c r="M90" i="6"/>
  <c r="L90" i="6"/>
  <c r="K90" i="6"/>
  <c r="L89" i="6"/>
  <c r="M49" i="6"/>
  <c r="J49" i="6"/>
  <c r="C51" i="6"/>
  <c r="C50" i="6"/>
  <c r="AD23" i="4" l="1"/>
  <c r="AD59" i="4"/>
  <c r="AD33" i="4"/>
  <c r="E37" i="9"/>
  <c r="H37" i="9" s="1"/>
  <c r="M37" i="9" s="1"/>
  <c r="N37" i="9" s="1"/>
  <c r="AS2" i="9" s="1"/>
  <c r="AE12" i="4" s="1"/>
  <c r="E49" i="4"/>
  <c r="F49" i="4"/>
  <c r="Q70" i="12"/>
  <c r="AH3" i="12"/>
  <c r="Q71" i="12"/>
  <c r="AI3" i="12"/>
  <c r="Q20" i="12"/>
  <c r="N21" i="12"/>
  <c r="O21" i="12" s="1"/>
  <c r="C24" i="12"/>
  <c r="B73" i="12"/>
  <c r="J72" i="12"/>
  <c r="I72" i="12"/>
  <c r="B37" i="12"/>
  <c r="D38" i="9"/>
  <c r="N22" i="7"/>
  <c r="K22" i="7"/>
  <c r="P22" i="7" s="1"/>
  <c r="AI2" i="7" s="1"/>
  <c r="S58" i="4" s="1"/>
  <c r="J23" i="7"/>
  <c r="J32" i="7"/>
  <c r="K31" i="7"/>
  <c r="P31" i="7" s="1"/>
  <c r="AR2" i="7" s="1"/>
  <c r="AB58" i="4" s="1"/>
  <c r="N31" i="7"/>
  <c r="K12" i="7"/>
  <c r="N12" i="7"/>
  <c r="J13" i="7"/>
  <c r="P8" i="7"/>
  <c r="U2" i="7" s="1"/>
  <c r="E58" i="4" s="1"/>
  <c r="P21" i="7"/>
  <c r="AH2" i="7" s="1"/>
  <c r="R58" i="4" s="1"/>
  <c r="P11" i="7"/>
  <c r="X2" i="7" s="1"/>
  <c r="H58" i="4" s="1"/>
  <c r="B17" i="7"/>
  <c r="C16" i="7"/>
  <c r="H16" i="7" s="1"/>
  <c r="AC1" i="7" s="1"/>
  <c r="M57" i="4" s="1"/>
  <c r="F16" i="7"/>
  <c r="C24" i="7"/>
  <c r="B25" i="7"/>
  <c r="F24" i="7"/>
  <c r="F31" i="7"/>
  <c r="C31" i="7"/>
  <c r="B11" i="7"/>
  <c r="F10" i="7"/>
  <c r="C10" i="7"/>
  <c r="B36" i="7"/>
  <c r="F35" i="7"/>
  <c r="C35" i="7"/>
  <c r="H35" i="7" s="1"/>
  <c r="AV1" i="7" s="1"/>
  <c r="AF57" i="4" s="1"/>
  <c r="H30" i="7"/>
  <c r="AQ1" i="7" s="1"/>
  <c r="AA57" i="4" s="1"/>
  <c r="H15" i="7"/>
  <c r="AB1" i="7" s="1"/>
  <c r="L57" i="4" s="1"/>
  <c r="K18" i="7"/>
  <c r="N18" i="7"/>
  <c r="P17" i="7"/>
  <c r="AD2" i="7" s="1"/>
  <c r="N58" i="4" s="1"/>
  <c r="K9" i="7"/>
  <c r="N9" i="7"/>
  <c r="P41" i="7"/>
  <c r="BB2" i="7" s="1"/>
  <c r="AL58" i="4" s="1"/>
  <c r="P28" i="7"/>
  <c r="AO2" i="7" s="1"/>
  <c r="Y58" i="4" s="1"/>
  <c r="I116" i="2"/>
  <c r="J115" i="2"/>
  <c r="M115" i="2"/>
  <c r="M121" i="2"/>
  <c r="J121" i="2"/>
  <c r="I126" i="2"/>
  <c r="M125" i="2"/>
  <c r="J125" i="2"/>
  <c r="I106" i="2"/>
  <c r="J105" i="2"/>
  <c r="M105" i="2"/>
  <c r="I111" i="2"/>
  <c r="M110" i="2"/>
  <c r="J110" i="2"/>
  <c r="I96" i="2"/>
  <c r="J95" i="2"/>
  <c r="M95" i="2"/>
  <c r="I101" i="2"/>
  <c r="J100" i="2"/>
  <c r="M100" i="2"/>
  <c r="F94" i="2"/>
  <c r="C94" i="2"/>
  <c r="F106" i="2"/>
  <c r="C106" i="2"/>
  <c r="F124" i="2"/>
  <c r="C124" i="2"/>
  <c r="F100" i="2"/>
  <c r="C100" i="2"/>
  <c r="F118" i="2"/>
  <c r="C118" i="2"/>
  <c r="F112" i="2"/>
  <c r="C112" i="2"/>
  <c r="M115" i="6"/>
  <c r="M105" i="6"/>
  <c r="I106" i="6"/>
  <c r="J105" i="6"/>
  <c r="M127" i="6"/>
  <c r="J127" i="6"/>
  <c r="M104" i="6"/>
  <c r="I94" i="6"/>
  <c r="I116" i="6"/>
  <c r="J126" i="6"/>
  <c r="F94" i="6"/>
  <c r="B95" i="6"/>
  <c r="C94" i="6"/>
  <c r="C115" i="6"/>
  <c r="B116" i="6"/>
  <c r="F115" i="6"/>
  <c r="C120" i="6"/>
  <c r="B121" i="6"/>
  <c r="F120" i="6"/>
  <c r="C108" i="6"/>
  <c r="B109" i="6"/>
  <c r="F108" i="6"/>
  <c r="C127" i="6"/>
  <c r="F127" i="6"/>
  <c r="C126" i="6"/>
  <c r="F107" i="6"/>
  <c r="B101" i="6"/>
  <c r="F93" i="6"/>
  <c r="F126" i="6"/>
  <c r="C107" i="6"/>
  <c r="I51" i="6"/>
  <c r="I52" i="6" s="1"/>
  <c r="I50" i="6"/>
  <c r="J50" i="6" s="1"/>
  <c r="F50" i="6"/>
  <c r="F51" i="6"/>
  <c r="J51" i="6"/>
  <c r="C52" i="6"/>
  <c r="F52" i="6"/>
  <c r="C53" i="6"/>
  <c r="F53" i="6"/>
  <c r="C54" i="6"/>
  <c r="F54" i="6"/>
  <c r="C55" i="6"/>
  <c r="F55" i="6"/>
  <c r="C56" i="6"/>
  <c r="F56" i="6"/>
  <c r="C57" i="6"/>
  <c r="F57" i="6"/>
  <c r="C58" i="6"/>
  <c r="F58" i="6"/>
  <c r="C59" i="6"/>
  <c r="F59" i="6"/>
  <c r="C60" i="6"/>
  <c r="F60" i="6"/>
  <c r="C61" i="6"/>
  <c r="F61" i="6"/>
  <c r="C62" i="6"/>
  <c r="F62" i="6"/>
  <c r="C63" i="6"/>
  <c r="F63" i="6"/>
  <c r="C64" i="6"/>
  <c r="F64" i="6"/>
  <c r="C65" i="6"/>
  <c r="F65" i="6"/>
  <c r="C66" i="6"/>
  <c r="F66" i="6"/>
  <c r="C67" i="6"/>
  <c r="F67" i="6"/>
  <c r="C68" i="6"/>
  <c r="F68" i="6"/>
  <c r="C69" i="6"/>
  <c r="F69" i="6"/>
  <c r="C70" i="6"/>
  <c r="F70" i="6"/>
  <c r="C71" i="6"/>
  <c r="F71" i="6"/>
  <c r="C72" i="6"/>
  <c r="F72" i="6"/>
  <c r="C73" i="6"/>
  <c r="F73" i="6"/>
  <c r="C74" i="6"/>
  <c r="F74" i="6"/>
  <c r="C75" i="6"/>
  <c r="F75" i="6"/>
  <c r="C76" i="6"/>
  <c r="F76" i="6"/>
  <c r="C77" i="6"/>
  <c r="F77" i="6"/>
  <c r="C78" i="6"/>
  <c r="F78" i="6"/>
  <c r="C79" i="6"/>
  <c r="F79" i="6"/>
  <c r="C80" i="6"/>
  <c r="F80" i="6"/>
  <c r="C81" i="6"/>
  <c r="F81" i="6"/>
  <c r="C82" i="6"/>
  <c r="F82" i="6"/>
  <c r="C83" i="6"/>
  <c r="F83" i="6"/>
  <c r="C84" i="6"/>
  <c r="F84" i="6"/>
  <c r="F45" i="6"/>
  <c r="C45" i="6"/>
  <c r="C45" i="2"/>
  <c r="F45" i="2"/>
  <c r="F52" i="2" s="1"/>
  <c r="K47" i="6"/>
  <c r="B83" i="6"/>
  <c r="B76" i="6"/>
  <c r="B77" i="6" s="1"/>
  <c r="B71" i="6"/>
  <c r="B70" i="6"/>
  <c r="B63" i="6"/>
  <c r="B57" i="6"/>
  <c r="B50" i="6"/>
  <c r="M47" i="6"/>
  <c r="L47" i="6"/>
  <c r="L46" i="6"/>
  <c r="I54" i="2"/>
  <c r="I55" i="2" s="1"/>
  <c r="K4" i="2"/>
  <c r="K47" i="2"/>
  <c r="J50" i="2"/>
  <c r="J51" i="2"/>
  <c r="J52" i="2"/>
  <c r="J53" i="2"/>
  <c r="J6" i="2"/>
  <c r="B52" i="2"/>
  <c r="B53" i="2" s="1"/>
  <c r="C50" i="2"/>
  <c r="C51" i="2"/>
  <c r="F6" i="2"/>
  <c r="I51" i="2"/>
  <c r="I50" i="2"/>
  <c r="B50" i="2"/>
  <c r="V10" i="5"/>
  <c r="E2" i="5" s="1"/>
  <c r="T11" i="6"/>
  <c r="T12" i="6" s="1"/>
  <c r="E2" i="6" s="1"/>
  <c r="U31" i="6" s="1"/>
  <c r="E2" i="2"/>
  <c r="E88" i="2" s="1"/>
  <c r="R9" i="5"/>
  <c r="R10" i="5"/>
  <c r="R11" i="5"/>
  <c r="R12" i="5"/>
  <c r="R13" i="5"/>
  <c r="R14" i="5"/>
  <c r="R15" i="5"/>
  <c r="R8" i="5"/>
  <c r="U32" i="6" l="1"/>
  <c r="W31" i="6"/>
  <c r="E92" i="2"/>
  <c r="G92" i="2" s="1"/>
  <c r="CM1" i="2" s="1"/>
  <c r="E94" i="2"/>
  <c r="E95" i="2"/>
  <c r="G95" i="2" s="1"/>
  <c r="CP1" i="2" s="1"/>
  <c r="E96" i="2"/>
  <c r="G96" i="2" s="1"/>
  <c r="CQ1" i="2" s="1"/>
  <c r="L98" i="2"/>
  <c r="N98" i="2" s="1"/>
  <c r="CS2" i="2" s="1"/>
  <c r="E100" i="2"/>
  <c r="E103" i="2"/>
  <c r="G103" i="2" s="1"/>
  <c r="CX1" i="2" s="1"/>
  <c r="L104" i="2"/>
  <c r="N104" i="2" s="1"/>
  <c r="CY2" i="2" s="1"/>
  <c r="L106" i="2"/>
  <c r="E112" i="2"/>
  <c r="G112" i="2" s="1"/>
  <c r="DG1" i="2" s="1"/>
  <c r="E114" i="2"/>
  <c r="G114" i="2" s="1"/>
  <c r="DI1" i="2" s="1"/>
  <c r="L115" i="2"/>
  <c r="L116" i="2"/>
  <c r="N116" i="2" s="1"/>
  <c r="DK2" i="2" s="1"/>
  <c r="L127" i="2"/>
  <c r="N127" i="2" s="1"/>
  <c r="DV2" i="2" s="1"/>
  <c r="L94" i="2"/>
  <c r="N94" i="2" s="1"/>
  <c r="CO2" i="2" s="1"/>
  <c r="L97" i="2"/>
  <c r="N97" i="2" s="1"/>
  <c r="CR2" i="2" s="1"/>
  <c r="E98" i="2"/>
  <c r="G98" i="2" s="1"/>
  <c r="CS1" i="2" s="1"/>
  <c r="L100" i="2"/>
  <c r="L101" i="2"/>
  <c r="E104" i="2"/>
  <c r="G104" i="2" s="1"/>
  <c r="CY1" i="2" s="1"/>
  <c r="E105" i="2"/>
  <c r="G105" i="2" s="1"/>
  <c r="CZ1" i="2" s="1"/>
  <c r="L108" i="2"/>
  <c r="N108" i="2" s="1"/>
  <c r="DC2" i="2" s="1"/>
  <c r="L109" i="2"/>
  <c r="N109" i="2" s="1"/>
  <c r="DD2" i="2" s="1"/>
  <c r="L110" i="2"/>
  <c r="L113" i="2"/>
  <c r="N113" i="2" s="1"/>
  <c r="DH2" i="2" s="1"/>
  <c r="E117" i="2"/>
  <c r="G117" i="2" s="1"/>
  <c r="DL1" i="2" s="1"/>
  <c r="E118" i="2"/>
  <c r="L119" i="2"/>
  <c r="N119" i="2" s="1"/>
  <c r="DN2" i="2" s="1"/>
  <c r="L120" i="2"/>
  <c r="N120" i="2" s="1"/>
  <c r="DO2" i="2" s="1"/>
  <c r="L122" i="2"/>
  <c r="N122" i="2" s="1"/>
  <c r="DQ2" i="2" s="1"/>
  <c r="L123" i="2"/>
  <c r="N123" i="2" s="1"/>
  <c r="DR2" i="2" s="1"/>
  <c r="L124" i="2"/>
  <c r="N124" i="2" s="1"/>
  <c r="DS2" i="2" s="1"/>
  <c r="L125" i="2"/>
  <c r="N125" i="2" s="1"/>
  <c r="DT2" i="2" s="1"/>
  <c r="L126" i="2"/>
  <c r="E93" i="2"/>
  <c r="G93" i="2" s="1"/>
  <c r="CN1" i="2" s="1"/>
  <c r="L99" i="2"/>
  <c r="N99" i="2" s="1"/>
  <c r="CT2" i="2" s="1"/>
  <c r="E102" i="2"/>
  <c r="G102" i="2" s="1"/>
  <c r="CW1" i="2" s="1"/>
  <c r="E107" i="2"/>
  <c r="G107" i="2" s="1"/>
  <c r="DB1" i="2" s="1"/>
  <c r="E109" i="2"/>
  <c r="G109" i="2" s="1"/>
  <c r="DD1" i="2" s="1"/>
  <c r="L111" i="2"/>
  <c r="L117" i="2"/>
  <c r="N117" i="2" s="1"/>
  <c r="DL2" i="2" s="1"/>
  <c r="E120" i="2"/>
  <c r="G120" i="2" s="1"/>
  <c r="DO1" i="2" s="1"/>
  <c r="L121" i="2"/>
  <c r="E123" i="2"/>
  <c r="G123" i="2" s="1"/>
  <c r="DR1" i="2" s="1"/>
  <c r="E126" i="2"/>
  <c r="G126" i="2" s="1"/>
  <c r="DU1" i="2" s="1"/>
  <c r="L93" i="2"/>
  <c r="N93" i="2" s="1"/>
  <c r="CN2" i="2" s="1"/>
  <c r="L95" i="2"/>
  <c r="L96" i="2"/>
  <c r="E99" i="2"/>
  <c r="G99" i="2" s="1"/>
  <c r="CT1" i="2" s="1"/>
  <c r="L102" i="2"/>
  <c r="N102" i="2" s="1"/>
  <c r="CW2" i="2" s="1"/>
  <c r="L103" i="2"/>
  <c r="N103" i="2" s="1"/>
  <c r="CX2" i="2" s="1"/>
  <c r="L105" i="2"/>
  <c r="L107" i="2"/>
  <c r="N107" i="2" s="1"/>
  <c r="DB2" i="2" s="1"/>
  <c r="E108" i="2"/>
  <c r="G108" i="2" s="1"/>
  <c r="DC1" i="2" s="1"/>
  <c r="E111" i="2"/>
  <c r="G111" i="2" s="1"/>
  <c r="DF1" i="2" s="1"/>
  <c r="L112" i="2"/>
  <c r="N112" i="2" s="1"/>
  <c r="DG2" i="2" s="1"/>
  <c r="E113" i="2"/>
  <c r="G113" i="2" s="1"/>
  <c r="DH1" i="2" s="1"/>
  <c r="L114" i="2"/>
  <c r="N114" i="2" s="1"/>
  <c r="DI2" i="2" s="1"/>
  <c r="E116" i="2"/>
  <c r="G116" i="2" s="1"/>
  <c r="DK1" i="2" s="1"/>
  <c r="E119" i="2"/>
  <c r="G119" i="2" s="1"/>
  <c r="DN1" i="2" s="1"/>
  <c r="E121" i="2"/>
  <c r="G121" i="2" s="1"/>
  <c r="DP1" i="2" s="1"/>
  <c r="E122" i="2"/>
  <c r="G122" i="2" s="1"/>
  <c r="DQ1" i="2" s="1"/>
  <c r="E127" i="2"/>
  <c r="G127" i="2" s="1"/>
  <c r="DV1" i="2" s="1"/>
  <c r="E97" i="2"/>
  <c r="G97" i="2" s="1"/>
  <c r="CR1" i="2" s="1"/>
  <c r="E101" i="2"/>
  <c r="G101" i="2" s="1"/>
  <c r="CV1" i="2" s="1"/>
  <c r="E106" i="2"/>
  <c r="G106" i="2" s="1"/>
  <c r="DA1" i="2" s="1"/>
  <c r="E110" i="2"/>
  <c r="G110" i="2" s="1"/>
  <c r="DE1" i="2" s="1"/>
  <c r="E115" i="2"/>
  <c r="G115" i="2" s="1"/>
  <c r="DJ1" i="2" s="1"/>
  <c r="L118" i="2"/>
  <c r="N118" i="2" s="1"/>
  <c r="DM2" i="2" s="1"/>
  <c r="E124" i="2"/>
  <c r="E125" i="2"/>
  <c r="G125" i="2" s="1"/>
  <c r="DT1" i="2" s="1"/>
  <c r="L92" i="2"/>
  <c r="N92" i="2" s="1"/>
  <c r="CM2" i="2" s="1"/>
  <c r="E45" i="2"/>
  <c r="AE59" i="4"/>
  <c r="AE33" i="4"/>
  <c r="AE23" i="4"/>
  <c r="E38" i="9"/>
  <c r="H38" i="9" s="1"/>
  <c r="M38" i="9" s="1"/>
  <c r="N38" i="9" s="1"/>
  <c r="AT2" i="9" s="1"/>
  <c r="AF12" i="4" s="1"/>
  <c r="H49" i="4"/>
  <c r="G49" i="4"/>
  <c r="N22" i="12"/>
  <c r="O22" i="12" s="1"/>
  <c r="Q21" i="12"/>
  <c r="C25" i="12"/>
  <c r="N72" i="12"/>
  <c r="O72" i="12" s="1"/>
  <c r="J73" i="12"/>
  <c r="I73" i="12"/>
  <c r="B38" i="12"/>
  <c r="C40" i="9"/>
  <c r="D39" i="9"/>
  <c r="G118" i="2"/>
  <c r="DM1" i="2" s="1"/>
  <c r="G94" i="2"/>
  <c r="CO1" i="2" s="1"/>
  <c r="N121" i="2"/>
  <c r="DP2" i="2" s="1"/>
  <c r="M53" i="2"/>
  <c r="M52" i="2"/>
  <c r="F49" i="2"/>
  <c r="M49" i="2"/>
  <c r="E88" i="6"/>
  <c r="E45" i="6"/>
  <c r="J14" i="7"/>
  <c r="N13" i="7"/>
  <c r="K13" i="7"/>
  <c r="P13" i="7" s="1"/>
  <c r="Z2" i="7" s="1"/>
  <c r="J58" i="4" s="1"/>
  <c r="J24" i="7"/>
  <c r="N23" i="7"/>
  <c r="K23" i="7"/>
  <c r="P23" i="7" s="1"/>
  <c r="AJ2" i="7" s="1"/>
  <c r="T58" i="4" s="1"/>
  <c r="P12" i="7"/>
  <c r="Y2" i="7" s="1"/>
  <c r="I58" i="4" s="1"/>
  <c r="J33" i="7"/>
  <c r="N32" i="7"/>
  <c r="K32" i="7"/>
  <c r="C36" i="7"/>
  <c r="F36" i="7"/>
  <c r="B37" i="7"/>
  <c r="H10" i="7"/>
  <c r="W1" i="7" s="1"/>
  <c r="G57" i="4" s="1"/>
  <c r="H31" i="7"/>
  <c r="AR1" i="7" s="1"/>
  <c r="AB57" i="4" s="1"/>
  <c r="F25" i="7"/>
  <c r="C25" i="7"/>
  <c r="B12" i="7"/>
  <c r="C11" i="7"/>
  <c r="H11" i="7" s="1"/>
  <c r="X1" i="7" s="1"/>
  <c r="H57" i="4" s="1"/>
  <c r="F11" i="7"/>
  <c r="H24" i="7"/>
  <c r="AK1" i="7" s="1"/>
  <c r="U57" i="4" s="1"/>
  <c r="F17" i="7"/>
  <c r="B18" i="7"/>
  <c r="C17" i="7"/>
  <c r="H17" i="7" s="1"/>
  <c r="AD1" i="7" s="1"/>
  <c r="N57" i="4" s="1"/>
  <c r="P18" i="7"/>
  <c r="AE2" i="7" s="1"/>
  <c r="O58" i="4" s="1"/>
  <c r="P9" i="7"/>
  <c r="V2" i="7" s="1"/>
  <c r="F58" i="4" s="1"/>
  <c r="K19" i="7"/>
  <c r="N19" i="7"/>
  <c r="N100" i="2"/>
  <c r="CU2" i="2" s="1"/>
  <c r="N105" i="2"/>
  <c r="CZ2" i="2" s="1"/>
  <c r="N95" i="2"/>
  <c r="CP2" i="2" s="1"/>
  <c r="N110" i="2"/>
  <c r="DE2" i="2" s="1"/>
  <c r="M126" i="2"/>
  <c r="N126" i="2"/>
  <c r="DU2" i="2" s="1"/>
  <c r="J126" i="2"/>
  <c r="N115" i="2"/>
  <c r="DJ2" i="2" s="1"/>
  <c r="J101" i="2"/>
  <c r="M101" i="2"/>
  <c r="J96" i="2"/>
  <c r="M96" i="2"/>
  <c r="J111" i="2"/>
  <c r="M111" i="2"/>
  <c r="J106" i="2"/>
  <c r="M106" i="2"/>
  <c r="M116" i="2"/>
  <c r="J116" i="2"/>
  <c r="G100" i="2"/>
  <c r="CU1" i="2" s="1"/>
  <c r="G124" i="2"/>
  <c r="DS1" i="2" s="1"/>
  <c r="I107" i="6"/>
  <c r="M106" i="6"/>
  <c r="J106" i="6"/>
  <c r="I117" i="6"/>
  <c r="M116" i="6"/>
  <c r="J116" i="6"/>
  <c r="J94" i="6"/>
  <c r="I95" i="6"/>
  <c r="M94" i="6"/>
  <c r="F101" i="6"/>
  <c r="B102" i="6"/>
  <c r="C101" i="6"/>
  <c r="F109" i="6"/>
  <c r="B110" i="6"/>
  <c r="C109" i="6"/>
  <c r="C95" i="6"/>
  <c r="B96" i="6"/>
  <c r="F95" i="6"/>
  <c r="B122" i="6"/>
  <c r="C121" i="6"/>
  <c r="F121" i="6"/>
  <c r="B117" i="6"/>
  <c r="C116" i="6"/>
  <c r="F116" i="6"/>
  <c r="J52" i="6"/>
  <c r="I53" i="6"/>
  <c r="M52" i="6"/>
  <c r="M51" i="6"/>
  <c r="M50" i="6"/>
  <c r="F50" i="2"/>
  <c r="F51" i="2"/>
  <c r="M51" i="2"/>
  <c r="M50" i="2"/>
  <c r="B78" i="6"/>
  <c r="B51" i="6"/>
  <c r="B72" i="6"/>
  <c r="B58" i="6"/>
  <c r="B64" i="6"/>
  <c r="B84" i="6"/>
  <c r="M55" i="2"/>
  <c r="J55" i="2"/>
  <c r="M54" i="2"/>
  <c r="J54" i="2"/>
  <c r="C53" i="2"/>
  <c r="F53" i="2"/>
  <c r="C52" i="2"/>
  <c r="I52" i="2"/>
  <c r="B51" i="2"/>
  <c r="W32" i="6" l="1"/>
  <c r="U33" i="6"/>
  <c r="W33" i="6" s="1"/>
  <c r="S37" i="6" s="1"/>
  <c r="AJ44" i="4"/>
  <c r="AA44" i="4"/>
  <c r="P44" i="4"/>
  <c r="E49" i="2"/>
  <c r="L49" i="2"/>
  <c r="N49" i="2" s="1"/>
  <c r="BB2" i="2" s="1"/>
  <c r="L50" i="2"/>
  <c r="L52" i="2"/>
  <c r="L55" i="2"/>
  <c r="L59" i="2"/>
  <c r="L63" i="2"/>
  <c r="L67" i="2"/>
  <c r="L71" i="2"/>
  <c r="L75" i="2"/>
  <c r="L79" i="2"/>
  <c r="L83" i="2"/>
  <c r="E52" i="2"/>
  <c r="G52" i="2" s="1"/>
  <c r="BE1" i="2" s="1"/>
  <c r="E56" i="2"/>
  <c r="E60" i="2"/>
  <c r="E64" i="2"/>
  <c r="E68" i="2"/>
  <c r="E72" i="2"/>
  <c r="E76" i="2"/>
  <c r="E80" i="2"/>
  <c r="E84" i="2"/>
  <c r="L56" i="2"/>
  <c r="L60" i="2"/>
  <c r="L64" i="2"/>
  <c r="L68" i="2"/>
  <c r="L72" i="2"/>
  <c r="L76" i="2"/>
  <c r="L80" i="2"/>
  <c r="L84" i="2"/>
  <c r="E50" i="2"/>
  <c r="G50" i="2" s="1"/>
  <c r="BC1" i="2" s="1"/>
  <c r="E53" i="2"/>
  <c r="E57" i="2"/>
  <c r="E61" i="2"/>
  <c r="E65" i="2"/>
  <c r="E69" i="2"/>
  <c r="E73" i="2"/>
  <c r="E77" i="2"/>
  <c r="E81" i="2"/>
  <c r="L58" i="2"/>
  <c r="L62" i="2"/>
  <c r="L70" i="2"/>
  <c r="L78" i="2"/>
  <c r="L82" i="2"/>
  <c r="E55" i="2"/>
  <c r="E63" i="2"/>
  <c r="E71" i="2"/>
  <c r="E75" i="2"/>
  <c r="E83" i="2"/>
  <c r="L51" i="2"/>
  <c r="L53" i="2"/>
  <c r="L57" i="2"/>
  <c r="L61" i="2"/>
  <c r="L65" i="2"/>
  <c r="L69" i="2"/>
  <c r="L73" i="2"/>
  <c r="L77" i="2"/>
  <c r="L81" i="2"/>
  <c r="E54" i="2"/>
  <c r="E58" i="2"/>
  <c r="E62" i="2"/>
  <c r="E66" i="2"/>
  <c r="E70" i="2"/>
  <c r="E74" i="2"/>
  <c r="E78" i="2"/>
  <c r="E82" i="2"/>
  <c r="L54" i="2"/>
  <c r="L66" i="2"/>
  <c r="L74" i="2"/>
  <c r="E51" i="2"/>
  <c r="E59" i="2"/>
  <c r="E67" i="2"/>
  <c r="E79" i="2"/>
  <c r="L43" i="4"/>
  <c r="AF43" i="4"/>
  <c r="R44" i="4"/>
  <c r="J43" i="4"/>
  <c r="AK43" i="4"/>
  <c r="AB44" i="4"/>
  <c r="M43" i="4"/>
  <c r="AE44" i="4"/>
  <c r="X44" i="4"/>
  <c r="P43" i="4"/>
  <c r="I43" i="4"/>
  <c r="I44" i="4"/>
  <c r="C43" i="4"/>
  <c r="K43" i="4"/>
  <c r="Z44" i="4"/>
  <c r="U44" i="4"/>
  <c r="K44" i="4"/>
  <c r="G49" i="2"/>
  <c r="BB1" i="2" s="1"/>
  <c r="E43" i="4"/>
  <c r="C44" i="4"/>
  <c r="Z43" i="4"/>
  <c r="H43" i="4"/>
  <c r="AD43" i="4"/>
  <c r="W44" i="4"/>
  <c r="AH43" i="4"/>
  <c r="J44" i="4"/>
  <c r="AI44" i="4"/>
  <c r="AD44" i="4"/>
  <c r="O43" i="4"/>
  <c r="H44" i="4"/>
  <c r="O44" i="4"/>
  <c r="G43" i="4"/>
  <c r="N51" i="2"/>
  <c r="BD2" i="2" s="1"/>
  <c r="AI43" i="4"/>
  <c r="AF44" i="4"/>
  <c r="AC44" i="4"/>
  <c r="X43" i="4"/>
  <c r="F44" i="4"/>
  <c r="AC43" i="4"/>
  <c r="AJ43" i="4"/>
  <c r="U43" i="4"/>
  <c r="AL43" i="4"/>
  <c r="AA43" i="4"/>
  <c r="V43" i="4"/>
  <c r="N44" i="4"/>
  <c r="T43" i="4"/>
  <c r="D43" i="4"/>
  <c r="AH44" i="4"/>
  <c r="T44" i="4"/>
  <c r="E44" i="4"/>
  <c r="Y43" i="4"/>
  <c r="N43" i="4"/>
  <c r="F43" i="4"/>
  <c r="N50" i="2"/>
  <c r="BC2" i="2" s="1"/>
  <c r="AK44" i="4"/>
  <c r="Q43" i="4"/>
  <c r="AG43" i="4"/>
  <c r="Y44" i="4"/>
  <c r="S43" i="4"/>
  <c r="M44" i="4"/>
  <c r="D44" i="4"/>
  <c r="AE43" i="4"/>
  <c r="R43" i="4"/>
  <c r="AG44" i="4"/>
  <c r="AB43" i="4"/>
  <c r="S44" i="4"/>
  <c r="AL44" i="4"/>
  <c r="W43" i="4"/>
  <c r="AF59" i="4"/>
  <c r="AF33" i="4"/>
  <c r="AF23" i="4"/>
  <c r="E39" i="9"/>
  <c r="H39" i="9" s="1"/>
  <c r="M39" i="9" s="1"/>
  <c r="N39" i="9" s="1"/>
  <c r="AU2" i="9" s="1"/>
  <c r="AG12" i="4" s="1"/>
  <c r="I49" i="4"/>
  <c r="J49" i="4"/>
  <c r="Q72" i="12"/>
  <c r="AJ3" i="12"/>
  <c r="C26" i="12"/>
  <c r="Q22" i="12"/>
  <c r="N23" i="12"/>
  <c r="O23" i="12" s="1"/>
  <c r="J74" i="12"/>
  <c r="I74" i="12"/>
  <c r="B75" i="12"/>
  <c r="N73" i="12"/>
  <c r="O73" i="12" s="1"/>
  <c r="B39" i="12"/>
  <c r="C41" i="9"/>
  <c r="D40" i="9"/>
  <c r="N96" i="2"/>
  <c r="CQ2" i="2" s="1"/>
  <c r="G53" i="2"/>
  <c r="BF1" i="2" s="1"/>
  <c r="N54" i="2"/>
  <c r="BG2" i="2" s="1"/>
  <c r="E49" i="6"/>
  <c r="G49" i="6" s="1"/>
  <c r="BB1" i="6" s="1"/>
  <c r="L49" i="6"/>
  <c r="N49" i="6" s="1"/>
  <c r="BB2" i="6" s="1"/>
  <c r="L53" i="6"/>
  <c r="L56" i="6"/>
  <c r="E58" i="6"/>
  <c r="G58" i="6" s="1"/>
  <c r="BK1" i="6" s="1"/>
  <c r="L59" i="6"/>
  <c r="E62" i="6"/>
  <c r="G62" i="6" s="1"/>
  <c r="BO1" i="6" s="1"/>
  <c r="L63" i="6"/>
  <c r="E65" i="6"/>
  <c r="G65" i="6" s="1"/>
  <c r="BR1" i="6" s="1"/>
  <c r="L66" i="6"/>
  <c r="E68" i="6"/>
  <c r="G68" i="6" s="1"/>
  <c r="BU1" i="6" s="1"/>
  <c r="E71" i="6"/>
  <c r="G71" i="6" s="1"/>
  <c r="BX1" i="6" s="1"/>
  <c r="L73" i="6"/>
  <c r="L76" i="6"/>
  <c r="E78" i="6"/>
  <c r="G78" i="6" s="1"/>
  <c r="CE1" i="6" s="1"/>
  <c r="L79" i="6"/>
  <c r="E81" i="6"/>
  <c r="G81" i="6" s="1"/>
  <c r="CH1" i="6" s="1"/>
  <c r="L82" i="6"/>
  <c r="E84" i="6"/>
  <c r="G84" i="6" s="1"/>
  <c r="CK1" i="6" s="1"/>
  <c r="E53" i="6"/>
  <c r="G53" i="6" s="1"/>
  <c r="BF1" i="6" s="1"/>
  <c r="E59" i="6"/>
  <c r="G59" i="6" s="1"/>
  <c r="BL1" i="6" s="1"/>
  <c r="E70" i="6"/>
  <c r="G70" i="6" s="1"/>
  <c r="BW1" i="6" s="1"/>
  <c r="E76" i="6"/>
  <c r="G76" i="6" s="1"/>
  <c r="CC1" i="6" s="1"/>
  <c r="E79" i="6"/>
  <c r="G79" i="6" s="1"/>
  <c r="CF1" i="6" s="1"/>
  <c r="L52" i="6"/>
  <c r="E54" i="6"/>
  <c r="G54" i="6" s="1"/>
  <c r="BG1" i="6" s="1"/>
  <c r="E61" i="6"/>
  <c r="G61" i="6" s="1"/>
  <c r="BN1" i="6" s="1"/>
  <c r="L62" i="6"/>
  <c r="E67" i="6"/>
  <c r="G67" i="6" s="1"/>
  <c r="BT1" i="6" s="1"/>
  <c r="E74" i="6"/>
  <c r="G74" i="6" s="1"/>
  <c r="CA1" i="6" s="1"/>
  <c r="L75" i="6"/>
  <c r="E77" i="6"/>
  <c r="G77" i="6" s="1"/>
  <c r="CD1" i="6" s="1"/>
  <c r="L78" i="6"/>
  <c r="L50" i="6"/>
  <c r="N50" i="6" s="1"/>
  <c r="BC2" i="6" s="1"/>
  <c r="E52" i="6"/>
  <c r="G52" i="6" s="1"/>
  <c r="BE1" i="6" s="1"/>
  <c r="E55" i="6"/>
  <c r="G55" i="6" s="1"/>
  <c r="BH1" i="6" s="1"/>
  <c r="L57" i="6"/>
  <c r="L60" i="6"/>
  <c r="L61" i="6"/>
  <c r="L64" i="6"/>
  <c r="E66" i="6"/>
  <c r="G66" i="6" s="1"/>
  <c r="BS1" i="6" s="1"/>
  <c r="L67" i="6"/>
  <c r="E69" i="6"/>
  <c r="G69" i="6" s="1"/>
  <c r="BV1" i="6" s="1"/>
  <c r="L70" i="6"/>
  <c r="E72" i="6"/>
  <c r="G72" i="6" s="1"/>
  <c r="BY1" i="6" s="1"/>
  <c r="E75" i="6"/>
  <c r="G75" i="6" s="1"/>
  <c r="CB1" i="6" s="1"/>
  <c r="L77" i="6"/>
  <c r="L80" i="6"/>
  <c r="E82" i="6"/>
  <c r="G82" i="6" s="1"/>
  <c r="CI1" i="6" s="1"/>
  <c r="L83" i="6"/>
  <c r="E50" i="6"/>
  <c r="G50" i="6" s="1"/>
  <c r="BC1" i="6" s="1"/>
  <c r="L51" i="6"/>
  <c r="L54" i="6"/>
  <c r="E56" i="6"/>
  <c r="G56" i="6" s="1"/>
  <c r="BI1" i="6" s="1"/>
  <c r="E63" i="6"/>
  <c r="G63" i="6" s="1"/>
  <c r="BP1" i="6" s="1"/>
  <c r="L65" i="6"/>
  <c r="L68" i="6"/>
  <c r="L71" i="6"/>
  <c r="E73" i="6"/>
  <c r="G73" i="6" s="1"/>
  <c r="BZ1" i="6" s="1"/>
  <c r="L74" i="6"/>
  <c r="L81" i="6"/>
  <c r="L84" i="6"/>
  <c r="E51" i="6"/>
  <c r="G51" i="6" s="1"/>
  <c r="BD1" i="6" s="1"/>
  <c r="L55" i="6"/>
  <c r="E57" i="6"/>
  <c r="G57" i="6" s="1"/>
  <c r="BJ1" i="6" s="1"/>
  <c r="L58" i="6"/>
  <c r="E60" i="6"/>
  <c r="G60" i="6" s="1"/>
  <c r="BM1" i="6" s="1"/>
  <c r="E64" i="6"/>
  <c r="G64" i="6" s="1"/>
  <c r="BQ1" i="6" s="1"/>
  <c r="L69" i="6"/>
  <c r="L72" i="6"/>
  <c r="E80" i="6"/>
  <c r="G80" i="6" s="1"/>
  <c r="CG1" i="6" s="1"/>
  <c r="E83" i="6"/>
  <c r="G83" i="6" s="1"/>
  <c r="CJ1" i="6" s="1"/>
  <c r="N51" i="6"/>
  <c r="BD2" i="6" s="1"/>
  <c r="L117" i="6"/>
  <c r="L94" i="6"/>
  <c r="L97" i="6"/>
  <c r="E101" i="6"/>
  <c r="G101" i="6" s="1"/>
  <c r="CV1" i="6" s="1"/>
  <c r="E103" i="6"/>
  <c r="L105" i="6"/>
  <c r="N105" i="6" s="1"/>
  <c r="CZ2" i="6" s="1"/>
  <c r="L107" i="6"/>
  <c r="L109" i="6"/>
  <c r="L111" i="6"/>
  <c r="L112" i="6"/>
  <c r="L118" i="6"/>
  <c r="L119" i="6"/>
  <c r="L121" i="6"/>
  <c r="L123" i="6"/>
  <c r="L124" i="6"/>
  <c r="N124" i="6" s="1"/>
  <c r="DS2" i="6" s="1"/>
  <c r="E125" i="6"/>
  <c r="G125" i="6" s="1"/>
  <c r="DT1" i="6" s="1"/>
  <c r="L125" i="6"/>
  <c r="N125" i="6" s="1"/>
  <c r="DT2" i="6" s="1"/>
  <c r="L127" i="6"/>
  <c r="N127" i="6" s="1"/>
  <c r="DV2" i="6" s="1"/>
  <c r="E93" i="6"/>
  <c r="G93" i="6" s="1"/>
  <c r="CN1" i="6" s="1"/>
  <c r="L92" i="6"/>
  <c r="N92" i="6" s="1"/>
  <c r="CM2" i="6" s="1"/>
  <c r="E117" i="6"/>
  <c r="L98" i="6"/>
  <c r="L108" i="6"/>
  <c r="E112" i="6"/>
  <c r="G112" i="6" s="1"/>
  <c r="DG1" i="6" s="1"/>
  <c r="L113" i="6"/>
  <c r="N113" i="6" s="1"/>
  <c r="DH2" i="6" s="1"/>
  <c r="E118" i="6"/>
  <c r="G118" i="6" s="1"/>
  <c r="DM1" i="6" s="1"/>
  <c r="L120" i="6"/>
  <c r="L93" i="6"/>
  <c r="N93" i="6" s="1"/>
  <c r="CN2" i="6" s="1"/>
  <c r="E94" i="6"/>
  <c r="G94" i="6" s="1"/>
  <c r="CO1" i="6" s="1"/>
  <c r="L99" i="6"/>
  <c r="L102" i="6"/>
  <c r="L104" i="6"/>
  <c r="N104" i="6" s="1"/>
  <c r="CY2" i="6" s="1"/>
  <c r="E107" i="6"/>
  <c r="G107" i="6" s="1"/>
  <c r="DB1" i="6" s="1"/>
  <c r="E111" i="6"/>
  <c r="E115" i="6"/>
  <c r="G115" i="6" s="1"/>
  <c r="DJ1" i="6" s="1"/>
  <c r="E121" i="6"/>
  <c r="G121" i="6" s="1"/>
  <c r="DP1" i="6" s="1"/>
  <c r="E126" i="6"/>
  <c r="G126" i="6" s="1"/>
  <c r="DU1" i="6" s="1"/>
  <c r="E92" i="6"/>
  <c r="G92" i="6" s="1"/>
  <c r="CM1" i="6" s="1"/>
  <c r="L95" i="6"/>
  <c r="E98" i="6"/>
  <c r="E99" i="6"/>
  <c r="G99" i="6" s="1"/>
  <c r="CT1" i="6" s="1"/>
  <c r="E100" i="6"/>
  <c r="G100" i="6" s="1"/>
  <c r="CU1" i="6" s="1"/>
  <c r="L101" i="6"/>
  <c r="E104" i="6"/>
  <c r="L106" i="6"/>
  <c r="N106" i="6" s="1"/>
  <c r="DA2" i="6" s="1"/>
  <c r="E108" i="6"/>
  <c r="G108" i="6" s="1"/>
  <c r="DC1" i="6" s="1"/>
  <c r="E110" i="6"/>
  <c r="E114" i="6"/>
  <c r="G114" i="6" s="1"/>
  <c r="DI1" i="6" s="1"/>
  <c r="L114" i="6"/>
  <c r="N114" i="6" s="1"/>
  <c r="DI2" i="6" s="1"/>
  <c r="L115" i="6"/>
  <c r="N115" i="6" s="1"/>
  <c r="DJ2" i="6" s="1"/>
  <c r="E120" i="6"/>
  <c r="G120" i="6" s="1"/>
  <c r="DO1" i="6" s="1"/>
  <c r="E122" i="6"/>
  <c r="E124" i="6"/>
  <c r="L126" i="6"/>
  <c r="N126" i="6" s="1"/>
  <c r="DU2" i="6" s="1"/>
  <c r="E96" i="6"/>
  <c r="E102" i="6"/>
  <c r="E105" i="6"/>
  <c r="G105" i="6" s="1"/>
  <c r="CZ1" i="6" s="1"/>
  <c r="L110" i="6"/>
  <c r="E116" i="6"/>
  <c r="E119" i="6"/>
  <c r="G119" i="6" s="1"/>
  <c r="DN1" i="6" s="1"/>
  <c r="L122" i="6"/>
  <c r="L96" i="6"/>
  <c r="L100" i="6"/>
  <c r="L103" i="6"/>
  <c r="N103" i="6" s="1"/>
  <c r="CX2" i="6" s="1"/>
  <c r="E106" i="6"/>
  <c r="G106" i="6" s="1"/>
  <c r="DA1" i="6" s="1"/>
  <c r="E109" i="6"/>
  <c r="E113" i="6"/>
  <c r="G113" i="6" s="1"/>
  <c r="DH1" i="6" s="1"/>
  <c r="L116" i="6"/>
  <c r="N116" i="6" s="1"/>
  <c r="DK2" i="6" s="1"/>
  <c r="E123" i="6"/>
  <c r="E127" i="6"/>
  <c r="G127" i="6" s="1"/>
  <c r="DV1" i="6" s="1"/>
  <c r="E97" i="6"/>
  <c r="E95" i="6"/>
  <c r="J34" i="7"/>
  <c r="K33" i="7"/>
  <c r="N33" i="7"/>
  <c r="P32" i="7"/>
  <c r="AS2" i="7" s="1"/>
  <c r="AC58" i="4" s="1"/>
  <c r="J25" i="7"/>
  <c r="N24" i="7"/>
  <c r="K24" i="7"/>
  <c r="J15" i="7"/>
  <c r="K14" i="7"/>
  <c r="N14" i="7"/>
  <c r="F12" i="7"/>
  <c r="C12" i="7"/>
  <c r="C37" i="7"/>
  <c r="B38" i="7"/>
  <c r="F37" i="7"/>
  <c r="C18" i="7"/>
  <c r="F18" i="7"/>
  <c r="H25" i="7"/>
  <c r="AL1" i="7" s="1"/>
  <c r="V57" i="4" s="1"/>
  <c r="H36" i="7"/>
  <c r="AW1" i="7" s="1"/>
  <c r="AG57" i="4" s="1"/>
  <c r="P19" i="7"/>
  <c r="AF2" i="7" s="1"/>
  <c r="P58" i="4" s="1"/>
  <c r="N111" i="2"/>
  <c r="DF2" i="2" s="1"/>
  <c r="N106" i="2"/>
  <c r="DA2" i="2" s="1"/>
  <c r="N101" i="2"/>
  <c r="CV2" i="2" s="1"/>
  <c r="G95" i="6"/>
  <c r="CP1" i="6" s="1"/>
  <c r="G116" i="6"/>
  <c r="DK1" i="6" s="1"/>
  <c r="G109" i="6"/>
  <c r="DD1" i="6" s="1"/>
  <c r="I96" i="6"/>
  <c r="M95" i="6"/>
  <c r="J95" i="6"/>
  <c r="M107" i="6"/>
  <c r="I108" i="6"/>
  <c r="J107" i="6"/>
  <c r="N94" i="6"/>
  <c r="CO2" i="6" s="1"/>
  <c r="I118" i="6"/>
  <c r="J117" i="6"/>
  <c r="M117" i="6"/>
  <c r="B97" i="6"/>
  <c r="C96" i="6"/>
  <c r="F96" i="6"/>
  <c r="B103" i="6"/>
  <c r="F102" i="6"/>
  <c r="C102" i="6"/>
  <c r="B111" i="6"/>
  <c r="F110" i="6"/>
  <c r="C110" i="6"/>
  <c r="C117" i="6"/>
  <c r="F117" i="6"/>
  <c r="F122" i="6"/>
  <c r="C122" i="6"/>
  <c r="B123" i="6"/>
  <c r="N52" i="6"/>
  <c r="BE2" i="6" s="1"/>
  <c r="J53" i="6"/>
  <c r="I54" i="6"/>
  <c r="M53" i="6"/>
  <c r="B65" i="6"/>
  <c r="B73" i="6"/>
  <c r="B59" i="6"/>
  <c r="B52" i="6"/>
  <c r="B79" i="6"/>
  <c r="M56" i="2"/>
  <c r="I57" i="2"/>
  <c r="J56" i="2"/>
  <c r="C54" i="2"/>
  <c r="B55" i="2"/>
  <c r="F54" i="2"/>
  <c r="I53" i="2"/>
  <c r="N55" i="2"/>
  <c r="BH2" i="2" s="1"/>
  <c r="N34" i="5"/>
  <c r="F33" i="5"/>
  <c r="N31" i="5"/>
  <c r="F25" i="5"/>
  <c r="N26" i="5"/>
  <c r="N27" i="5"/>
  <c r="N28" i="5"/>
  <c r="N29" i="5"/>
  <c r="N30" i="5"/>
  <c r="N32" i="5"/>
  <c r="N33" i="5"/>
  <c r="N35" i="5"/>
  <c r="N36" i="5"/>
  <c r="N37" i="5"/>
  <c r="N38" i="5"/>
  <c r="N39" i="5"/>
  <c r="N40" i="5"/>
  <c r="N41" i="5"/>
  <c r="N11" i="5"/>
  <c r="N15" i="5"/>
  <c r="N20" i="5"/>
  <c r="N21" i="5"/>
  <c r="N22" i="5"/>
  <c r="N23" i="5"/>
  <c r="N24" i="5"/>
  <c r="N25" i="5"/>
  <c r="N7" i="5"/>
  <c r="N8" i="5"/>
  <c r="N9" i="5"/>
  <c r="N10" i="5"/>
  <c r="N6" i="5"/>
  <c r="F6" i="5"/>
  <c r="F7" i="5"/>
  <c r="F8" i="5"/>
  <c r="F9" i="5"/>
  <c r="F10" i="5"/>
  <c r="F11" i="5"/>
  <c r="F12" i="5"/>
  <c r="F13" i="5"/>
  <c r="F14" i="5"/>
  <c r="F15" i="5"/>
  <c r="F16" i="5"/>
  <c r="F17" i="5"/>
  <c r="F18" i="5"/>
  <c r="F19" i="5"/>
  <c r="F20" i="5"/>
  <c r="F21" i="5"/>
  <c r="F22" i="5"/>
  <c r="F23" i="5"/>
  <c r="F24" i="5"/>
  <c r="F26" i="5"/>
  <c r="F27" i="5"/>
  <c r="F28" i="5"/>
  <c r="F29" i="5"/>
  <c r="F30" i="5"/>
  <c r="F31" i="5"/>
  <c r="F32" i="5"/>
  <c r="F34" i="5"/>
  <c r="F35" i="5"/>
  <c r="F36" i="5"/>
  <c r="F37" i="5"/>
  <c r="F38" i="5"/>
  <c r="F39" i="5"/>
  <c r="F40" i="5"/>
  <c r="F41" i="5"/>
  <c r="M4" i="6"/>
  <c r="L4" i="6"/>
  <c r="I8" i="2"/>
  <c r="I9" i="2" s="1"/>
  <c r="I7" i="2"/>
  <c r="B8" i="2"/>
  <c r="B10" i="2"/>
  <c r="B11" i="2" s="1"/>
  <c r="B7" i="2"/>
  <c r="F7" i="2" s="1"/>
  <c r="M6" i="2"/>
  <c r="M7" i="2"/>
  <c r="L6" i="2"/>
  <c r="C6" i="2"/>
  <c r="F8" i="2"/>
  <c r="F9" i="2"/>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6" i="6"/>
  <c r="E6" i="6"/>
  <c r="J20" i="6"/>
  <c r="J19" i="6"/>
  <c r="J18" i="6"/>
  <c r="J17" i="6"/>
  <c r="J16" i="6"/>
  <c r="J15" i="6"/>
  <c r="J14" i="6"/>
  <c r="J13" i="6"/>
  <c r="J12" i="6"/>
  <c r="J11" i="6"/>
  <c r="I18" i="6"/>
  <c r="I8" i="6"/>
  <c r="I9" i="6" s="1"/>
  <c r="I10" i="6" s="1"/>
  <c r="I7" i="6"/>
  <c r="B8" i="6"/>
  <c r="B9" i="6"/>
  <c r="B10" i="6"/>
  <c r="B11" i="6" s="1"/>
  <c r="B7" i="6"/>
  <c r="L3" i="6"/>
  <c r="L40" i="6"/>
  <c r="E40" i="6"/>
  <c r="L38" i="6"/>
  <c r="L37" i="6"/>
  <c r="E37" i="6"/>
  <c r="L35" i="6"/>
  <c r="E35" i="6"/>
  <c r="L34" i="6"/>
  <c r="L31" i="6"/>
  <c r="E31" i="6"/>
  <c r="E30" i="6"/>
  <c r="L28" i="6"/>
  <c r="E28" i="6"/>
  <c r="L26" i="6"/>
  <c r="L25" i="6"/>
  <c r="E25" i="6"/>
  <c r="L23" i="6"/>
  <c r="E23" i="6"/>
  <c r="E22" i="6"/>
  <c r="L20" i="6"/>
  <c r="E20" i="6"/>
  <c r="L18" i="6"/>
  <c r="L17" i="6"/>
  <c r="E17" i="6"/>
  <c r="E16" i="6"/>
  <c r="L15" i="6"/>
  <c r="E15" i="6"/>
  <c r="L14" i="6"/>
  <c r="L13" i="6"/>
  <c r="E13" i="6"/>
  <c r="E12" i="6"/>
  <c r="E11" i="6"/>
  <c r="E10" i="6"/>
  <c r="L9" i="6"/>
  <c r="E9" i="6"/>
  <c r="C9" i="6"/>
  <c r="L8" i="6"/>
  <c r="C8" i="6"/>
  <c r="L7" i="6"/>
  <c r="J7" i="6"/>
  <c r="E7" i="6"/>
  <c r="C7" i="6"/>
  <c r="J6" i="6"/>
  <c r="C6" i="6"/>
  <c r="E41" i="6"/>
  <c r="AA41" i="4" l="1"/>
  <c r="F11" i="4"/>
  <c r="F40" i="4"/>
  <c r="N41" i="4"/>
  <c r="AD40" i="4"/>
  <c r="Y40" i="4"/>
  <c r="AF40" i="4"/>
  <c r="O41" i="4"/>
  <c r="D41" i="4"/>
  <c r="W40" i="4"/>
  <c r="C41" i="4"/>
  <c r="AJ40" i="4"/>
  <c r="L40" i="4"/>
  <c r="E11" i="4"/>
  <c r="K10" i="4"/>
  <c r="AJ10" i="4"/>
  <c r="Z10" i="4"/>
  <c r="T10" i="4"/>
  <c r="U10" i="4"/>
  <c r="M10" i="4"/>
  <c r="AI10" i="4"/>
  <c r="S10" i="4"/>
  <c r="L10" i="4"/>
  <c r="C10" i="4"/>
  <c r="X40" i="4"/>
  <c r="AE40" i="4"/>
  <c r="Z40" i="4"/>
  <c r="D40" i="4"/>
  <c r="AI41" i="4"/>
  <c r="AK10" i="4"/>
  <c r="R10" i="4"/>
  <c r="I10" i="4"/>
  <c r="AE10" i="4"/>
  <c r="AG10" i="4"/>
  <c r="G10" i="4"/>
  <c r="Y10" i="4"/>
  <c r="G122" i="6"/>
  <c r="DQ1" i="6" s="1"/>
  <c r="E41" i="4"/>
  <c r="T40" i="4"/>
  <c r="AL40" i="4"/>
  <c r="AK41" i="4"/>
  <c r="Z41" i="4"/>
  <c r="S40" i="4"/>
  <c r="K40" i="4"/>
  <c r="C40" i="4"/>
  <c r="AC40" i="4"/>
  <c r="AL41" i="4"/>
  <c r="P41" i="4"/>
  <c r="AH10" i="4"/>
  <c r="N10" i="4"/>
  <c r="E10" i="4"/>
  <c r="AA10" i="4"/>
  <c r="Q10" i="4"/>
  <c r="D10" i="4"/>
  <c r="W10" i="4"/>
  <c r="F10" i="4"/>
  <c r="O10" i="4"/>
  <c r="AD10" i="4"/>
  <c r="AL10" i="4"/>
  <c r="AF10" i="4"/>
  <c r="V10" i="4"/>
  <c r="P10" i="4"/>
  <c r="AA40" i="4"/>
  <c r="Q40" i="4"/>
  <c r="P40" i="4"/>
  <c r="Y41" i="4"/>
  <c r="Q41" i="4"/>
  <c r="J40" i="4"/>
  <c r="AK40" i="4"/>
  <c r="R40" i="4"/>
  <c r="E40" i="4"/>
  <c r="X41" i="4"/>
  <c r="AJ41" i="4"/>
  <c r="J10" i="4"/>
  <c r="AC10" i="4"/>
  <c r="D11" i="4"/>
  <c r="AB10" i="4"/>
  <c r="H10" i="4"/>
  <c r="X10" i="4"/>
  <c r="C11" i="4"/>
  <c r="T37" i="6"/>
  <c r="C47" i="4"/>
  <c r="C16" i="4"/>
  <c r="D15" i="4"/>
  <c r="I16" i="4"/>
  <c r="D16" i="4"/>
  <c r="F15" i="4"/>
  <c r="V44" i="4"/>
  <c r="G44" i="4"/>
  <c r="L44" i="4"/>
  <c r="H16" i="4"/>
  <c r="E16" i="4"/>
  <c r="G54" i="2"/>
  <c r="BG1" i="2" s="1"/>
  <c r="Q44" i="4"/>
  <c r="G15" i="4"/>
  <c r="C15" i="4"/>
  <c r="AG33" i="4"/>
  <c r="AG23" i="4"/>
  <c r="AG59" i="4"/>
  <c r="E40" i="9"/>
  <c r="H40" i="9" s="1"/>
  <c r="M40" i="9" s="1"/>
  <c r="N40" i="9" s="1"/>
  <c r="AV2" i="9" s="1"/>
  <c r="AH12" i="4" s="1"/>
  <c r="L49" i="4"/>
  <c r="K49" i="4"/>
  <c r="Q73" i="12"/>
  <c r="AK3" i="12"/>
  <c r="Q23" i="12"/>
  <c r="C27" i="12"/>
  <c r="B76" i="12"/>
  <c r="J75" i="12"/>
  <c r="I75" i="12"/>
  <c r="N74" i="12"/>
  <c r="O74" i="12" s="1"/>
  <c r="B40" i="12"/>
  <c r="C42" i="9"/>
  <c r="D41" i="9"/>
  <c r="P14" i="7"/>
  <c r="AA2" i="7" s="1"/>
  <c r="K58" i="4" s="1"/>
  <c r="P33" i="7"/>
  <c r="AT2" i="7" s="1"/>
  <c r="AD58" i="4" s="1"/>
  <c r="J16" i="7"/>
  <c r="N15" i="7"/>
  <c r="K15" i="7"/>
  <c r="N25" i="7"/>
  <c r="J26" i="7"/>
  <c r="K25" i="7"/>
  <c r="P24" i="7"/>
  <c r="AK2" i="7" s="1"/>
  <c r="U58" i="4" s="1"/>
  <c r="N34" i="7"/>
  <c r="K34" i="7"/>
  <c r="P34" i="7" s="1"/>
  <c r="AU2" i="7" s="1"/>
  <c r="AE58" i="4" s="1"/>
  <c r="J35" i="7"/>
  <c r="H18" i="7"/>
  <c r="AE1" i="7" s="1"/>
  <c r="O57" i="4" s="1"/>
  <c r="H37" i="7"/>
  <c r="AX1" i="7" s="1"/>
  <c r="AH57" i="4" s="1"/>
  <c r="H12" i="7"/>
  <c r="Y1" i="7" s="1"/>
  <c r="I57" i="4" s="1"/>
  <c r="C38" i="7"/>
  <c r="F38" i="7"/>
  <c r="N107" i="6"/>
  <c r="DB2" i="6" s="1"/>
  <c r="N95" i="6"/>
  <c r="CP2" i="6" s="1"/>
  <c r="G117" i="6"/>
  <c r="DL1" i="6" s="1"/>
  <c r="G110" i="6"/>
  <c r="DE1" i="6" s="1"/>
  <c r="M118" i="6"/>
  <c r="J118" i="6"/>
  <c r="I119" i="6"/>
  <c r="I109" i="6"/>
  <c r="M108" i="6"/>
  <c r="J108" i="6"/>
  <c r="M96" i="6"/>
  <c r="J96" i="6"/>
  <c r="N96" i="6" s="1"/>
  <c r="CQ2" i="6" s="1"/>
  <c r="I97" i="6"/>
  <c r="N117" i="6"/>
  <c r="DL2" i="6" s="1"/>
  <c r="G102" i="6"/>
  <c r="CW1" i="6" s="1"/>
  <c r="C111" i="6"/>
  <c r="F111" i="6"/>
  <c r="B98" i="6"/>
  <c r="F97" i="6"/>
  <c r="C97" i="6"/>
  <c r="B124" i="6"/>
  <c r="C123" i="6"/>
  <c r="F123" i="6"/>
  <c r="C103" i="6"/>
  <c r="F103" i="6"/>
  <c r="B104" i="6"/>
  <c r="G96" i="6"/>
  <c r="CQ1" i="6" s="1"/>
  <c r="M54" i="6"/>
  <c r="I55" i="6"/>
  <c r="J54" i="6"/>
  <c r="N53" i="6"/>
  <c r="BF2" i="6" s="1"/>
  <c r="B60" i="6"/>
  <c r="B66" i="6"/>
  <c r="B80" i="6"/>
  <c r="B53" i="6"/>
  <c r="B74" i="6"/>
  <c r="M57" i="2"/>
  <c r="J57" i="2"/>
  <c r="I58" i="2"/>
  <c r="C55" i="2"/>
  <c r="B56" i="2"/>
  <c r="F55" i="2"/>
  <c r="F10" i="2"/>
  <c r="N52" i="2"/>
  <c r="BE2" i="2" s="1"/>
  <c r="G51" i="2"/>
  <c r="BD1" i="2" s="1"/>
  <c r="N56" i="2"/>
  <c r="BI2" i="2" s="1"/>
  <c r="I10" i="2"/>
  <c r="M9" i="2"/>
  <c r="M8" i="2"/>
  <c r="F11" i="2"/>
  <c r="I19" i="6"/>
  <c r="J10" i="6"/>
  <c r="I11" i="6"/>
  <c r="B12" i="6"/>
  <c r="C11" i="6"/>
  <c r="G11" i="6" s="1"/>
  <c r="V1" i="6" s="1"/>
  <c r="C10" i="6"/>
  <c r="G10" i="6" s="1"/>
  <c r="U1" i="6" s="1"/>
  <c r="G7" i="6"/>
  <c r="R1" i="6" s="1"/>
  <c r="N7" i="6"/>
  <c r="R2" i="6" s="1"/>
  <c r="G9" i="6"/>
  <c r="T1" i="6" s="1"/>
  <c r="N18" i="6"/>
  <c r="AC2" i="6" s="1"/>
  <c r="G6" i="6"/>
  <c r="Q1" i="6" s="1"/>
  <c r="J8" i="6"/>
  <c r="N8" i="6" s="1"/>
  <c r="S2" i="6" s="1"/>
  <c r="E19" i="6"/>
  <c r="L21" i="6"/>
  <c r="L24" i="6"/>
  <c r="E26" i="6"/>
  <c r="L27" i="6"/>
  <c r="E29" i="6"/>
  <c r="L30" i="6"/>
  <c r="E32" i="6"/>
  <c r="L33" i="6"/>
  <c r="E34" i="6"/>
  <c r="E36" i="6"/>
  <c r="E39" i="6"/>
  <c r="L41" i="6"/>
  <c r="L6" i="6"/>
  <c r="N6" i="6" s="1"/>
  <c r="Q2" i="6" s="1"/>
  <c r="E8" i="6"/>
  <c r="G8" i="6" s="1"/>
  <c r="S1" i="6" s="1"/>
  <c r="L10" i="6"/>
  <c r="L11" i="6"/>
  <c r="L12" i="6"/>
  <c r="E14" i="6"/>
  <c r="L16" i="6"/>
  <c r="E18" i="6"/>
  <c r="L19" i="6"/>
  <c r="E21" i="6"/>
  <c r="L22" i="6"/>
  <c r="E24" i="6"/>
  <c r="E27" i="6"/>
  <c r="L29" i="6"/>
  <c r="L32" i="6"/>
  <c r="E33" i="6"/>
  <c r="L36" i="6"/>
  <c r="E38" i="6"/>
  <c r="L39" i="6"/>
  <c r="N16" i="5"/>
  <c r="G8" i="5"/>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7" i="5"/>
  <c r="O8" i="5"/>
  <c r="O9" i="5" s="1"/>
  <c r="O10" i="5" s="1"/>
  <c r="O11" i="5" s="1"/>
  <c r="O12" i="5" s="1"/>
  <c r="O13" i="5" s="1"/>
  <c r="O14" i="5" s="1"/>
  <c r="O15" i="5" s="1"/>
  <c r="O16" i="5" s="1"/>
  <c r="O17" i="5" s="1"/>
  <c r="O18" i="5" s="1"/>
  <c r="O19" i="5" s="1"/>
  <c r="O20" i="5" s="1"/>
  <c r="O21" i="5" s="1"/>
  <c r="O22" i="5" s="1"/>
  <c r="O23" i="5" s="1"/>
  <c r="O24" i="5" s="1"/>
  <c r="O25" i="5" s="1"/>
  <c r="O26" i="5" s="1"/>
  <c r="O27" i="5" s="1"/>
  <c r="O28" i="5" s="1"/>
  <c r="O29" i="5" s="1"/>
  <c r="O30" i="5" s="1"/>
  <c r="O31" i="5" s="1"/>
  <c r="O32" i="5" s="1"/>
  <c r="O33" i="5" s="1"/>
  <c r="O34" i="5" s="1"/>
  <c r="O35" i="5" s="1"/>
  <c r="O36" i="5" s="1"/>
  <c r="O37" i="5" s="1"/>
  <c r="O38" i="5" s="1"/>
  <c r="O39" i="5" s="1"/>
  <c r="O40" i="5" s="1"/>
  <c r="O41" i="5" s="1"/>
  <c r="O7" i="5"/>
  <c r="V16" i="5"/>
  <c r="V17" i="5" s="1"/>
  <c r="G41" i="4" l="1"/>
  <c r="U40" i="4"/>
  <c r="U37" i="6"/>
  <c r="D47" i="4"/>
  <c r="AG40" i="4"/>
  <c r="G11" i="4"/>
  <c r="G40" i="4"/>
  <c r="M40" i="4"/>
  <c r="AB40" i="4"/>
  <c r="AB41" i="4"/>
  <c r="F41" i="4"/>
  <c r="R41" i="4"/>
  <c r="H15" i="4"/>
  <c r="E15" i="4"/>
  <c r="J16" i="4"/>
  <c r="F16" i="4"/>
  <c r="AH59" i="4"/>
  <c r="AH33" i="4"/>
  <c r="AH23" i="4"/>
  <c r="E41" i="9"/>
  <c r="H41" i="9" s="1"/>
  <c r="M41" i="9" s="1"/>
  <c r="N41" i="9" s="1"/>
  <c r="AW2" i="9" s="1"/>
  <c r="AI12" i="4" s="1"/>
  <c r="N49" i="4"/>
  <c r="M49" i="4"/>
  <c r="Q74" i="12"/>
  <c r="AL3" i="12"/>
  <c r="C28" i="12"/>
  <c r="N25" i="12"/>
  <c r="O25" i="12" s="1"/>
  <c r="N26" i="12"/>
  <c r="O26" i="12" s="1"/>
  <c r="N24" i="12"/>
  <c r="O24" i="12" s="1"/>
  <c r="N75" i="12"/>
  <c r="O75" i="12" s="1"/>
  <c r="I76" i="12"/>
  <c r="J76" i="12"/>
  <c r="B77" i="12"/>
  <c r="D42" i="9"/>
  <c r="C43" i="9"/>
  <c r="G55" i="2"/>
  <c r="BH1" i="2" s="1"/>
  <c r="N12" i="5"/>
  <c r="K26" i="7"/>
  <c r="N26" i="7"/>
  <c r="N16" i="7"/>
  <c r="K16" i="7"/>
  <c r="J36" i="7"/>
  <c r="N35" i="7"/>
  <c r="K35" i="7"/>
  <c r="P25" i="7"/>
  <c r="AL2" i="7" s="1"/>
  <c r="V58" i="4" s="1"/>
  <c r="P15" i="7"/>
  <c r="AB2" i="7" s="1"/>
  <c r="L58" i="4" s="1"/>
  <c r="H38" i="7"/>
  <c r="AY1" i="7" s="1"/>
  <c r="AI57" i="4" s="1"/>
  <c r="G123" i="6"/>
  <c r="DR1" i="6" s="1"/>
  <c r="I98" i="6"/>
  <c r="M97" i="6"/>
  <c r="J97" i="6"/>
  <c r="N108" i="6"/>
  <c r="DC2" i="6" s="1"/>
  <c r="M119" i="6"/>
  <c r="J119" i="6"/>
  <c r="I120" i="6"/>
  <c r="N118" i="6"/>
  <c r="DM2" i="6" s="1"/>
  <c r="M109" i="6"/>
  <c r="I110" i="6"/>
  <c r="J109" i="6"/>
  <c r="C124" i="6"/>
  <c r="F124" i="6"/>
  <c r="F98" i="6"/>
  <c r="C98" i="6"/>
  <c r="G103" i="6"/>
  <c r="CX1" i="6" s="1"/>
  <c r="G111" i="6"/>
  <c r="DF1" i="6" s="1"/>
  <c r="C104" i="6"/>
  <c r="F104" i="6"/>
  <c r="G97" i="6"/>
  <c r="CR1" i="6" s="1"/>
  <c r="N54" i="6"/>
  <c r="BG2" i="6" s="1"/>
  <c r="I56" i="6"/>
  <c r="M55" i="6"/>
  <c r="J55" i="6"/>
  <c r="N55" i="6"/>
  <c r="BH2" i="6" s="1"/>
  <c r="B54" i="6"/>
  <c r="B81" i="6"/>
  <c r="B61" i="6"/>
  <c r="B67" i="6"/>
  <c r="I59" i="2"/>
  <c r="J58" i="2"/>
  <c r="M58" i="2"/>
  <c r="B57" i="2"/>
  <c r="C56" i="2"/>
  <c r="F56" i="2"/>
  <c r="N57" i="2"/>
  <c r="BJ2" i="2" s="1"/>
  <c r="N53" i="2"/>
  <c r="BF2" i="2" s="1"/>
  <c r="C21" i="4"/>
  <c r="C31" i="4"/>
  <c r="D31" i="4"/>
  <c r="D21" i="4"/>
  <c r="O32" i="4"/>
  <c r="O22" i="4"/>
  <c r="G31" i="4"/>
  <c r="G21" i="4"/>
  <c r="F31" i="4"/>
  <c r="F21" i="4"/>
  <c r="C22" i="4"/>
  <c r="C32" i="4"/>
  <c r="E31" i="4"/>
  <c r="E21" i="4"/>
  <c r="E32" i="4"/>
  <c r="E22" i="4"/>
  <c r="D32" i="4"/>
  <c r="D22" i="4"/>
  <c r="H31" i="4"/>
  <c r="H21" i="4"/>
  <c r="M10" i="2"/>
  <c r="F12" i="2"/>
  <c r="B13" i="2"/>
  <c r="C13" i="2" s="1"/>
  <c r="I20" i="6"/>
  <c r="I21" i="6" s="1"/>
  <c r="I22" i="6" s="1"/>
  <c r="N19" i="6"/>
  <c r="AD2" i="6" s="1"/>
  <c r="I12" i="6"/>
  <c r="I13" i="6" s="1"/>
  <c r="I14" i="6" s="1"/>
  <c r="N11" i="6"/>
  <c r="V2" i="6" s="1"/>
  <c r="N10" i="6"/>
  <c r="U2" i="6" s="1"/>
  <c r="C12" i="6"/>
  <c r="J9" i="6"/>
  <c r="N9" i="6" s="1"/>
  <c r="T2" i="6" s="1"/>
  <c r="N17" i="6"/>
  <c r="AB2" i="6" s="1"/>
  <c r="C41" i="5"/>
  <c r="C40" i="5"/>
  <c r="C39" i="5"/>
  <c r="K38" i="5"/>
  <c r="C38" i="5"/>
  <c r="C37" i="5"/>
  <c r="C36" i="5"/>
  <c r="C35" i="5"/>
  <c r="K34" i="5"/>
  <c r="C34" i="5"/>
  <c r="C33" i="5"/>
  <c r="C32" i="5"/>
  <c r="C31" i="5"/>
  <c r="C30" i="5"/>
  <c r="C29" i="5"/>
  <c r="C28" i="5"/>
  <c r="K27" i="5"/>
  <c r="C27" i="5"/>
  <c r="C26" i="5"/>
  <c r="C25" i="5"/>
  <c r="C24" i="5"/>
  <c r="C23" i="5"/>
  <c r="K22" i="5"/>
  <c r="C22" i="5"/>
  <c r="C21" i="5"/>
  <c r="C20" i="5"/>
  <c r="C19" i="5"/>
  <c r="C18" i="5"/>
  <c r="C17" i="5"/>
  <c r="C16" i="5"/>
  <c r="C15" i="5"/>
  <c r="C14" i="5"/>
  <c r="C13" i="5"/>
  <c r="C12" i="5"/>
  <c r="V8" i="5"/>
  <c r="C11" i="5"/>
  <c r="K10" i="5"/>
  <c r="C10" i="5"/>
  <c r="V6" i="5"/>
  <c r="V7" i="5" s="1"/>
  <c r="C9" i="5"/>
  <c r="C8" i="5"/>
  <c r="C7" i="5"/>
  <c r="K6" i="5"/>
  <c r="C6" i="5"/>
  <c r="T10" i="2"/>
  <c r="T11" i="2"/>
  <c r="T9" i="2"/>
  <c r="J7" i="2"/>
  <c r="J8" i="2"/>
  <c r="J9" i="2"/>
  <c r="J10" i="2"/>
  <c r="J11" i="2"/>
  <c r="C7" i="2"/>
  <c r="C8" i="2"/>
  <c r="C9" i="2"/>
  <c r="C10" i="2"/>
  <c r="C11" i="2"/>
  <c r="C12" i="2"/>
  <c r="I11" i="4" l="1"/>
  <c r="H11" i="4"/>
  <c r="V40" i="4"/>
  <c r="H40" i="4"/>
  <c r="N40" i="4"/>
  <c r="AC41" i="4"/>
  <c r="S41" i="4"/>
  <c r="AH40" i="4"/>
  <c r="V37" i="6"/>
  <c r="E47" i="4"/>
  <c r="I15" i="4"/>
  <c r="K16" i="4"/>
  <c r="G16" i="4"/>
  <c r="AI59" i="4"/>
  <c r="AI23" i="4"/>
  <c r="AI33" i="4"/>
  <c r="E42" i="9"/>
  <c r="H42" i="9" s="1"/>
  <c r="M42" i="9" s="1"/>
  <c r="N42" i="9" s="1"/>
  <c r="AX2" i="9" s="1"/>
  <c r="AJ12" i="4" s="1"/>
  <c r="P49" i="4"/>
  <c r="O49" i="4"/>
  <c r="Q75" i="12"/>
  <c r="AM3" i="12"/>
  <c r="Q24" i="12"/>
  <c r="Q26" i="12"/>
  <c r="N27" i="12"/>
  <c r="O27" i="12" s="1"/>
  <c r="Q25" i="12"/>
  <c r="C29" i="12"/>
  <c r="N28" i="12"/>
  <c r="O28" i="12" s="1"/>
  <c r="N76" i="12"/>
  <c r="O76" i="12" s="1"/>
  <c r="I77" i="12"/>
  <c r="J77" i="12"/>
  <c r="D43" i="9"/>
  <c r="C44" i="9"/>
  <c r="D44" i="9" s="1"/>
  <c r="N13" i="5"/>
  <c r="P35" i="7"/>
  <c r="AV2" i="7" s="1"/>
  <c r="AF58" i="4" s="1"/>
  <c r="P16" i="7"/>
  <c r="AC2" i="7" s="1"/>
  <c r="M58" i="4" s="1"/>
  <c r="J37" i="7"/>
  <c r="K36" i="7"/>
  <c r="N36" i="7"/>
  <c r="P26" i="7"/>
  <c r="AM2" i="7" s="1"/>
  <c r="W58" i="4" s="1"/>
  <c r="N109" i="6"/>
  <c r="DD2" i="6" s="1"/>
  <c r="N97" i="6"/>
  <c r="CR2" i="6" s="1"/>
  <c r="I121" i="6"/>
  <c r="M120" i="6"/>
  <c r="J120" i="6"/>
  <c r="N119" i="6"/>
  <c r="DN2" i="6" s="1"/>
  <c r="J98" i="6"/>
  <c r="I99" i="6"/>
  <c r="M98" i="6"/>
  <c r="J110" i="6"/>
  <c r="I111" i="6"/>
  <c r="M110" i="6"/>
  <c r="G104" i="6"/>
  <c r="CY1" i="6" s="1"/>
  <c r="G98" i="6"/>
  <c r="CS1" i="6" s="1"/>
  <c r="G124" i="6"/>
  <c r="DS1" i="6" s="1"/>
  <c r="J56" i="6"/>
  <c r="I57" i="6"/>
  <c r="M56" i="6"/>
  <c r="B55" i="6"/>
  <c r="B68" i="6"/>
  <c r="J59" i="2"/>
  <c r="I60" i="2"/>
  <c r="M59" i="2"/>
  <c r="C57" i="2"/>
  <c r="F57" i="2"/>
  <c r="B58" i="2"/>
  <c r="G56" i="2"/>
  <c r="BI1" i="2" s="1"/>
  <c r="N58" i="2"/>
  <c r="BK2" i="2" s="1"/>
  <c r="F32" i="4"/>
  <c r="F22" i="4"/>
  <c r="G32" i="4"/>
  <c r="G22" i="4"/>
  <c r="H32" i="4"/>
  <c r="H22" i="4"/>
  <c r="P22" i="4"/>
  <c r="P32" i="4"/>
  <c r="N32" i="4"/>
  <c r="N22" i="4"/>
  <c r="I12" i="2"/>
  <c r="M11" i="2"/>
  <c r="F13" i="2"/>
  <c r="B14" i="2"/>
  <c r="I23" i="6"/>
  <c r="J22" i="6"/>
  <c r="I15" i="6"/>
  <c r="N14" i="6"/>
  <c r="Y2" i="6" s="1"/>
  <c r="G12" i="6"/>
  <c r="W1" i="6" s="1"/>
  <c r="C13" i="6"/>
  <c r="B14" i="6"/>
  <c r="J21" i="6"/>
  <c r="N20" i="6"/>
  <c r="AE2" i="6" s="1"/>
  <c r="N12" i="6"/>
  <c r="W2" i="6" s="1"/>
  <c r="K26" i="5"/>
  <c r="K30" i="5"/>
  <c r="K23" i="5"/>
  <c r="P23" i="5" s="1"/>
  <c r="AJ2" i="5" s="1"/>
  <c r="T63" i="4" s="1"/>
  <c r="H26" i="5"/>
  <c r="AM1" i="5" s="1"/>
  <c r="W62" i="4" s="1"/>
  <c r="E41" i="5"/>
  <c r="E39" i="5"/>
  <c r="H39" i="5" s="1"/>
  <c r="AZ1" i="5" s="1"/>
  <c r="AJ62" i="4" s="1"/>
  <c r="M38" i="5"/>
  <c r="M35" i="5"/>
  <c r="E34" i="5"/>
  <c r="M30" i="5"/>
  <c r="E30" i="5"/>
  <c r="H30" i="5" s="1"/>
  <c r="AQ1" i="5" s="1"/>
  <c r="AA62" i="4" s="1"/>
  <c r="M28" i="5"/>
  <c r="E20" i="5"/>
  <c r="H20" i="5" s="1"/>
  <c r="AG1" i="5" s="1"/>
  <c r="Q62" i="4" s="1"/>
  <c r="M14" i="5"/>
  <c r="M9" i="5"/>
  <c r="M8" i="5"/>
  <c r="E7" i="5"/>
  <c r="H7" i="5" s="1"/>
  <c r="T1" i="5" s="1"/>
  <c r="D62" i="4" s="1"/>
  <c r="M31" i="5"/>
  <c r="E16" i="5"/>
  <c r="H16" i="5" s="1"/>
  <c r="AC1" i="5" s="1"/>
  <c r="M62" i="4" s="1"/>
  <c r="E40" i="5"/>
  <c r="H40" i="5" s="1"/>
  <c r="BA1" i="5" s="1"/>
  <c r="AK62" i="4" s="1"/>
  <c r="E32" i="5"/>
  <c r="H32" i="5" s="1"/>
  <c r="AS1" i="5" s="1"/>
  <c r="AC62" i="4" s="1"/>
  <c r="E26" i="5"/>
  <c r="E36" i="5"/>
  <c r="H36" i="5" s="1"/>
  <c r="AW1" i="5" s="1"/>
  <c r="AG62" i="4" s="1"/>
  <c r="E29" i="5"/>
  <c r="H29" i="5" s="1"/>
  <c r="AP1" i="5" s="1"/>
  <c r="Z62" i="4" s="1"/>
  <c r="M27" i="5"/>
  <c r="E17" i="5"/>
  <c r="H17" i="5" s="1"/>
  <c r="AD1" i="5" s="1"/>
  <c r="N62" i="4" s="1"/>
  <c r="M15" i="5"/>
  <c r="M41" i="5"/>
  <c r="M33" i="5"/>
  <c r="M25" i="5"/>
  <c r="M24" i="5"/>
  <c r="E23" i="5"/>
  <c r="H23" i="5" s="1"/>
  <c r="AJ1" i="5" s="1"/>
  <c r="T62" i="4" s="1"/>
  <c r="E19" i="5"/>
  <c r="H19" i="5" s="1"/>
  <c r="AF1" i="5" s="1"/>
  <c r="P62" i="4" s="1"/>
  <c r="M18" i="5"/>
  <c r="E11" i="5"/>
  <c r="H11" i="5" s="1"/>
  <c r="X1" i="5" s="1"/>
  <c r="H62" i="4" s="1"/>
  <c r="E37" i="5"/>
  <c r="H37" i="5" s="1"/>
  <c r="AX1" i="5" s="1"/>
  <c r="AH62" i="4" s="1"/>
  <c r="M21" i="5"/>
  <c r="E13" i="5"/>
  <c r="H13" i="5" s="1"/>
  <c r="Z1" i="5" s="1"/>
  <c r="J62" i="4" s="1"/>
  <c r="E12" i="5"/>
  <c r="H12" i="5" s="1"/>
  <c r="Y1" i="5" s="1"/>
  <c r="I62" i="4" s="1"/>
  <c r="H34" i="5"/>
  <c r="AU1" i="5" s="1"/>
  <c r="AE62" i="4" s="1"/>
  <c r="H41" i="5"/>
  <c r="BB1" i="5" s="1"/>
  <c r="AL62" i="4" s="1"/>
  <c r="K12" i="5"/>
  <c r="K39" i="5"/>
  <c r="K16" i="5"/>
  <c r="K11" i="5"/>
  <c r="K36" i="5"/>
  <c r="E6" i="5"/>
  <c r="H6" i="5" s="1"/>
  <c r="S1" i="5" s="1"/>
  <c r="C62" i="4" s="1"/>
  <c r="M7" i="5"/>
  <c r="E9" i="5"/>
  <c r="H9" i="5" s="1"/>
  <c r="V1" i="5" s="1"/>
  <c r="F62" i="4" s="1"/>
  <c r="E10" i="5"/>
  <c r="H10" i="5" s="1"/>
  <c r="W1" i="5" s="1"/>
  <c r="G62" i="4" s="1"/>
  <c r="M13" i="5"/>
  <c r="E15" i="5"/>
  <c r="H15" i="5" s="1"/>
  <c r="AB1" i="5" s="1"/>
  <c r="L62" i="4" s="1"/>
  <c r="K15" i="5"/>
  <c r="M17" i="5"/>
  <c r="M20" i="5"/>
  <c r="E22" i="5"/>
  <c r="H22" i="5" s="1"/>
  <c r="AI1" i="5" s="1"/>
  <c r="S62" i="4" s="1"/>
  <c r="M23" i="5"/>
  <c r="E25" i="5"/>
  <c r="H25" i="5" s="1"/>
  <c r="AL1" i="5" s="1"/>
  <c r="V62" i="4" s="1"/>
  <c r="M26" i="5"/>
  <c r="E28" i="5"/>
  <c r="H28" i="5" s="1"/>
  <c r="AO1" i="5" s="1"/>
  <c r="Y62" i="4" s="1"/>
  <c r="K28" i="5"/>
  <c r="E31" i="5"/>
  <c r="H31" i="5" s="1"/>
  <c r="AR1" i="5" s="1"/>
  <c r="AB62" i="4" s="1"/>
  <c r="K31" i="5"/>
  <c r="M34" i="5"/>
  <c r="E35" i="5"/>
  <c r="H35" i="5" s="1"/>
  <c r="AV1" i="5" s="1"/>
  <c r="AF62" i="4" s="1"/>
  <c r="K35" i="5"/>
  <c r="M37" i="5"/>
  <c r="M40" i="5"/>
  <c r="M6" i="5"/>
  <c r="P6" i="5" s="1"/>
  <c r="S2" i="5" s="1"/>
  <c r="C63" i="4" s="1"/>
  <c r="E8" i="5"/>
  <c r="H8" i="5" s="1"/>
  <c r="U1" i="5" s="1"/>
  <c r="E62" i="4" s="1"/>
  <c r="M10" i="5"/>
  <c r="P10" i="5" s="1"/>
  <c r="W2" i="5" s="1"/>
  <c r="G63" i="4" s="1"/>
  <c r="M11" i="5"/>
  <c r="M12" i="5"/>
  <c r="E14" i="5"/>
  <c r="H14" i="5" s="1"/>
  <c r="AA1" i="5" s="1"/>
  <c r="K62" i="4" s="1"/>
  <c r="M16" i="5"/>
  <c r="E18" i="5"/>
  <c r="H18" i="5" s="1"/>
  <c r="AE1" i="5" s="1"/>
  <c r="O62" i="4" s="1"/>
  <c r="M19" i="5"/>
  <c r="E21" i="5"/>
  <c r="H21" i="5" s="1"/>
  <c r="AH1" i="5" s="1"/>
  <c r="R62" i="4" s="1"/>
  <c r="M22" i="5"/>
  <c r="E24" i="5"/>
  <c r="H24" i="5" s="1"/>
  <c r="AK1" i="5" s="1"/>
  <c r="U62" i="4" s="1"/>
  <c r="E27" i="5"/>
  <c r="H27" i="5" s="1"/>
  <c r="AN1" i="5" s="1"/>
  <c r="X62" i="4" s="1"/>
  <c r="M29" i="5"/>
  <c r="M32" i="5"/>
  <c r="E33" i="5"/>
  <c r="H33" i="5" s="1"/>
  <c r="AT1" i="5" s="1"/>
  <c r="AD62" i="4" s="1"/>
  <c r="M36" i="5"/>
  <c r="E38" i="5"/>
  <c r="H38" i="5" s="1"/>
  <c r="AY1" i="5" s="1"/>
  <c r="AI62" i="4" s="1"/>
  <c r="M39" i="5"/>
  <c r="E39" i="2"/>
  <c r="E40" i="2"/>
  <c r="E41" i="2"/>
  <c r="I40" i="4" l="1"/>
  <c r="AD41" i="4"/>
  <c r="H41" i="4"/>
  <c r="O40" i="4"/>
  <c r="T41" i="4"/>
  <c r="F47" i="4"/>
  <c r="AI40" i="4"/>
  <c r="J15" i="4"/>
  <c r="L16" i="4"/>
  <c r="AJ59" i="4"/>
  <c r="AJ33" i="4"/>
  <c r="AJ23" i="4"/>
  <c r="E44" i="9"/>
  <c r="H44" i="9" s="1"/>
  <c r="M44" i="9" s="1"/>
  <c r="N44" i="9" s="1"/>
  <c r="AZ2" i="9" s="1"/>
  <c r="AL12" i="4" s="1"/>
  <c r="E43" i="9"/>
  <c r="H43" i="9" s="1"/>
  <c r="M43" i="9" s="1"/>
  <c r="N43" i="9" s="1"/>
  <c r="AY2" i="9" s="1"/>
  <c r="AK12" i="4" s="1"/>
  <c r="R49" i="4"/>
  <c r="Q49" i="4"/>
  <c r="Q76" i="12"/>
  <c r="AN3" i="12"/>
  <c r="C30" i="12"/>
  <c r="N29" i="12"/>
  <c r="O29" i="12" s="1"/>
  <c r="Q28" i="12"/>
  <c r="Q27" i="12"/>
  <c r="N77" i="12"/>
  <c r="O77" i="12" s="1"/>
  <c r="I78" i="12"/>
  <c r="B79" i="12"/>
  <c r="N14" i="5"/>
  <c r="K14" i="5"/>
  <c r="P14" i="5" s="1"/>
  <c r="AA2" i="5" s="1"/>
  <c r="K63" i="4" s="1"/>
  <c r="K37" i="7"/>
  <c r="N37" i="7"/>
  <c r="P36" i="7"/>
  <c r="AW2" i="7" s="1"/>
  <c r="AG58" i="4" s="1"/>
  <c r="N110" i="6"/>
  <c r="DE2" i="6" s="1"/>
  <c r="N98" i="6"/>
  <c r="CS2" i="6" s="1"/>
  <c r="M111" i="6"/>
  <c r="I112" i="6"/>
  <c r="J111" i="6"/>
  <c r="I100" i="6"/>
  <c r="J99" i="6"/>
  <c r="M99" i="6"/>
  <c r="N120" i="6"/>
  <c r="DO2" i="6" s="1"/>
  <c r="I122" i="6"/>
  <c r="M121" i="6"/>
  <c r="J121" i="6"/>
  <c r="I58" i="6"/>
  <c r="M57" i="6"/>
  <c r="J57" i="6"/>
  <c r="N56" i="6"/>
  <c r="BI2" i="6" s="1"/>
  <c r="G57" i="2"/>
  <c r="BJ1" i="2" s="1"/>
  <c r="M60" i="2"/>
  <c r="I61" i="2"/>
  <c r="J60" i="2"/>
  <c r="N59" i="2"/>
  <c r="BL2" i="2" s="1"/>
  <c r="C58" i="2"/>
  <c r="F58" i="2"/>
  <c r="Q32" i="4"/>
  <c r="Q22" i="4"/>
  <c r="I31" i="4"/>
  <c r="I21" i="4"/>
  <c r="I32" i="4"/>
  <c r="I22" i="4"/>
  <c r="K32" i="4"/>
  <c r="K22" i="4"/>
  <c r="P30" i="5"/>
  <c r="AQ2" i="5" s="1"/>
  <c r="AA63" i="4" s="1"/>
  <c r="I13" i="2"/>
  <c r="M12" i="2"/>
  <c r="J12" i="2"/>
  <c r="F14" i="2"/>
  <c r="C14" i="2"/>
  <c r="I24" i="6"/>
  <c r="J23" i="6"/>
  <c r="N23" i="6" s="1"/>
  <c r="AH2" i="6" s="1"/>
  <c r="N22" i="6"/>
  <c r="AG2" i="6" s="1"/>
  <c r="I16" i="6"/>
  <c r="N13" i="6"/>
  <c r="X2" i="6" s="1"/>
  <c r="G13" i="6"/>
  <c r="X1" i="6" s="1"/>
  <c r="B15" i="6"/>
  <c r="C14" i="6"/>
  <c r="N21" i="6"/>
  <c r="AF2" i="6" s="1"/>
  <c r="P34" i="5"/>
  <c r="AU2" i="5" s="1"/>
  <c r="AE63" i="4" s="1"/>
  <c r="P22" i="5"/>
  <c r="AI2" i="5" s="1"/>
  <c r="S63" i="4" s="1"/>
  <c r="P26" i="5"/>
  <c r="AM2" i="5" s="1"/>
  <c r="W63" i="4" s="1"/>
  <c r="P38" i="5"/>
  <c r="AY2" i="5" s="1"/>
  <c r="AI63" i="4" s="1"/>
  <c r="P35" i="5"/>
  <c r="AV2" i="5" s="1"/>
  <c r="AF63" i="4" s="1"/>
  <c r="P36" i="5"/>
  <c r="AW2" i="5" s="1"/>
  <c r="AG63" i="4" s="1"/>
  <c r="P27" i="5"/>
  <c r="AN2" i="5" s="1"/>
  <c r="X63" i="4" s="1"/>
  <c r="K32" i="5"/>
  <c r="P28" i="5"/>
  <c r="AO2" i="5" s="1"/>
  <c r="Y63" i="4" s="1"/>
  <c r="P16" i="5"/>
  <c r="AC2" i="5" s="1"/>
  <c r="M63" i="4" s="1"/>
  <c r="P7" i="5"/>
  <c r="T2" i="5" s="1"/>
  <c r="D63" i="4" s="1"/>
  <c r="P39" i="5"/>
  <c r="AZ2" i="5" s="1"/>
  <c r="AJ63" i="4" s="1"/>
  <c r="P31" i="5"/>
  <c r="AR2" i="5" s="1"/>
  <c r="AB63" i="4" s="1"/>
  <c r="P15" i="5"/>
  <c r="AB2" i="5" s="1"/>
  <c r="L63" i="4" s="1"/>
  <c r="P11" i="5"/>
  <c r="X2" i="5" s="1"/>
  <c r="H63" i="4" s="1"/>
  <c r="P12" i="5"/>
  <c r="Y2" i="5" s="1"/>
  <c r="I63" i="4" s="1"/>
  <c r="K24" i="5"/>
  <c r="K33" i="5"/>
  <c r="K8" i="5"/>
  <c r="K37" i="5"/>
  <c r="K40" i="5"/>
  <c r="K13" i="5"/>
  <c r="K20" i="5"/>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J11" i="4" l="1"/>
  <c r="I47" i="4"/>
  <c r="H47" i="4"/>
  <c r="G47" i="4"/>
  <c r="J47" i="4"/>
  <c r="I41" i="4"/>
  <c r="AE41" i="4"/>
  <c r="U41" i="4"/>
  <c r="M16" i="4"/>
  <c r="K15" i="4"/>
  <c r="AL59" i="4"/>
  <c r="AL23" i="4"/>
  <c r="AL33" i="4"/>
  <c r="AK33" i="4"/>
  <c r="AK23" i="4"/>
  <c r="AK59" i="4"/>
  <c r="T49" i="4"/>
  <c r="S49" i="4"/>
  <c r="Q77" i="12"/>
  <c r="AO3" i="12"/>
  <c r="Q29" i="12"/>
  <c r="C31" i="12"/>
  <c r="N30" i="12"/>
  <c r="O30" i="12" s="1"/>
  <c r="B80" i="12"/>
  <c r="I79" i="12"/>
  <c r="N78" i="12"/>
  <c r="O78" i="12" s="1"/>
  <c r="G58" i="2"/>
  <c r="BK1" i="2" s="1"/>
  <c r="N17" i="5"/>
  <c r="K17" i="5"/>
  <c r="P17" i="5" s="1"/>
  <c r="AD2" i="5" s="1"/>
  <c r="N63" i="4" s="1"/>
  <c r="P37" i="7"/>
  <c r="AX2" i="7" s="1"/>
  <c r="AH58" i="4" s="1"/>
  <c r="N99" i="6"/>
  <c r="CT2" i="6" s="1"/>
  <c r="J122" i="6"/>
  <c r="I123" i="6"/>
  <c r="M122" i="6"/>
  <c r="N111" i="6"/>
  <c r="DF2" i="6" s="1"/>
  <c r="M112" i="6"/>
  <c r="J112" i="6"/>
  <c r="N121" i="6"/>
  <c r="DP2" i="6" s="1"/>
  <c r="M100" i="6"/>
  <c r="I101" i="6"/>
  <c r="J100" i="6"/>
  <c r="N57" i="6"/>
  <c r="BJ2" i="6" s="1"/>
  <c r="J58" i="6"/>
  <c r="N58" i="6" s="1"/>
  <c r="BK2" i="6" s="1"/>
  <c r="M58" i="6"/>
  <c r="I59" i="6"/>
  <c r="J61" i="2"/>
  <c r="I62" i="2"/>
  <c r="M61" i="2"/>
  <c r="N60" i="2"/>
  <c r="BM2" i="2" s="1"/>
  <c r="C59" i="2"/>
  <c r="B60" i="2"/>
  <c r="F59" i="2"/>
  <c r="J32" i="4"/>
  <c r="J22" i="4"/>
  <c r="T32" i="4"/>
  <c r="T22" i="4"/>
  <c r="R32" i="4"/>
  <c r="R22" i="4"/>
  <c r="J31" i="4"/>
  <c r="J21" i="4"/>
  <c r="S32" i="4"/>
  <c r="S22" i="4"/>
  <c r="I14" i="2"/>
  <c r="M13" i="2"/>
  <c r="J13" i="2"/>
  <c r="B16" i="2"/>
  <c r="F15" i="2"/>
  <c r="C15" i="2"/>
  <c r="J24" i="6"/>
  <c r="N24" i="6" s="1"/>
  <c r="AI2" i="6" s="1"/>
  <c r="I25" i="6"/>
  <c r="N15" i="6"/>
  <c r="Z2" i="6" s="1"/>
  <c r="G14" i="6"/>
  <c r="Y1" i="6" s="1"/>
  <c r="B16" i="6"/>
  <c r="C15" i="6"/>
  <c r="P13" i="5"/>
  <c r="Z2" i="5" s="1"/>
  <c r="J63" i="4" s="1"/>
  <c r="P37" i="5"/>
  <c r="AX2" i="5" s="1"/>
  <c r="AH63" i="4" s="1"/>
  <c r="P24" i="5"/>
  <c r="AK2" i="5" s="1"/>
  <c r="U63" i="4" s="1"/>
  <c r="P40" i="5"/>
  <c r="BA2" i="5" s="1"/>
  <c r="AK63" i="4" s="1"/>
  <c r="P33" i="5"/>
  <c r="AT2" i="5" s="1"/>
  <c r="AD63" i="4" s="1"/>
  <c r="P32" i="5"/>
  <c r="AS2" i="5" s="1"/>
  <c r="AC63" i="4" s="1"/>
  <c r="P8" i="5"/>
  <c r="U2" i="5" s="1"/>
  <c r="E63" i="4" s="1"/>
  <c r="P20" i="5"/>
  <c r="AG2" i="5" s="1"/>
  <c r="Q63" i="4" s="1"/>
  <c r="K29" i="5"/>
  <c r="K21" i="5"/>
  <c r="K9" i="5"/>
  <c r="K41" i="5"/>
  <c r="K25" i="5"/>
  <c r="G6" i="2"/>
  <c r="Q1" i="2" s="1"/>
  <c r="N8" i="2"/>
  <c r="S2" i="2" s="1"/>
  <c r="N9" i="2"/>
  <c r="T2" i="2" s="1"/>
  <c r="N10" i="2"/>
  <c r="U2" i="2" s="1"/>
  <c r="N11" i="2"/>
  <c r="V2" i="2" s="1"/>
  <c r="N12" i="2"/>
  <c r="W2" i="2" s="1"/>
  <c r="N7" i="2"/>
  <c r="R2" i="2" s="1"/>
  <c r="N6" i="2"/>
  <c r="Q2" i="2" s="1"/>
  <c r="L11" i="4" l="1"/>
  <c r="V41" i="4"/>
  <c r="J41" i="4"/>
  <c r="K11" i="4"/>
  <c r="AF41" i="4"/>
  <c r="M47" i="4"/>
  <c r="L47" i="4"/>
  <c r="K47" i="4"/>
  <c r="N47" i="4"/>
  <c r="N16" i="4"/>
  <c r="L15" i="4"/>
  <c r="U49" i="4"/>
  <c r="V49" i="4"/>
  <c r="Q78" i="12"/>
  <c r="AP3" i="12"/>
  <c r="Q30" i="12"/>
  <c r="N31" i="12"/>
  <c r="O31" i="12" s="1"/>
  <c r="C32" i="12"/>
  <c r="N79" i="12"/>
  <c r="O79" i="12" s="1"/>
  <c r="I80" i="12"/>
  <c r="B81" i="12"/>
  <c r="N18" i="5"/>
  <c r="K18" i="5"/>
  <c r="J101" i="6"/>
  <c r="I102" i="6"/>
  <c r="M101" i="6"/>
  <c r="N112" i="6"/>
  <c r="DG2" i="6" s="1"/>
  <c r="M123" i="6"/>
  <c r="J123" i="6"/>
  <c r="N100" i="6"/>
  <c r="CU2" i="6" s="1"/>
  <c r="N122" i="6"/>
  <c r="DQ2" i="6" s="1"/>
  <c r="I60" i="6"/>
  <c r="N59" i="6"/>
  <c r="BL2" i="6" s="1"/>
  <c r="M59" i="6"/>
  <c r="J59" i="6"/>
  <c r="J62" i="2"/>
  <c r="M62" i="2"/>
  <c r="N61" i="2"/>
  <c r="BN2" i="2" s="1"/>
  <c r="G59" i="2"/>
  <c r="BL1" i="2" s="1"/>
  <c r="B61" i="2"/>
  <c r="C60" i="2"/>
  <c r="F60" i="2"/>
  <c r="N13" i="2"/>
  <c r="X2" i="2" s="1"/>
  <c r="C35" i="4"/>
  <c r="C26" i="4"/>
  <c r="I27" i="4"/>
  <c r="I36" i="4"/>
  <c r="J27" i="4"/>
  <c r="C27" i="4"/>
  <c r="C36" i="4"/>
  <c r="G36" i="4"/>
  <c r="G27" i="4"/>
  <c r="F36" i="4"/>
  <c r="F27" i="4"/>
  <c r="E27" i="4"/>
  <c r="E36" i="4"/>
  <c r="D27" i="4"/>
  <c r="D36" i="4"/>
  <c r="H27" i="4"/>
  <c r="H36" i="4"/>
  <c r="K31" i="4"/>
  <c r="K21" i="4"/>
  <c r="U32" i="4"/>
  <c r="U22" i="4"/>
  <c r="L32" i="4"/>
  <c r="L22" i="4"/>
  <c r="M14" i="2"/>
  <c r="I15" i="2"/>
  <c r="J14" i="2"/>
  <c r="F16" i="2"/>
  <c r="B17" i="2"/>
  <c r="C16" i="2"/>
  <c r="J25" i="6"/>
  <c r="I26" i="6"/>
  <c r="J27" i="6"/>
  <c r="N27" i="6" s="1"/>
  <c r="AL2" i="6" s="1"/>
  <c r="I28" i="6"/>
  <c r="N16" i="6"/>
  <c r="AA2" i="6" s="1"/>
  <c r="G15" i="6"/>
  <c r="Z1" i="6" s="1"/>
  <c r="C16" i="6"/>
  <c r="B17" i="6"/>
  <c r="P25" i="5"/>
  <c r="AL2" i="5" s="1"/>
  <c r="V63" i="4" s="1"/>
  <c r="P41" i="5"/>
  <c r="BB2" i="5" s="1"/>
  <c r="AL63" i="4" s="1"/>
  <c r="P29" i="5"/>
  <c r="AP2" i="5" s="1"/>
  <c r="Z63" i="4" s="1"/>
  <c r="P9" i="5"/>
  <c r="V2" i="5" s="1"/>
  <c r="F63" i="4" s="1"/>
  <c r="P21" i="5"/>
  <c r="AH2" i="5" s="1"/>
  <c r="R63" i="4" s="1"/>
  <c r="G8" i="2"/>
  <c r="S1" i="2" s="1"/>
  <c r="G7" i="2"/>
  <c r="R1" i="2" s="1"/>
  <c r="G9" i="2"/>
  <c r="T1" i="2" s="1"/>
  <c r="G15" i="2"/>
  <c r="Z1" i="2" s="1"/>
  <c r="G14" i="2"/>
  <c r="Y1" i="2" s="1"/>
  <c r="G10" i="2"/>
  <c r="U1" i="2" s="1"/>
  <c r="G12" i="2"/>
  <c r="W1" i="2" s="1"/>
  <c r="G13" i="2"/>
  <c r="X1" i="2" s="1"/>
  <c r="G11" i="2"/>
  <c r="V1" i="2" s="1"/>
  <c r="K41" i="4" l="1"/>
  <c r="M11" i="4"/>
  <c r="P47" i="4"/>
  <c r="O47" i="4"/>
  <c r="Q47" i="4"/>
  <c r="R47" i="4"/>
  <c r="AG41" i="4"/>
  <c r="W41" i="4"/>
  <c r="O16" i="4"/>
  <c r="J36" i="4"/>
  <c r="M15" i="4"/>
  <c r="W49" i="4"/>
  <c r="X49" i="4"/>
  <c r="Q79" i="12"/>
  <c r="AQ3" i="12"/>
  <c r="Q31" i="12"/>
  <c r="C33" i="12"/>
  <c r="N32" i="12"/>
  <c r="O32" i="12" s="1"/>
  <c r="N80" i="12"/>
  <c r="O80" i="12" s="1"/>
  <c r="I81" i="12"/>
  <c r="P18" i="5"/>
  <c r="AE2" i="5" s="1"/>
  <c r="O63" i="4" s="1"/>
  <c r="N19" i="5"/>
  <c r="K19" i="5"/>
  <c r="N123" i="6"/>
  <c r="DR2" i="6" s="1"/>
  <c r="M102" i="6"/>
  <c r="J102" i="6"/>
  <c r="N101" i="6"/>
  <c r="CV2" i="6" s="1"/>
  <c r="J60" i="6"/>
  <c r="I61" i="6"/>
  <c r="M60" i="6"/>
  <c r="J63" i="2"/>
  <c r="I64" i="2"/>
  <c r="M63" i="2"/>
  <c r="N62" i="2"/>
  <c r="BO2" i="2" s="1"/>
  <c r="G60" i="2"/>
  <c r="BM1" i="2" s="1"/>
  <c r="C61" i="2"/>
  <c r="F61" i="2"/>
  <c r="B62" i="2"/>
  <c r="G16" i="2"/>
  <c r="AA1" i="2" s="1"/>
  <c r="F35" i="4"/>
  <c r="F26" i="4"/>
  <c r="D26" i="4"/>
  <c r="D35" i="4"/>
  <c r="E35" i="4"/>
  <c r="E26" i="4"/>
  <c r="I35" i="4"/>
  <c r="I26" i="4"/>
  <c r="G26" i="4"/>
  <c r="G35" i="4"/>
  <c r="H26" i="4"/>
  <c r="H35" i="4"/>
  <c r="K26" i="4"/>
  <c r="K35" i="4"/>
  <c r="J35" i="4"/>
  <c r="J26" i="4"/>
  <c r="L26" i="4"/>
  <c r="L35" i="4"/>
  <c r="M32" i="4"/>
  <c r="M22" i="4"/>
  <c r="X32" i="4"/>
  <c r="X22" i="4"/>
  <c r="L31" i="4"/>
  <c r="L21" i="4"/>
  <c r="N14" i="2"/>
  <c r="Y2" i="2" s="1"/>
  <c r="M15" i="2"/>
  <c r="J15" i="2"/>
  <c r="F17" i="2"/>
  <c r="C17" i="2"/>
  <c r="N25" i="6"/>
  <c r="AJ2" i="6" s="1"/>
  <c r="J26" i="6"/>
  <c r="I29" i="6"/>
  <c r="J28" i="6"/>
  <c r="G16" i="6"/>
  <c r="AA1" i="6" s="1"/>
  <c r="C17" i="6"/>
  <c r="B18" i="6"/>
  <c r="L41" i="4" l="1"/>
  <c r="AH41" i="4"/>
  <c r="U47" i="4"/>
  <c r="T47" i="4"/>
  <c r="S47" i="4"/>
  <c r="V47" i="4"/>
  <c r="M35" i="4"/>
  <c r="N15" i="4"/>
  <c r="P16" i="4"/>
  <c r="Z49" i="4"/>
  <c r="Y49" i="4"/>
  <c r="Q80" i="12"/>
  <c r="AR3" i="12"/>
  <c r="Q32" i="12"/>
  <c r="C34" i="12"/>
  <c r="N33" i="12"/>
  <c r="O33" i="12" s="1"/>
  <c r="N81" i="12"/>
  <c r="O81" i="12" s="1"/>
  <c r="I82" i="12"/>
  <c r="B83" i="12"/>
  <c r="M26" i="4"/>
  <c r="P19" i="5"/>
  <c r="AF2" i="5" s="1"/>
  <c r="P63" i="4" s="1"/>
  <c r="N102" i="6"/>
  <c r="CW2" i="6" s="1"/>
  <c r="N60" i="6"/>
  <c r="BM2" i="6" s="1"/>
  <c r="J61" i="6"/>
  <c r="M61" i="6"/>
  <c r="N61" i="6"/>
  <c r="BN2" i="6" s="1"/>
  <c r="I62" i="6"/>
  <c r="N63" i="2"/>
  <c r="BP2" i="2" s="1"/>
  <c r="M64" i="2"/>
  <c r="I65" i="2"/>
  <c r="J64" i="2"/>
  <c r="G61" i="2"/>
  <c r="BN1" i="2" s="1"/>
  <c r="B63" i="2"/>
  <c r="F62" i="2"/>
  <c r="C62" i="2"/>
  <c r="K36" i="4"/>
  <c r="K27" i="4"/>
  <c r="V32" i="4"/>
  <c r="V22" i="4"/>
  <c r="M31" i="4"/>
  <c r="M21" i="4"/>
  <c r="N15" i="2"/>
  <c r="Z2" i="2" s="1"/>
  <c r="I17" i="2"/>
  <c r="M16" i="2"/>
  <c r="J16" i="2"/>
  <c r="G17" i="2"/>
  <c r="AB1" i="2" s="1"/>
  <c r="F18" i="2"/>
  <c r="B19" i="2"/>
  <c r="C18" i="2"/>
  <c r="N26" i="6"/>
  <c r="AK2" i="6" s="1"/>
  <c r="N28" i="6"/>
  <c r="AM2" i="6" s="1"/>
  <c r="I30" i="6"/>
  <c r="J29" i="6"/>
  <c r="C18" i="6"/>
  <c r="G17" i="6"/>
  <c r="AB1" i="6" s="1"/>
  <c r="N11" i="4" l="1"/>
  <c r="O11" i="4"/>
  <c r="M41" i="4"/>
  <c r="W47" i="4"/>
  <c r="Y47" i="4"/>
  <c r="X47" i="4"/>
  <c r="Z47" i="4"/>
  <c r="O15" i="4"/>
  <c r="Q16" i="4"/>
  <c r="AB49" i="4"/>
  <c r="AA49" i="4"/>
  <c r="Q81" i="12"/>
  <c r="AS3" i="12"/>
  <c r="Q33" i="12"/>
  <c r="C35" i="12"/>
  <c r="N34" i="12"/>
  <c r="O34" i="12" s="1"/>
  <c r="I83" i="12"/>
  <c r="B84" i="12"/>
  <c r="N82" i="12"/>
  <c r="O82" i="12" s="1"/>
  <c r="M62" i="6"/>
  <c r="J62" i="6"/>
  <c r="N64" i="2"/>
  <c r="BQ2" i="2" s="1"/>
  <c r="J65" i="2"/>
  <c r="I66" i="2"/>
  <c r="M65" i="2"/>
  <c r="F63" i="2"/>
  <c r="C63" i="2"/>
  <c r="G62" i="2"/>
  <c r="BO1" i="2" s="1"/>
  <c r="N35" i="4"/>
  <c r="N26" i="4"/>
  <c r="L27" i="4"/>
  <c r="L36" i="4"/>
  <c r="Y32" i="4"/>
  <c r="Y22" i="4"/>
  <c r="W32" i="4"/>
  <c r="W22" i="4"/>
  <c r="N31" i="4"/>
  <c r="N21" i="4"/>
  <c r="N16" i="2"/>
  <c r="AA2" i="2" s="1"/>
  <c r="I18" i="2"/>
  <c r="M17" i="2"/>
  <c r="J17" i="2"/>
  <c r="B20" i="2"/>
  <c r="F19" i="2"/>
  <c r="C19" i="2"/>
  <c r="G18" i="2"/>
  <c r="AC1" i="2" s="1"/>
  <c r="N29" i="6"/>
  <c r="AN2" i="6" s="1"/>
  <c r="I31" i="6"/>
  <c r="J30" i="6"/>
  <c r="G18" i="6"/>
  <c r="AC1" i="6" s="1"/>
  <c r="B20" i="6"/>
  <c r="C19" i="6"/>
  <c r="AC47" i="4" l="1"/>
  <c r="AB47" i="4"/>
  <c r="AA47" i="4"/>
  <c r="AD47" i="4"/>
  <c r="P15" i="4"/>
  <c r="R16" i="4"/>
  <c r="AD49" i="4"/>
  <c r="AC49" i="4"/>
  <c r="Q82" i="12"/>
  <c r="AT3" i="12"/>
  <c r="Q34" i="12"/>
  <c r="C36" i="12"/>
  <c r="N35" i="12"/>
  <c r="O35" i="12" s="1"/>
  <c r="I84" i="12"/>
  <c r="B85" i="12"/>
  <c r="N83" i="12"/>
  <c r="O83" i="12" s="1"/>
  <c r="I64" i="6"/>
  <c r="M63" i="6"/>
  <c r="J63" i="6"/>
  <c r="N63" i="6"/>
  <c r="BP2" i="6" s="1"/>
  <c r="N62" i="6"/>
  <c r="BO2" i="6" s="1"/>
  <c r="I67" i="2"/>
  <c r="J66" i="2"/>
  <c r="M66" i="2"/>
  <c r="N65" i="2"/>
  <c r="BR2" i="2" s="1"/>
  <c r="G63" i="2"/>
  <c r="BP1" i="2" s="1"/>
  <c r="B65" i="2"/>
  <c r="F64" i="2"/>
  <c r="C64" i="2"/>
  <c r="O26" i="4"/>
  <c r="O35" i="4"/>
  <c r="M27" i="4"/>
  <c r="M36" i="4"/>
  <c r="O31" i="4"/>
  <c r="O21" i="4"/>
  <c r="Z32" i="4"/>
  <c r="Z22" i="4"/>
  <c r="I19" i="2"/>
  <c r="M18" i="2"/>
  <c r="J18" i="2"/>
  <c r="N17" i="2"/>
  <c r="AB2" i="2" s="1"/>
  <c r="G19" i="2"/>
  <c r="AD1" i="2" s="1"/>
  <c r="F20" i="2"/>
  <c r="C20" i="2"/>
  <c r="N30" i="6"/>
  <c r="AO2" i="6" s="1"/>
  <c r="I32" i="6"/>
  <c r="J31" i="6"/>
  <c r="B21" i="6"/>
  <c r="C20" i="6"/>
  <c r="G19" i="6"/>
  <c r="AD1" i="6" s="1"/>
  <c r="P11" i="4" l="1"/>
  <c r="Q11" i="4"/>
  <c r="AH47" i="4"/>
  <c r="AG47" i="4"/>
  <c r="AF47" i="4"/>
  <c r="AE47" i="4"/>
  <c r="S16" i="4"/>
  <c r="Q15" i="4"/>
  <c r="AF49" i="4"/>
  <c r="AE49" i="4"/>
  <c r="Q83" i="12"/>
  <c r="AU3" i="12"/>
  <c r="Q35" i="12"/>
  <c r="C37" i="12"/>
  <c r="N36" i="12"/>
  <c r="O36" i="12" s="1"/>
  <c r="I85" i="12"/>
  <c r="N84" i="12"/>
  <c r="O84" i="12" s="1"/>
  <c r="G64" i="2"/>
  <c r="BQ1" i="2" s="1"/>
  <c r="I65" i="6"/>
  <c r="M64" i="6"/>
  <c r="J64" i="6"/>
  <c r="N66" i="2"/>
  <c r="BS2" i="2" s="1"/>
  <c r="J67" i="2"/>
  <c r="I68" i="2"/>
  <c r="M67" i="2"/>
  <c r="C65" i="2"/>
  <c r="F65" i="2"/>
  <c r="B66" i="2"/>
  <c r="P26" i="4"/>
  <c r="P35" i="4"/>
  <c r="N36" i="4"/>
  <c r="N27" i="4"/>
  <c r="P31" i="4"/>
  <c r="P21" i="4"/>
  <c r="AA32" i="4"/>
  <c r="AA22" i="4"/>
  <c r="N18" i="2"/>
  <c r="AC2" i="2" s="1"/>
  <c r="I20" i="2"/>
  <c r="M19" i="2"/>
  <c r="J19" i="2"/>
  <c r="B22" i="2"/>
  <c r="F21" i="2"/>
  <c r="C21" i="2"/>
  <c r="G20" i="2"/>
  <c r="AE1" i="2" s="1"/>
  <c r="I33" i="6"/>
  <c r="J32" i="6"/>
  <c r="N31" i="6"/>
  <c r="AP2" i="6" s="1"/>
  <c r="G20" i="6"/>
  <c r="AE1" i="6" s="1"/>
  <c r="C21" i="6"/>
  <c r="B22" i="6"/>
  <c r="AK47" i="4" l="1"/>
  <c r="AJ47" i="4"/>
  <c r="AI47" i="4"/>
  <c r="AL47" i="4"/>
  <c r="T16" i="4"/>
  <c r="R15" i="4"/>
  <c r="AH49" i="4"/>
  <c r="AG49" i="4"/>
  <c r="Q84" i="12"/>
  <c r="AV3" i="12"/>
  <c r="Q36" i="12"/>
  <c r="C38" i="12"/>
  <c r="N37" i="12"/>
  <c r="O37" i="12" s="1"/>
  <c r="N85" i="12"/>
  <c r="O85" i="12" s="1"/>
  <c r="B87" i="12"/>
  <c r="I86" i="12"/>
  <c r="N86" i="12" s="1"/>
  <c r="O86" i="12" s="1"/>
  <c r="N64" i="6"/>
  <c r="BQ2" i="6" s="1"/>
  <c r="J65" i="6"/>
  <c r="M65" i="6"/>
  <c r="I66" i="6"/>
  <c r="M68" i="2"/>
  <c r="I69" i="2"/>
  <c r="J68" i="2"/>
  <c r="N67" i="2"/>
  <c r="BT2" i="2" s="1"/>
  <c r="G65" i="2"/>
  <c r="BR1" i="2" s="1"/>
  <c r="C66" i="2"/>
  <c r="F66" i="2"/>
  <c r="B67" i="2"/>
  <c r="Q35" i="4"/>
  <c r="Q26" i="4"/>
  <c r="O36" i="4"/>
  <c r="O27" i="4"/>
  <c r="Q31" i="4"/>
  <c r="Q21" i="4"/>
  <c r="AB32" i="4"/>
  <c r="AB22" i="4"/>
  <c r="N19" i="2"/>
  <c r="AD2" i="2" s="1"/>
  <c r="M20" i="2"/>
  <c r="J20" i="2"/>
  <c r="N20" i="2"/>
  <c r="AE2" i="2" s="1"/>
  <c r="G21" i="2"/>
  <c r="AF1" i="2" s="1"/>
  <c r="F22" i="2"/>
  <c r="B23" i="2"/>
  <c r="C22" i="2"/>
  <c r="I34" i="6"/>
  <c r="J33" i="6"/>
  <c r="N33" i="6" s="1"/>
  <c r="AR2" i="6" s="1"/>
  <c r="N32" i="6"/>
  <c r="AQ2" i="6" s="1"/>
  <c r="G21" i="6"/>
  <c r="AF1" i="6" s="1"/>
  <c r="B23" i="6"/>
  <c r="C22" i="6"/>
  <c r="R11" i="4" l="1"/>
  <c r="S15" i="4"/>
  <c r="U16" i="4"/>
  <c r="AI49" i="4"/>
  <c r="AJ49" i="4"/>
  <c r="Q85" i="12"/>
  <c r="AW3" i="12"/>
  <c r="Q86" i="12"/>
  <c r="AX3" i="12"/>
  <c r="Q37" i="12"/>
  <c r="C39" i="12"/>
  <c r="N38" i="12"/>
  <c r="O38" i="12" s="1"/>
  <c r="I87" i="12"/>
  <c r="B88" i="12"/>
  <c r="N65" i="6"/>
  <c r="BR2" i="6" s="1"/>
  <c r="M66" i="6"/>
  <c r="J66" i="6"/>
  <c r="I67" i="6"/>
  <c r="N68" i="2"/>
  <c r="BU2" i="2" s="1"/>
  <c r="J69" i="2"/>
  <c r="M69" i="2"/>
  <c r="F67" i="2"/>
  <c r="C67" i="2"/>
  <c r="B68" i="2"/>
  <c r="G66" i="2"/>
  <c r="BS1" i="2" s="1"/>
  <c r="R35" i="4"/>
  <c r="R26" i="4"/>
  <c r="P27" i="4"/>
  <c r="P36" i="4"/>
  <c r="Q27" i="4"/>
  <c r="Q36" i="4"/>
  <c r="AC32" i="4"/>
  <c r="AC22" i="4"/>
  <c r="AD32" i="4"/>
  <c r="AD22" i="4"/>
  <c r="R31" i="4"/>
  <c r="R21" i="4"/>
  <c r="I22" i="2"/>
  <c r="M21" i="2"/>
  <c r="J21" i="2"/>
  <c r="G22" i="2"/>
  <c r="AG1" i="2" s="1"/>
  <c r="F23" i="2"/>
  <c r="C23" i="2"/>
  <c r="I35" i="6"/>
  <c r="J34" i="6"/>
  <c r="G22" i="6"/>
  <c r="AG1" i="6" s="1"/>
  <c r="B24" i="6"/>
  <c r="C23" i="6"/>
  <c r="S11" i="4" l="1"/>
  <c r="V16" i="4"/>
  <c r="T15" i="4"/>
  <c r="AK49" i="4"/>
  <c r="AL49" i="4"/>
  <c r="Q38" i="12"/>
  <c r="C40" i="12"/>
  <c r="N39" i="12"/>
  <c r="O39" i="12" s="1"/>
  <c r="B89" i="12"/>
  <c r="I88" i="12"/>
  <c r="N87" i="12"/>
  <c r="O87" i="12" s="1"/>
  <c r="I68" i="6"/>
  <c r="M67" i="6"/>
  <c r="J67" i="6"/>
  <c r="N66" i="6"/>
  <c r="BS2" i="6" s="1"/>
  <c r="I71" i="2"/>
  <c r="J70" i="2"/>
  <c r="M70" i="2"/>
  <c r="N69" i="2"/>
  <c r="BV2" i="2" s="1"/>
  <c r="C68" i="2"/>
  <c r="F68" i="2"/>
  <c r="G67" i="2"/>
  <c r="BT1" i="2" s="1"/>
  <c r="S26" i="4"/>
  <c r="S35" i="4"/>
  <c r="S31" i="4"/>
  <c r="S21" i="4"/>
  <c r="N21" i="2"/>
  <c r="AF2" i="2" s="1"/>
  <c r="I23" i="2"/>
  <c r="M22" i="2"/>
  <c r="J22" i="2"/>
  <c r="G23" i="2"/>
  <c r="AH1" i="2" s="1"/>
  <c r="F24" i="2"/>
  <c r="B25" i="2"/>
  <c r="C24" i="2"/>
  <c r="N34" i="6"/>
  <c r="AS2" i="6" s="1"/>
  <c r="I36" i="6"/>
  <c r="J35" i="6"/>
  <c r="N35" i="6" s="1"/>
  <c r="AT2" i="6" s="1"/>
  <c r="G23" i="6"/>
  <c r="AH1" i="6" s="1"/>
  <c r="B25" i="6"/>
  <c r="C24" i="6"/>
  <c r="T11" i="4" l="1"/>
  <c r="W16" i="4"/>
  <c r="U15" i="4"/>
  <c r="Q87" i="12"/>
  <c r="AY3" i="12"/>
  <c r="Q39" i="12"/>
  <c r="C41" i="12"/>
  <c r="N40" i="12"/>
  <c r="O40" i="12" s="1"/>
  <c r="N88" i="12"/>
  <c r="O88" i="12" s="1"/>
  <c r="I89" i="12"/>
  <c r="J68" i="6"/>
  <c r="M68" i="6"/>
  <c r="I69" i="6"/>
  <c r="N67" i="6"/>
  <c r="BT2" i="6" s="1"/>
  <c r="N70" i="2"/>
  <c r="BW2" i="2" s="1"/>
  <c r="J71" i="2"/>
  <c r="I72" i="2"/>
  <c r="M71" i="2"/>
  <c r="G68" i="2"/>
  <c r="BU1" i="2" s="1"/>
  <c r="C69" i="2"/>
  <c r="F69" i="2"/>
  <c r="B70" i="2"/>
  <c r="T26" i="4"/>
  <c r="T35" i="4"/>
  <c r="R36" i="4"/>
  <c r="R27" i="4"/>
  <c r="AF22" i="4"/>
  <c r="AF32" i="4"/>
  <c r="T31" i="4"/>
  <c r="T21" i="4"/>
  <c r="AE32" i="4"/>
  <c r="AE22" i="4"/>
  <c r="N22" i="2"/>
  <c r="AG2" i="2" s="1"/>
  <c r="I24" i="2"/>
  <c r="M23" i="2"/>
  <c r="J23" i="2"/>
  <c r="G24" i="2"/>
  <c r="AI1" i="2" s="1"/>
  <c r="F25" i="2"/>
  <c r="B26" i="2"/>
  <c r="C25" i="2"/>
  <c r="I37" i="6"/>
  <c r="J36" i="6"/>
  <c r="G24" i="6"/>
  <c r="AI1" i="6" s="1"/>
  <c r="C25" i="6"/>
  <c r="U11" i="4" l="1"/>
  <c r="X16" i="4"/>
  <c r="V15" i="4"/>
  <c r="Q88" i="12"/>
  <c r="AZ3" i="12"/>
  <c r="Q40" i="12"/>
  <c r="C42" i="12"/>
  <c r="N41" i="12"/>
  <c r="O41" i="12" s="1"/>
  <c r="N89" i="12"/>
  <c r="O89" i="12" s="1"/>
  <c r="N68" i="6"/>
  <c r="BU2" i="6" s="1"/>
  <c r="J69" i="6"/>
  <c r="I70" i="6"/>
  <c r="M69" i="6"/>
  <c r="N71" i="2"/>
  <c r="BX2" i="2" s="1"/>
  <c r="M72" i="2"/>
  <c r="I73" i="2"/>
  <c r="J72" i="2"/>
  <c r="G69" i="2"/>
  <c r="BV1" i="2" s="1"/>
  <c r="B71" i="2"/>
  <c r="C70" i="2"/>
  <c r="F70" i="2"/>
  <c r="S36" i="4"/>
  <c r="S27" i="4"/>
  <c r="U35" i="4"/>
  <c r="U26" i="4"/>
  <c r="U31" i="4"/>
  <c r="U21" i="4"/>
  <c r="N23" i="2"/>
  <c r="AH2" i="2" s="1"/>
  <c r="I25" i="2"/>
  <c r="M24" i="2"/>
  <c r="J24" i="2"/>
  <c r="G25" i="2"/>
  <c r="AJ1" i="2" s="1"/>
  <c r="F26" i="2"/>
  <c r="C26" i="2"/>
  <c r="N36" i="6"/>
  <c r="AU2" i="6" s="1"/>
  <c r="J37" i="6"/>
  <c r="C26" i="6"/>
  <c r="G26" i="6" s="1"/>
  <c r="AK1" i="6" s="1"/>
  <c r="B27" i="6"/>
  <c r="G25" i="6"/>
  <c r="AJ1" i="6" s="1"/>
  <c r="V11" i="4" l="1"/>
  <c r="W15" i="4"/>
  <c r="Y16" i="4"/>
  <c r="Q89" i="12"/>
  <c r="BA3" i="12"/>
  <c r="Q41" i="12"/>
  <c r="C43" i="12"/>
  <c r="N42" i="12"/>
  <c r="O42" i="12" s="1"/>
  <c r="N69" i="6"/>
  <c r="BV2" i="6" s="1"/>
  <c r="M70" i="6"/>
  <c r="I71" i="6"/>
  <c r="J70" i="6"/>
  <c r="N72" i="2"/>
  <c r="BY2" i="2" s="1"/>
  <c r="J73" i="2"/>
  <c r="I74" i="2"/>
  <c r="M73" i="2"/>
  <c r="G70" i="2"/>
  <c r="BW1" i="2" s="1"/>
  <c r="F71" i="2"/>
  <c r="B72" i="2"/>
  <c r="C71" i="2"/>
  <c r="V35" i="4"/>
  <c r="V26" i="4"/>
  <c r="T27" i="4"/>
  <c r="T36" i="4"/>
  <c r="AG32" i="4"/>
  <c r="AG22" i="4"/>
  <c r="W31" i="4"/>
  <c r="W21" i="4"/>
  <c r="V31" i="4"/>
  <c r="V21" i="4"/>
  <c r="M25" i="2"/>
  <c r="J25" i="2"/>
  <c r="N24" i="2"/>
  <c r="AI2" i="2" s="1"/>
  <c r="G26" i="2"/>
  <c r="AK1" i="2" s="1"/>
  <c r="B28" i="2"/>
  <c r="F27" i="2"/>
  <c r="C27" i="2"/>
  <c r="N37" i="6"/>
  <c r="AV2" i="6" s="1"/>
  <c r="I39" i="6"/>
  <c r="J38" i="6"/>
  <c r="B28" i="6"/>
  <c r="C27" i="6"/>
  <c r="W11" i="4" l="1"/>
  <c r="Z16" i="4"/>
  <c r="X15" i="4"/>
  <c r="Q42" i="12"/>
  <c r="C44" i="12"/>
  <c r="N44" i="12" s="1"/>
  <c r="O44" i="12" s="1"/>
  <c r="N43" i="12"/>
  <c r="O43" i="12" s="1"/>
  <c r="N70" i="6"/>
  <c r="BW2" i="6" s="1"/>
  <c r="I72" i="6"/>
  <c r="M71" i="6"/>
  <c r="J71" i="6"/>
  <c r="N73" i="2"/>
  <c r="BZ2" i="2" s="1"/>
  <c r="I75" i="2"/>
  <c r="J74" i="2"/>
  <c r="M74" i="2"/>
  <c r="G71" i="2"/>
  <c r="BX1" i="2" s="1"/>
  <c r="B73" i="2"/>
  <c r="C72" i="2"/>
  <c r="F72" i="2"/>
  <c r="W26" i="4"/>
  <c r="W35" i="4"/>
  <c r="U27" i="4"/>
  <c r="U36" i="4"/>
  <c r="AH32" i="4"/>
  <c r="AH22" i="4"/>
  <c r="I27" i="2"/>
  <c r="M26" i="2"/>
  <c r="J26" i="2"/>
  <c r="N25" i="2"/>
  <c r="AJ2" i="2" s="1"/>
  <c r="G27" i="2"/>
  <c r="AL1" i="2" s="1"/>
  <c r="F28" i="2"/>
  <c r="B29" i="2"/>
  <c r="C28" i="2"/>
  <c r="N38" i="6"/>
  <c r="AW2" i="6" s="1"/>
  <c r="I40" i="6"/>
  <c r="J39" i="6"/>
  <c r="C28" i="6"/>
  <c r="B29" i="6"/>
  <c r="G27" i="6"/>
  <c r="AL1" i="6" s="1"/>
  <c r="X11" i="4" l="1"/>
  <c r="AA16" i="4"/>
  <c r="Y15" i="4"/>
  <c r="Q43" i="12"/>
  <c r="Q44" i="12"/>
  <c r="N71" i="6"/>
  <c r="BX2" i="6" s="1"/>
  <c r="I73" i="6"/>
  <c r="M72" i="6"/>
  <c r="J72" i="6"/>
  <c r="N72" i="6"/>
  <c r="BY2" i="6" s="1"/>
  <c r="N74" i="2"/>
  <c r="CA2" i="2" s="1"/>
  <c r="J75" i="2"/>
  <c r="I76" i="2"/>
  <c r="M75" i="2"/>
  <c r="G72" i="2"/>
  <c r="BY1" i="2" s="1"/>
  <c r="C73" i="2"/>
  <c r="F73" i="2"/>
  <c r="X26" i="4"/>
  <c r="X35" i="4"/>
  <c r="V36" i="4"/>
  <c r="V27" i="4"/>
  <c r="AI32" i="4"/>
  <c r="AI22" i="4"/>
  <c r="X31" i="4"/>
  <c r="X21" i="4"/>
  <c r="N26" i="2"/>
  <c r="AK2" i="2" s="1"/>
  <c r="I28" i="2"/>
  <c r="M27" i="2"/>
  <c r="J27" i="2"/>
  <c r="G28" i="2"/>
  <c r="AM1" i="2" s="1"/>
  <c r="F29" i="2"/>
  <c r="C29" i="2"/>
  <c r="N39" i="6"/>
  <c r="AX2" i="6" s="1"/>
  <c r="I41" i="6"/>
  <c r="J40" i="6"/>
  <c r="G28" i="6"/>
  <c r="AM1" i="6" s="1"/>
  <c r="C29" i="6"/>
  <c r="B30" i="6"/>
  <c r="Y11" i="4" l="1"/>
  <c r="Z11" i="4"/>
  <c r="AB16" i="4"/>
  <c r="Z15" i="4"/>
  <c r="J73" i="6"/>
  <c r="M73" i="6"/>
  <c r="I74" i="6"/>
  <c r="M76" i="2"/>
  <c r="J76" i="2"/>
  <c r="N75" i="2"/>
  <c r="CB2" i="2" s="1"/>
  <c r="G73" i="2"/>
  <c r="BZ1" i="2" s="1"/>
  <c r="F74" i="2"/>
  <c r="B75" i="2"/>
  <c r="C74" i="2"/>
  <c r="Y35" i="4"/>
  <c r="Y26" i="4"/>
  <c r="W36" i="4"/>
  <c r="W27" i="4"/>
  <c r="Y31" i="4"/>
  <c r="Y21" i="4"/>
  <c r="AJ32" i="4"/>
  <c r="AJ22" i="4"/>
  <c r="N27" i="2"/>
  <c r="AL2" i="2" s="1"/>
  <c r="I29" i="2"/>
  <c r="M28" i="2"/>
  <c r="J28" i="2"/>
  <c r="F30" i="2"/>
  <c r="B31" i="2"/>
  <c r="C30" i="2"/>
  <c r="G29" i="2"/>
  <c r="AN1" i="2" s="1"/>
  <c r="N40" i="6"/>
  <c r="AY2" i="6" s="1"/>
  <c r="J41" i="6"/>
  <c r="G29" i="6"/>
  <c r="AN1" i="6" s="1"/>
  <c r="C30" i="6"/>
  <c r="B31" i="6"/>
  <c r="AA15" i="4" l="1"/>
  <c r="AC16" i="4"/>
  <c r="N73" i="6"/>
  <c r="BZ2" i="6" s="1"/>
  <c r="N74" i="6"/>
  <c r="CA2" i="6" s="1"/>
  <c r="M74" i="6"/>
  <c r="J74" i="6"/>
  <c r="N76" i="2"/>
  <c r="CC2" i="2" s="1"/>
  <c r="J77" i="2"/>
  <c r="I78" i="2"/>
  <c r="M77" i="2"/>
  <c r="G74" i="2"/>
  <c r="CA1" i="2" s="1"/>
  <c r="F75" i="2"/>
  <c r="B76" i="2"/>
  <c r="C75" i="2"/>
  <c r="Z35" i="4"/>
  <c r="Z26" i="4"/>
  <c r="X27" i="4"/>
  <c r="X36" i="4"/>
  <c r="Z31" i="4"/>
  <c r="Z21" i="4"/>
  <c r="AK32" i="4"/>
  <c r="AK22" i="4"/>
  <c r="N28" i="2"/>
  <c r="AM2" i="2" s="1"/>
  <c r="I30" i="2"/>
  <c r="M29" i="2"/>
  <c r="J29" i="2"/>
  <c r="G30" i="2"/>
  <c r="AO1" i="2" s="1"/>
  <c r="B32" i="2"/>
  <c r="F32" i="2" s="1"/>
  <c r="F31" i="2"/>
  <c r="C31" i="2"/>
  <c r="N41" i="6"/>
  <c r="AZ2" i="6" s="1"/>
  <c r="C31" i="6"/>
  <c r="G30" i="6"/>
  <c r="AO1" i="6" s="1"/>
  <c r="AA11" i="4" l="1"/>
  <c r="AB11" i="4"/>
  <c r="AB15" i="4"/>
  <c r="AD16" i="4"/>
  <c r="I76" i="6"/>
  <c r="N75" i="6"/>
  <c r="CB2" i="6" s="1"/>
  <c r="M75" i="6"/>
  <c r="J75" i="6"/>
  <c r="I79" i="2"/>
  <c r="J78" i="2"/>
  <c r="M78" i="2"/>
  <c r="N77" i="2"/>
  <c r="CD2" i="2" s="1"/>
  <c r="G75" i="2"/>
  <c r="CB1" i="2" s="1"/>
  <c r="B77" i="2"/>
  <c r="F76" i="2"/>
  <c r="C76" i="2"/>
  <c r="AA26" i="4"/>
  <c r="AA35" i="4"/>
  <c r="Y27" i="4"/>
  <c r="Y36" i="4"/>
  <c r="AA31" i="4"/>
  <c r="AA21" i="4"/>
  <c r="AL32" i="4"/>
  <c r="AL22" i="4"/>
  <c r="N29" i="2"/>
  <c r="AN2" i="2" s="1"/>
  <c r="M30" i="2"/>
  <c r="J30" i="2"/>
  <c r="C32" i="2"/>
  <c r="G31" i="2"/>
  <c r="AP1" i="2" s="1"/>
  <c r="B33" i="6"/>
  <c r="C32" i="6"/>
  <c r="G31" i="6"/>
  <c r="AP1" i="6" s="1"/>
  <c r="AC11" i="4" l="1"/>
  <c r="AE16" i="4"/>
  <c r="AC15" i="4"/>
  <c r="J76" i="6"/>
  <c r="I77" i="6"/>
  <c r="M76" i="6"/>
  <c r="J79" i="2"/>
  <c r="I80" i="2"/>
  <c r="M79" i="2"/>
  <c r="N78" i="2"/>
  <c r="CE2" i="2" s="1"/>
  <c r="G76" i="2"/>
  <c r="CC1" i="2" s="1"/>
  <c r="F77" i="2"/>
  <c r="B78" i="2"/>
  <c r="C77" i="2"/>
  <c r="Z36" i="4"/>
  <c r="Z27" i="4"/>
  <c r="AB26" i="4"/>
  <c r="AB35" i="4"/>
  <c r="AB31" i="4"/>
  <c r="AB21" i="4"/>
  <c r="N30" i="2"/>
  <c r="AO2" i="2" s="1"/>
  <c r="I32" i="2"/>
  <c r="M31" i="2"/>
  <c r="J31" i="2"/>
  <c r="G32" i="2"/>
  <c r="AQ1" i="2" s="1"/>
  <c r="B34" i="2"/>
  <c r="F33" i="2"/>
  <c r="C33" i="2"/>
  <c r="B34" i="6"/>
  <c r="C33" i="6"/>
  <c r="G32" i="6"/>
  <c r="AQ1" i="6" s="1"/>
  <c r="AD15" i="4" l="1"/>
  <c r="AF16" i="4"/>
  <c r="N76" i="6"/>
  <c r="CC2" i="6" s="1"/>
  <c r="J77" i="6"/>
  <c r="M77" i="6"/>
  <c r="I78" i="6"/>
  <c r="N79" i="2"/>
  <c r="CF2" i="2" s="1"/>
  <c r="M80" i="2"/>
  <c r="I81" i="2"/>
  <c r="J80" i="2"/>
  <c r="G77" i="2"/>
  <c r="CD1" i="2" s="1"/>
  <c r="F78" i="2"/>
  <c r="C78" i="2"/>
  <c r="AC35" i="4"/>
  <c r="AC26" i="4"/>
  <c r="AA36" i="4"/>
  <c r="AA27" i="4"/>
  <c r="AC31" i="4"/>
  <c r="AC21" i="4"/>
  <c r="N31" i="2"/>
  <c r="AP2" i="2" s="1"/>
  <c r="I33" i="2"/>
  <c r="M32" i="2"/>
  <c r="J32" i="2"/>
  <c r="F34" i="2"/>
  <c r="B35" i="2"/>
  <c r="C34" i="2"/>
  <c r="G33" i="2"/>
  <c r="AR1" i="2" s="1"/>
  <c r="G33" i="6"/>
  <c r="AR1" i="6" s="1"/>
  <c r="C34" i="6"/>
  <c r="B35" i="6"/>
  <c r="AD11" i="4" l="1"/>
  <c r="AE15" i="4"/>
  <c r="AG16" i="4"/>
  <c r="N77" i="6"/>
  <c r="CD2" i="6" s="1"/>
  <c r="M78" i="6"/>
  <c r="I79" i="6"/>
  <c r="J78" i="6"/>
  <c r="N80" i="2"/>
  <c r="CG2" i="2" s="1"/>
  <c r="I82" i="2"/>
  <c r="J81" i="2"/>
  <c r="M81" i="2"/>
  <c r="G78" i="2"/>
  <c r="CE1" i="2" s="1"/>
  <c r="F79" i="2"/>
  <c r="B80" i="2"/>
  <c r="C79" i="2"/>
  <c r="AD35" i="4"/>
  <c r="AD26" i="4"/>
  <c r="AB27" i="4"/>
  <c r="AB36" i="4"/>
  <c r="AD31" i="4"/>
  <c r="AD21" i="4"/>
  <c r="N32" i="2"/>
  <c r="AQ2" i="2" s="1"/>
  <c r="I34" i="2"/>
  <c r="M33" i="2"/>
  <c r="J33" i="2"/>
  <c r="G34" i="2"/>
  <c r="AS1" i="2" s="1"/>
  <c r="F35" i="2"/>
  <c r="C35" i="2"/>
  <c r="B36" i="6"/>
  <c r="C35" i="6"/>
  <c r="G35" i="6" s="1"/>
  <c r="AT1" i="6" s="1"/>
  <c r="G34" i="6"/>
  <c r="AS1" i="6" s="1"/>
  <c r="AE11" i="4" l="1"/>
  <c r="AF15" i="4"/>
  <c r="AH16" i="4"/>
  <c r="I80" i="6"/>
  <c r="M79" i="6"/>
  <c r="J79" i="6"/>
  <c r="N78" i="6"/>
  <c r="CE2" i="6" s="1"/>
  <c r="N81" i="2"/>
  <c r="CH2" i="2" s="1"/>
  <c r="I83" i="2"/>
  <c r="J82" i="2"/>
  <c r="M82" i="2"/>
  <c r="G79" i="2"/>
  <c r="CF1" i="2" s="1"/>
  <c r="B81" i="2"/>
  <c r="F80" i="2"/>
  <c r="C80" i="2"/>
  <c r="AC27" i="4"/>
  <c r="AC36" i="4"/>
  <c r="AE26" i="4"/>
  <c r="AE35" i="4"/>
  <c r="AF31" i="4"/>
  <c r="AF21" i="4"/>
  <c r="AE31" i="4"/>
  <c r="AE21" i="4"/>
  <c r="N33" i="2"/>
  <c r="AR2" i="2" s="1"/>
  <c r="I35" i="2"/>
  <c r="M34" i="2"/>
  <c r="J34" i="2"/>
  <c r="G35" i="2"/>
  <c r="AT1" i="2" s="1"/>
  <c r="B37" i="2"/>
  <c r="F36" i="2"/>
  <c r="C36" i="2"/>
  <c r="C36" i="6"/>
  <c r="B37" i="6"/>
  <c r="AF11" i="4" l="1"/>
  <c r="AG15" i="4"/>
  <c r="AI16" i="4"/>
  <c r="G80" i="2"/>
  <c r="CG1" i="2" s="1"/>
  <c r="J80" i="6"/>
  <c r="I81" i="6"/>
  <c r="M80" i="6"/>
  <c r="N79" i="6"/>
  <c r="CF2" i="6" s="1"/>
  <c r="N82" i="2"/>
  <c r="CI2" i="2" s="1"/>
  <c r="J83" i="2"/>
  <c r="I84" i="2"/>
  <c r="M83" i="2"/>
  <c r="F81" i="2"/>
  <c r="B82" i="2"/>
  <c r="C81" i="2"/>
  <c r="AD36" i="4"/>
  <c r="AD27" i="4"/>
  <c r="AF26" i="4"/>
  <c r="AF35" i="4"/>
  <c r="N34" i="2"/>
  <c r="AS2" i="2" s="1"/>
  <c r="M35" i="2"/>
  <c r="J35" i="2"/>
  <c r="G36" i="2"/>
  <c r="AU1" i="2" s="1"/>
  <c r="F37" i="2"/>
  <c r="B38" i="2"/>
  <c r="C37" i="2"/>
  <c r="G36" i="6"/>
  <c r="AU1" i="6" s="1"/>
  <c r="C37" i="6"/>
  <c r="B38" i="6"/>
  <c r="AG11" i="4" l="1"/>
  <c r="AH15" i="4"/>
  <c r="AJ16" i="4"/>
  <c r="N80" i="6"/>
  <c r="CG2" i="6" s="1"/>
  <c r="M81" i="6"/>
  <c r="I82" i="6"/>
  <c r="J81" i="6"/>
  <c r="M84" i="2"/>
  <c r="J84" i="2"/>
  <c r="N83" i="2"/>
  <c r="CJ2" i="2" s="1"/>
  <c r="G81" i="2"/>
  <c r="CH1" i="2" s="1"/>
  <c r="F82" i="2"/>
  <c r="C82" i="2"/>
  <c r="B83" i="2"/>
  <c r="AG35" i="4"/>
  <c r="AG26" i="4"/>
  <c r="AE36" i="4"/>
  <c r="AE27" i="4"/>
  <c r="AG31" i="4"/>
  <c r="AG21" i="4"/>
  <c r="I37" i="2"/>
  <c r="M36" i="2"/>
  <c r="J36" i="2"/>
  <c r="N35" i="2"/>
  <c r="AT2" i="2" s="1"/>
  <c r="F38" i="2"/>
  <c r="C38" i="2"/>
  <c r="G37" i="2"/>
  <c r="AV1" i="2" s="1"/>
  <c r="G37" i="6"/>
  <c r="AV1" i="6" s="1"/>
  <c r="C38" i="6"/>
  <c r="AH11" i="4" l="1"/>
  <c r="AI15" i="4"/>
  <c r="AK16" i="4"/>
  <c r="N81" i="6"/>
  <c r="CH2" i="6" s="1"/>
  <c r="M82" i="6"/>
  <c r="I83" i="6"/>
  <c r="J82" i="6"/>
  <c r="N84" i="2"/>
  <c r="CK2" i="2" s="1"/>
  <c r="F83" i="2"/>
  <c r="B84" i="2"/>
  <c r="C83" i="2"/>
  <c r="G82" i="2"/>
  <c r="CI1" i="2" s="1"/>
  <c r="AH35" i="4"/>
  <c r="AH26" i="4"/>
  <c r="AF27" i="4"/>
  <c r="AF36" i="4"/>
  <c r="AH31" i="4"/>
  <c r="AH21" i="4"/>
  <c r="N36" i="2"/>
  <c r="AU2" i="2" s="1"/>
  <c r="I38" i="2"/>
  <c r="M37" i="2"/>
  <c r="J37" i="2"/>
  <c r="G38" i="2"/>
  <c r="AW1" i="2" s="1"/>
  <c r="B40" i="2"/>
  <c r="F39" i="2"/>
  <c r="C39" i="2"/>
  <c r="G38" i="6"/>
  <c r="AW1" i="6" s="1"/>
  <c r="B40" i="6"/>
  <c r="C39" i="6"/>
  <c r="AI11" i="4" l="1"/>
  <c r="AJ15" i="4"/>
  <c r="AL16" i="4"/>
  <c r="I84" i="6"/>
  <c r="N83" i="6"/>
  <c r="CJ2" i="6" s="1"/>
  <c r="J83" i="6"/>
  <c r="M83" i="6"/>
  <c r="N82" i="6"/>
  <c r="CI2" i="6" s="1"/>
  <c r="G83" i="2"/>
  <c r="CJ1" i="2" s="1"/>
  <c r="F84" i="2"/>
  <c r="C84" i="2"/>
  <c r="AG27" i="4"/>
  <c r="AG36" i="4"/>
  <c r="AI26" i="4"/>
  <c r="AI35" i="4"/>
  <c r="AI21" i="4"/>
  <c r="AI31" i="4"/>
  <c r="N37" i="2"/>
  <c r="AV2" i="2" s="1"/>
  <c r="M38" i="2"/>
  <c r="I39" i="2"/>
  <c r="J38" i="2"/>
  <c r="B41" i="2"/>
  <c r="F40" i="2"/>
  <c r="C40" i="2"/>
  <c r="G39" i="2"/>
  <c r="AX1" i="2" s="1"/>
  <c r="G39" i="6"/>
  <c r="AX1" i="6" s="1"/>
  <c r="C40" i="6"/>
  <c r="B41" i="6"/>
  <c r="AJ11" i="4" l="1"/>
  <c r="AK11" i="4"/>
  <c r="AK15" i="4"/>
  <c r="J84" i="6"/>
  <c r="M84" i="6"/>
  <c r="G84" i="2"/>
  <c r="CK1" i="2" s="1"/>
  <c r="AH36" i="4"/>
  <c r="AH27" i="4"/>
  <c r="AJ26" i="4"/>
  <c r="AJ35" i="4"/>
  <c r="AJ31" i="4"/>
  <c r="AJ21" i="4"/>
  <c r="I40" i="2"/>
  <c r="M39" i="2"/>
  <c r="J39" i="2"/>
  <c r="N38" i="2"/>
  <c r="AW2" i="2" s="1"/>
  <c r="G40" i="2"/>
  <c r="AY1" i="2" s="1"/>
  <c r="F41" i="2"/>
  <c r="C41" i="2"/>
  <c r="C41" i="6"/>
  <c r="G40" i="6"/>
  <c r="AY1" i="6" s="1"/>
  <c r="AL15" i="4" l="1"/>
  <c r="N84" i="6"/>
  <c r="CK2" i="6" s="1"/>
  <c r="AI36" i="4"/>
  <c r="AI27" i="4"/>
  <c r="AK35" i="4"/>
  <c r="AK26" i="4"/>
  <c r="AK31" i="4"/>
  <c r="AK21" i="4"/>
  <c r="N39" i="2"/>
  <c r="AX2" i="2" s="1"/>
  <c r="M40" i="2"/>
  <c r="J40" i="2"/>
  <c r="G41" i="2"/>
  <c r="AZ1" i="2" s="1"/>
  <c r="G41" i="6"/>
  <c r="AZ1" i="6" s="1"/>
  <c r="AL11" i="4" l="1"/>
  <c r="AL35" i="4"/>
  <c r="AL26" i="4"/>
  <c r="AJ27" i="4"/>
  <c r="AJ36" i="4"/>
  <c r="AL31" i="4"/>
  <c r="AL21" i="4"/>
  <c r="N40" i="2"/>
  <c r="AY2" i="2" s="1"/>
  <c r="M41" i="2"/>
  <c r="J41" i="2"/>
  <c r="AK27" i="4" l="1"/>
  <c r="AK36" i="4"/>
  <c r="N41" i="2"/>
  <c r="AZ2" i="2" s="1"/>
  <c r="AL36" i="4" l="1"/>
  <c r="AL27" i="4"/>
</calcChain>
</file>

<file path=xl/comments1.xml><?xml version="1.0" encoding="utf-8"?>
<comments xmlns="http://schemas.openxmlformats.org/spreadsheetml/2006/main">
  <authors>
    <author>Barry Calvert</author>
  </authors>
  <commentList>
    <comment ref="S16" authorId="0">
      <text>
        <r>
          <rPr>
            <sz val="9"/>
            <color indexed="81"/>
            <rFont val="Tahoma"/>
            <family val="2"/>
          </rPr>
          <t>rates ex rooney group</t>
        </r>
      </text>
    </comment>
    <comment ref="T24" authorId="0">
      <text>
        <r>
          <rPr>
            <sz val="9"/>
            <color indexed="81"/>
            <rFont val="Tahoma"/>
            <family val="2"/>
          </rPr>
          <t>$67/m + TM for Levin water reticulation renewals 2013
$72/m + TM for Foxton watermain renewals 2012
  TM = traffic management</t>
        </r>
      </text>
    </comment>
    <comment ref="S30" authorId="0">
      <text>
        <r>
          <rPr>
            <sz val="9"/>
            <color indexed="81"/>
            <rFont val="Tahoma"/>
            <family val="2"/>
          </rPr>
          <t>rates ex Parkinson &amp; Holland</t>
        </r>
      </text>
    </comment>
  </commentList>
</comments>
</file>

<file path=xl/comments2.xml><?xml version="1.0" encoding="utf-8"?>
<comments xmlns="http://schemas.openxmlformats.org/spreadsheetml/2006/main">
  <authors>
    <author>Barry Calvert</author>
  </authors>
  <commentList>
    <comment ref="T18" authorId="0">
      <text>
        <r>
          <rPr>
            <sz val="9"/>
            <color indexed="81"/>
            <rFont val="Tahoma"/>
            <family val="2"/>
          </rPr>
          <t>$98/m + TM for Levin water reticulation renewals 2013
$97/m + TM for Foxton watermain renewals 2011
$95/m + TM for Kaiwhara substations 2008
  TM = traffic management</t>
        </r>
      </text>
    </comment>
    <comment ref="S27" authorId="0">
      <text>
        <r>
          <rPr>
            <sz val="9"/>
            <color indexed="81"/>
            <rFont val="Tahoma"/>
            <family val="2"/>
          </rPr>
          <t>rates ex Parkinson &amp; Holland</t>
        </r>
      </text>
    </comment>
  </commentList>
</comments>
</file>

<file path=xl/comments3.xml><?xml version="1.0" encoding="utf-8"?>
<comments xmlns="http://schemas.openxmlformats.org/spreadsheetml/2006/main">
  <authors>
    <author>Barry Calvert</author>
  </authors>
  <commentList>
    <comment ref="I4" authorId="0">
      <text>
        <r>
          <rPr>
            <b/>
            <sz val="9"/>
            <color indexed="81"/>
            <rFont val="Tahoma"/>
            <family val="2"/>
          </rPr>
          <t>Barry Calvert:</t>
        </r>
        <r>
          <rPr>
            <sz val="9"/>
            <color indexed="81"/>
            <rFont val="Tahoma"/>
            <family val="2"/>
          </rPr>
          <t xml:space="preserve">
FCC price on Kaiwhara substations 1 &amp; 2 project</t>
        </r>
      </text>
    </comment>
    <comment ref="K4" authorId="0">
      <text>
        <r>
          <rPr>
            <b/>
            <sz val="9"/>
            <color indexed="81"/>
            <rFont val="Tahoma"/>
            <family val="2"/>
          </rPr>
          <t>Barry Calvert:</t>
        </r>
        <r>
          <rPr>
            <sz val="9"/>
            <color indexed="81"/>
            <rFont val="Tahoma"/>
            <family val="2"/>
          </rPr>
          <t xml:space="preserve">
based on Tatana price for HDC water reticulation renewals Levin project, 
x 25% for actual drilling time</t>
        </r>
      </text>
    </comment>
    <comment ref="S35" authorId="0">
      <text>
        <r>
          <rPr>
            <sz val="9"/>
            <color indexed="81"/>
            <rFont val="Tahoma"/>
            <family val="2"/>
          </rPr>
          <t>Te Aratika Drilling 
  rates exclude duct supply
     add $10/m for duct</t>
        </r>
      </text>
    </comment>
    <comment ref="T35" authorId="0">
      <text>
        <r>
          <rPr>
            <sz val="9"/>
            <color indexed="81"/>
            <rFont val="Tahoma"/>
            <family val="2"/>
          </rPr>
          <t>Craig McKenzie Drilling</t>
        </r>
      </text>
    </comment>
    <comment ref="U35" authorId="0">
      <text>
        <r>
          <rPr>
            <sz val="9"/>
            <color indexed="81"/>
            <rFont val="Tahoma"/>
            <family val="2"/>
          </rPr>
          <t>Scot Thrust - urban rates</t>
        </r>
      </text>
    </comment>
    <comment ref="V35" authorId="0">
      <text>
        <r>
          <rPr>
            <sz val="9"/>
            <color indexed="81"/>
            <rFont val="Tahoma"/>
            <family val="2"/>
          </rPr>
          <t>gopher drilling</t>
        </r>
      </text>
    </comment>
    <comment ref="W35" authorId="0">
      <text>
        <r>
          <rPr>
            <sz val="9"/>
            <color indexed="81"/>
            <rFont val="Tahoma"/>
            <family val="2"/>
          </rPr>
          <t>Higgins - Foxton</t>
        </r>
      </text>
    </comment>
    <comment ref="X35" authorId="0">
      <text>
        <r>
          <rPr>
            <sz val="9"/>
            <color indexed="81"/>
            <rFont val="Tahoma"/>
            <family val="2"/>
          </rPr>
          <t>Higgins - Levin</t>
        </r>
      </text>
    </comment>
    <comment ref="Y35" authorId="0">
      <text>
        <r>
          <rPr>
            <sz val="9"/>
            <color indexed="81"/>
            <rFont val="Tahoma"/>
            <family val="2"/>
          </rPr>
          <t>Tatana - Levin</t>
        </r>
      </text>
    </comment>
    <comment ref="Z35" authorId="0">
      <text>
        <r>
          <rPr>
            <sz val="9"/>
            <color indexed="81"/>
            <rFont val="Tahoma"/>
            <family val="2"/>
          </rPr>
          <t>Underground Brown</t>
        </r>
      </text>
    </comment>
    <comment ref="AA35" authorId="0">
      <text>
        <r>
          <rPr>
            <sz val="9"/>
            <color indexed="81"/>
            <rFont val="Tahoma"/>
            <family val="2"/>
          </rPr>
          <t>Greg Donaldson Contracting</t>
        </r>
      </text>
    </comment>
    <comment ref="S40" authorId="0">
      <text>
        <r>
          <rPr>
            <b/>
            <sz val="9"/>
            <color indexed="81"/>
            <rFont val="Tahoma"/>
            <family val="2"/>
          </rPr>
          <t>Barry Calvert:</t>
        </r>
        <r>
          <rPr>
            <sz val="9"/>
            <color indexed="81"/>
            <rFont val="Tahoma"/>
            <family val="2"/>
          </rPr>
          <t xml:space="preserve">
Rural = green field with 1 or less surrounding services
Urban = residential &amp; commercial areas with 2 or more existing services</t>
        </r>
      </text>
    </comment>
    <comment ref="I49" authorId="0">
      <text>
        <r>
          <rPr>
            <b/>
            <sz val="9"/>
            <color indexed="81"/>
            <rFont val="Tahoma"/>
            <family val="2"/>
          </rPr>
          <t>Barry Calvert:</t>
        </r>
        <r>
          <rPr>
            <sz val="9"/>
            <color indexed="81"/>
            <rFont val="Tahoma"/>
            <family val="2"/>
          </rPr>
          <t xml:space="preserve">
FCC price on Kaiwhara substations 1 &amp; 2 project</t>
        </r>
      </text>
    </comment>
    <comment ref="K49" authorId="0">
      <text>
        <r>
          <rPr>
            <b/>
            <sz val="9"/>
            <color indexed="81"/>
            <rFont val="Tahoma"/>
            <family val="2"/>
          </rPr>
          <t>Barry Calvert:</t>
        </r>
        <r>
          <rPr>
            <sz val="9"/>
            <color indexed="81"/>
            <rFont val="Tahoma"/>
            <family val="2"/>
          </rPr>
          <t xml:space="preserve">
based on Tatana price for HDC water reticulation renewals Levin project, 
x 25% for actual drilling time</t>
        </r>
      </text>
    </comment>
  </commentList>
</comments>
</file>

<file path=xl/comments4.xml><?xml version="1.0" encoding="utf-8"?>
<comments xmlns="http://schemas.openxmlformats.org/spreadsheetml/2006/main">
  <authors>
    <author>Barry Calvert</author>
  </authors>
  <commentList>
    <comment ref="L4" authorId="0">
      <text>
        <r>
          <rPr>
            <b/>
            <sz val="9"/>
            <color indexed="81"/>
            <rFont val="Tahoma"/>
            <family val="2"/>
          </rPr>
          <t>Barry Calvert:</t>
        </r>
        <r>
          <rPr>
            <sz val="9"/>
            <color indexed="81"/>
            <rFont val="Tahoma"/>
            <family val="2"/>
          </rPr>
          <t xml:space="preserve">
based on Tatana price for HDC water reticulation renewals Levin project, 
x 25% for actual drilling time</t>
        </r>
      </text>
    </comment>
    <comment ref="L49" authorId="0">
      <text>
        <r>
          <rPr>
            <b/>
            <sz val="9"/>
            <color indexed="81"/>
            <rFont val="Tahoma"/>
            <family val="2"/>
          </rPr>
          <t>Barry Calvert:</t>
        </r>
        <r>
          <rPr>
            <sz val="9"/>
            <color indexed="81"/>
            <rFont val="Tahoma"/>
            <family val="2"/>
          </rPr>
          <t xml:space="preserve">
based on Tatana price for HDC water reticulation renewals Levin project, 
x 25% for actual drilling time</t>
        </r>
      </text>
    </comment>
  </commentList>
</comments>
</file>

<file path=xl/sharedStrings.xml><?xml version="1.0" encoding="utf-8"?>
<sst xmlns="http://schemas.openxmlformats.org/spreadsheetml/2006/main" count="770" uniqueCount="297">
  <si>
    <t>Rural Trenching</t>
  </si>
  <si>
    <t>100 dia</t>
  </si>
  <si>
    <t>Excavation</t>
  </si>
  <si>
    <t>Shielding</t>
  </si>
  <si>
    <t>uPVC duct</t>
  </si>
  <si>
    <t>Backfill</t>
  </si>
  <si>
    <t>Total</t>
  </si>
  <si>
    <t>depth</t>
  </si>
  <si>
    <t>No. of Ducts</t>
  </si>
  <si>
    <t>w/ exc mat.</t>
  </si>
  <si>
    <t>rate:</t>
  </si>
  <si>
    <t>Open Trenching</t>
  </si>
  <si>
    <t>(per m)</t>
  </si>
  <si>
    <t>duct</t>
  </si>
  <si>
    <t>Directional Drilling</t>
  </si>
  <si>
    <t>Chain Digger</t>
  </si>
  <si>
    <t>Per metre costs in Soil Type 1</t>
  </si>
  <si>
    <t>Per metre costs in Soil Type 2</t>
  </si>
  <si>
    <t>Per metre costs in Soil Type 3</t>
  </si>
  <si>
    <t>Per metre costs in Soil Type 4</t>
  </si>
  <si>
    <t>Per metre costs in Soil Type 5</t>
  </si>
  <si>
    <t>ducts</t>
  </si>
  <si>
    <t>1.1.1</t>
  </si>
  <si>
    <t>1.1.2</t>
  </si>
  <si>
    <t>1.1.3</t>
  </si>
  <si>
    <t>1.1.4</t>
  </si>
  <si>
    <t>2.1.1</t>
  </si>
  <si>
    <t>2.1.2</t>
  </si>
  <si>
    <t>2.1.3</t>
  </si>
  <si>
    <t>2.1.4</t>
  </si>
  <si>
    <t>3.1.1</t>
  </si>
  <si>
    <t>3.1.2</t>
  </si>
  <si>
    <t>3.1.3</t>
  </si>
  <si>
    <t>4.1.1</t>
  </si>
  <si>
    <t>4.1.2</t>
  </si>
  <si>
    <t>5.1.1</t>
  </si>
  <si>
    <t>500 bucket</t>
  </si>
  <si>
    <t>300 bucket</t>
  </si>
  <si>
    <t>over 1.4m</t>
  </si>
  <si>
    <t>use</t>
  </si>
  <si>
    <t>labour @ 0.3</t>
  </si>
  <si>
    <t>Virtual</t>
  </si>
  <si>
    <t>buy 100 dia uPVC SN16</t>
  </si>
  <si>
    <t>metal, glue etc</t>
  </si>
  <si>
    <t>sell excl trenching</t>
  </si>
  <si>
    <t xml:space="preserve"> = $56 per 6m</t>
  </si>
  <si>
    <t>Reinstate</t>
  </si>
  <si>
    <t>asphalt</t>
  </si>
  <si>
    <t>cost per m3</t>
  </si>
  <si>
    <t>cost per hour</t>
  </si>
  <si>
    <t>cost per 8 hr day</t>
  </si>
  <si>
    <t>Detailed Excavation - 50 m3/day</t>
  </si>
  <si>
    <t>w/ AP40</t>
  </si>
  <si>
    <t>50 dia PVC</t>
  </si>
  <si>
    <t>SN16 duct</t>
  </si>
  <si>
    <t>Compare with 602 Project</t>
  </si>
  <si>
    <t>trench 0 - 1.5m deep, backfilled</t>
  </si>
  <si>
    <t>my rate 300 bucket, 1.5 deep</t>
  </si>
  <si>
    <t>300 wide</t>
  </si>
  <si>
    <t>500 wide</t>
  </si>
  <si>
    <t>Open trench 400 wide</t>
  </si>
  <si>
    <t>Open trench 600 wide</t>
  </si>
  <si>
    <t>labour @ 0.22</t>
  </si>
  <si>
    <t>NZD excluding GST</t>
  </si>
  <si>
    <t>Open Trenching in</t>
  </si>
  <si>
    <t>Soft Cohesionless Soils</t>
  </si>
  <si>
    <t>Medium Cohesive Soils</t>
  </si>
  <si>
    <t>Sand</t>
  </si>
  <si>
    <t>over 0.9m</t>
  </si>
  <si>
    <t>Soft Rippable Rock</t>
  </si>
  <si>
    <t>Rock</t>
  </si>
  <si>
    <t>40 - 50mm dia duct</t>
  </si>
  <si>
    <t>In Depths 0.6m to 1.7m</t>
  </si>
  <si>
    <t>1.2.1</t>
  </si>
  <si>
    <t>1.2.2</t>
  </si>
  <si>
    <t>1.2.3</t>
  </si>
  <si>
    <t>1.2.4</t>
  </si>
  <si>
    <t>2.2.1</t>
  </si>
  <si>
    <t>2.2.2</t>
  </si>
  <si>
    <t>2.2.3</t>
  </si>
  <si>
    <t>2.2.4</t>
  </si>
  <si>
    <t>3.2.1</t>
  </si>
  <si>
    <t>3.2.2</t>
  </si>
  <si>
    <t>4.2.1</t>
  </si>
  <si>
    <t>4.2.2</t>
  </si>
  <si>
    <t>5.2.1</t>
  </si>
  <si>
    <t xml:space="preserve">Medium/hard cohesive soils </t>
  </si>
  <si>
    <t>Soft or ovular soils/sand</t>
  </si>
  <si>
    <t>Rippable rock</t>
  </si>
  <si>
    <t>Excav.</t>
  </si>
  <si>
    <t>backfill</t>
  </si>
  <si>
    <t>reinstate</t>
  </si>
  <si>
    <t>TOT</t>
  </si>
  <si>
    <t>Trenching per metre, 400 wide, 0 - 1.5m deep</t>
  </si>
  <si>
    <t>Sent to Steve Davies 18/9/14, 4:45pm</t>
  </si>
  <si>
    <t>deep</t>
  </si>
  <si>
    <t>wide</t>
  </si>
  <si>
    <t>rate2</t>
  </si>
  <si>
    <t>rate1</t>
  </si>
  <si>
    <t>Urban Trenching</t>
  </si>
  <si>
    <t>Per metre costs in Soil Type 2/3 or Fill</t>
  </si>
  <si>
    <t>Thrust boring</t>
  </si>
  <si>
    <t>Thrust Boring</t>
  </si>
  <si>
    <t>Mole Plough</t>
  </si>
  <si>
    <t>Hard</t>
  </si>
  <si>
    <t>Soft</t>
  </si>
  <si>
    <t>Medium</t>
  </si>
  <si>
    <t>AKL</t>
  </si>
  <si>
    <t>BOP</t>
  </si>
  <si>
    <t>HWB</t>
  </si>
  <si>
    <t>WGN</t>
  </si>
  <si>
    <t>CHC</t>
  </si>
  <si>
    <t>In Depths up to 1.0m</t>
  </si>
  <si>
    <t>cable</t>
  </si>
  <si>
    <t>Checks</t>
  </si>
  <si>
    <t>Rawlies 100 dia SN16 sewer</t>
  </si>
  <si>
    <t>Rawlies 100 dia PVC buried conduit</t>
  </si>
  <si>
    <t>6.1.1</t>
  </si>
  <si>
    <t>6.1.2</t>
  </si>
  <si>
    <t>6.1.3</t>
  </si>
  <si>
    <t>6.1.4</t>
  </si>
  <si>
    <t>6.2.1</t>
  </si>
  <si>
    <t>6.2.2</t>
  </si>
  <si>
    <t>6.2.3</t>
  </si>
  <si>
    <t>6.2.4</t>
  </si>
  <si>
    <t>7.1.1</t>
  </si>
  <si>
    <t>7.1.2</t>
  </si>
  <si>
    <t>15 sec/m</t>
  </si>
  <si>
    <t>4 m/min</t>
  </si>
  <si>
    <t>Calc</t>
  </si>
  <si>
    <t>240m/hr</t>
  </si>
  <si>
    <t>Cost</t>
  </si>
  <si>
    <t>$350/hr</t>
  </si>
  <si>
    <t>240m = $350</t>
  </si>
  <si>
    <t>per m</t>
  </si>
  <si>
    <t>Mole Plough Trenching</t>
  </si>
  <si>
    <t>North Island</t>
  </si>
  <si>
    <t>South Island</t>
  </si>
  <si>
    <t xml:space="preserve">Per metre cost for ploughing only in Soil Types 1/2 - cost of cable not included </t>
  </si>
  <si>
    <t>Cable size up to 30mm dia</t>
  </si>
  <si>
    <t>AVERAGE</t>
  </si>
  <si>
    <t>3.2.3</t>
  </si>
  <si>
    <t>buy 50 dia uPVC SN16</t>
  </si>
  <si>
    <t xml:space="preserve"> = $37 per 6m</t>
  </si>
  <si>
    <t>soft/med</t>
  </si>
  <si>
    <t>40/50 dia</t>
  </si>
  <si>
    <t>rock saw</t>
  </si>
  <si>
    <t>sandstone</t>
  </si>
  <si>
    <t>fractured basalt</t>
  </si>
  <si>
    <t>solid basalt</t>
  </si>
  <si>
    <t>Rock Saw 600 deep</t>
  </si>
  <si>
    <t>Regional Variance</t>
  </si>
  <si>
    <t>Priced Regions</t>
  </si>
  <si>
    <t>% Range</t>
  </si>
  <si>
    <t>Lower</t>
  </si>
  <si>
    <t>Upper</t>
  </si>
  <si>
    <t>% diff.</t>
  </si>
  <si>
    <t>lower range hourly rates</t>
  </si>
  <si>
    <t>upper range hourly rates</t>
  </si>
  <si>
    <t>Power Pole Rates</t>
  </si>
  <si>
    <t>Technician Rates</t>
  </si>
  <si>
    <t>Rawlinson Handbook</t>
  </si>
  <si>
    <t>electrical rate example</t>
  </si>
  <si>
    <t>DUN</t>
  </si>
  <si>
    <t>excavation rate example:</t>
  </si>
  <si>
    <t>trenching in clay</t>
  </si>
  <si>
    <t>100 dia buried duct</t>
  </si>
  <si>
    <t>Extra for rock:</t>
  </si>
  <si>
    <t>Les Lewer verification 19/9</t>
  </si>
  <si>
    <t>$48/m   =</t>
  </si>
  <si>
    <t>per m3</t>
  </si>
  <si>
    <t>amend from original rate of $110</t>
  </si>
  <si>
    <t>to new rate of $40 + $120 = $160/m3</t>
  </si>
  <si>
    <t>EV:</t>
  </si>
  <si>
    <t>for backfill allows for 50% reuse of excavated material + 50% imported</t>
  </si>
  <si>
    <t>amended original rate of $66/m to $15/m</t>
  </si>
  <si>
    <t>Les used $10/m in AKL for shields, 80m/m for shields</t>
  </si>
  <si>
    <t>Price per pole</t>
  </si>
  <si>
    <t>Cost per kilometre (14 no.)</t>
  </si>
  <si>
    <t>The following regional price variances are calculated from tender information, price enquiries and local estimating rates. The lower and upper range relate to the average nationwide rate shown in the Trenching Table</t>
  </si>
  <si>
    <t>Minimum depth of compacted hard fill under trafficable areas is 600mm</t>
  </si>
  <si>
    <t>The average new power pole installation rate in New Zealand is approximately $5,000 + GST. The following range takes into account both tender &amp; regional variance.</t>
  </si>
  <si>
    <t>In Depths 0.7m to 1.8m</t>
  </si>
  <si>
    <t>Clarifications and Assumptions</t>
  </si>
  <si>
    <t>No. of Holes</t>
  </si>
  <si>
    <t>Drilling</t>
  </si>
  <si>
    <t>Duct</t>
  </si>
  <si>
    <t>Supply</t>
  </si>
  <si>
    <t>Install</t>
  </si>
  <si>
    <t>Entry/Exit</t>
  </si>
  <si>
    <t>Trench</t>
  </si>
  <si>
    <t>Rawlies man hour constant 100 dia PVC stormwater</t>
  </si>
  <si>
    <t>Hole Dia</t>
  </si>
  <si>
    <t>Dirctional Drilling (per m)</t>
  </si>
  <si>
    <t>Rawlies 100 dia PVC buried conduit, excl'g trench</t>
  </si>
  <si>
    <t>sparky hourly rate</t>
  </si>
  <si>
    <t>labour per m</t>
  </si>
  <si>
    <t>logical duct supply rate</t>
  </si>
  <si>
    <t>m3</t>
  </si>
  <si>
    <t>hole m2</t>
  </si>
  <si>
    <t>Asphalt</t>
  </si>
  <si>
    <t>Range</t>
  </si>
  <si>
    <t>Workman Skill Level</t>
  </si>
  <si>
    <t>Supply &amp; install new</t>
  </si>
  <si>
    <t>Certified overhead power linesman</t>
  </si>
  <si>
    <t>Telecommunications technician</t>
  </si>
  <si>
    <t>50 dia</t>
  </si>
  <si>
    <t>50 dia duct</t>
  </si>
  <si>
    <t>Traffic Mgt</t>
  </si>
  <si>
    <t>Consent</t>
  </si>
  <si>
    <t>sample est.</t>
  </si>
  <si>
    <t>Markup</t>
  </si>
  <si>
    <t>AKL to avg.</t>
  </si>
  <si>
    <t>50mm dia</t>
  </si>
  <si>
    <t>32mm dia</t>
  </si>
  <si>
    <t>100mm dia</t>
  </si>
  <si>
    <t>NRTH</t>
  </si>
  <si>
    <t>incl grass</t>
  </si>
  <si>
    <t xml:space="preserve">SUB </t>
  </si>
  <si>
    <t>110 dia duct</t>
  </si>
  <si>
    <t>$11.50 EV for Urban</t>
  </si>
  <si>
    <t>$12.50 EV for Urban</t>
  </si>
  <si>
    <t>$15.00 EV for Urban</t>
  </si>
  <si>
    <t>ASH</t>
  </si>
  <si>
    <t>Hard (+$20)</t>
  </si>
  <si>
    <t>Hard (+$15)</t>
  </si>
  <si>
    <t>Hard (+$17)</t>
  </si>
  <si>
    <t>Urban EV</t>
  </si>
  <si>
    <t>n/a</t>
  </si>
  <si>
    <t>n/a = not used</t>
  </si>
  <si>
    <t xml:space="preserve"> for avg.</t>
  </si>
  <si>
    <t>markup</t>
  </si>
  <si>
    <t>CSA 10 ~ Northland</t>
  </si>
  <si>
    <t>CSA 07, 08, 09 ~ Auckland</t>
  </si>
  <si>
    <t>CSA 11 ~ Waikato</t>
  </si>
  <si>
    <t>CSA 05 ~ Bay of Plenty</t>
  </si>
  <si>
    <t>Trenching</t>
  </si>
  <si>
    <t>Chain Trenching, per m</t>
  </si>
  <si>
    <t>No. of Trenches</t>
  </si>
  <si>
    <t>Trench Width</t>
  </si>
  <si>
    <t>m3 at 
1m deep</t>
  </si>
  <si>
    <t>backfill
m3</t>
  </si>
  <si>
    <t>Directional Drilling (not in sand)</t>
  </si>
  <si>
    <t>Chain Digger (not in dry sand)</t>
  </si>
  <si>
    <t>CSA 06 ~ Western North Island</t>
  </si>
  <si>
    <t>CSA 04 ~ Eastern North Island</t>
  </si>
  <si>
    <t>CSA 03 ~ Wellington/Horowhenua</t>
  </si>
  <si>
    <t>CSA 02 ~ Upper South Island</t>
  </si>
  <si>
    <t>CSA 01 ~ Lower South Island</t>
  </si>
  <si>
    <t>HWK</t>
  </si>
  <si>
    <t>hard32</t>
  </si>
  <si>
    <t>hard50</t>
  </si>
  <si>
    <t>hard100</t>
  </si>
  <si>
    <t>rural</t>
  </si>
  <si>
    <t>urban</t>
  </si>
  <si>
    <t>lower % diff.</t>
  </si>
  <si>
    <t>upper % diff.</t>
  </si>
  <si>
    <t>use for table</t>
  </si>
  <si>
    <t>from 'Dir.Drilling' tab</t>
  </si>
  <si>
    <t>previous issue</t>
  </si>
  <si>
    <t>Christchurch/Ashburton</t>
  </si>
  <si>
    <t>rate</t>
  </si>
  <si>
    <t>tot</t>
  </si>
  <si>
    <t>excavate trench 3.0 x 1.0 x 1.5d</t>
  </si>
  <si>
    <t>backfill trench 3.0 x 1.0 x 1.5d</t>
  </si>
  <si>
    <t>reinstate grass 3.0 x 1.0</t>
  </si>
  <si>
    <t>No allowance made for de-watering in any locations</t>
  </si>
  <si>
    <t>110mm dia duct</t>
  </si>
  <si>
    <t>Rates for urban open trench  allow for 'highest cost' reinstatement i.e. compacted, imported backfill with 30mm thick AC14 asphalt</t>
  </si>
  <si>
    <t xml:space="preserve">All rates are the national average and allow for excavation, duct supply &amp; install, backfill, surface reinstatement, consenting and traffic management </t>
  </si>
  <si>
    <t>Rates for all open trenches deeper than 1.5m allow for trench shields in all soil types</t>
  </si>
  <si>
    <t>Rates for rural open trenches deeper than 0.9m allow for trench shields in soil type 1 only</t>
  </si>
  <si>
    <t>Rates for rural open trenches and chain digging allow for reinstatement of grass only, with no imported and compacted backfill</t>
  </si>
  <si>
    <t>Urban trenching in berms and under carriageways to comply with NZ standard NZS:4404 2010, drawing CM-001</t>
  </si>
  <si>
    <t>We are not aware of any NZ standards or codes of practice that govern or restrict the number of telecommunication ducts placed in a trench</t>
  </si>
  <si>
    <t xml:space="preserve">  Rates for ducts in open trenching therefore allow for one (1) trench only with variable depths as required to suit duct numbers</t>
  </si>
  <si>
    <t>Rates for chain digging are for 100mm wide, 1000mm deep in all cases. Once maximum number of ducts are reached a new trench must be dug.</t>
  </si>
  <si>
    <t>Rates for rock sawing are for 100mm wide, 600mm deep in all cases. Once maximum number of ducts are reached a new trench must be dug.</t>
  </si>
  <si>
    <t>CORRIDOR COST ANALYSIS OF TRENCHING AND DUCTING RATES IN NEW ZEALAND</t>
  </si>
  <si>
    <t>National averge rates per metre for installed telecommunication duct in New Zealand, revised 26-Sep</t>
  </si>
  <si>
    <t>Les used $10/m in AKL for shields, 80m/m for shields. Amend original rate of $66/m to $15/m</t>
  </si>
  <si>
    <t>30/40 dia in Soft/Med Soils</t>
  </si>
  <si>
    <t>lower</t>
  </si>
  <si>
    <t>upper</t>
  </si>
  <si>
    <t>south is.</t>
  </si>
  <si>
    <t>north is.</t>
  </si>
  <si>
    <t>uppper</t>
  </si>
  <si>
    <t>50-60 dia</t>
  </si>
  <si>
    <t>Trenching  only comparison rates, per m</t>
  </si>
  <si>
    <t>Levin water reticulation</t>
  </si>
  <si>
    <t>Kaiwhara substations</t>
  </si>
  <si>
    <t>from discussion with 
Mark Wilson</t>
  </si>
  <si>
    <t>source DW Dentice Buildmaster</t>
  </si>
  <si>
    <t>Call in to Robin Stewart re labour rate</t>
  </si>
  <si>
    <t>Notes</t>
  </si>
  <si>
    <t>main source Northpower Tauranga</t>
  </si>
  <si>
    <t>confirmed HDC S2 street lighting contract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</si>
</sst>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3" formatCode="_-* #,##0.00_-;\-* #,##0.00_-;_-* &quot;-&quot;??_-;_-@_-"/>
    <numFmt numFmtId="164" formatCode="&quot;$&quot;#,##0.00"/>
    <numFmt numFmtId="165" formatCode="&quot;$&quot;#,##0"/>
    <numFmt numFmtId="166" formatCode="_-* #,##0_-;\-* #,##0_-;_-* &quot;-&quot;??_-;_-@_-"/>
    <numFmt numFmtId="167" formatCode="0%;[Red]\-0%"/>
    <numFmt numFmtId="168" formatCode="_-* #,##0.000000_-;\-* #,##0.000000_-;_-* &quot;-&quot;??_-;_-@_-"/>
    <numFmt numFmtId="169" formatCode="0.000000"/>
    <numFmt numFmtId="170" formatCode="\+0%;[Red]\-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0"/>
      <color theme="1"/>
      <name val="Arial"/>
      <family val="2"/>
    </font>
    <font>
      <b/>
      <sz val="10"/>
      <color theme="1"/>
      <name val="Arial"/>
      <family val="2"/>
    </font>
    <font>
      <sz val="11"/>
      <color rgb="FFFF0000"/>
      <name val="Calibri"/>
      <family val="2"/>
      <scheme val="minor"/>
    </font>
    <font>
      <sz val="11"/>
      <color theme="0" tint="-0.14999847407452621"/>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color theme="0"/>
      <name val="Arial"/>
      <family val="2"/>
    </font>
    <font>
      <sz val="14"/>
      <color theme="1"/>
      <name val="Arial"/>
      <family val="2"/>
    </font>
    <font>
      <b/>
      <sz val="14"/>
      <color rgb="FF01379B"/>
      <name val="Arial"/>
      <family val="2"/>
    </font>
    <font>
      <sz val="11"/>
      <color rgb="FF015BFD"/>
      <name val="Calibri"/>
      <family val="2"/>
      <scheme val="minor"/>
    </font>
    <font>
      <sz val="9"/>
      <color indexed="81"/>
      <name val="Tahoma"/>
      <family val="2"/>
    </font>
    <font>
      <b/>
      <sz val="9"/>
      <color indexed="81"/>
      <name val="Tahoma"/>
      <family val="2"/>
    </font>
    <font>
      <b/>
      <sz val="20"/>
      <color theme="1"/>
      <name val="Calibri"/>
      <family val="2"/>
      <scheme val="minor"/>
    </font>
    <font>
      <u val="singleAccounting"/>
      <sz val="11"/>
      <color theme="1"/>
      <name val="Calibri"/>
      <family val="2"/>
      <scheme val="minor"/>
    </font>
    <font>
      <u/>
      <sz val="11"/>
      <name val="Calibri"/>
      <family val="2"/>
      <scheme val="minor"/>
    </font>
    <font>
      <u/>
      <sz val="10"/>
      <color theme="1"/>
      <name val="Arial"/>
      <family val="2"/>
    </font>
    <font>
      <i/>
      <sz val="11"/>
      <color rgb="FF015BFD"/>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57D3FF"/>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0070C0"/>
        <bgColor indexed="64"/>
      </patternFill>
    </fill>
    <fill>
      <patternFill patternType="solid">
        <fgColor theme="2" tint="-0.499984740745262"/>
        <bgColor indexed="64"/>
      </patternFill>
    </fill>
    <fill>
      <patternFill patternType="solid">
        <fgColor rgb="FF01379B"/>
        <bgColor indexed="64"/>
      </patternFill>
    </fill>
    <fill>
      <patternFill patternType="solid">
        <fgColor rgb="FF015BFD"/>
        <bgColor indexed="64"/>
      </patternFill>
    </fill>
    <fill>
      <patternFill patternType="solid">
        <fgColor rgb="FFFFCCCC"/>
        <bgColor indexed="64"/>
      </patternFill>
    </fill>
    <fill>
      <patternFill patternType="solid">
        <fgColor rgb="FFFFFFCC"/>
        <bgColor indexed="64"/>
      </patternFill>
    </fill>
    <fill>
      <patternFill patternType="solid">
        <fgColor rgb="FF92D050"/>
        <bgColor indexed="64"/>
      </patternFill>
    </fill>
    <fill>
      <patternFill patternType="solid">
        <fgColor rgb="FFAFEAFF"/>
        <bgColor indexed="64"/>
      </patternFill>
    </fill>
    <fill>
      <patternFill patternType="solid">
        <fgColor rgb="FF99FF66"/>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0000"/>
        <bgColor indexed="64"/>
      </patternFill>
    </fill>
  </fills>
  <borders count="3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2" tint="-0.499984740745262"/>
      </right>
      <top/>
      <bottom/>
      <diagonal/>
    </border>
    <border>
      <left style="thick">
        <color theme="2" tint="-0.499984740745262"/>
      </left>
      <right style="thick">
        <color theme="2" tint="-0.499984740745262"/>
      </right>
      <top/>
      <bottom/>
      <diagonal/>
    </border>
    <border>
      <left/>
      <right/>
      <top style="thin">
        <color indexed="64"/>
      </top>
      <bottom style="thin">
        <color indexed="64"/>
      </bottom>
      <diagonal/>
    </border>
    <border>
      <left/>
      <right/>
      <top style="thick">
        <color theme="2" tint="-0.499984740745262"/>
      </top>
      <bottom style="thick">
        <color theme="2" tint="-0.499984740745262"/>
      </bottom>
      <diagonal/>
    </border>
    <border>
      <left/>
      <right style="thick">
        <color theme="2" tint="-0.499984740745262"/>
      </right>
      <top style="thick">
        <color theme="2" tint="-0.499984740745262"/>
      </top>
      <bottom/>
      <diagonal/>
    </border>
    <border>
      <left style="thin">
        <color theme="0" tint="-4.9989318521683403E-2"/>
      </left>
      <right style="thin">
        <color indexed="64"/>
      </right>
      <top style="thin">
        <color indexed="64"/>
      </top>
      <bottom style="thin">
        <color indexed="64"/>
      </bottom>
      <diagonal/>
    </border>
    <border>
      <left style="thin">
        <color theme="0" tint="-4.9989318521683403E-2"/>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bottom style="thin">
        <color indexed="64"/>
      </bottom>
      <diagonal/>
    </border>
    <border>
      <left/>
      <right style="medium">
        <color theme="2" tint="-0.499984740745262"/>
      </right>
      <top/>
      <bottom/>
      <diagonal/>
    </border>
    <border>
      <left style="medium">
        <color theme="2" tint="-0.499984740745262"/>
      </left>
      <right style="medium">
        <color theme="2" tint="-0.499984740745262"/>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5">
    <xf numFmtId="0" fontId="0" fillId="0" borderId="0" xfId="0"/>
    <xf numFmtId="0" fontId="0" fillId="0" borderId="0" xfId="0" applyAlignment="1">
      <alignment horizontal="right"/>
    </xf>
    <xf numFmtId="0" fontId="0" fillId="0" borderId="0" xfId="0" applyAlignment="1">
      <alignment horizontal="right" vertical="top"/>
    </xf>
    <xf numFmtId="0" fontId="2" fillId="0" borderId="0" xfId="0" applyFont="1" applyAlignment="1">
      <alignment vertical="top"/>
    </xf>
    <xf numFmtId="43" fontId="0" fillId="0" borderId="0" xfId="1" applyFont="1"/>
    <xf numFmtId="0" fontId="2" fillId="0" borderId="0" xfId="0" applyFont="1" applyAlignment="1">
      <alignment horizontal="right" vertical="top"/>
    </xf>
    <xf numFmtId="0" fontId="0" fillId="0" borderId="0" xfId="0" applyFill="1"/>
    <xf numFmtId="43" fontId="0" fillId="0" borderId="0" xfId="1" applyFont="1" applyFill="1"/>
    <xf numFmtId="0" fontId="2" fillId="2" borderId="0" xfId="0" applyFont="1" applyFill="1" applyAlignment="1">
      <alignment horizontal="right" vertical="top"/>
    </xf>
    <xf numFmtId="164" fontId="0" fillId="0" borderId="0" xfId="0" applyNumberFormat="1" applyFill="1" applyBorder="1" applyAlignment="1">
      <alignment horizontal="right" vertical="center"/>
    </xf>
    <xf numFmtId="0" fontId="4" fillId="0" borderId="0" xfId="0" applyFont="1" applyAlignment="1">
      <alignment horizontal="right"/>
    </xf>
    <xf numFmtId="0" fontId="4" fillId="0" borderId="0" xfId="0" applyFont="1"/>
    <xf numFmtId="1" fontId="4" fillId="0" borderId="4"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xf numFmtId="0" fontId="5" fillId="0" borderId="3" xfId="0" applyFont="1" applyFill="1" applyBorder="1" applyAlignment="1">
      <alignment horizontal="left" indent="1"/>
    </xf>
    <xf numFmtId="0" fontId="4" fillId="0" borderId="3" xfId="0" applyFont="1" applyBorder="1" applyAlignment="1">
      <alignment horizontal="left" indent="2"/>
    </xf>
    <xf numFmtId="0" fontId="4" fillId="0" borderId="3" xfId="0" applyFont="1" applyFill="1" applyBorder="1" applyAlignment="1">
      <alignment horizontal="left" indent="2"/>
    </xf>
    <xf numFmtId="0" fontId="3" fillId="0" borderId="0" xfId="0" applyFont="1" applyAlignment="1">
      <alignment horizontal="left"/>
    </xf>
    <xf numFmtId="0" fontId="5" fillId="0" borderId="0" xfId="0" applyFont="1" applyAlignment="1">
      <alignment horizontal="left"/>
    </xf>
    <xf numFmtId="0" fontId="7" fillId="0" borderId="0" xfId="0" applyFont="1"/>
    <xf numFmtId="164" fontId="0" fillId="0" borderId="0" xfId="0" applyNumberFormat="1"/>
    <xf numFmtId="0" fontId="8" fillId="0" borderId="0" xfId="0" applyFont="1" applyAlignment="1">
      <alignment horizontal="right"/>
    </xf>
    <xf numFmtId="165" fontId="0" fillId="0" borderId="0" xfId="0" applyNumberFormat="1"/>
    <xf numFmtId="164" fontId="2" fillId="5" borderId="0" xfId="0" applyNumberFormat="1" applyFont="1" applyFill="1" applyBorder="1" applyAlignment="1">
      <alignment horizontal="right" vertical="center"/>
    </xf>
    <xf numFmtId="43" fontId="2" fillId="5" borderId="0" xfId="1" applyFont="1" applyFill="1"/>
    <xf numFmtId="2" fontId="0" fillId="0" borderId="8" xfId="0" applyNumberFormat="1" applyFill="1" applyBorder="1" applyAlignment="1">
      <alignment horizontal="left" indent="1"/>
    </xf>
    <xf numFmtId="2" fontId="0" fillId="0" borderId="8" xfId="0" applyNumberFormat="1" applyBorder="1" applyAlignment="1">
      <alignment horizontal="left" indent="1"/>
    </xf>
    <xf numFmtId="2" fontId="0" fillId="0" borderId="8" xfId="1" applyNumberFormat="1" applyFont="1" applyFill="1" applyBorder="1" applyAlignment="1">
      <alignment horizontal="left" vertical="top" indent="1"/>
    </xf>
    <xf numFmtId="2" fontId="6" fillId="0" borderId="8" xfId="1" applyNumberFormat="1" applyFont="1" applyFill="1" applyBorder="1" applyAlignment="1">
      <alignment horizontal="left" vertical="top" indent="1"/>
    </xf>
    <xf numFmtId="2" fontId="0" fillId="0" borderId="0" xfId="0" applyNumberFormat="1" applyFill="1" applyBorder="1" applyAlignment="1">
      <alignment horizontal="right" vertical="center"/>
    </xf>
    <xf numFmtId="2" fontId="0" fillId="0" borderId="8" xfId="1" applyNumberFormat="1" applyFont="1" applyBorder="1" applyAlignment="1">
      <alignment horizontal="left" vertical="top" indent="1"/>
    </xf>
    <xf numFmtId="2" fontId="6" fillId="0" borderId="8" xfId="1" applyNumberFormat="1" applyFont="1" applyBorder="1" applyAlignment="1">
      <alignment horizontal="left" vertical="top" indent="1"/>
    </xf>
    <xf numFmtId="2" fontId="0" fillId="0" borderId="0" xfId="0" applyNumberFormat="1" applyFill="1" applyBorder="1" applyAlignment="1">
      <alignment horizontal="left" indent="1"/>
    </xf>
    <xf numFmtId="0" fontId="0" fillId="0" borderId="8" xfId="0" applyBorder="1"/>
    <xf numFmtId="43" fontId="0" fillId="0" borderId="0" xfId="0" applyNumberFormat="1"/>
    <xf numFmtId="43" fontId="0" fillId="0" borderId="0" xfId="0" applyNumberFormat="1" applyFont="1"/>
    <xf numFmtId="0" fontId="0" fillId="0" borderId="0" xfId="0" applyFont="1" applyAlignment="1"/>
    <xf numFmtId="0" fontId="8" fillId="0" borderId="0" xfId="0" applyFont="1" applyAlignment="1"/>
    <xf numFmtId="0" fontId="0" fillId="3" borderId="9" xfId="0" applyFill="1" applyBorder="1"/>
    <xf numFmtId="43" fontId="0" fillId="3" borderId="9" xfId="1" applyFont="1" applyFill="1" applyBorder="1"/>
    <xf numFmtId="164" fontId="0" fillId="0" borderId="0" xfId="1"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43" fontId="10" fillId="6" borderId="3" xfId="1" applyFont="1" applyFill="1" applyBorder="1"/>
    <xf numFmtId="43" fontId="9" fillId="7" borderId="7" xfId="1" applyFont="1" applyFill="1" applyBorder="1" applyAlignment="1">
      <alignment horizontal="center"/>
    </xf>
    <xf numFmtId="0" fontId="2" fillId="0" borderId="0" xfId="1" applyNumberFormat="1" applyFont="1" applyAlignment="1">
      <alignment vertical="top"/>
    </xf>
    <xf numFmtId="0" fontId="0" fillId="0" borderId="0" xfId="1" applyNumberFormat="1" applyFont="1"/>
    <xf numFmtId="0" fontId="0" fillId="0" borderId="0" xfId="1" applyNumberFormat="1" applyFont="1" applyFill="1" applyBorder="1" applyAlignment="1">
      <alignment vertical="center"/>
    </xf>
    <xf numFmtId="0" fontId="0" fillId="3" borderId="9" xfId="1" applyNumberFormat="1" applyFont="1" applyFill="1" applyBorder="1"/>
    <xf numFmtId="0" fontId="0" fillId="0" borderId="0" xfId="1" applyNumberFormat="1" applyFont="1" applyFill="1"/>
    <xf numFmtId="0" fontId="0" fillId="0" borderId="0" xfId="1" applyNumberFormat="1" applyFont="1" applyFill="1" applyBorder="1" applyAlignment="1">
      <alignment horizontal="right" vertical="center"/>
    </xf>
    <xf numFmtId="0" fontId="0" fillId="0" borderId="0" xfId="1" applyNumberFormat="1" applyFont="1" applyFill="1" applyBorder="1"/>
    <xf numFmtId="164" fontId="2" fillId="5" borderId="0" xfId="0" applyNumberFormat="1" applyFont="1" applyFill="1"/>
    <xf numFmtId="166" fontId="4" fillId="0" borderId="3" xfId="1" applyNumberFormat="1" applyFont="1" applyFill="1" applyBorder="1" applyAlignment="1"/>
    <xf numFmtId="166" fontId="4" fillId="0" borderId="3" xfId="1" applyNumberFormat="1" applyFont="1" applyBorder="1"/>
    <xf numFmtId="0" fontId="2" fillId="8" borderId="0" xfId="0" applyFont="1" applyFill="1" applyAlignment="1">
      <alignment vertical="top"/>
    </xf>
    <xf numFmtId="0" fontId="0" fillId="8" borderId="0" xfId="0" applyFill="1" applyBorder="1" applyAlignment="1">
      <alignment vertical="center"/>
    </xf>
    <xf numFmtId="0" fontId="0" fillId="8" borderId="0" xfId="0" applyFill="1"/>
    <xf numFmtId="0" fontId="2" fillId="4" borderId="0" xfId="0" applyFont="1" applyFill="1" applyAlignment="1">
      <alignment vertical="top"/>
    </xf>
    <xf numFmtId="0" fontId="0" fillId="4" borderId="0" xfId="0" applyFill="1" applyBorder="1" applyAlignment="1">
      <alignment vertical="center"/>
    </xf>
    <xf numFmtId="0" fontId="0" fillId="4" borderId="0" xfId="0" applyFill="1"/>
    <xf numFmtId="0" fontId="0" fillId="0" borderId="0" xfId="0" applyFill="1" applyAlignment="1">
      <alignment horizontal="right" vertical="top"/>
    </xf>
    <xf numFmtId="164" fontId="0" fillId="0" borderId="0" xfId="0" applyNumberFormat="1" applyFont="1" applyFill="1"/>
    <xf numFmtId="43" fontId="11" fillId="8" borderId="3" xfId="1" applyFont="1" applyFill="1" applyBorder="1"/>
    <xf numFmtId="43" fontId="9" fillId="9" borderId="7" xfId="1" applyFont="1" applyFill="1" applyBorder="1" applyAlignment="1">
      <alignment horizontal="center"/>
    </xf>
    <xf numFmtId="43" fontId="9" fillId="6" borderId="3" xfId="1" applyFont="1" applyFill="1" applyBorder="1" applyAlignment="1">
      <alignment horizontal="center"/>
    </xf>
    <xf numFmtId="43" fontId="11" fillId="4" borderId="3" xfId="1" applyFont="1" applyFill="1" applyBorder="1"/>
    <xf numFmtId="0" fontId="0" fillId="3" borderId="11" xfId="0" applyFill="1" applyBorder="1"/>
    <xf numFmtId="2" fontId="6" fillId="3" borderId="11" xfId="1" applyNumberFormat="1" applyFont="1" applyFill="1" applyBorder="1" applyAlignment="1">
      <alignment horizontal="left" vertical="top" indent="1"/>
    </xf>
    <xf numFmtId="0" fontId="0" fillId="3" borderId="0" xfId="0" applyFill="1" applyBorder="1"/>
    <xf numFmtId="0" fontId="0" fillId="3" borderId="8" xfId="0" applyFill="1" applyBorder="1"/>
    <xf numFmtId="2" fontId="6" fillId="0" borderId="12" xfId="1" applyNumberFormat="1" applyFont="1" applyBorder="1" applyAlignment="1">
      <alignment horizontal="left" vertical="top" indent="1"/>
    </xf>
    <xf numFmtId="0" fontId="9" fillId="10" borderId="0" xfId="0" applyFont="1" applyFill="1" applyAlignment="1">
      <alignment vertical="top"/>
    </xf>
    <xf numFmtId="0" fontId="10" fillId="10" borderId="0" xfId="0" applyFont="1" applyFill="1" applyBorder="1" applyAlignment="1">
      <alignment vertical="center"/>
    </xf>
    <xf numFmtId="0" fontId="10" fillId="10" borderId="0" xfId="0" applyFont="1" applyFill="1"/>
    <xf numFmtId="43" fontId="10" fillId="10" borderId="3" xfId="1" applyFont="1" applyFill="1" applyBorder="1"/>
    <xf numFmtId="43" fontId="9" fillId="9" borderId="3" xfId="1" applyFont="1" applyFill="1" applyBorder="1" applyAlignment="1">
      <alignment horizontal="center"/>
    </xf>
    <xf numFmtId="164" fontId="0" fillId="5" borderId="0" xfId="0" applyNumberFormat="1" applyFill="1" applyBorder="1" applyAlignment="1">
      <alignment horizontal="right" vertical="center"/>
    </xf>
    <xf numFmtId="0" fontId="13" fillId="0" borderId="0" xfId="0" applyFont="1"/>
    <xf numFmtId="164" fontId="10" fillId="12" borderId="0" xfId="0" applyNumberFormat="1" applyFont="1" applyFill="1" applyBorder="1" applyAlignment="1">
      <alignment horizontal="right" vertical="center"/>
    </xf>
    <xf numFmtId="0" fontId="0" fillId="0" borderId="2" xfId="0" applyBorder="1"/>
    <xf numFmtId="0" fontId="4" fillId="0" borderId="0" xfId="0" applyFont="1" applyAlignment="1">
      <alignment horizontal="left"/>
    </xf>
    <xf numFmtId="0" fontId="4" fillId="0" borderId="16" xfId="0" applyFont="1" applyBorder="1" applyAlignment="1">
      <alignment horizontal="center"/>
    </xf>
    <xf numFmtId="0" fontId="0" fillId="0" borderId="17" xfId="0" applyBorder="1"/>
    <xf numFmtId="0" fontId="0" fillId="0" borderId="18" xfId="0" applyBorder="1"/>
    <xf numFmtId="0" fontId="0" fillId="0" borderId="19" xfId="0" applyBorder="1"/>
    <xf numFmtId="0" fontId="0" fillId="0" borderId="0" xfId="0" applyBorder="1"/>
    <xf numFmtId="0" fontId="8" fillId="0" borderId="0" xfId="0" applyFont="1" applyBorder="1" applyAlignment="1">
      <alignment horizontal="right"/>
    </xf>
    <xf numFmtId="0" fontId="0" fillId="0" borderId="20" xfId="0" applyBorder="1"/>
    <xf numFmtId="0" fontId="0" fillId="0" borderId="0" xfId="0" applyBorder="1" applyAlignment="1">
      <alignment horizontal="right"/>
    </xf>
    <xf numFmtId="164" fontId="0" fillId="0" borderId="0" xfId="0" applyNumberFormat="1" applyBorder="1"/>
    <xf numFmtId="0" fontId="0" fillId="0" borderId="21" xfId="0" applyBorder="1"/>
    <xf numFmtId="0" fontId="0" fillId="0" borderId="1" xfId="0" applyBorder="1"/>
    <xf numFmtId="164" fontId="0" fillId="0" borderId="1" xfId="0" applyNumberFormat="1" applyBorder="1"/>
    <xf numFmtId="0" fontId="0" fillId="0" borderId="15" xfId="0" applyBorder="1"/>
    <xf numFmtId="0" fontId="12" fillId="11" borderId="14" xfId="0" applyFont="1" applyFill="1" applyBorder="1" applyAlignment="1">
      <alignment vertical="center"/>
    </xf>
    <xf numFmtId="0" fontId="12" fillId="11" borderId="10" xfId="0" applyFont="1" applyFill="1" applyBorder="1" applyAlignment="1">
      <alignment vertical="center"/>
    </xf>
    <xf numFmtId="0" fontId="12" fillId="11" borderId="7" xfId="0" applyFont="1" applyFill="1" applyBorder="1" applyAlignment="1">
      <alignment vertical="center"/>
    </xf>
    <xf numFmtId="0" fontId="0" fillId="0" borderId="0" xfId="0" applyAlignment="1">
      <alignment horizontal="left" indent="1"/>
    </xf>
    <xf numFmtId="0" fontId="0" fillId="0" borderId="0" xfId="0" applyFont="1" applyAlignment="1">
      <alignment horizontal="right"/>
    </xf>
    <xf numFmtId="0" fontId="0" fillId="0" borderId="0" xfId="0" applyFont="1" applyAlignment="1">
      <alignment horizontal="left"/>
    </xf>
    <xf numFmtId="0" fontId="8" fillId="0" borderId="0" xfId="0" applyFont="1" applyAlignment="1">
      <alignment horizontal="left"/>
    </xf>
    <xf numFmtId="8" fontId="0" fillId="5" borderId="0" xfId="0" applyNumberFormat="1" applyFill="1"/>
    <xf numFmtId="0" fontId="4" fillId="0" borderId="6" xfId="0" applyFont="1" applyBorder="1"/>
    <xf numFmtId="166" fontId="4" fillId="0" borderId="3" xfId="1" applyNumberFormat="1" applyFont="1" applyBorder="1" applyAlignment="1">
      <alignment horizontal="right"/>
    </xf>
    <xf numFmtId="164" fontId="0" fillId="5" borderId="0" xfId="1" applyNumberFormat="1" applyFont="1" applyFill="1" applyBorder="1" applyAlignment="1">
      <alignment horizontal="right" vertical="center"/>
    </xf>
    <xf numFmtId="166" fontId="4" fillId="0" borderId="3" xfId="1" applyNumberFormat="1" applyFont="1" applyFill="1" applyBorder="1"/>
    <xf numFmtId="43" fontId="0" fillId="0" borderId="0" xfId="1" applyFont="1" applyBorder="1"/>
    <xf numFmtId="43" fontId="0" fillId="0" borderId="0" xfId="0" applyNumberFormat="1" applyBorder="1"/>
    <xf numFmtId="164" fontId="0" fillId="0" borderId="0" xfId="1" applyNumberFormat="1" applyFont="1" applyBorder="1"/>
    <xf numFmtId="0" fontId="3" fillId="0" borderId="0" xfId="0" applyFont="1"/>
    <xf numFmtId="0" fontId="12" fillId="11" borderId="26" xfId="0" applyFont="1" applyFill="1" applyBorder="1" applyAlignment="1">
      <alignment horizontal="right"/>
    </xf>
    <xf numFmtId="0" fontId="12" fillId="11" borderId="27" xfId="0" applyFont="1" applyFill="1" applyBorder="1" applyAlignment="1">
      <alignment horizontal="right"/>
    </xf>
    <xf numFmtId="49" fontId="4" fillId="0" borderId="5" xfId="2" applyNumberFormat="1" applyFont="1" applyBorder="1" applyAlignment="1">
      <alignment horizontal="right"/>
    </xf>
    <xf numFmtId="167" fontId="15" fillId="0" borderId="0" xfId="2" applyNumberFormat="1" applyFont="1"/>
    <xf numFmtId="167" fontId="0" fillId="0" borderId="0" xfId="2" applyNumberFormat="1" applyFont="1"/>
    <xf numFmtId="0" fontId="0" fillId="0" borderId="0" xfId="0" applyFill="1" applyBorder="1" applyAlignment="1">
      <alignment horizontal="right"/>
    </xf>
    <xf numFmtId="0" fontId="0" fillId="13" borderId="0" xfId="0" applyFill="1"/>
    <xf numFmtId="0" fontId="0" fillId="13" borderId="0" xfId="0" applyFill="1" applyBorder="1" applyAlignment="1">
      <alignment horizontal="right"/>
    </xf>
    <xf numFmtId="0" fontId="8" fillId="13" borderId="0" xfId="0" applyFont="1" applyFill="1" applyAlignment="1">
      <alignment horizontal="right"/>
    </xf>
    <xf numFmtId="0" fontId="0" fillId="13" borderId="0" xfId="0" applyFill="1" applyAlignment="1">
      <alignment horizontal="right"/>
    </xf>
    <xf numFmtId="167" fontId="0" fillId="13" borderId="0" xfId="2" applyNumberFormat="1" applyFont="1" applyFill="1"/>
    <xf numFmtId="0" fontId="0" fillId="13" borderId="0" xfId="0" applyNumberFormat="1" applyFill="1" applyBorder="1" applyAlignment="1">
      <alignment horizontal="left"/>
    </xf>
    <xf numFmtId="164" fontId="0" fillId="13" borderId="0" xfId="0" applyNumberFormat="1" applyFill="1" applyBorder="1"/>
    <xf numFmtId="0" fontId="0" fillId="14" borderId="0" xfId="0" applyFill="1"/>
    <xf numFmtId="0" fontId="0" fillId="14" borderId="0" xfId="0" applyFill="1" applyAlignment="1">
      <alignment horizontal="right"/>
    </xf>
    <xf numFmtId="164" fontId="0" fillId="14" borderId="0" xfId="0" applyNumberFormat="1" applyFill="1"/>
    <xf numFmtId="0" fontId="0" fillId="14" borderId="3" xfId="0" applyFill="1" applyBorder="1" applyAlignment="1">
      <alignment horizontal="right"/>
    </xf>
    <xf numFmtId="43" fontId="0" fillId="14" borderId="3" xfId="1" applyFont="1" applyFill="1" applyBorder="1"/>
    <xf numFmtId="164" fontId="0" fillId="14" borderId="3" xfId="1" applyNumberFormat="1" applyFont="1" applyFill="1" applyBorder="1"/>
    <xf numFmtId="0" fontId="0" fillId="14" borderId="2" xfId="0" applyFill="1" applyBorder="1"/>
    <xf numFmtId="6" fontId="0" fillId="15" borderId="0" xfId="0" applyNumberFormat="1" applyFill="1"/>
    <xf numFmtId="164" fontId="0" fillId="15" borderId="0" xfId="0" applyNumberFormat="1" applyFill="1" applyBorder="1" applyAlignment="1">
      <alignment horizontal="right" vertical="center"/>
    </xf>
    <xf numFmtId="164" fontId="10" fillId="12" borderId="0" xfId="0" applyNumberFormat="1" applyFont="1" applyFill="1"/>
    <xf numFmtId="8" fontId="0" fillId="14" borderId="0" xfId="0" applyNumberFormat="1" applyFill="1"/>
    <xf numFmtId="165" fontId="4" fillId="0" borderId="5" xfId="2" applyNumberFormat="1" applyFont="1" applyBorder="1"/>
    <xf numFmtId="43" fontId="4" fillId="0" borderId="3" xfId="1" applyFont="1" applyBorder="1" applyAlignment="1">
      <alignment horizontal="right"/>
    </xf>
    <xf numFmtId="0" fontId="4" fillId="0" borderId="5" xfId="0" applyFont="1" applyBorder="1" applyAlignment="1">
      <alignment horizontal="left" indent="1"/>
    </xf>
    <xf numFmtId="0" fontId="14" fillId="0" borderId="0" xfId="0" applyFont="1" applyAlignment="1"/>
    <xf numFmtId="0" fontId="4" fillId="0" borderId="0" xfId="0" applyFont="1" applyAlignment="1">
      <alignment horizontal="left" indent="1"/>
    </xf>
    <xf numFmtId="0" fontId="0" fillId="0" borderId="0" xfId="0" applyFont="1" applyAlignment="1">
      <alignment horizontal="right" vertical="top"/>
    </xf>
    <xf numFmtId="164" fontId="0" fillId="0" borderId="0" xfId="0" applyNumberFormat="1" applyFont="1" applyFill="1" applyAlignment="1">
      <alignment vertical="top"/>
    </xf>
    <xf numFmtId="0" fontId="0" fillId="0" borderId="0" xfId="0" applyFont="1" applyFill="1" applyAlignment="1">
      <alignment vertical="top"/>
    </xf>
    <xf numFmtId="164" fontId="2" fillId="0" borderId="0" xfId="0" applyNumberFormat="1" applyFont="1" applyFill="1" applyAlignment="1">
      <alignment vertical="top"/>
    </xf>
    <xf numFmtId="0" fontId="0" fillId="0" borderId="0" xfId="0" applyAlignment="1"/>
    <xf numFmtId="43" fontId="1" fillId="0" borderId="0" xfId="1" applyFont="1" applyFill="1"/>
    <xf numFmtId="2" fontId="0" fillId="0" borderId="0" xfId="0" applyNumberFormat="1" applyBorder="1" applyAlignment="1">
      <alignment horizontal="left" indent="1"/>
    </xf>
    <xf numFmtId="0" fontId="0" fillId="0" borderId="0" xfId="0" applyAlignment="1">
      <alignment horizontal="center"/>
    </xf>
    <xf numFmtId="0" fontId="0" fillId="0" borderId="0" xfId="0" applyAlignment="1">
      <alignment horizontal="center" vertical="top"/>
    </xf>
    <xf numFmtId="8" fontId="0" fillId="16" borderId="0" xfId="0" applyNumberFormat="1" applyFill="1" applyAlignment="1">
      <alignment horizontal="right"/>
    </xf>
    <xf numFmtId="8" fontId="0" fillId="16" borderId="0" xfId="0" applyNumberFormat="1" applyFill="1"/>
    <xf numFmtId="43" fontId="0" fillId="0" borderId="0" xfId="1" applyFont="1" applyAlignment="1">
      <alignment horizontal="right" vertical="top"/>
    </xf>
    <xf numFmtId="0" fontId="0" fillId="0" borderId="0" xfId="0" applyFont="1" applyFill="1" applyAlignment="1">
      <alignment horizontal="left" vertical="top" indent="1"/>
    </xf>
    <xf numFmtId="164" fontId="1" fillId="3" borderId="0" xfId="1" applyNumberFormat="1" applyFont="1" applyFill="1" applyBorder="1" applyAlignment="1">
      <alignment horizontal="right" vertical="center"/>
    </xf>
    <xf numFmtId="164" fontId="0" fillId="0" borderId="0" xfId="1" applyNumberFormat="1" applyFont="1"/>
    <xf numFmtId="2" fontId="0" fillId="0" borderId="0" xfId="0" applyNumberFormat="1" applyBorder="1" applyAlignment="1">
      <alignment horizontal="center"/>
    </xf>
    <xf numFmtId="0" fontId="0" fillId="0" borderId="0" xfId="0" applyBorder="1" applyAlignment="1">
      <alignment horizontal="center" vertical="top"/>
    </xf>
    <xf numFmtId="0" fontId="0" fillId="0" borderId="0" xfId="0" applyNumberFormat="1" applyBorder="1" applyAlignment="1">
      <alignment horizontal="center" vertical="top"/>
    </xf>
    <xf numFmtId="2" fontId="0" fillId="0" borderId="0" xfId="1" applyNumberFormat="1" applyFont="1" applyBorder="1" applyAlignment="1">
      <alignment horizontal="center" vertical="top"/>
    </xf>
    <xf numFmtId="164" fontId="0" fillId="2" borderId="0" xfId="1" applyNumberFormat="1" applyFont="1" applyFill="1" applyBorder="1" applyAlignment="1">
      <alignment horizontal="right" vertical="center"/>
    </xf>
    <xf numFmtId="164" fontId="1" fillId="17" borderId="0" xfId="1" applyNumberFormat="1" applyFont="1" applyFill="1" applyBorder="1" applyAlignment="1">
      <alignment horizontal="right" vertical="center"/>
    </xf>
    <xf numFmtId="164" fontId="1" fillId="18" borderId="0" xfId="1" applyNumberFormat="1" applyFont="1" applyFill="1" applyBorder="1" applyAlignment="1">
      <alignment horizontal="right" vertical="center"/>
    </xf>
    <xf numFmtId="164" fontId="0" fillId="18" borderId="0" xfId="1" applyNumberFormat="1" applyFont="1" applyFill="1" applyBorder="1" applyAlignment="1">
      <alignment horizontal="right" vertical="center"/>
    </xf>
    <xf numFmtId="164" fontId="1" fillId="0" borderId="0" xfId="1" applyNumberFormat="1" applyFont="1" applyFill="1"/>
    <xf numFmtId="164" fontId="4" fillId="0" borderId="5" xfId="2" applyNumberFormat="1" applyFont="1" applyBorder="1"/>
    <xf numFmtId="164" fontId="4" fillId="0" borderId="5" xfId="2" applyNumberFormat="1" applyFont="1" applyBorder="1" applyAlignment="1">
      <alignment horizontal="right"/>
    </xf>
    <xf numFmtId="164" fontId="4" fillId="0" borderId="3" xfId="2" applyNumberFormat="1" applyFont="1" applyBorder="1" applyAlignment="1">
      <alignment horizontal="right"/>
    </xf>
    <xf numFmtId="0" fontId="2" fillId="0" borderId="0" xfId="0" applyFont="1" applyBorder="1" applyAlignment="1">
      <alignment horizontal="right" vertical="center" indent="1"/>
    </xf>
    <xf numFmtId="0" fontId="2" fillId="0" borderId="0" xfId="0" applyFont="1" applyBorder="1" applyAlignment="1">
      <alignment vertical="center"/>
    </xf>
    <xf numFmtId="164" fontId="0" fillId="14" borderId="0" xfId="1" applyNumberFormat="1" applyFont="1" applyFill="1" applyBorder="1" applyAlignment="1">
      <alignment horizontal="right" vertical="center"/>
    </xf>
    <xf numFmtId="43" fontId="19" fillId="0" borderId="0" xfId="1" applyFont="1" applyFill="1" applyAlignment="1">
      <alignment horizontal="right"/>
    </xf>
    <xf numFmtId="164" fontId="0" fillId="3" borderId="0" xfId="1" applyNumberFormat="1" applyFont="1" applyFill="1" applyBorder="1" applyAlignment="1">
      <alignment horizontal="right" vertical="center"/>
    </xf>
    <xf numFmtId="164" fontId="1" fillId="14" borderId="0" xfId="1" applyNumberFormat="1" applyFont="1" applyFill="1" applyBorder="1" applyAlignment="1">
      <alignment horizontal="right" vertical="center"/>
    </xf>
    <xf numFmtId="164" fontId="0" fillId="19" borderId="0" xfId="1" applyNumberFormat="1" applyFont="1" applyFill="1" applyBorder="1" applyAlignment="1">
      <alignment horizontal="right" vertical="center"/>
    </xf>
    <xf numFmtId="9" fontId="1" fillId="19" borderId="0" xfId="2" applyFont="1" applyFill="1" applyBorder="1" applyAlignment="1">
      <alignment horizontal="right" vertical="center"/>
    </xf>
    <xf numFmtId="0" fontId="8" fillId="0" borderId="2" xfId="0" applyFont="1" applyBorder="1" applyAlignment="1">
      <alignment horizontal="right"/>
    </xf>
    <xf numFmtId="0" fontId="0" fillId="0" borderId="0" xfId="0" applyFont="1" applyBorder="1" applyAlignment="1"/>
    <xf numFmtId="164" fontId="0" fillId="17" borderId="0" xfId="1" applyNumberFormat="1" applyFont="1" applyFill="1" applyBorder="1" applyAlignment="1">
      <alignment horizontal="right" vertical="center"/>
    </xf>
    <xf numFmtId="164" fontId="2" fillId="0" borderId="0" xfId="1" applyNumberFormat="1" applyFont="1"/>
    <xf numFmtId="164" fontId="2" fillId="17" borderId="3" xfId="1" applyNumberFormat="1" applyFont="1" applyFill="1" applyBorder="1" applyAlignment="1">
      <alignment horizontal="right" vertical="center"/>
    </xf>
    <xf numFmtId="43" fontId="0" fillId="2" borderId="0" xfId="1" applyFont="1" applyFill="1" applyAlignment="1">
      <alignment horizontal="right"/>
    </xf>
    <xf numFmtId="164" fontId="2" fillId="2" borderId="4" xfId="1" applyNumberFormat="1" applyFont="1" applyFill="1" applyBorder="1" applyAlignment="1">
      <alignment horizontal="right" vertical="center"/>
    </xf>
    <xf numFmtId="0" fontId="2" fillId="2" borderId="5" xfId="0" applyFont="1" applyFill="1" applyBorder="1" applyAlignment="1">
      <alignment horizontal="right"/>
    </xf>
    <xf numFmtId="164" fontId="2" fillId="17" borderId="0" xfId="1" applyNumberFormat="1" applyFont="1" applyFill="1"/>
    <xf numFmtId="2" fontId="0" fillId="0" borderId="29" xfId="0" applyNumberFormat="1" applyBorder="1" applyAlignment="1">
      <alignment horizontal="center"/>
    </xf>
    <xf numFmtId="0" fontId="0" fillId="0" borderId="29" xfId="0" applyBorder="1"/>
    <xf numFmtId="168" fontId="0" fillId="0" borderId="29" xfId="1" applyNumberFormat="1" applyFont="1" applyBorder="1" applyAlignment="1">
      <alignment horizontal="center" vertical="top"/>
    </xf>
    <xf numFmtId="0" fontId="0" fillId="0" borderId="0" xfId="1" applyNumberFormat="1" applyFont="1" applyBorder="1"/>
    <xf numFmtId="0" fontId="0" fillId="0" borderId="0" xfId="0" applyFill="1" applyBorder="1"/>
    <xf numFmtId="0" fontId="0" fillId="3" borderId="30" xfId="1" applyNumberFormat="1" applyFont="1" applyFill="1" applyBorder="1"/>
    <xf numFmtId="0" fontId="0" fillId="3" borderId="30" xfId="0" applyFill="1" applyBorder="1"/>
    <xf numFmtId="0" fontId="4" fillId="0" borderId="3" xfId="0" applyFont="1" applyBorder="1" applyAlignment="1">
      <alignment horizontal="left" indent="1"/>
    </xf>
    <xf numFmtId="0" fontId="0" fillId="0" borderId="20" xfId="0" applyBorder="1" applyAlignment="1">
      <alignment horizontal="right"/>
    </xf>
    <xf numFmtId="164" fontId="0" fillId="0" borderId="0" xfId="0" applyNumberFormat="1" applyBorder="1" applyAlignment="1">
      <alignment horizontal="right"/>
    </xf>
    <xf numFmtId="164" fontId="2" fillId="0" borderId="0" xfId="0" applyNumberFormat="1" applyFont="1" applyBorder="1"/>
    <xf numFmtId="9" fontId="0" fillId="0" borderId="0" xfId="2" applyFont="1"/>
    <xf numFmtId="2" fontId="0" fillId="0" borderId="0" xfId="0" applyNumberFormat="1" applyAlignment="1">
      <alignment horizontal="center"/>
    </xf>
    <xf numFmtId="164" fontId="10" fillId="20" borderId="0" xfId="1" applyNumberFormat="1" applyFont="1" applyFill="1"/>
    <xf numFmtId="164" fontId="9" fillId="20" borderId="0" xfId="0" applyNumberFormat="1" applyFont="1" applyFill="1" applyBorder="1"/>
    <xf numFmtId="164" fontId="2" fillId="0" borderId="0" xfId="0" applyNumberFormat="1" applyFont="1" applyFill="1" applyBorder="1"/>
    <xf numFmtId="164" fontId="0" fillId="0" borderId="0" xfId="0" applyNumberFormat="1" applyFont="1" applyBorder="1"/>
    <xf numFmtId="0" fontId="0" fillId="0" borderId="0" xfId="0" applyBorder="1" applyAlignment="1">
      <alignment horizontal="center"/>
    </xf>
    <xf numFmtId="169" fontId="0" fillId="0" borderId="29" xfId="1" applyNumberFormat="1" applyFont="1" applyBorder="1" applyAlignment="1">
      <alignment horizontal="center"/>
    </xf>
    <xf numFmtId="164" fontId="0" fillId="0" borderId="0" xfId="1" applyNumberFormat="1" applyFont="1" applyAlignment="1"/>
    <xf numFmtId="43" fontId="0" fillId="0" borderId="0" xfId="1" applyFont="1" applyAlignment="1"/>
    <xf numFmtId="164" fontId="2" fillId="0" borderId="0" xfId="1" applyNumberFormat="1" applyFont="1" applyAlignment="1"/>
    <xf numFmtId="43" fontId="1" fillId="0" borderId="0" xfId="1" applyFont="1" applyFill="1" applyAlignment="1"/>
    <xf numFmtId="164" fontId="1" fillId="0" borderId="0" xfId="1" applyNumberFormat="1" applyFont="1" applyFill="1" applyAlignment="1"/>
    <xf numFmtId="164" fontId="11" fillId="0" borderId="0" xfId="1" applyNumberFormat="1" applyFont="1" applyFill="1" applyAlignment="1"/>
    <xf numFmtId="169" fontId="0" fillId="0" borderId="29" xfId="0" applyNumberFormat="1" applyBorder="1" applyAlignment="1">
      <alignment horizontal="center"/>
    </xf>
    <xf numFmtId="0" fontId="5" fillId="0" borderId="3" xfId="0" applyFont="1" applyFill="1" applyBorder="1" applyAlignment="1">
      <alignment horizontal="left" indent="1"/>
    </xf>
    <xf numFmtId="0" fontId="4" fillId="0" borderId="3" xfId="0" applyFont="1" applyBorder="1" applyAlignment="1">
      <alignment horizontal="left" indent="2"/>
    </xf>
    <xf numFmtId="0" fontId="4" fillId="0" borderId="3" xfId="0" applyFont="1" applyBorder="1" applyAlignment="1">
      <alignment horizontal="left" indent="1"/>
    </xf>
    <xf numFmtId="164" fontId="11" fillId="0" borderId="0" xfId="0" applyNumberFormat="1" applyFont="1" applyFill="1" applyBorder="1"/>
    <xf numFmtId="0" fontId="11" fillId="0" borderId="0" xfId="0" applyFont="1" applyFill="1" applyBorder="1"/>
    <xf numFmtId="0" fontId="20" fillId="0" borderId="0" xfId="0" applyFont="1" applyFill="1" applyBorder="1" applyAlignment="1">
      <alignment horizontal="right"/>
    </xf>
    <xf numFmtId="0" fontId="11" fillId="0" borderId="0" xfId="0" applyFont="1" applyFill="1" applyBorder="1" applyAlignment="1"/>
    <xf numFmtId="0" fontId="11" fillId="0" borderId="0" xfId="0" applyFont="1" applyFill="1" applyBorder="1" applyAlignment="1">
      <alignment horizontal="right"/>
    </xf>
    <xf numFmtId="9" fontId="11" fillId="0" borderId="0" xfId="2" applyFont="1" applyFill="1" applyBorder="1"/>
    <xf numFmtId="164" fontId="11" fillId="0" borderId="0" xfId="0" applyNumberFormat="1" applyFont="1" applyFill="1" applyBorder="1" applyAlignment="1">
      <alignment horizontal="right"/>
    </xf>
    <xf numFmtId="0" fontId="0" fillId="0" borderId="0" xfId="0" applyNumberFormat="1" applyFont="1" applyFill="1" applyAlignment="1">
      <alignment vertical="top"/>
    </xf>
    <xf numFmtId="0" fontId="2" fillId="0" borderId="0" xfId="0" applyNumberFormat="1" applyFont="1" applyFill="1" applyAlignment="1">
      <alignment vertical="top"/>
    </xf>
    <xf numFmtId="0" fontId="0" fillId="0" borderId="0" xfId="1" applyNumberFormat="1" applyFont="1" applyFill="1" applyBorder="1" applyAlignment="1">
      <alignment vertical="top"/>
    </xf>
    <xf numFmtId="0" fontId="0" fillId="0" borderId="0" xfId="0" applyNumberFormat="1" applyFont="1" applyAlignment="1"/>
    <xf numFmtId="0" fontId="0" fillId="0" borderId="0" xfId="0" applyNumberFormat="1" applyAlignment="1"/>
    <xf numFmtId="0" fontId="0" fillId="0" borderId="0" xfId="1" applyNumberFormat="1" applyFont="1" applyAlignment="1"/>
    <xf numFmtId="0" fontId="1" fillId="0" borderId="0" xfId="1" applyNumberFormat="1" applyFont="1" applyFill="1" applyAlignment="1"/>
    <xf numFmtId="0" fontId="0" fillId="0" borderId="0" xfId="1" applyNumberFormat="1" applyFont="1" applyFill="1" applyAlignment="1"/>
    <xf numFmtId="2" fontId="0" fillId="0" borderId="0" xfId="0" applyNumberFormat="1" applyBorder="1" applyAlignment="1">
      <alignment horizontal="center" vertical="center" wrapText="1"/>
    </xf>
    <xf numFmtId="169" fontId="0" fillId="0" borderId="0" xfId="1" applyNumberFormat="1" applyFont="1" applyBorder="1" applyAlignment="1">
      <alignment horizontal="center"/>
    </xf>
    <xf numFmtId="0" fontId="0" fillId="0" borderId="0" xfId="0" applyBorder="1" applyAlignment="1">
      <alignment horizontal="left" indent="3"/>
    </xf>
    <xf numFmtId="0" fontId="0" fillId="0" borderId="0" xfId="0" applyBorder="1" applyAlignment="1">
      <alignment horizontal="left" indent="5"/>
    </xf>
    <xf numFmtId="165" fontId="10" fillId="6" borderId="3" xfId="1" applyNumberFormat="1" applyFont="1" applyFill="1" applyBorder="1"/>
    <xf numFmtId="0" fontId="0" fillId="0" borderId="0" xfId="0" applyNumberFormat="1" applyFont="1" applyBorder="1" applyAlignment="1"/>
    <xf numFmtId="0" fontId="0" fillId="0" borderId="3" xfId="0" applyBorder="1"/>
    <xf numFmtId="43" fontId="0" fillId="0" borderId="3" xfId="1" applyFont="1" applyBorder="1"/>
    <xf numFmtId="167" fontId="0" fillId="0" borderId="0" xfId="2" applyNumberFormat="1" applyFont="1" applyFill="1"/>
    <xf numFmtId="0" fontId="0" fillId="0" borderId="0" xfId="0" applyFill="1" applyAlignment="1">
      <alignment horizontal="right"/>
    </xf>
    <xf numFmtId="164" fontId="0" fillId="0" borderId="0" xfId="0" applyNumberFormat="1" applyFill="1" applyBorder="1"/>
    <xf numFmtId="9" fontId="4" fillId="0" borderId="0" xfId="2" applyFont="1"/>
    <xf numFmtId="0" fontId="2" fillId="0" borderId="2" xfId="0" applyFont="1" applyBorder="1" applyAlignment="1">
      <alignment horizontal="right"/>
    </xf>
    <xf numFmtId="167" fontId="0" fillId="0" borderId="0" xfId="2" applyNumberFormat="1" applyFont="1" applyBorder="1"/>
    <xf numFmtId="170" fontId="4" fillId="0" borderId="5" xfId="2" applyNumberFormat="1" applyFont="1" applyBorder="1"/>
    <xf numFmtId="170" fontId="4" fillId="0" borderId="0" xfId="2" applyNumberFormat="1" applyFont="1"/>
    <xf numFmtId="170" fontId="4" fillId="0" borderId="0" xfId="0" applyNumberFormat="1" applyFont="1"/>
    <xf numFmtId="164" fontId="0" fillId="0" borderId="3" xfId="1" applyNumberFormat="1" applyFont="1" applyFill="1" applyBorder="1"/>
    <xf numFmtId="43" fontId="0" fillId="18" borderId="3" xfId="1" applyFont="1" applyFill="1" applyBorder="1"/>
    <xf numFmtId="164" fontId="0" fillId="18" borderId="3" xfId="1" applyNumberFormat="1" applyFont="1" applyFill="1" applyBorder="1"/>
    <xf numFmtId="164" fontId="0" fillId="18" borderId="6" xfId="1" applyNumberFormat="1" applyFont="1" applyFill="1" applyBorder="1"/>
    <xf numFmtId="164" fontId="0" fillId="0" borderId="6" xfId="1" applyNumberFormat="1" applyFont="1" applyFill="1" applyBorder="1"/>
    <xf numFmtId="0" fontId="0" fillId="0" borderId="3" xfId="0" applyNumberFormat="1" applyFont="1" applyBorder="1" applyAlignment="1"/>
    <xf numFmtId="0" fontId="0" fillId="18" borderId="3" xfId="0" applyFill="1" applyBorder="1" applyAlignment="1">
      <alignment horizontal="right" indent="1"/>
    </xf>
    <xf numFmtId="0" fontId="0" fillId="18" borderId="6" xfId="0" applyFill="1" applyBorder="1"/>
    <xf numFmtId="0" fontId="0" fillId="18" borderId="7" xfId="0" applyFill="1" applyBorder="1"/>
    <xf numFmtId="0" fontId="0" fillId="18" borderId="6" xfId="0" applyFill="1" applyBorder="1" applyAlignment="1">
      <alignment horizontal="left" indent="1"/>
    </xf>
    <xf numFmtId="0" fontId="21" fillId="0" borderId="0" xfId="0" applyFont="1"/>
    <xf numFmtId="0" fontId="2" fillId="0" borderId="0" xfId="0" applyFont="1"/>
    <xf numFmtId="164" fontId="0" fillId="0" borderId="0" xfId="0" applyNumberFormat="1" applyFill="1"/>
    <xf numFmtId="0" fontId="8" fillId="0" borderId="0" xfId="0" applyFont="1"/>
    <xf numFmtId="0" fontId="22" fillId="0" borderId="0" xfId="0" applyFont="1" applyAlignment="1">
      <alignment horizontal="right"/>
    </xf>
    <xf numFmtId="167" fontId="11" fillId="0" borderId="0" xfId="2" applyNumberFormat="1" applyFont="1"/>
    <xf numFmtId="0" fontId="11" fillId="0" borderId="0" xfId="0" applyFont="1"/>
    <xf numFmtId="0" fontId="8" fillId="0" borderId="0" xfId="0" applyFont="1" applyFill="1" applyAlignment="1">
      <alignment horizontal="right"/>
    </xf>
    <xf numFmtId="0" fontId="0" fillId="0" borderId="0" xfId="0" applyNumberFormat="1" applyFill="1" applyBorder="1" applyAlignment="1">
      <alignment horizontal="left"/>
    </xf>
    <xf numFmtId="0" fontId="21" fillId="0" borderId="0" xfId="0" applyFont="1" applyAlignment="1">
      <alignment horizontal="right"/>
    </xf>
    <xf numFmtId="0" fontId="12" fillId="11" borderId="22" xfId="0" applyFont="1" applyFill="1" applyBorder="1" applyAlignment="1">
      <alignment horizontal="left" vertical="center" indent="1"/>
    </xf>
    <xf numFmtId="0" fontId="12" fillId="11" borderId="25" xfId="0" applyFont="1" applyFill="1" applyBorder="1" applyAlignment="1">
      <alignment horizontal="left" vertical="center" indent="1"/>
    </xf>
    <xf numFmtId="0" fontId="12" fillId="11" borderId="23" xfId="0" applyFont="1" applyFill="1" applyBorder="1" applyAlignment="1">
      <alignment horizontal="center" wrapText="1"/>
    </xf>
    <xf numFmtId="0" fontId="12" fillId="11" borderId="24" xfId="0" applyFont="1" applyFill="1" applyBorder="1" applyAlignment="1">
      <alignment horizontal="center" wrapText="1"/>
    </xf>
    <xf numFmtId="0" fontId="4" fillId="0" borderId="0" xfId="0" applyFont="1" applyAlignment="1">
      <alignment horizontal="left" wrapText="1"/>
    </xf>
    <xf numFmtId="0" fontId="12" fillId="11" borderId="14" xfId="0" applyFont="1" applyFill="1" applyBorder="1" applyAlignment="1">
      <alignment horizontal="left" vertical="center"/>
    </xf>
    <xf numFmtId="0" fontId="12" fillId="11" borderId="10" xfId="0" applyFont="1" applyFill="1" applyBorder="1" applyAlignment="1">
      <alignment horizontal="left" vertical="center"/>
    </xf>
    <xf numFmtId="0" fontId="12" fillId="11" borderId="3" xfId="0" applyFont="1" applyFill="1" applyBorder="1" applyAlignment="1">
      <alignment horizontal="left" vertical="center"/>
    </xf>
    <xf numFmtId="0" fontId="12" fillId="11" borderId="6" xfId="0" applyFont="1" applyFill="1" applyBorder="1" applyAlignment="1">
      <alignment horizontal="left" vertical="center"/>
    </xf>
    <xf numFmtId="0" fontId="12" fillId="11" borderId="7" xfId="0" applyFont="1" applyFill="1" applyBorder="1" applyAlignment="1">
      <alignment horizontal="left" vertical="center"/>
    </xf>
    <xf numFmtId="166" fontId="12" fillId="11" borderId="13" xfId="1" applyNumberFormat="1" applyFont="1" applyFill="1" applyBorder="1" applyAlignment="1">
      <alignment horizontal="left" vertical="center"/>
    </xf>
    <xf numFmtId="166" fontId="12" fillId="11" borderId="3" xfId="1" applyNumberFormat="1" applyFont="1" applyFill="1" applyBorder="1" applyAlignment="1">
      <alignment horizontal="left" vertical="center"/>
    </xf>
    <xf numFmtId="166" fontId="12" fillId="12" borderId="13" xfId="1" applyNumberFormat="1" applyFont="1" applyFill="1" applyBorder="1" applyAlignment="1">
      <alignment horizontal="left" vertical="center"/>
    </xf>
    <xf numFmtId="166" fontId="12" fillId="12" borderId="3" xfId="1" applyNumberFormat="1" applyFont="1" applyFill="1" applyBorder="1" applyAlignment="1">
      <alignment horizontal="left" vertical="center"/>
    </xf>
    <xf numFmtId="0" fontId="12" fillId="12" borderId="6" xfId="0" applyFont="1" applyFill="1" applyBorder="1" applyAlignment="1">
      <alignment horizontal="left" vertical="center"/>
    </xf>
    <xf numFmtId="0" fontId="12" fillId="12" borderId="10" xfId="0" applyFont="1" applyFill="1" applyBorder="1" applyAlignment="1">
      <alignment horizontal="left" vertical="center"/>
    </xf>
    <xf numFmtId="0" fontId="12" fillId="11" borderId="21" xfId="0" applyFont="1" applyFill="1" applyBorder="1" applyAlignment="1">
      <alignment horizontal="left" vertical="center"/>
    </xf>
    <xf numFmtId="0" fontId="12" fillId="11" borderId="1" xfId="0" applyFont="1" applyFill="1" applyBorder="1" applyAlignment="1">
      <alignment horizontal="left" vertical="center"/>
    </xf>
    <xf numFmtId="0" fontId="12" fillId="11" borderId="28" xfId="0" applyFont="1" applyFill="1" applyBorder="1" applyAlignment="1">
      <alignment horizontal="left" vertical="center"/>
    </xf>
    <xf numFmtId="0" fontId="5" fillId="0" borderId="3" xfId="0" applyFont="1" applyFill="1" applyBorder="1" applyAlignment="1">
      <alignment horizontal="left" indent="1"/>
    </xf>
    <xf numFmtId="0" fontId="4" fillId="0" borderId="3" xfId="0" applyFont="1" applyBorder="1" applyAlignment="1">
      <alignment horizontal="left" indent="2"/>
    </xf>
    <xf numFmtId="0" fontId="4" fillId="0" borderId="3" xfId="0" applyFont="1" applyBorder="1" applyAlignment="1">
      <alignment horizontal="left" indent="1"/>
    </xf>
    <xf numFmtId="0" fontId="2" fillId="0" borderId="0" xfId="0" applyFont="1" applyAlignment="1">
      <alignment horizontal="right" vertical="center" indent="1"/>
    </xf>
    <xf numFmtId="0" fontId="0" fillId="0" borderId="0" xfId="0" applyAlignment="1">
      <alignment horizontal="left" vertical="top" wrapText="1"/>
    </xf>
    <xf numFmtId="164" fontId="0" fillId="0" borderId="0" xfId="0" applyNumberFormat="1" applyBorder="1" applyAlignment="1">
      <alignment horizontal="right" vertical="center"/>
    </xf>
    <xf numFmtId="2" fontId="0" fillId="18" borderId="3" xfId="1" applyNumberFormat="1" applyFont="1" applyFill="1" applyBorder="1" applyAlignment="1">
      <alignment horizontal="left" vertical="top" wrapText="1" indent="1"/>
    </xf>
    <xf numFmtId="2" fontId="0" fillId="0" borderId="3" xfId="1" applyNumberFormat="1" applyFont="1" applyFill="1" applyBorder="1" applyAlignment="1">
      <alignment horizontal="left" vertical="top" wrapText="1" indent="1"/>
    </xf>
    <xf numFmtId="0" fontId="18" fillId="0" borderId="0" xfId="1" applyNumberFormat="1" applyFont="1" applyAlignment="1">
      <alignment horizontal="center" vertical="center"/>
    </xf>
    <xf numFmtId="0" fontId="2" fillId="0" borderId="0" xfId="0" applyFont="1" applyFill="1" applyBorder="1" applyAlignment="1">
      <alignment horizontal="right" wrapText="1"/>
    </xf>
    <xf numFmtId="2" fontId="0" fillId="0" borderId="0" xfId="0" applyNumberForma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15BFD"/>
      <color rgb="FF57D3FF"/>
      <color rgb="FF99FF66"/>
      <color rgb="FFFFFFCC"/>
      <color rgb="FFAFEAFF"/>
      <color rgb="FFFFCCCC"/>
      <color rgb="FF0137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1379B"/>
  </sheetPr>
  <dimension ref="B2:M36"/>
  <sheetViews>
    <sheetView view="pageBreakPreview" zoomScale="90" zoomScaleNormal="100" zoomScaleSheetLayoutView="90" workbookViewId="0">
      <selection activeCell="J23" sqref="J23"/>
    </sheetView>
  </sheetViews>
  <sheetFormatPr defaultRowHeight="12.75" x14ac:dyDescent="0.2"/>
  <cols>
    <col min="1" max="1" width="3.42578125" style="11" customWidth="1"/>
    <col min="2" max="2" width="33" style="11" customWidth="1"/>
    <col min="3" max="3" width="10.140625" style="11" bestFit="1" customWidth="1"/>
    <col min="4" max="11" width="9.140625" style="11"/>
    <col min="12" max="12" width="6.42578125" style="11" bestFit="1" customWidth="1"/>
    <col min="13" max="16384" width="9.140625" style="11"/>
  </cols>
  <sheetData>
    <row r="2" spans="2:13" ht="15" customHeight="1" x14ac:dyDescent="0.25">
      <c r="B2" s="110" t="s">
        <v>151</v>
      </c>
    </row>
    <row r="3" spans="2:13" ht="60" customHeight="1" x14ac:dyDescent="0.2">
      <c r="B3" s="269" t="s">
        <v>179</v>
      </c>
      <c r="C3" s="269"/>
      <c r="D3" s="269"/>
    </row>
    <row r="4" spans="2:13" ht="15" customHeight="1" x14ac:dyDescent="0.2">
      <c r="B4" s="265" t="s">
        <v>152</v>
      </c>
      <c r="C4" s="267" t="s">
        <v>153</v>
      </c>
      <c r="D4" s="268"/>
      <c r="I4" s="264" t="s">
        <v>258</v>
      </c>
      <c r="J4" s="264"/>
      <c r="L4" s="264" t="s">
        <v>259</v>
      </c>
      <c r="M4" s="264"/>
    </row>
    <row r="5" spans="2:13" ht="15" customHeight="1" x14ac:dyDescent="0.2">
      <c r="B5" s="266"/>
      <c r="C5" s="111" t="s">
        <v>154</v>
      </c>
      <c r="D5" s="112" t="s">
        <v>155</v>
      </c>
    </row>
    <row r="6" spans="2:13" ht="20.100000000000001" customHeight="1" x14ac:dyDescent="0.2">
      <c r="B6" s="137" t="s">
        <v>232</v>
      </c>
      <c r="C6" s="242">
        <f>I6</f>
        <v>-0.13466782223567841</v>
      </c>
      <c r="D6" s="242">
        <f>J6</f>
        <v>-9.1810679378535542E-2</v>
      </c>
      <c r="I6" s="243">
        <f>Dir.Drilling!T74</f>
        <v>-0.13466782223567841</v>
      </c>
      <c r="J6" s="243">
        <f>Dir.Drilling!T75</f>
        <v>-9.1810679378535542E-2</v>
      </c>
      <c r="K6" s="244"/>
      <c r="L6" s="243">
        <v>-0.25</v>
      </c>
      <c r="M6" s="243">
        <v>-7.0000000000000007E-2</v>
      </c>
    </row>
    <row r="7" spans="2:13" ht="20.100000000000001" customHeight="1" x14ac:dyDescent="0.2">
      <c r="B7" s="137" t="s">
        <v>233</v>
      </c>
      <c r="C7" s="242">
        <f>I7</f>
        <v>-5.004714681095869E-2</v>
      </c>
      <c r="D7" s="242">
        <f>J7</f>
        <v>-2.8618575382387254E-2</v>
      </c>
      <c r="I7" s="243">
        <f>Dir.Drilling!U74</f>
        <v>-5.004714681095869E-2</v>
      </c>
      <c r="J7" s="243">
        <f>Dir.Drilling!U75</f>
        <v>-2.8618575382387254E-2</v>
      </c>
      <c r="K7" s="244"/>
      <c r="L7" s="243">
        <f>L6</f>
        <v>-0.25</v>
      </c>
      <c r="M7" s="243">
        <f>M6</f>
        <v>-7.0000000000000007E-2</v>
      </c>
    </row>
    <row r="8" spans="2:13" ht="20.100000000000001" customHeight="1" x14ac:dyDescent="0.2">
      <c r="B8" s="137" t="s">
        <v>234</v>
      </c>
      <c r="C8" s="242"/>
      <c r="D8" s="242"/>
      <c r="I8" s="243"/>
      <c r="J8" s="243"/>
      <c r="K8" s="244"/>
      <c r="L8" s="243"/>
      <c r="M8" s="243"/>
    </row>
    <row r="9" spans="2:13" ht="20.100000000000001" customHeight="1" x14ac:dyDescent="0.2">
      <c r="B9" s="137" t="s">
        <v>244</v>
      </c>
      <c r="C9" s="242"/>
      <c r="D9" s="242"/>
      <c r="I9" s="243"/>
      <c r="J9" s="243"/>
      <c r="K9" s="244"/>
      <c r="L9" s="243"/>
      <c r="M9" s="243"/>
    </row>
    <row r="10" spans="2:13" ht="20.100000000000001" customHeight="1" x14ac:dyDescent="0.2">
      <c r="B10" s="191" t="s">
        <v>235</v>
      </c>
      <c r="C10" s="242">
        <f t="shared" ref="C10:C14" si="0">I10</f>
        <v>-9.2539752904912884E-2</v>
      </c>
      <c r="D10" s="242">
        <f t="shared" ref="D10:D14" si="1">J10</f>
        <v>-4.9682610047770026E-2</v>
      </c>
      <c r="I10" s="243">
        <f>Dir.Drilling!V74</f>
        <v>-9.2539752904912884E-2</v>
      </c>
      <c r="J10" s="243">
        <f>Dir.Drilling!V75</f>
        <v>-4.9682610047770026E-2</v>
      </c>
      <c r="K10" s="244"/>
      <c r="L10" s="243">
        <v>-0.16</v>
      </c>
      <c r="M10" s="243">
        <v>-0.1</v>
      </c>
    </row>
    <row r="11" spans="2:13" ht="20.100000000000001" customHeight="1" x14ac:dyDescent="0.2">
      <c r="B11" s="191" t="s">
        <v>245</v>
      </c>
      <c r="C11" s="242">
        <f t="shared" si="0"/>
        <v>-9.6009298008999239E-2</v>
      </c>
      <c r="D11" s="242">
        <f t="shared" si="1"/>
        <v>-5.3152155151856381E-2</v>
      </c>
      <c r="I11" s="243">
        <f>Dir.Drilling!W74</f>
        <v>-9.6009298008999239E-2</v>
      </c>
      <c r="J11" s="243">
        <f>Dir.Drilling!W75</f>
        <v>-5.3152155151856381E-2</v>
      </c>
      <c r="K11" s="244"/>
      <c r="L11" s="243">
        <v>-0.21</v>
      </c>
      <c r="M11" s="243">
        <v>-0.1</v>
      </c>
    </row>
    <row r="12" spans="2:13" ht="20.100000000000001" customHeight="1" x14ac:dyDescent="0.2">
      <c r="B12" s="191" t="s">
        <v>246</v>
      </c>
      <c r="C12" s="242">
        <f t="shared" si="0"/>
        <v>6.6491561747517761E-2</v>
      </c>
      <c r="D12" s="242">
        <f t="shared" si="1"/>
        <v>8.7920133176089182E-2</v>
      </c>
      <c r="I12" s="243">
        <f>Dir.Drilling!X74</f>
        <v>6.6491561747517761E-2</v>
      </c>
      <c r="J12" s="243">
        <f>Dir.Drilling!X75</f>
        <v>8.7920133176089182E-2</v>
      </c>
      <c r="K12" s="244"/>
      <c r="L12" s="243">
        <v>-0.02</v>
      </c>
      <c r="M12" s="243">
        <v>0.19</v>
      </c>
    </row>
    <row r="13" spans="2:13" ht="20.100000000000001" customHeight="1" x14ac:dyDescent="0.2">
      <c r="B13" s="191" t="s">
        <v>247</v>
      </c>
      <c r="C13" s="242">
        <f t="shared" si="0"/>
        <v>8.1380040503538337E-2</v>
      </c>
      <c r="D13" s="242">
        <f t="shared" si="1"/>
        <v>0.12423718336068119</v>
      </c>
      <c r="I13" s="243">
        <f>Dir.Drilling!Y74</f>
        <v>8.1380040503538337E-2</v>
      </c>
      <c r="J13" s="243">
        <f>Dir.Drilling!Y75</f>
        <v>0.12423718336068119</v>
      </c>
      <c r="K13" s="244"/>
      <c r="L13" s="243"/>
      <c r="M13" s="243"/>
    </row>
    <row r="14" spans="2:13" ht="20.100000000000001" customHeight="1" x14ac:dyDescent="0.2">
      <c r="B14" s="212" t="s">
        <v>260</v>
      </c>
      <c r="C14" s="242">
        <f t="shared" si="0"/>
        <v>0.15326808248417145</v>
      </c>
      <c r="D14" s="242">
        <f t="shared" si="1"/>
        <v>0.19612522534131432</v>
      </c>
      <c r="I14" s="243">
        <f>Dir.Drilling!Z74</f>
        <v>0.15326808248417145</v>
      </c>
      <c r="J14" s="243">
        <f>Dir.Drilling!Z75</f>
        <v>0.19612522534131432</v>
      </c>
      <c r="K14" s="244"/>
      <c r="L14" s="243">
        <v>0.21</v>
      </c>
      <c r="M14" s="243">
        <v>0.23</v>
      </c>
    </row>
    <row r="15" spans="2:13" ht="20.100000000000001" customHeight="1" x14ac:dyDescent="0.2">
      <c r="B15" s="191" t="s">
        <v>248</v>
      </c>
      <c r="C15" s="242"/>
      <c r="D15" s="242"/>
      <c r="I15" s="239"/>
      <c r="J15" s="239"/>
      <c r="L15" s="239"/>
      <c r="M15" s="239"/>
    </row>
    <row r="16" spans="2:13" ht="15" customHeight="1" x14ac:dyDescent="0.2"/>
    <row r="17" spans="2:10" ht="15" customHeight="1" x14ac:dyDescent="0.2"/>
    <row r="18" spans="2:10" ht="15" customHeight="1" x14ac:dyDescent="0.25">
      <c r="B18" s="110" t="s">
        <v>159</v>
      </c>
    </row>
    <row r="19" spans="2:10" ht="50.1" customHeight="1" x14ac:dyDescent="0.2">
      <c r="B19" s="269" t="s">
        <v>181</v>
      </c>
      <c r="C19" s="269"/>
      <c r="D19" s="269"/>
    </row>
    <row r="20" spans="2:10" ht="15" customHeight="1" x14ac:dyDescent="0.2">
      <c r="B20" s="265" t="s">
        <v>203</v>
      </c>
      <c r="C20" s="267" t="s">
        <v>201</v>
      </c>
      <c r="D20" s="268"/>
    </row>
    <row r="21" spans="2:10" ht="15" customHeight="1" x14ac:dyDescent="0.2">
      <c r="B21" s="266"/>
      <c r="C21" s="111" t="s">
        <v>154</v>
      </c>
      <c r="D21" s="112" t="s">
        <v>155</v>
      </c>
      <c r="J21" s="255" t="s">
        <v>294</v>
      </c>
    </row>
    <row r="22" spans="2:10" ht="20.100000000000001" customHeight="1" x14ac:dyDescent="0.2">
      <c r="B22" s="137" t="s">
        <v>177</v>
      </c>
      <c r="C22" s="135">
        <v>4000</v>
      </c>
      <c r="D22" s="135">
        <v>6000</v>
      </c>
      <c r="J22" s="11" t="s">
        <v>295</v>
      </c>
    </row>
    <row r="23" spans="2:10" ht="20.100000000000001" customHeight="1" x14ac:dyDescent="0.2">
      <c r="B23" s="191" t="s">
        <v>178</v>
      </c>
      <c r="C23" s="135">
        <f>C22*14</f>
        <v>56000</v>
      </c>
      <c r="D23" s="135">
        <f>D22*14</f>
        <v>84000</v>
      </c>
      <c r="J23" s="11" t="s">
        <v>296</v>
      </c>
    </row>
    <row r="24" spans="2:10" ht="20.100000000000001" customHeight="1" x14ac:dyDescent="0.2">
      <c r="B24" s="191"/>
      <c r="C24" s="113"/>
      <c r="D24" s="136"/>
    </row>
    <row r="25" spans="2:10" ht="15" customHeight="1" x14ac:dyDescent="0.2"/>
    <row r="26" spans="2:10" ht="15" customHeight="1" x14ac:dyDescent="0.2"/>
    <row r="27" spans="2:10" ht="15" customHeight="1" x14ac:dyDescent="0.25">
      <c r="B27" s="110" t="s">
        <v>160</v>
      </c>
    </row>
    <row r="28" spans="2:10" ht="9.9499999999999993" customHeight="1" x14ac:dyDescent="0.25">
      <c r="B28" s="110"/>
    </row>
    <row r="29" spans="2:10" ht="15" customHeight="1" x14ac:dyDescent="0.2">
      <c r="B29" s="265" t="s">
        <v>202</v>
      </c>
      <c r="C29" s="267" t="s">
        <v>201</v>
      </c>
      <c r="D29" s="268"/>
    </row>
    <row r="30" spans="2:10" ht="15" customHeight="1" x14ac:dyDescent="0.2">
      <c r="B30" s="266"/>
      <c r="C30" s="111" t="s">
        <v>154</v>
      </c>
      <c r="D30" s="112" t="s">
        <v>155</v>
      </c>
      <c r="J30" s="255" t="s">
        <v>294</v>
      </c>
    </row>
    <row r="31" spans="2:10" ht="20.100000000000001" customHeight="1" x14ac:dyDescent="0.2">
      <c r="B31" s="137" t="s">
        <v>204</v>
      </c>
      <c r="C31" s="164"/>
      <c r="D31" s="164"/>
      <c r="J31" s="11" t="s">
        <v>293</v>
      </c>
    </row>
    <row r="32" spans="2:10" ht="20.100000000000001" customHeight="1" x14ac:dyDescent="0.2">
      <c r="B32" s="191" t="s">
        <v>205</v>
      </c>
      <c r="C32" s="164">
        <v>55</v>
      </c>
      <c r="D32" s="164">
        <v>75</v>
      </c>
      <c r="J32" s="11" t="s">
        <v>292</v>
      </c>
    </row>
    <row r="33" spans="2:4" ht="20.100000000000001" customHeight="1" x14ac:dyDescent="0.2">
      <c r="B33" s="14"/>
      <c r="C33" s="165"/>
      <c r="D33" s="166"/>
    </row>
    <row r="34" spans="2:4" ht="20.100000000000001" customHeight="1" x14ac:dyDescent="0.2"/>
    <row r="35" spans="2:4" ht="20.100000000000001" customHeight="1" x14ac:dyDescent="0.2"/>
    <row r="36" spans="2:4" ht="20.100000000000001" customHeight="1" x14ac:dyDescent="0.2"/>
  </sheetData>
  <mergeCells count="10">
    <mergeCell ref="I4:J4"/>
    <mergeCell ref="L4:M4"/>
    <mergeCell ref="B29:B30"/>
    <mergeCell ref="C29:D29"/>
    <mergeCell ref="B3:D3"/>
    <mergeCell ref="B4:B5"/>
    <mergeCell ref="C4:D4"/>
    <mergeCell ref="B19:D19"/>
    <mergeCell ref="B20:B21"/>
    <mergeCell ref="C20:D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1379B"/>
    <pageSetUpPr fitToPage="1"/>
  </sheetPr>
  <dimension ref="A1:AL108"/>
  <sheetViews>
    <sheetView tabSelected="1" view="pageBreakPreview" zoomScale="90" zoomScaleNormal="90" zoomScaleSheetLayoutView="90" workbookViewId="0">
      <pane xSplit="16" ySplit="5" topLeftCell="Q6" activePane="bottomRight" state="frozen"/>
      <selection pane="topRight" activeCell="Q1" sqref="Q1"/>
      <selection pane="bottomLeft" activeCell="A6" sqref="A6"/>
      <selection pane="bottomRight" activeCell="B2" sqref="B2"/>
    </sheetView>
  </sheetViews>
  <sheetFormatPr defaultRowHeight="12.75" x14ac:dyDescent="0.2"/>
  <cols>
    <col min="1" max="1" width="6.7109375" style="11" customWidth="1"/>
    <col min="2" max="2" width="30.7109375" style="10" customWidth="1"/>
    <col min="3" max="38" width="8.7109375" style="11" customWidth="1"/>
    <col min="39" max="16384" width="9.140625" style="11"/>
  </cols>
  <sheetData>
    <row r="1" spans="1:38" ht="20.100000000000001" customHeight="1" x14ac:dyDescent="0.25">
      <c r="A1" s="138" t="s">
        <v>278</v>
      </c>
      <c r="B1" s="138"/>
      <c r="C1" s="138"/>
      <c r="D1" s="138"/>
      <c r="E1" s="138"/>
      <c r="F1" s="138"/>
      <c r="G1" s="138"/>
      <c r="H1" s="138"/>
    </row>
    <row r="2" spans="1:38" ht="20.100000000000001" customHeight="1" x14ac:dyDescent="0.25">
      <c r="A2" s="78" t="s">
        <v>279</v>
      </c>
    </row>
    <row r="3" spans="1:38" ht="15.75" x14ac:dyDescent="0.25">
      <c r="A3" s="18" t="s">
        <v>0</v>
      </c>
      <c r="B3" s="11"/>
      <c r="C3" s="10"/>
      <c r="D3" s="10"/>
      <c r="E3" s="10"/>
      <c r="F3" s="10"/>
      <c r="G3" s="10"/>
      <c r="H3" s="10"/>
      <c r="I3" s="10"/>
    </row>
    <row r="4" spans="1:38" ht="12.75" customHeight="1" x14ac:dyDescent="0.2">
      <c r="A4" s="19" t="s">
        <v>72</v>
      </c>
      <c r="B4" s="11"/>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row>
    <row r="5" spans="1:38" ht="12.75" customHeight="1" x14ac:dyDescent="0.2">
      <c r="C5" s="82" t="s">
        <v>13</v>
      </c>
      <c r="D5" s="82" t="s">
        <v>21</v>
      </c>
      <c r="E5" s="82" t="s">
        <v>21</v>
      </c>
      <c r="F5" s="82" t="s">
        <v>21</v>
      </c>
      <c r="G5" s="82" t="s">
        <v>21</v>
      </c>
      <c r="H5" s="82" t="s">
        <v>21</v>
      </c>
      <c r="I5" s="82" t="s">
        <v>21</v>
      </c>
      <c r="J5" s="82" t="s">
        <v>21</v>
      </c>
      <c r="K5" s="82" t="s">
        <v>21</v>
      </c>
      <c r="L5" s="82" t="s">
        <v>21</v>
      </c>
      <c r="M5" s="82" t="s">
        <v>21</v>
      </c>
      <c r="N5" s="82" t="s">
        <v>21</v>
      </c>
      <c r="O5" s="82" t="s">
        <v>21</v>
      </c>
      <c r="P5" s="82" t="s">
        <v>21</v>
      </c>
      <c r="Q5" s="82" t="s">
        <v>21</v>
      </c>
      <c r="R5" s="82" t="s">
        <v>21</v>
      </c>
      <c r="S5" s="82" t="s">
        <v>21</v>
      </c>
      <c r="T5" s="82" t="s">
        <v>21</v>
      </c>
      <c r="U5" s="82" t="s">
        <v>21</v>
      </c>
      <c r="V5" s="82" t="s">
        <v>21</v>
      </c>
      <c r="W5" s="82" t="s">
        <v>21</v>
      </c>
      <c r="X5" s="82" t="s">
        <v>21</v>
      </c>
      <c r="Y5" s="82" t="s">
        <v>21</v>
      </c>
      <c r="Z5" s="82" t="s">
        <v>21</v>
      </c>
      <c r="AA5" s="82" t="s">
        <v>21</v>
      </c>
      <c r="AB5" s="82" t="s">
        <v>21</v>
      </c>
      <c r="AC5" s="82" t="s">
        <v>21</v>
      </c>
      <c r="AD5" s="82" t="s">
        <v>21</v>
      </c>
      <c r="AE5" s="82" t="s">
        <v>21</v>
      </c>
      <c r="AF5" s="82" t="s">
        <v>21</v>
      </c>
      <c r="AG5" s="82" t="s">
        <v>21</v>
      </c>
      <c r="AH5" s="82" t="s">
        <v>21</v>
      </c>
      <c r="AI5" s="82" t="s">
        <v>21</v>
      </c>
      <c r="AJ5" s="82" t="s">
        <v>21</v>
      </c>
      <c r="AK5" s="82" t="s">
        <v>21</v>
      </c>
      <c r="AL5" s="82" t="s">
        <v>21</v>
      </c>
    </row>
    <row r="6" spans="1:38" ht="6" customHeight="1" x14ac:dyDescent="0.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0.100000000000001" customHeight="1" x14ac:dyDescent="0.2">
      <c r="A7" s="272" t="s">
        <v>16</v>
      </c>
      <c r="B7" s="273"/>
      <c r="C7" s="270" t="s">
        <v>63</v>
      </c>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4"/>
    </row>
    <row r="8" spans="1:38" ht="15" customHeight="1" x14ac:dyDescent="0.2">
      <c r="A8" s="14"/>
      <c r="B8" s="15" t="s">
        <v>71</v>
      </c>
      <c r="C8" s="53"/>
      <c r="D8" s="53"/>
      <c r="E8" s="53"/>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ht="15" customHeight="1" x14ac:dyDescent="0.2">
      <c r="A9" s="14" t="s">
        <v>22</v>
      </c>
      <c r="B9" s="16" t="s">
        <v>243</v>
      </c>
      <c r="C9" s="104">
        <f>'Chain Trench'!R2</f>
        <v>36.390554561403505</v>
      </c>
      <c r="D9" s="104">
        <f>'Chain Trench'!S2</f>
        <v>58.35128456140351</v>
      </c>
      <c r="E9" s="104">
        <f>'Chain Trench'!T2</f>
        <v>80.312014561403501</v>
      </c>
      <c r="F9" s="104">
        <f>'Chain Trench'!U2</f>
        <v>102.27274456140351</v>
      </c>
      <c r="G9" s="104">
        <f>'Chain Trench'!V2</f>
        <v>124.23347456140353</v>
      </c>
      <c r="H9" s="104">
        <f>'Chain Trench'!W2</f>
        <v>146.1942045614035</v>
      </c>
      <c r="I9" s="104">
        <f>'Chain Trench'!X2</f>
        <v>168.15493456140351</v>
      </c>
      <c r="J9" s="104">
        <f>'Chain Trench'!Y2</f>
        <v>190.11566456140352</v>
      </c>
      <c r="K9" s="104">
        <f>'Chain Trench'!Z2</f>
        <v>212.0763945614035</v>
      </c>
      <c r="L9" s="104">
        <f>'Chain Trench'!AA2</f>
        <v>234.03712456140352</v>
      </c>
      <c r="M9" s="104">
        <f>'Chain Trench'!AB2</f>
        <v>255.9978545614035</v>
      </c>
      <c r="N9" s="104">
        <f>'Chain Trench'!AC2</f>
        <v>277.95858456140348</v>
      </c>
      <c r="O9" s="104">
        <f>'Chain Trench'!AD2</f>
        <v>299.9193145614035</v>
      </c>
      <c r="P9" s="104">
        <f>'Chain Trench'!AE2</f>
        <v>321.88004456140351</v>
      </c>
      <c r="Q9" s="104">
        <f>'Chain Trench'!AF2</f>
        <v>343.84077456140352</v>
      </c>
      <c r="R9" s="104">
        <f>'Chain Trench'!AG2</f>
        <v>365.80150456140353</v>
      </c>
      <c r="S9" s="104">
        <f>'Chain Trench'!AH2</f>
        <v>395.26223456140349</v>
      </c>
      <c r="T9" s="104">
        <f>'Chain Trench'!AI2</f>
        <v>417.2229645614035</v>
      </c>
      <c r="U9" s="104">
        <f>'Chain Trench'!AJ2</f>
        <v>439.18369456140351</v>
      </c>
      <c r="V9" s="104">
        <f>'Chain Trench'!AK2</f>
        <v>461.14442456140353</v>
      </c>
      <c r="W9" s="104">
        <f>'Chain Trench'!AL2</f>
        <v>483.10515456140348</v>
      </c>
      <c r="X9" s="104">
        <f>'Chain Trench'!AM2</f>
        <v>505.06588456140349</v>
      </c>
      <c r="Y9" s="104">
        <f>'Chain Trench'!AN2</f>
        <v>527.02661456140356</v>
      </c>
      <c r="Z9" s="104">
        <f>'Chain Trench'!AO2</f>
        <v>548.98734456140346</v>
      </c>
      <c r="AA9" s="104">
        <f>'Chain Trench'!AP2</f>
        <v>570.94807456140347</v>
      </c>
      <c r="AB9" s="104">
        <f>'Chain Trench'!AQ2</f>
        <v>592.90880456140349</v>
      </c>
      <c r="AC9" s="104">
        <f>'Chain Trench'!AR2</f>
        <v>614.8695345614035</v>
      </c>
      <c r="AD9" s="104">
        <f>'Chain Trench'!AS2</f>
        <v>636.83026456140351</v>
      </c>
      <c r="AE9" s="104">
        <f>'Chain Trench'!AT2</f>
        <v>658.79099456140352</v>
      </c>
      <c r="AF9" s="104">
        <f>'Chain Trench'!AU2</f>
        <v>680.75172456140353</v>
      </c>
      <c r="AG9" s="104">
        <f>'Chain Trench'!AV2</f>
        <v>702.71245456140355</v>
      </c>
      <c r="AH9" s="104">
        <f>'Chain Trench'!AW2</f>
        <v>724.67318456140356</v>
      </c>
      <c r="AI9" s="104">
        <f>'Chain Trench'!AX2</f>
        <v>754.13391456140346</v>
      </c>
      <c r="AJ9" s="104">
        <f>'Chain Trench'!AY2</f>
        <v>776.09464456140347</v>
      </c>
      <c r="AK9" s="104">
        <f>'Chain Trench'!AZ2</f>
        <v>798.05537456140348</v>
      </c>
      <c r="AL9" s="104">
        <f>'Chain Trench'!BA2</f>
        <v>820.01610456140349</v>
      </c>
    </row>
    <row r="10" spans="1:38" ht="15" customHeight="1" x14ac:dyDescent="0.2">
      <c r="A10" s="14" t="s">
        <v>23</v>
      </c>
      <c r="B10" s="16" t="s">
        <v>60</v>
      </c>
      <c r="C10" s="54">
        <f>ROUNDUP('Buildups 50dia'!BB$1,0)</f>
        <v>52</v>
      </c>
      <c r="D10" s="54">
        <f>ROUNDUP('Buildups 50dia'!BC$1,0)</f>
        <v>81</v>
      </c>
      <c r="E10" s="54">
        <f>ROUNDUP('Buildups 50dia'!BD$1,0)</f>
        <v>111</v>
      </c>
      <c r="F10" s="54">
        <f>ROUNDUP('Buildups 50dia'!BE$1,0)</f>
        <v>141</v>
      </c>
      <c r="G10" s="54">
        <f>ROUNDUP('Buildups 50dia'!BF$1,0)</f>
        <v>170</v>
      </c>
      <c r="H10" s="54">
        <f>ROUNDUP('Buildups 50dia'!BG$1,0)</f>
        <v>200</v>
      </c>
      <c r="I10" s="54">
        <f>ROUNDUP('Buildups 50dia'!BH$1,0)</f>
        <v>230</v>
      </c>
      <c r="J10" s="54">
        <f>ROUNDUP('Buildups 50dia'!BI$1,0)</f>
        <v>261</v>
      </c>
      <c r="K10" s="54">
        <f>ROUNDUP('Buildups 50dia'!BJ$1,0)</f>
        <v>291</v>
      </c>
      <c r="L10" s="54">
        <f>ROUNDUP('Buildups 50dia'!BK$1,0)</f>
        <v>321</v>
      </c>
      <c r="M10" s="54">
        <f>ROUNDUP('Buildups 50dia'!BL$1,0)</f>
        <v>350</v>
      </c>
      <c r="N10" s="54">
        <f>ROUNDUP('Buildups 50dia'!BM$1,0)</f>
        <v>380</v>
      </c>
      <c r="O10" s="54">
        <f>ROUNDUP('Buildups 50dia'!BN$1,0)</f>
        <v>410</v>
      </c>
      <c r="P10" s="54">
        <f>ROUNDUP('Buildups 50dia'!BO$1,0)</f>
        <v>441</v>
      </c>
      <c r="Q10" s="54">
        <f>ROUNDUP('Buildups 50dia'!BP$1,0)</f>
        <v>471</v>
      </c>
      <c r="R10" s="54">
        <f>ROUNDUP('Buildups 50dia'!BQ$1,0)</f>
        <v>500</v>
      </c>
      <c r="S10" s="54">
        <f>ROUNDUP('Buildups 50dia'!BR$1,0)</f>
        <v>530</v>
      </c>
      <c r="T10" s="54">
        <f>ROUNDUP('Buildups 50dia'!BS$1,0)</f>
        <v>560</v>
      </c>
      <c r="U10" s="54">
        <f>ROUNDUP('Buildups 50dia'!BT$1,0)</f>
        <v>589</v>
      </c>
      <c r="V10" s="54">
        <f>ROUNDUP('Buildups 50dia'!BU$1,0)</f>
        <v>619</v>
      </c>
      <c r="W10" s="54">
        <f>ROUNDUP('Buildups 50dia'!BV$1,0)</f>
        <v>651</v>
      </c>
      <c r="X10" s="54">
        <f>ROUNDUP('Buildups 50dia'!BW$1,0)</f>
        <v>680</v>
      </c>
      <c r="Y10" s="54">
        <f>ROUNDUP('Buildups 50dia'!BX$1,0)</f>
        <v>710</v>
      </c>
      <c r="Z10" s="54">
        <f>ROUNDUP('Buildups 50dia'!BY$1,0)</f>
        <v>740</v>
      </c>
      <c r="AA10" s="54">
        <f>ROUNDUP('Buildups 50dia'!BZ$1,0)</f>
        <v>769</v>
      </c>
      <c r="AB10" s="54">
        <f>ROUNDUP('Buildups 50dia'!CA$1,0)</f>
        <v>799</v>
      </c>
      <c r="AC10" s="54">
        <f>ROUNDUP('Buildups 50dia'!CB$1,0)</f>
        <v>830</v>
      </c>
      <c r="AD10" s="54">
        <f>ROUNDUP('Buildups 50dia'!CC$1,0)</f>
        <v>860</v>
      </c>
      <c r="AE10" s="54">
        <f>ROUNDUP('Buildups 50dia'!CD$1,0)</f>
        <v>890</v>
      </c>
      <c r="AF10" s="54">
        <f>ROUNDUP('Buildups 50dia'!CE$1,0)</f>
        <v>919</v>
      </c>
      <c r="AG10" s="54">
        <f>ROUNDUP('Buildups 50dia'!CF$1,0)</f>
        <v>949</v>
      </c>
      <c r="AH10" s="54">
        <f>ROUNDUP('Buildups 50dia'!CG$1,0)</f>
        <v>979</v>
      </c>
      <c r="AI10" s="54">
        <f>ROUNDUP('Buildups 50dia'!CH$1,0)</f>
        <v>1008</v>
      </c>
      <c r="AJ10" s="54">
        <f>ROUNDUP('Buildups 50dia'!CI$1,0)</f>
        <v>1040</v>
      </c>
      <c r="AK10" s="54">
        <f>ROUNDUP('Buildups 50dia'!CJ$1,0)</f>
        <v>1069</v>
      </c>
      <c r="AL10" s="54">
        <f>ROUNDUP('Buildups 50dia'!CK$1,0)</f>
        <v>1099</v>
      </c>
    </row>
    <row r="11" spans="1:38" ht="15" customHeight="1" x14ac:dyDescent="0.2">
      <c r="A11" s="14" t="s">
        <v>24</v>
      </c>
      <c r="B11" s="16" t="s">
        <v>61</v>
      </c>
      <c r="C11" s="54">
        <f>ROUNDUP('Buildups 50dia'!BB$2,0)</f>
        <v>59</v>
      </c>
      <c r="D11" s="54">
        <f>ROUNDUP('Buildups 50dia'!BC$2,0)</f>
        <v>89</v>
      </c>
      <c r="E11" s="54">
        <f>ROUNDUP('Buildups 50dia'!BD$2,0)</f>
        <v>118</v>
      </c>
      <c r="F11" s="54">
        <f>ROUNDUP('Buildups 50dia'!BE$2,0)</f>
        <v>148</v>
      </c>
      <c r="G11" s="54">
        <f>ROUNDUP('Buildups 50dia'!BF$2,0)</f>
        <v>178</v>
      </c>
      <c r="H11" s="54">
        <f>ROUNDUP('Buildups 50dia'!BG$2,0)</f>
        <v>207</v>
      </c>
      <c r="I11" s="54">
        <f>ROUNDUP('Buildups 50dia'!BH$2,0)</f>
        <v>237</v>
      </c>
      <c r="J11" s="54">
        <f>ROUNDUP('Buildups 50dia'!BI$2,0)</f>
        <v>267</v>
      </c>
      <c r="K11" s="54">
        <f>ROUNDUP('Buildups 50dia'!BJ$2,0)</f>
        <v>296</v>
      </c>
      <c r="L11" s="54">
        <f>ROUNDUP('Buildups 50dia'!BK$2,0)</f>
        <v>326</v>
      </c>
      <c r="M11" s="54">
        <f>ROUNDUP('Buildups 50dia'!BL$2,0)</f>
        <v>356</v>
      </c>
      <c r="N11" s="54">
        <f>ROUNDUP('Buildups 50dia'!BM$2,0)</f>
        <v>385</v>
      </c>
      <c r="O11" s="54">
        <f>ROUNDUP('Buildups 50dia'!BN$2,0)</f>
        <v>415</v>
      </c>
      <c r="P11" s="54">
        <f>ROUNDUP('Buildups 50dia'!BO$2,0)</f>
        <v>445</v>
      </c>
      <c r="Q11" s="54">
        <f>ROUNDUP('Buildups 50dia'!BP$2,0)</f>
        <v>479</v>
      </c>
      <c r="R11" s="54">
        <f>ROUNDUP('Buildups 50dia'!BQ$2,0)</f>
        <v>509</v>
      </c>
      <c r="S11" s="54">
        <f>ROUNDUP('Buildups 50dia'!BR$2,0)</f>
        <v>538</v>
      </c>
      <c r="T11" s="54">
        <f>ROUNDUP('Buildups 50dia'!BS$2,0)</f>
        <v>568</v>
      </c>
      <c r="U11" s="54">
        <f>ROUNDUP('Buildups 50dia'!BT$2,0)</f>
        <v>598</v>
      </c>
      <c r="V11" s="54">
        <f>ROUNDUP('Buildups 50dia'!BU$2,0)</f>
        <v>627</v>
      </c>
      <c r="W11" s="54">
        <f>ROUNDUP('Buildups 50dia'!BV$2,0)</f>
        <v>657</v>
      </c>
      <c r="X11" s="54">
        <f>ROUNDUP('Buildups 50dia'!BW$2,0)</f>
        <v>687</v>
      </c>
      <c r="Y11" s="54">
        <f>ROUNDUP('Buildups 50dia'!BX$2,0)</f>
        <v>716</v>
      </c>
      <c r="Z11" s="54">
        <f>ROUNDUP('Buildups 50dia'!BY$2,0)</f>
        <v>746</v>
      </c>
      <c r="AA11" s="54">
        <f>ROUNDUP('Buildups 50dia'!BZ$2,0)</f>
        <v>776</v>
      </c>
      <c r="AB11" s="54">
        <f>ROUNDUP('Buildups 50dia'!CA$2,0)</f>
        <v>805</v>
      </c>
      <c r="AC11" s="54">
        <f>ROUNDUP('Buildups 50dia'!CB$2,0)</f>
        <v>840</v>
      </c>
      <c r="AD11" s="54">
        <f>ROUNDUP('Buildups 50dia'!CC$2,0)</f>
        <v>870</v>
      </c>
      <c r="AE11" s="54">
        <f>ROUNDUP('Buildups 50dia'!CD$2,0)</f>
        <v>899</v>
      </c>
      <c r="AF11" s="54">
        <f>ROUNDUP('Buildups 50dia'!CE$2,0)</f>
        <v>929</v>
      </c>
      <c r="AG11" s="54">
        <f>ROUNDUP('Buildups 50dia'!CF$2,0)</f>
        <v>959</v>
      </c>
      <c r="AH11" s="54">
        <f>ROUNDUP('Buildups 50dia'!CG$2,0)</f>
        <v>988</v>
      </c>
      <c r="AI11" s="54">
        <f>ROUNDUP('Buildups 50dia'!CH$2,0)</f>
        <v>1018</v>
      </c>
      <c r="AJ11" s="54">
        <f>ROUNDUP('Buildups 50dia'!CI$2,0)</f>
        <v>1048</v>
      </c>
      <c r="AK11" s="54">
        <f>ROUNDUP('Buildups 50dia'!CJ$2,0)</f>
        <v>1077</v>
      </c>
      <c r="AL11" s="54">
        <f>ROUNDUP('Buildups 50dia'!CK$2,0)</f>
        <v>1107</v>
      </c>
    </row>
    <row r="12" spans="1:38" ht="15" customHeight="1" x14ac:dyDescent="0.2">
      <c r="A12" s="14" t="s">
        <v>25</v>
      </c>
      <c r="B12" s="211" t="s">
        <v>242</v>
      </c>
      <c r="C12" s="106">
        <f>Dir.Drilling!Q2</f>
        <v>50.855883289473681</v>
      </c>
      <c r="D12" s="106">
        <f>Dir.Drilling!R2</f>
        <v>73.95588328947369</v>
      </c>
      <c r="E12" s="106">
        <f>Dir.Drilling!S2</f>
        <v>97.055883289473684</v>
      </c>
      <c r="F12" s="106">
        <f>Dir.Drilling!T2</f>
        <v>120.15588328947368</v>
      </c>
      <c r="G12" s="106">
        <f>Dir.Drilling!U2</f>
        <v>143.25588328947367</v>
      </c>
      <c r="H12" s="106">
        <f>Dir.Drilling!V2</f>
        <v>179.34443578947369</v>
      </c>
      <c r="I12" s="106">
        <f>Dir.Drilling!W2</f>
        <v>202.44443578947369</v>
      </c>
      <c r="J12" s="106">
        <f>Dir.Drilling!X2</f>
        <v>225.54443578947368</v>
      </c>
      <c r="K12" s="106">
        <f>Dir.Drilling!Y2</f>
        <v>254.87894098947368</v>
      </c>
      <c r="L12" s="106">
        <f>Dir.Drilling!Z2</f>
        <v>277.9789409894737</v>
      </c>
      <c r="M12" s="106">
        <f>Dir.Drilling!AA2</f>
        <v>301.07894098947367</v>
      </c>
      <c r="N12" s="106">
        <f>Dir.Drilling!AB2</f>
        <v>324.17894098947369</v>
      </c>
      <c r="O12" s="106">
        <f>Dir.Drilling!AC2</f>
        <v>357.74400328947377</v>
      </c>
      <c r="P12" s="106">
        <f>Dir.Drilling!AD2</f>
        <v>380.84400328947373</v>
      </c>
      <c r="Q12" s="106">
        <f>Dir.Drilling!AE2</f>
        <v>403.94400328947376</v>
      </c>
      <c r="R12" s="106">
        <f>Dir.Drilling!AF2</f>
        <v>427.04400328947372</v>
      </c>
      <c r="S12" s="106">
        <f>Dir.Drilling!AG2</f>
        <v>470.55458578947366</v>
      </c>
      <c r="T12" s="106">
        <f>Dir.Drilling!AH2</f>
        <v>493.65458578947369</v>
      </c>
      <c r="U12" s="106">
        <f>Dir.Drilling!AI2</f>
        <v>516.75458578947371</v>
      </c>
      <c r="V12" s="106">
        <f>Dir.Drilling!AJ2</f>
        <v>539.85458578947373</v>
      </c>
      <c r="W12" s="106">
        <f>Dir.Drilling!AK2</f>
        <v>562.95458578947364</v>
      </c>
      <c r="X12" s="106">
        <f>Dir.Drilling!AL2</f>
        <v>600.08222248947368</v>
      </c>
      <c r="Y12" s="106">
        <f>Dir.Drilling!AM2</f>
        <v>623.1822224894737</v>
      </c>
      <c r="Z12" s="106">
        <f>Dir.Drilling!AN2</f>
        <v>646.28222248947361</v>
      </c>
      <c r="AA12" s="106">
        <f>Dir.Drilling!AO2</f>
        <v>669.38222248947363</v>
      </c>
      <c r="AB12" s="106">
        <f>Dir.Drilling!AP2</f>
        <v>692.48222248947366</v>
      </c>
      <c r="AC12" s="106">
        <f>Dir.Drilling!AQ2</f>
        <v>715.58222248947368</v>
      </c>
      <c r="AD12" s="106">
        <f>Dir.Drilling!AR2</f>
        <v>754.04582458947368</v>
      </c>
      <c r="AE12" s="106">
        <f>Dir.Drilling!AS2</f>
        <v>777.1458245894737</v>
      </c>
      <c r="AF12" s="106">
        <f>Dir.Drilling!AT2</f>
        <v>800.24582458947373</v>
      </c>
      <c r="AG12" s="106">
        <f>Dir.Drilling!AU2</f>
        <v>845.90879578947374</v>
      </c>
      <c r="AH12" s="106">
        <f>Dir.Drilling!AV2</f>
        <v>869.00879578947377</v>
      </c>
      <c r="AI12" s="106">
        <f>Dir.Drilling!AW2</f>
        <v>892.10879578947379</v>
      </c>
      <c r="AJ12" s="106">
        <f>Dir.Drilling!AX2</f>
        <v>915.20879578947381</v>
      </c>
      <c r="AK12" s="106">
        <f>Dir.Drilling!AY2</f>
        <v>938.30879578947372</v>
      </c>
      <c r="AL12" s="106">
        <f>Dir.Drilling!AZ2</f>
        <v>961.40879578947374</v>
      </c>
    </row>
    <row r="13" spans="1:38" ht="15" customHeight="1" x14ac:dyDescent="0.2">
      <c r="A13" s="14"/>
      <c r="B13" s="15" t="s">
        <v>267</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ht="15" customHeight="1" x14ac:dyDescent="0.2">
      <c r="A14" s="14" t="s">
        <v>73</v>
      </c>
      <c r="B14" s="211" t="s">
        <v>243</v>
      </c>
      <c r="C14" s="104">
        <f>'Chain Trench'!R3</f>
        <v>44.272744561403506</v>
      </c>
      <c r="D14" s="104">
        <f>'Chain Trench'!S3</f>
        <v>74.115664561403506</v>
      </c>
      <c r="E14" s="104">
        <f>'Chain Trench'!T3</f>
        <v>103.95858456140353</v>
      </c>
      <c r="F14" s="104">
        <f>'Chain Trench'!U3</f>
        <v>133.8015045614035</v>
      </c>
      <c r="G14" s="104">
        <f>'Chain Trench'!V3</f>
        <v>171.1444245614035</v>
      </c>
      <c r="H14" s="104">
        <f>'Chain Trench'!W3</f>
        <v>200.98734456140352</v>
      </c>
      <c r="I14" s="104">
        <f>'Chain Trench'!X3</f>
        <v>230.83026456140351</v>
      </c>
      <c r="J14" s="104">
        <f>'Chain Trench'!Y3</f>
        <v>260.6731845614035</v>
      </c>
      <c r="K14" s="104">
        <f>'Chain Trench'!Z3</f>
        <v>298.01610456140349</v>
      </c>
      <c r="L14" s="104">
        <f>'Chain Trench'!AA3</f>
        <v>327.85902456140349</v>
      </c>
      <c r="M14" s="104">
        <f>'Chain Trench'!AB3</f>
        <v>357.70194456140348</v>
      </c>
      <c r="N14" s="104">
        <f>'Chain Trench'!AC3</f>
        <v>387.54486456140353</v>
      </c>
      <c r="O14" s="104">
        <f>'Chain Trench'!AD3</f>
        <v>424.88778456140352</v>
      </c>
      <c r="P14" s="104">
        <f>'Chain Trench'!AE3</f>
        <v>454.73070456140351</v>
      </c>
      <c r="Q14" s="104">
        <f>'Chain Trench'!AF3</f>
        <v>484.57362456140351</v>
      </c>
      <c r="R14" s="104">
        <f>'Chain Trench'!AG3</f>
        <v>514.4165445614035</v>
      </c>
      <c r="S14" s="104">
        <f>'Chain Trench'!AH3</f>
        <v>551.75946456140355</v>
      </c>
      <c r="T14" s="104">
        <f>'Chain Trench'!AI3</f>
        <v>581.60238456140348</v>
      </c>
      <c r="U14" s="104">
        <f>'Chain Trench'!AJ3</f>
        <v>611.44530456140353</v>
      </c>
      <c r="V14" s="104">
        <f>'Chain Trench'!AK3</f>
        <v>641.28822456140347</v>
      </c>
      <c r="W14" s="104">
        <f>'Chain Trench'!AL3</f>
        <v>678.63114456140352</v>
      </c>
      <c r="X14" s="104">
        <f>'Chain Trench'!AM3</f>
        <v>708.47406456140345</v>
      </c>
      <c r="Y14" s="104">
        <f>'Chain Trench'!AN3</f>
        <v>738.3169845614035</v>
      </c>
      <c r="Z14" s="104">
        <f>'Chain Trench'!AO3</f>
        <v>768.15990456140355</v>
      </c>
      <c r="AA14" s="104">
        <f>'Chain Trench'!AP3</f>
        <v>805.50282456140349</v>
      </c>
      <c r="AB14" s="104">
        <f>'Chain Trench'!AQ3</f>
        <v>835.34574456140354</v>
      </c>
      <c r="AC14" s="104">
        <f>'Chain Trench'!AR3</f>
        <v>865.18866456140347</v>
      </c>
      <c r="AD14" s="104">
        <f>'Chain Trench'!AS3</f>
        <v>895.03158456140352</v>
      </c>
      <c r="AE14" s="104">
        <f>'Chain Trench'!AT3</f>
        <v>932.37450456140346</v>
      </c>
      <c r="AF14" s="104">
        <f>'Chain Trench'!AU3</f>
        <v>962.2174245614035</v>
      </c>
      <c r="AG14" s="104">
        <f>'Chain Trench'!AV3</f>
        <v>992.06034456140355</v>
      </c>
      <c r="AH14" s="104">
        <f>'Chain Trench'!AW3</f>
        <v>1021.9032645614035</v>
      </c>
      <c r="AI14" s="104">
        <f>'Chain Trench'!AX3</f>
        <v>1059.2461845614037</v>
      </c>
      <c r="AJ14" s="104">
        <f>'Chain Trench'!AY3</f>
        <v>1089.0891045614037</v>
      </c>
      <c r="AK14" s="104">
        <f>'Chain Trench'!AZ3</f>
        <v>1118.9320245614035</v>
      </c>
      <c r="AL14" s="104">
        <f>'Chain Trench'!BA3</f>
        <v>1148.7749445614036</v>
      </c>
    </row>
    <row r="15" spans="1:38" ht="15" customHeight="1" x14ac:dyDescent="0.2">
      <c r="A15" s="14" t="s">
        <v>74</v>
      </c>
      <c r="B15" s="16" t="s">
        <v>60</v>
      </c>
      <c r="C15" s="54">
        <f>ROUNDUP('Buildups 100dia'!BB$1,0)</f>
        <v>60</v>
      </c>
      <c r="D15" s="54">
        <f>ROUNDUP('Buildups 100dia'!BC$1,0)</f>
        <v>99</v>
      </c>
      <c r="E15" s="54">
        <f>ROUNDUP('Buildups 100dia'!BD$1,0)</f>
        <v>137</v>
      </c>
      <c r="F15" s="54">
        <f>ROUNDUP('Buildups 100dia'!BE$1,0)</f>
        <v>175</v>
      </c>
      <c r="G15" s="54">
        <f>ROUNDUP('Buildups 100dia'!BF$1,0)</f>
        <v>214</v>
      </c>
      <c r="H15" s="54">
        <f>ROUNDUP('Buildups 100dia'!BG$1,0)</f>
        <v>256</v>
      </c>
      <c r="I15" s="54">
        <f>ROUNDUP('Buildups 100dia'!BH$1,0)</f>
        <v>294</v>
      </c>
      <c r="J15" s="54">
        <f>ROUNDUP('Buildups 100dia'!BI$1,0)</f>
        <v>332</v>
      </c>
      <c r="K15" s="54">
        <f>ROUNDUP('Buildups 100dia'!BJ$1,0)</f>
        <v>371</v>
      </c>
      <c r="L15" s="54">
        <f>ROUNDUP('Buildups 100dia'!BK$1,0)</f>
        <v>409</v>
      </c>
      <c r="M15" s="54">
        <f>ROUNDUP('Buildups 100dia'!BL$1,0)</f>
        <v>451</v>
      </c>
      <c r="N15" s="54">
        <f>ROUNDUP('Buildups 100dia'!BM$1,0)</f>
        <v>489</v>
      </c>
      <c r="O15" s="54">
        <f>ROUNDUP('Buildups 100dia'!BN$1,0)</f>
        <v>528</v>
      </c>
      <c r="P15" s="54">
        <f>ROUNDUP('Buildups 100dia'!BO$1,0)</f>
        <v>566</v>
      </c>
      <c r="Q15" s="54">
        <f>ROUNDUP('Buildups 100dia'!BP$1,0)</f>
        <v>604</v>
      </c>
      <c r="R15" s="54">
        <f>ROUNDUP('Buildups 100dia'!BQ$1,0)</f>
        <v>646</v>
      </c>
      <c r="S15" s="54">
        <f>ROUNDUP('Buildups 100dia'!BR$1,0)</f>
        <v>685</v>
      </c>
      <c r="T15" s="54">
        <f>ROUNDUP('Buildups 100dia'!BS$1,0)</f>
        <v>723</v>
      </c>
      <c r="U15" s="54">
        <f>ROUNDUP('Buildups 100dia'!BT$1,0)</f>
        <v>761</v>
      </c>
      <c r="V15" s="54">
        <f>ROUNDUP('Buildups 100dia'!BU$1,0)</f>
        <v>800</v>
      </c>
      <c r="W15" s="54">
        <f>ROUNDUP('Buildups 100dia'!BV$1,0)</f>
        <v>857</v>
      </c>
      <c r="X15" s="54">
        <f>ROUNDUP('Buildups 100dia'!BW$1,0)</f>
        <v>895</v>
      </c>
      <c r="Y15" s="54">
        <f>ROUNDUP('Buildups 100dia'!BX$1,0)</f>
        <v>933</v>
      </c>
      <c r="Z15" s="54">
        <f>ROUNDUP('Buildups 100dia'!BY$1,0)</f>
        <v>972</v>
      </c>
      <c r="AA15" s="54">
        <f>ROUNDUP('Buildups 100dia'!BZ$1,0)</f>
        <v>1010</v>
      </c>
      <c r="AB15" s="54">
        <f>ROUNDUP('Buildups 100dia'!CA$1,0)</f>
        <v>1052</v>
      </c>
      <c r="AC15" s="54">
        <f>ROUNDUP('Buildups 100dia'!CB$1,0)</f>
        <v>1090</v>
      </c>
      <c r="AD15" s="54">
        <f>ROUNDUP('Buildups 100dia'!CC$1,0)</f>
        <v>1129</v>
      </c>
      <c r="AE15" s="54">
        <f>ROUNDUP('Buildups 100dia'!CD$1,0)</f>
        <v>1167</v>
      </c>
      <c r="AF15" s="54">
        <f>ROUNDUP('Buildups 100dia'!CE$1,0)</f>
        <v>1205</v>
      </c>
      <c r="AG15" s="54">
        <f>ROUNDUP('Buildups 100dia'!CF$1,0)</f>
        <v>1247</v>
      </c>
      <c r="AH15" s="54">
        <f>ROUNDUP('Buildups 100dia'!CG$1,0)</f>
        <v>1286</v>
      </c>
      <c r="AI15" s="54">
        <f>ROUNDUP('Buildups 100dia'!CH$1,0)</f>
        <v>1324</v>
      </c>
      <c r="AJ15" s="54">
        <f>ROUNDUP('Buildups 100dia'!CI$1,0)</f>
        <v>1362</v>
      </c>
      <c r="AK15" s="54">
        <f>ROUNDUP('Buildups 100dia'!CJ$1,0)</f>
        <v>1401</v>
      </c>
      <c r="AL15" s="54">
        <f>ROUNDUP('Buildups 100dia'!CK$1,0)</f>
        <v>1439</v>
      </c>
    </row>
    <row r="16" spans="1:38" ht="15" customHeight="1" x14ac:dyDescent="0.2">
      <c r="A16" s="14" t="s">
        <v>75</v>
      </c>
      <c r="B16" s="16" t="s">
        <v>61</v>
      </c>
      <c r="C16" s="54">
        <f>ROUNDUP('Buildups 100dia'!BB$2,0)</f>
        <v>68</v>
      </c>
      <c r="D16" s="54">
        <f>ROUNDUP('Buildups 100dia'!BC$2,0)</f>
        <v>106</v>
      </c>
      <c r="E16" s="54">
        <f>ROUNDUP('Buildups 100dia'!BD$2,0)</f>
        <v>144</v>
      </c>
      <c r="F16" s="54">
        <f>ROUNDUP('Buildups 100dia'!BE$2,0)</f>
        <v>183</v>
      </c>
      <c r="G16" s="54">
        <f>ROUNDUP('Buildups 100dia'!BF$2,0)</f>
        <v>221</v>
      </c>
      <c r="H16" s="54">
        <f>ROUNDUP('Buildups 100dia'!BG$2,0)</f>
        <v>259</v>
      </c>
      <c r="I16" s="54">
        <f>ROUNDUP('Buildups 100dia'!BH$2,0)</f>
        <v>298</v>
      </c>
      <c r="J16" s="54">
        <f>ROUNDUP('Buildups 100dia'!BI$2,0)</f>
        <v>341</v>
      </c>
      <c r="K16" s="54">
        <f>ROUNDUP('Buildups 100dia'!BJ$2,0)</f>
        <v>379</v>
      </c>
      <c r="L16" s="54">
        <f>ROUNDUP('Buildups 100dia'!BK$2,0)</f>
        <v>418</v>
      </c>
      <c r="M16" s="54">
        <f>ROUNDUP('Buildups 100dia'!BL$2,0)</f>
        <v>456</v>
      </c>
      <c r="N16" s="54">
        <f>ROUNDUP('Buildups 100dia'!BM$2,0)</f>
        <v>494</v>
      </c>
      <c r="O16" s="54">
        <f>ROUNDUP('Buildups 100dia'!BN$2,0)</f>
        <v>533</v>
      </c>
      <c r="P16" s="54">
        <f>ROUNDUP('Buildups 100dia'!BO$2,0)</f>
        <v>571</v>
      </c>
      <c r="Q16" s="54">
        <f>ROUNDUP('Buildups 100dia'!BP$2,0)</f>
        <v>614</v>
      </c>
      <c r="R16" s="54">
        <f>ROUNDUP('Buildups 100dia'!BQ$2,0)</f>
        <v>652</v>
      </c>
      <c r="S16" s="54">
        <f>ROUNDUP('Buildups 100dia'!BR$2,0)</f>
        <v>691</v>
      </c>
      <c r="T16" s="54">
        <f>ROUNDUP('Buildups 100dia'!BS$2,0)</f>
        <v>729</v>
      </c>
      <c r="U16" s="54">
        <f>ROUNDUP('Buildups 100dia'!BT$2,0)</f>
        <v>767</v>
      </c>
      <c r="V16" s="54">
        <f>ROUNDUP('Buildups 100dia'!BU$2,0)</f>
        <v>806</v>
      </c>
      <c r="W16" s="54">
        <f>ROUNDUP('Buildups 100dia'!BV$2,0)</f>
        <v>844</v>
      </c>
      <c r="X16" s="54">
        <f>ROUNDUP('Buildups 100dia'!BW$2,0)</f>
        <v>887</v>
      </c>
      <c r="Y16" s="54">
        <f>ROUNDUP('Buildups 100dia'!BX$2,0)</f>
        <v>926</v>
      </c>
      <c r="Z16" s="54">
        <f>ROUNDUP('Buildups 100dia'!BY$2,0)</f>
        <v>964</v>
      </c>
      <c r="AA16" s="54">
        <f>ROUNDUP('Buildups 100dia'!BZ$2,0)</f>
        <v>1002</v>
      </c>
      <c r="AB16" s="54">
        <f>ROUNDUP('Buildups 100dia'!CA$2,0)</f>
        <v>1041</v>
      </c>
      <c r="AC16" s="54">
        <f>ROUNDUP('Buildups 100dia'!CB$2,0)</f>
        <v>1079</v>
      </c>
      <c r="AD16" s="54">
        <f>ROUNDUP('Buildups 100dia'!CC$2,0)</f>
        <v>1117</v>
      </c>
      <c r="AE16" s="54">
        <f>ROUNDUP('Buildups 100dia'!CD$2,0)</f>
        <v>1175</v>
      </c>
      <c r="AF16" s="54">
        <f>ROUNDUP('Buildups 100dia'!CE$2,0)</f>
        <v>1214</v>
      </c>
      <c r="AG16" s="54">
        <f>ROUNDUP('Buildups 100dia'!CF$2,0)</f>
        <v>1252</v>
      </c>
      <c r="AH16" s="54">
        <f>ROUNDUP('Buildups 100dia'!CG$2,0)</f>
        <v>1290</v>
      </c>
      <c r="AI16" s="54">
        <f>ROUNDUP('Buildups 100dia'!CH$2,0)</f>
        <v>1329</v>
      </c>
      <c r="AJ16" s="54">
        <f>ROUNDUP('Buildups 100dia'!CI$2,0)</f>
        <v>1367</v>
      </c>
      <c r="AK16" s="54">
        <f>ROUNDUP('Buildups 100dia'!CJ$2,0)</f>
        <v>1406</v>
      </c>
      <c r="AL16" s="54">
        <f>ROUNDUP('Buildups 100dia'!CK$2,0)</f>
        <v>1444</v>
      </c>
    </row>
    <row r="17" spans="1:38" ht="15" customHeight="1" x14ac:dyDescent="0.2">
      <c r="A17" s="14" t="s">
        <v>76</v>
      </c>
      <c r="B17" s="211" t="s">
        <v>242</v>
      </c>
      <c r="C17" s="106">
        <f>Dir.Drilling!Q$3</f>
        <v>59.255883289473687</v>
      </c>
      <c r="D17" s="106">
        <f>Dir.Drilling!R$3</f>
        <v>103.74443578947367</v>
      </c>
      <c r="E17" s="106">
        <f>Dir.Drilling!S$3</f>
        <v>141.47894098947367</v>
      </c>
      <c r="F17" s="106">
        <f>Dir.Drilling!T$3</f>
        <v>183.4440032894737</v>
      </c>
      <c r="G17" s="106">
        <f>Dir.Drilling!U$3</f>
        <v>235.35458578947367</v>
      </c>
      <c r="H17" s="106">
        <f>Dir.Drilling!V$3</f>
        <v>266.85458578947367</v>
      </c>
      <c r="I17" s="106">
        <f>Dir.Drilling!W$3</f>
        <v>312.38222248947369</v>
      </c>
      <c r="J17" s="106">
        <f>Dir.Drilling!X$3</f>
        <v>364.36178998947366</v>
      </c>
      <c r="K17" s="106">
        <f>Dir.Drilling!Y$3</f>
        <v>408.85034248947369</v>
      </c>
      <c r="L17" s="106">
        <f>Dir.Drilling!Z$3</f>
        <v>446.58484768947369</v>
      </c>
      <c r="M17" s="106">
        <f>Dir.Drilling!AA$3</f>
        <v>488.54990998947369</v>
      </c>
      <c r="N17" s="106">
        <f>Dir.Drilling!AB$3</f>
        <v>540.46049248947361</v>
      </c>
      <c r="O17" s="106">
        <f>Dir.Drilling!AC$3</f>
        <v>571.96049248947372</v>
      </c>
      <c r="P17" s="106">
        <f>Dir.Drilling!AD$3</f>
        <v>617.48812918947374</v>
      </c>
      <c r="Q17" s="106">
        <f>Dir.Drilling!AE$3</f>
        <v>676.74401247894741</v>
      </c>
      <c r="R17" s="106">
        <f>Dir.Drilling!AF$3</f>
        <v>721.23256497894738</v>
      </c>
      <c r="S17" s="106">
        <f>Dir.Drilling!AG$3</f>
        <v>758.96707017894744</v>
      </c>
      <c r="T17" s="106">
        <f>Dir.Drilling!AH$3</f>
        <v>800.93213247894744</v>
      </c>
      <c r="U17" s="106">
        <f>Dir.Drilling!AI$3</f>
        <v>852.84271497894747</v>
      </c>
      <c r="V17" s="106">
        <f>Dir.Drilling!AJ$3</f>
        <v>884.34271497894747</v>
      </c>
      <c r="W17" s="106">
        <f>Dir.Drilling!AK$3</f>
        <v>929.87035167894737</v>
      </c>
      <c r="X17" s="106">
        <f>Dir.Drilling!AL$3</f>
        <v>981.8499191789474</v>
      </c>
      <c r="Y17" s="106">
        <f>Dir.Drilling!AM$3</f>
        <v>1026.3384716789474</v>
      </c>
      <c r="Z17" s="106">
        <f>Dir.Drilling!AN$3</f>
        <v>1064.0729768789474</v>
      </c>
      <c r="AA17" s="106">
        <f>Dir.Drilling!AO$3</f>
        <v>1106.0380391789474</v>
      </c>
      <c r="AB17" s="106">
        <f>Dir.Drilling!AP$3</f>
        <v>1157.9486216789473</v>
      </c>
      <c r="AC17" s="106">
        <f>Dir.Drilling!AQ$3</f>
        <v>1189.4486216789473</v>
      </c>
      <c r="AD17" s="106">
        <f>Dir.Drilling!AR$3</f>
        <v>1234.9762583789475</v>
      </c>
      <c r="AE17" s="106">
        <f>Dir.Drilling!AS$3</f>
        <v>1294.2321416684213</v>
      </c>
      <c r="AF17" s="106">
        <f>Dir.Drilling!AT$3</f>
        <v>1338.7206941684212</v>
      </c>
      <c r="AG17" s="106">
        <f>Dir.Drilling!AU$3</f>
        <v>1376.4551993684211</v>
      </c>
      <c r="AH17" s="106">
        <f>Dir.Drilling!AV$3</f>
        <v>1418.4202616684211</v>
      </c>
      <c r="AI17" s="106">
        <f>Dir.Drilling!AW$3</f>
        <v>1470.3308441684212</v>
      </c>
      <c r="AJ17" s="106">
        <f>Dir.Drilling!AX$3</f>
        <v>1501.8308441684212</v>
      </c>
      <c r="AK17" s="106">
        <f>Dir.Drilling!AY$3</f>
        <v>1547.3584808684211</v>
      </c>
      <c r="AL17" s="106">
        <f>Dir.Drilling!AZ$3</f>
        <v>1599.3380483684211</v>
      </c>
    </row>
    <row r="18" spans="1:38" ht="20.100000000000001" customHeight="1" x14ac:dyDescent="0.2">
      <c r="A18" s="273" t="s">
        <v>17</v>
      </c>
      <c r="B18" s="271"/>
      <c r="C18" s="275" t="s">
        <v>63</v>
      </c>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row>
    <row r="19" spans="1:38" ht="15" customHeight="1" x14ac:dyDescent="0.2">
      <c r="A19" s="14"/>
      <c r="B19" s="15" t="s">
        <v>71</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ht="15" customHeight="1" x14ac:dyDescent="0.2">
      <c r="A20" s="14" t="s">
        <v>26</v>
      </c>
      <c r="B20" s="16" t="s">
        <v>15</v>
      </c>
      <c r="C20" s="104">
        <f>C9</f>
        <v>36.390554561403505</v>
      </c>
      <c r="D20" s="104">
        <f t="shared" ref="D20:AL20" si="0">D9</f>
        <v>58.35128456140351</v>
      </c>
      <c r="E20" s="104">
        <f t="shared" si="0"/>
        <v>80.312014561403501</v>
      </c>
      <c r="F20" s="104">
        <f t="shared" si="0"/>
        <v>102.27274456140351</v>
      </c>
      <c r="G20" s="104">
        <f t="shared" si="0"/>
        <v>124.23347456140353</v>
      </c>
      <c r="H20" s="104">
        <f t="shared" si="0"/>
        <v>146.1942045614035</v>
      </c>
      <c r="I20" s="104">
        <f t="shared" si="0"/>
        <v>168.15493456140351</v>
      </c>
      <c r="J20" s="104">
        <f t="shared" si="0"/>
        <v>190.11566456140352</v>
      </c>
      <c r="K20" s="104">
        <f t="shared" si="0"/>
        <v>212.0763945614035</v>
      </c>
      <c r="L20" s="104">
        <f t="shared" si="0"/>
        <v>234.03712456140352</v>
      </c>
      <c r="M20" s="104">
        <f t="shared" si="0"/>
        <v>255.9978545614035</v>
      </c>
      <c r="N20" s="104">
        <f t="shared" si="0"/>
        <v>277.95858456140348</v>
      </c>
      <c r="O20" s="104">
        <f t="shared" si="0"/>
        <v>299.9193145614035</v>
      </c>
      <c r="P20" s="104">
        <f t="shared" si="0"/>
        <v>321.88004456140351</v>
      </c>
      <c r="Q20" s="104">
        <f t="shared" si="0"/>
        <v>343.84077456140352</v>
      </c>
      <c r="R20" s="104">
        <f t="shared" si="0"/>
        <v>365.80150456140353</v>
      </c>
      <c r="S20" s="104">
        <f t="shared" si="0"/>
        <v>395.26223456140349</v>
      </c>
      <c r="T20" s="104">
        <f t="shared" si="0"/>
        <v>417.2229645614035</v>
      </c>
      <c r="U20" s="104">
        <f t="shared" si="0"/>
        <v>439.18369456140351</v>
      </c>
      <c r="V20" s="104">
        <f t="shared" si="0"/>
        <v>461.14442456140353</v>
      </c>
      <c r="W20" s="104">
        <f t="shared" si="0"/>
        <v>483.10515456140348</v>
      </c>
      <c r="X20" s="104">
        <f t="shared" si="0"/>
        <v>505.06588456140349</v>
      </c>
      <c r="Y20" s="104">
        <f t="shared" si="0"/>
        <v>527.02661456140356</v>
      </c>
      <c r="Z20" s="104">
        <f t="shared" si="0"/>
        <v>548.98734456140346</v>
      </c>
      <c r="AA20" s="104">
        <f t="shared" si="0"/>
        <v>570.94807456140347</v>
      </c>
      <c r="AB20" s="104">
        <f t="shared" si="0"/>
        <v>592.90880456140349</v>
      </c>
      <c r="AC20" s="104">
        <f t="shared" si="0"/>
        <v>614.8695345614035</v>
      </c>
      <c r="AD20" s="104">
        <f t="shared" si="0"/>
        <v>636.83026456140351</v>
      </c>
      <c r="AE20" s="104">
        <f t="shared" si="0"/>
        <v>658.79099456140352</v>
      </c>
      <c r="AF20" s="104">
        <f t="shared" si="0"/>
        <v>680.75172456140353</v>
      </c>
      <c r="AG20" s="104">
        <f t="shared" si="0"/>
        <v>702.71245456140355</v>
      </c>
      <c r="AH20" s="104">
        <f t="shared" si="0"/>
        <v>724.67318456140356</v>
      </c>
      <c r="AI20" s="104">
        <f t="shared" si="0"/>
        <v>754.13391456140346</v>
      </c>
      <c r="AJ20" s="104">
        <f t="shared" si="0"/>
        <v>776.09464456140347</v>
      </c>
      <c r="AK20" s="104">
        <f t="shared" si="0"/>
        <v>798.05537456140348</v>
      </c>
      <c r="AL20" s="104">
        <f t="shared" si="0"/>
        <v>820.01610456140349</v>
      </c>
    </row>
    <row r="21" spans="1:38" ht="15" customHeight="1" x14ac:dyDescent="0.2">
      <c r="A21" s="14" t="s">
        <v>27</v>
      </c>
      <c r="B21" s="16" t="s">
        <v>60</v>
      </c>
      <c r="C21" s="54">
        <f>ROUNDUP('Buildups 50dia'!Q$1,0)</f>
        <v>45</v>
      </c>
      <c r="D21" s="54">
        <f>ROUNDUP('Buildups 50dia'!R$1,0)</f>
        <v>74</v>
      </c>
      <c r="E21" s="54">
        <f>ROUNDUP('Buildups 50dia'!S$1,0)</f>
        <v>104</v>
      </c>
      <c r="F21" s="54">
        <f>ROUNDUP('Buildups 50dia'!T$1,0)</f>
        <v>134</v>
      </c>
      <c r="G21" s="54">
        <f>ROUNDUP('Buildups 50dia'!U$1,0)</f>
        <v>163</v>
      </c>
      <c r="H21" s="54">
        <f>ROUNDUP('Buildups 50dia'!V$1,0)</f>
        <v>193</v>
      </c>
      <c r="I21" s="54">
        <f>ROUNDUP('Buildups 50dia'!W$1,0)</f>
        <v>223</v>
      </c>
      <c r="J21" s="54">
        <f>ROUNDUP('Buildups 50dia'!X$1,0)</f>
        <v>253</v>
      </c>
      <c r="K21" s="54">
        <f>ROUNDUP('Buildups 50dia'!Y$1,0)</f>
        <v>283</v>
      </c>
      <c r="L21" s="54">
        <f>ROUNDUP('Buildups 50dia'!Z$1,0)</f>
        <v>313</v>
      </c>
      <c r="M21" s="54">
        <f>ROUNDUP('Buildups 50dia'!AA$1,0)</f>
        <v>342</v>
      </c>
      <c r="N21" s="54">
        <f>ROUNDUP('Buildups 50dia'!AB$1,0)</f>
        <v>372</v>
      </c>
      <c r="O21" s="54">
        <f>ROUNDUP('Buildups 50dia'!AC$1,0)</f>
        <v>402</v>
      </c>
      <c r="P21" s="54">
        <f>ROUNDUP('Buildups 50dia'!AD$1,0)</f>
        <v>433</v>
      </c>
      <c r="Q21" s="54">
        <f>ROUNDUP('Buildups 50dia'!AE$1,0)</f>
        <v>462</v>
      </c>
      <c r="R21" s="54">
        <f>ROUNDUP('Buildups 50dia'!AF$1,0)</f>
        <v>492</v>
      </c>
      <c r="S21" s="54">
        <f>ROUNDUP('Buildups 50dia'!AG$1,0)</f>
        <v>522</v>
      </c>
      <c r="T21" s="54">
        <f>ROUNDUP('Buildups 50dia'!AH$1,0)</f>
        <v>551</v>
      </c>
      <c r="U21" s="54">
        <f>ROUNDUP('Buildups 50dia'!AI$1,0)</f>
        <v>581</v>
      </c>
      <c r="V21" s="54">
        <f>ROUNDUP('Buildups 50dia'!AJ$1,0)</f>
        <v>611</v>
      </c>
      <c r="W21" s="54">
        <f>ROUNDUP('Buildups 50dia'!AK$1,0)</f>
        <v>642</v>
      </c>
      <c r="X21" s="54">
        <f>ROUNDUP('Buildups 50dia'!AL$1,0)</f>
        <v>671</v>
      </c>
      <c r="Y21" s="54">
        <f>ROUNDUP('Buildups 50dia'!AM$1,0)</f>
        <v>701</v>
      </c>
      <c r="Z21" s="54">
        <f>ROUNDUP('Buildups 50dia'!AN$1,0)</f>
        <v>731</v>
      </c>
      <c r="AA21" s="54">
        <f>ROUNDUP('Buildups 50dia'!AO$1,0)</f>
        <v>760</v>
      </c>
      <c r="AB21" s="54">
        <f>ROUNDUP('Buildups 50dia'!AP$1,0)</f>
        <v>790</v>
      </c>
      <c r="AC21" s="54">
        <f>ROUNDUP('Buildups 50dia'!AQ$1,0)</f>
        <v>821</v>
      </c>
      <c r="AD21" s="54">
        <f>ROUNDUP('Buildups 50dia'!AR$1,0)</f>
        <v>850</v>
      </c>
      <c r="AE21" s="54">
        <f>ROUNDUP('Buildups 50dia'!AS$1,0)</f>
        <v>880</v>
      </c>
      <c r="AF21" s="54">
        <f>ROUNDUP('Buildups 50dia'!AT$1,0)</f>
        <v>910</v>
      </c>
      <c r="AG21" s="54">
        <f>ROUNDUP('Buildups 50dia'!AU$1,0)</f>
        <v>939</v>
      </c>
      <c r="AH21" s="54">
        <f>ROUNDUP('Buildups 50dia'!AV$1,0)</f>
        <v>969</v>
      </c>
      <c r="AI21" s="54">
        <f>ROUNDUP('Buildups 50dia'!AW$1,0)</f>
        <v>999</v>
      </c>
      <c r="AJ21" s="54">
        <f>ROUNDUP('Buildups 50dia'!AX$1,0)</f>
        <v>1030</v>
      </c>
      <c r="AK21" s="54">
        <f>ROUNDUP('Buildups 50dia'!AY$1,0)</f>
        <v>1059</v>
      </c>
      <c r="AL21" s="54">
        <f>ROUNDUP('Buildups 50dia'!AZ$1,0)</f>
        <v>1089</v>
      </c>
    </row>
    <row r="22" spans="1:38" ht="15" customHeight="1" x14ac:dyDescent="0.2">
      <c r="A22" s="14" t="s">
        <v>28</v>
      </c>
      <c r="B22" s="16" t="s">
        <v>61</v>
      </c>
      <c r="C22" s="54">
        <f>ROUNDUP('Buildups 50dia'!Q$2,0)</f>
        <v>52</v>
      </c>
      <c r="D22" s="54">
        <f>ROUNDUP('Buildups 50dia'!R$2,0)</f>
        <v>81</v>
      </c>
      <c r="E22" s="54">
        <f>ROUNDUP('Buildups 50dia'!S$2,0)</f>
        <v>111</v>
      </c>
      <c r="F22" s="54">
        <f>ROUNDUP('Buildups 50dia'!T$2,0)</f>
        <v>141</v>
      </c>
      <c r="G22" s="54">
        <f>ROUNDUP('Buildups 50dia'!U$2,0)</f>
        <v>170</v>
      </c>
      <c r="H22" s="54">
        <f>ROUNDUP('Buildups 50dia'!V$2,0)</f>
        <v>200</v>
      </c>
      <c r="I22" s="54">
        <f>ROUNDUP('Buildups 50dia'!W$2,0)</f>
        <v>230</v>
      </c>
      <c r="J22" s="54">
        <f>ROUNDUP('Buildups 50dia'!X$2,0)</f>
        <v>259</v>
      </c>
      <c r="K22" s="54">
        <f>ROUNDUP('Buildups 50dia'!Y$2,0)</f>
        <v>289</v>
      </c>
      <c r="L22" s="54">
        <f>ROUNDUP('Buildups 50dia'!Z$2,0)</f>
        <v>319</v>
      </c>
      <c r="M22" s="54">
        <f>ROUNDUP('Buildups 50dia'!AA$2,0)</f>
        <v>348</v>
      </c>
      <c r="N22" s="54">
        <f>ROUNDUP('Buildups 50dia'!AB$2,0)</f>
        <v>380</v>
      </c>
      <c r="O22" s="54">
        <f>ROUNDUP('Buildups 50dia'!AC$2,0)</f>
        <v>410</v>
      </c>
      <c r="P22" s="54">
        <f>ROUNDUP('Buildups 50dia'!AD$2,0)</f>
        <v>439</v>
      </c>
      <c r="Q22" s="54">
        <f>ROUNDUP('Buildups 50dia'!AE$2,0)</f>
        <v>469</v>
      </c>
      <c r="R22" s="54">
        <f>ROUNDUP('Buildups 50dia'!AF$2,0)</f>
        <v>499</v>
      </c>
      <c r="S22" s="54">
        <f>ROUNDUP('Buildups 50dia'!AG$2,0)</f>
        <v>528</v>
      </c>
      <c r="T22" s="54">
        <f>ROUNDUP('Buildups 50dia'!AH$2,0)</f>
        <v>558</v>
      </c>
      <c r="U22" s="54">
        <f>ROUNDUP('Buildups 50dia'!AI$2,0)</f>
        <v>588</v>
      </c>
      <c r="V22" s="54">
        <f>ROUNDUP('Buildups 50dia'!AJ$2,0)</f>
        <v>617</v>
      </c>
      <c r="W22" s="54">
        <f>ROUNDUP('Buildups 50dia'!AK$2,0)</f>
        <v>647</v>
      </c>
      <c r="X22" s="54">
        <f>ROUNDUP('Buildups 50dia'!AL$2,0)</f>
        <v>678</v>
      </c>
      <c r="Y22" s="54">
        <f>ROUNDUP('Buildups 50dia'!AM$2,0)</f>
        <v>708</v>
      </c>
      <c r="Z22" s="54">
        <f>ROUNDUP('Buildups 50dia'!AN$2,0)</f>
        <v>738</v>
      </c>
      <c r="AA22" s="54">
        <f>ROUNDUP('Buildups 50dia'!AO$2,0)</f>
        <v>767</v>
      </c>
      <c r="AB22" s="54">
        <f>ROUNDUP('Buildups 50dia'!AP$2,0)</f>
        <v>797</v>
      </c>
      <c r="AC22" s="54">
        <f>ROUNDUP('Buildups 50dia'!AQ$2,0)</f>
        <v>827</v>
      </c>
      <c r="AD22" s="54">
        <f>ROUNDUP('Buildups 50dia'!AR$2,0)</f>
        <v>856</v>
      </c>
      <c r="AE22" s="54">
        <f>ROUNDUP('Buildups 50dia'!AS$2,0)</f>
        <v>886</v>
      </c>
      <c r="AF22" s="54">
        <f>ROUNDUP('Buildups 50dia'!AT$2,0)</f>
        <v>916</v>
      </c>
      <c r="AG22" s="54">
        <f>ROUNDUP('Buildups 50dia'!AU$2,0)</f>
        <v>945</v>
      </c>
      <c r="AH22" s="54">
        <f>ROUNDUP('Buildups 50dia'!AV$2,0)</f>
        <v>975</v>
      </c>
      <c r="AI22" s="54">
        <f>ROUNDUP('Buildups 50dia'!AW$2,0)</f>
        <v>1007</v>
      </c>
      <c r="AJ22" s="54">
        <f>ROUNDUP('Buildups 50dia'!AX$2,0)</f>
        <v>1036</v>
      </c>
      <c r="AK22" s="54">
        <f>ROUNDUP('Buildups 50dia'!AY$2,0)</f>
        <v>1066</v>
      </c>
      <c r="AL22" s="54">
        <f>ROUNDUP('Buildups 50dia'!AZ$2,0)</f>
        <v>1096</v>
      </c>
    </row>
    <row r="23" spans="1:38" ht="15" customHeight="1" x14ac:dyDescent="0.2">
      <c r="A23" s="14" t="s">
        <v>29</v>
      </c>
      <c r="B23" s="16" t="s">
        <v>14</v>
      </c>
      <c r="C23" s="106">
        <f t="shared" ref="C23:AL23" si="1">C12*Medium50</f>
        <v>52.019605299487672</v>
      </c>
      <c r="D23" s="106">
        <f t="shared" si="1"/>
        <v>75.648196618574786</v>
      </c>
      <c r="E23" s="106">
        <f t="shared" si="1"/>
        <v>99.276787937661894</v>
      </c>
      <c r="F23" s="106">
        <f t="shared" si="1"/>
        <v>122.905379256749</v>
      </c>
      <c r="G23" s="106">
        <f t="shared" si="1"/>
        <v>146.53397057583612</v>
      </c>
      <c r="H23" s="106">
        <f t="shared" si="1"/>
        <v>183.44832807886294</v>
      </c>
      <c r="I23" s="106">
        <f t="shared" si="1"/>
        <v>207.07691939795006</v>
      </c>
      <c r="J23" s="106">
        <f t="shared" si="1"/>
        <v>230.70551071703716</v>
      </c>
      <c r="K23" s="106">
        <f t="shared" si="1"/>
        <v>260.71126980441534</v>
      </c>
      <c r="L23" s="106">
        <f t="shared" si="1"/>
        <v>284.33986112350249</v>
      </c>
      <c r="M23" s="106">
        <f t="shared" si="1"/>
        <v>307.96845244258952</v>
      </c>
      <c r="N23" s="106">
        <f t="shared" si="1"/>
        <v>331.59704376167667</v>
      </c>
      <c r="O23" s="106">
        <f t="shared" si="1"/>
        <v>365.93016669182384</v>
      </c>
      <c r="P23" s="106">
        <f t="shared" si="1"/>
        <v>389.55875801091094</v>
      </c>
      <c r="Q23" s="106">
        <f t="shared" si="1"/>
        <v>413.18734932999809</v>
      </c>
      <c r="R23" s="106">
        <f t="shared" si="1"/>
        <v>436.81594064908518</v>
      </c>
      <c r="S23" s="106">
        <f t="shared" si="1"/>
        <v>481.32216454293462</v>
      </c>
      <c r="T23" s="106">
        <f t="shared" si="1"/>
        <v>504.95075586202171</v>
      </c>
      <c r="U23" s="106">
        <f t="shared" si="1"/>
        <v>528.57934718110891</v>
      </c>
      <c r="V23" s="106">
        <f t="shared" si="1"/>
        <v>552.20793850019595</v>
      </c>
      <c r="W23" s="106">
        <f t="shared" si="1"/>
        <v>575.83652981928299</v>
      </c>
      <c r="X23" s="106">
        <f t="shared" si="1"/>
        <v>613.81374861702511</v>
      </c>
      <c r="Y23" s="106">
        <f t="shared" si="1"/>
        <v>637.44233993611215</v>
      </c>
      <c r="Z23" s="106">
        <f t="shared" si="1"/>
        <v>661.07093125519918</v>
      </c>
      <c r="AA23" s="106">
        <f t="shared" si="1"/>
        <v>684.69952257428633</v>
      </c>
      <c r="AB23" s="106">
        <f t="shared" si="1"/>
        <v>708.32811389337348</v>
      </c>
      <c r="AC23" s="106">
        <f t="shared" si="1"/>
        <v>731.95670521246063</v>
      </c>
      <c r="AD23" s="106">
        <f t="shared" si="1"/>
        <v>771.30045996055071</v>
      </c>
      <c r="AE23" s="106">
        <f t="shared" si="1"/>
        <v>794.92905127963786</v>
      </c>
      <c r="AF23" s="106">
        <f t="shared" si="1"/>
        <v>818.55764259872501</v>
      </c>
      <c r="AG23" s="106">
        <f t="shared" si="1"/>
        <v>865.26550774591306</v>
      </c>
      <c r="AH23" s="106">
        <f t="shared" si="1"/>
        <v>888.8940990650002</v>
      </c>
      <c r="AI23" s="106">
        <f t="shared" si="1"/>
        <v>912.52269038408735</v>
      </c>
      <c r="AJ23" s="106">
        <f t="shared" si="1"/>
        <v>936.1512817031745</v>
      </c>
      <c r="AK23" s="106">
        <f t="shared" si="1"/>
        <v>959.77987302226154</v>
      </c>
      <c r="AL23" s="106">
        <f t="shared" si="1"/>
        <v>983.40846434134869</v>
      </c>
    </row>
    <row r="24" spans="1:38" ht="15" customHeight="1" x14ac:dyDescent="0.2">
      <c r="A24" s="14"/>
      <c r="B24" s="210" t="s">
        <v>267</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ht="15" customHeight="1" x14ac:dyDescent="0.2">
      <c r="A25" s="14" t="s">
        <v>77</v>
      </c>
      <c r="B25" s="16" t="s">
        <v>15</v>
      </c>
      <c r="C25" s="104">
        <f>C14</f>
        <v>44.272744561403506</v>
      </c>
      <c r="D25" s="104">
        <f t="shared" ref="D25:AL25" si="2">D14</f>
        <v>74.115664561403506</v>
      </c>
      <c r="E25" s="104">
        <f t="shared" si="2"/>
        <v>103.95858456140353</v>
      </c>
      <c r="F25" s="104">
        <f t="shared" si="2"/>
        <v>133.8015045614035</v>
      </c>
      <c r="G25" s="104">
        <f t="shared" si="2"/>
        <v>171.1444245614035</v>
      </c>
      <c r="H25" s="104">
        <f t="shared" si="2"/>
        <v>200.98734456140352</v>
      </c>
      <c r="I25" s="104">
        <f t="shared" si="2"/>
        <v>230.83026456140351</v>
      </c>
      <c r="J25" s="104">
        <f t="shared" si="2"/>
        <v>260.6731845614035</v>
      </c>
      <c r="K25" s="104">
        <f t="shared" si="2"/>
        <v>298.01610456140349</v>
      </c>
      <c r="L25" s="104">
        <f t="shared" si="2"/>
        <v>327.85902456140349</v>
      </c>
      <c r="M25" s="104">
        <f t="shared" si="2"/>
        <v>357.70194456140348</v>
      </c>
      <c r="N25" s="104">
        <f t="shared" si="2"/>
        <v>387.54486456140353</v>
      </c>
      <c r="O25" s="104">
        <f t="shared" si="2"/>
        <v>424.88778456140352</v>
      </c>
      <c r="P25" s="104">
        <f t="shared" si="2"/>
        <v>454.73070456140351</v>
      </c>
      <c r="Q25" s="104">
        <f t="shared" si="2"/>
        <v>484.57362456140351</v>
      </c>
      <c r="R25" s="104">
        <f t="shared" si="2"/>
        <v>514.4165445614035</v>
      </c>
      <c r="S25" s="104">
        <f t="shared" si="2"/>
        <v>551.75946456140355</v>
      </c>
      <c r="T25" s="104">
        <f t="shared" si="2"/>
        <v>581.60238456140348</v>
      </c>
      <c r="U25" s="104">
        <f t="shared" si="2"/>
        <v>611.44530456140353</v>
      </c>
      <c r="V25" s="104">
        <f t="shared" si="2"/>
        <v>641.28822456140347</v>
      </c>
      <c r="W25" s="104">
        <f t="shared" si="2"/>
        <v>678.63114456140352</v>
      </c>
      <c r="X25" s="104">
        <f t="shared" si="2"/>
        <v>708.47406456140345</v>
      </c>
      <c r="Y25" s="104">
        <f t="shared" si="2"/>
        <v>738.3169845614035</v>
      </c>
      <c r="Z25" s="104">
        <f t="shared" si="2"/>
        <v>768.15990456140355</v>
      </c>
      <c r="AA25" s="104">
        <f t="shared" si="2"/>
        <v>805.50282456140349</v>
      </c>
      <c r="AB25" s="104">
        <f t="shared" si="2"/>
        <v>835.34574456140354</v>
      </c>
      <c r="AC25" s="104">
        <f t="shared" si="2"/>
        <v>865.18866456140347</v>
      </c>
      <c r="AD25" s="104">
        <f t="shared" si="2"/>
        <v>895.03158456140352</v>
      </c>
      <c r="AE25" s="104">
        <f t="shared" si="2"/>
        <v>932.37450456140346</v>
      </c>
      <c r="AF25" s="104">
        <f t="shared" si="2"/>
        <v>962.2174245614035</v>
      </c>
      <c r="AG25" s="104">
        <f t="shared" si="2"/>
        <v>992.06034456140355</v>
      </c>
      <c r="AH25" s="104">
        <f t="shared" si="2"/>
        <v>1021.9032645614035</v>
      </c>
      <c r="AI25" s="104">
        <f t="shared" si="2"/>
        <v>1059.2461845614037</v>
      </c>
      <c r="AJ25" s="104">
        <f t="shared" si="2"/>
        <v>1089.0891045614037</v>
      </c>
      <c r="AK25" s="104">
        <f t="shared" si="2"/>
        <v>1118.9320245614035</v>
      </c>
      <c r="AL25" s="104">
        <f t="shared" si="2"/>
        <v>1148.7749445614036</v>
      </c>
    </row>
    <row r="26" spans="1:38" ht="15" customHeight="1" x14ac:dyDescent="0.2">
      <c r="A26" s="14" t="s">
        <v>78</v>
      </c>
      <c r="B26" s="16" t="s">
        <v>60</v>
      </c>
      <c r="C26" s="54">
        <f>ROUNDUP('Buildups 100dia'!Q$1,0)</f>
        <v>53</v>
      </c>
      <c r="D26" s="54">
        <f>ROUNDUP('Buildups 100dia'!R$1,0)</f>
        <v>92</v>
      </c>
      <c r="E26" s="54">
        <f>ROUNDUP('Buildups 100dia'!S$1,0)</f>
        <v>130</v>
      </c>
      <c r="F26" s="54">
        <f>ROUNDUP('Buildups 100dia'!T$1,0)</f>
        <v>171</v>
      </c>
      <c r="G26" s="54">
        <f>ROUNDUP('Buildups 100dia'!U$1,0)</f>
        <v>209</v>
      </c>
      <c r="H26" s="54">
        <f>ROUNDUP('Buildups 100dia'!V$1,0)</f>
        <v>247</v>
      </c>
      <c r="I26" s="54">
        <f>ROUNDUP('Buildups 100dia'!W$1,0)</f>
        <v>288</v>
      </c>
      <c r="J26" s="54">
        <f>ROUNDUP('Buildups 100dia'!X$1,0)</f>
        <v>326</v>
      </c>
      <c r="K26" s="54">
        <f>ROUNDUP('Buildups 100dia'!Y$1,0)</f>
        <v>365</v>
      </c>
      <c r="L26" s="54">
        <f>ROUNDUP('Buildups 100dia'!Z$1,0)</f>
        <v>406</v>
      </c>
      <c r="M26" s="54">
        <f>ROUNDUP('Buildups 100dia'!AA$1,0)</f>
        <v>444</v>
      </c>
      <c r="N26" s="54">
        <f>ROUNDUP('Buildups 100dia'!AB$1,0)</f>
        <v>482</v>
      </c>
      <c r="O26" s="54">
        <f>ROUNDUP('Buildups 100dia'!AC$1,0)</f>
        <v>523</v>
      </c>
      <c r="P26" s="54">
        <f>ROUNDUP('Buildups 100dia'!AD$1,0)</f>
        <v>561</v>
      </c>
      <c r="Q26" s="54">
        <f>ROUNDUP('Buildups 100dia'!AE$1,0)</f>
        <v>600</v>
      </c>
      <c r="R26" s="54">
        <f>ROUNDUP('Buildups 100dia'!AF$1,0)</f>
        <v>640</v>
      </c>
      <c r="S26" s="54">
        <f>ROUNDUP('Buildups 100dia'!AG$1,0)</f>
        <v>679</v>
      </c>
      <c r="T26" s="54">
        <f>ROUNDUP('Buildups 100dia'!AH$1,0)</f>
        <v>717</v>
      </c>
      <c r="U26" s="54">
        <f>ROUNDUP('Buildups 100dia'!AI$1,0)</f>
        <v>758</v>
      </c>
      <c r="V26" s="54">
        <f>ROUNDUP('Buildups 100dia'!AJ$1,0)</f>
        <v>796</v>
      </c>
      <c r="W26" s="54">
        <f>ROUNDUP('Buildups 100dia'!AK$1,0)</f>
        <v>835</v>
      </c>
      <c r="X26" s="54">
        <f>ROUNDUP('Buildups 100dia'!AL$1,0)</f>
        <v>875</v>
      </c>
      <c r="Y26" s="54">
        <f>ROUNDUP('Buildups 100dia'!AM$1,0)</f>
        <v>914</v>
      </c>
      <c r="Z26" s="54">
        <f>ROUNDUP('Buildups 100dia'!AN$1,0)</f>
        <v>952</v>
      </c>
      <c r="AA26" s="54">
        <f>ROUNDUP('Buildups 100dia'!AO$1,0)</f>
        <v>993</v>
      </c>
      <c r="AB26" s="54">
        <f>ROUNDUP('Buildups 100dia'!AP$1,0)</f>
        <v>1031</v>
      </c>
      <c r="AC26" s="54">
        <f>ROUNDUP('Buildups 100dia'!AQ$1,0)</f>
        <v>1069</v>
      </c>
      <c r="AD26" s="54">
        <f>ROUNDUP('Buildups 100dia'!AR$1,0)</f>
        <v>1125</v>
      </c>
      <c r="AE26" s="54">
        <f>ROUNDUP('Buildups 100dia'!AS$1,0)</f>
        <v>1163</v>
      </c>
      <c r="AF26" s="54">
        <f>ROUNDUP('Buildups 100dia'!AT$1,0)</f>
        <v>1202</v>
      </c>
      <c r="AG26" s="54">
        <f>ROUNDUP('Buildups 100dia'!AU$1,0)</f>
        <v>1243</v>
      </c>
      <c r="AH26" s="54">
        <f>ROUNDUP('Buildups 100dia'!AV$1,0)</f>
        <v>1281</v>
      </c>
      <c r="AI26" s="54">
        <f>ROUNDUP('Buildups 100dia'!AW$1,0)</f>
        <v>1319</v>
      </c>
      <c r="AJ26" s="54">
        <f>ROUNDUP('Buildups 100dia'!AX$1,0)</f>
        <v>1360</v>
      </c>
      <c r="AK26" s="54">
        <f>ROUNDUP('Buildups 100dia'!AY$1,0)</f>
        <v>1398</v>
      </c>
      <c r="AL26" s="54">
        <f>ROUNDUP('Buildups 100dia'!AZ$1,0)</f>
        <v>1437</v>
      </c>
    </row>
    <row r="27" spans="1:38" ht="15" customHeight="1" x14ac:dyDescent="0.2">
      <c r="A27" s="14" t="s">
        <v>79</v>
      </c>
      <c r="B27" s="16" t="s">
        <v>61</v>
      </c>
      <c r="C27" s="54">
        <f>ROUNDUP('Buildups 100dia'!Q$2,0)</f>
        <v>60</v>
      </c>
      <c r="D27" s="54">
        <f>ROUNDUP('Buildups 100dia'!R$2,0)</f>
        <v>99</v>
      </c>
      <c r="E27" s="54">
        <f>ROUNDUP('Buildups 100dia'!S$2,0)</f>
        <v>137</v>
      </c>
      <c r="F27" s="54">
        <f>ROUNDUP('Buildups 100dia'!T$2,0)</f>
        <v>175</v>
      </c>
      <c r="G27" s="54">
        <f>ROUNDUP('Buildups 100dia'!U$2,0)</f>
        <v>214</v>
      </c>
      <c r="H27" s="54">
        <f>ROUNDUP('Buildups 100dia'!V$2,0)</f>
        <v>256</v>
      </c>
      <c r="I27" s="54">
        <f>ROUNDUP('Buildups 100dia'!W$2,0)</f>
        <v>294</v>
      </c>
      <c r="J27" s="54">
        <f>ROUNDUP('Buildups 100dia'!X$2,0)</f>
        <v>332</v>
      </c>
      <c r="K27" s="54">
        <f>ROUNDUP('Buildups 100dia'!Y$2,0)</f>
        <v>371</v>
      </c>
      <c r="L27" s="54">
        <f>ROUNDUP('Buildups 100dia'!Z$2,0)</f>
        <v>409</v>
      </c>
      <c r="M27" s="54">
        <f>ROUNDUP('Buildups 100dia'!AA$2,0)</f>
        <v>451</v>
      </c>
      <c r="N27" s="54">
        <f>ROUNDUP('Buildups 100dia'!AB$2,0)</f>
        <v>489</v>
      </c>
      <c r="O27" s="54">
        <f>ROUNDUP('Buildups 100dia'!AC$2,0)</f>
        <v>528</v>
      </c>
      <c r="P27" s="54">
        <f>ROUNDUP('Buildups 100dia'!AD$2,0)</f>
        <v>566</v>
      </c>
      <c r="Q27" s="54">
        <f>ROUNDUP('Buildups 100dia'!AE$2,0)</f>
        <v>604</v>
      </c>
      <c r="R27" s="54">
        <f>ROUNDUP('Buildups 100dia'!AF$2,0)</f>
        <v>646</v>
      </c>
      <c r="S27" s="54">
        <f>ROUNDUP('Buildups 100dia'!AG$2,0)</f>
        <v>685</v>
      </c>
      <c r="T27" s="54">
        <f>ROUNDUP('Buildups 100dia'!AH$2,0)</f>
        <v>723</v>
      </c>
      <c r="U27" s="54">
        <f>ROUNDUP('Buildups 100dia'!AI$2,0)</f>
        <v>761</v>
      </c>
      <c r="V27" s="54">
        <f>ROUNDUP('Buildups 100dia'!AJ$2,0)</f>
        <v>800</v>
      </c>
      <c r="W27" s="54">
        <f>ROUNDUP('Buildups 100dia'!AK$2,0)</f>
        <v>842</v>
      </c>
      <c r="X27" s="54">
        <f>ROUNDUP('Buildups 100dia'!AL$2,0)</f>
        <v>880</v>
      </c>
      <c r="Y27" s="54">
        <f>ROUNDUP('Buildups 100dia'!AM$2,0)</f>
        <v>918</v>
      </c>
      <c r="Z27" s="54">
        <f>ROUNDUP('Buildups 100dia'!AN$2,0)</f>
        <v>957</v>
      </c>
      <c r="AA27" s="54">
        <f>ROUNDUP('Buildups 100dia'!AO$2,0)</f>
        <v>995</v>
      </c>
      <c r="AB27" s="54">
        <f>ROUNDUP('Buildups 100dia'!AP$2,0)</f>
        <v>1037</v>
      </c>
      <c r="AC27" s="54">
        <f>ROUNDUP('Buildups 100dia'!AQ$2,0)</f>
        <v>1075</v>
      </c>
      <c r="AD27" s="54">
        <f>ROUNDUP('Buildups 100dia'!AR$2,0)</f>
        <v>1114</v>
      </c>
      <c r="AE27" s="54">
        <f>ROUNDUP('Buildups 100dia'!AS$2,0)</f>
        <v>1152</v>
      </c>
      <c r="AF27" s="54">
        <f>ROUNDUP('Buildups 100dia'!AT$2,0)</f>
        <v>1190</v>
      </c>
      <c r="AG27" s="54">
        <f>ROUNDUP('Buildups 100dia'!AU$2,0)</f>
        <v>1232</v>
      </c>
      <c r="AH27" s="54">
        <f>ROUNDUP('Buildups 100dia'!AV$2,0)</f>
        <v>1271</v>
      </c>
      <c r="AI27" s="54">
        <f>ROUNDUP('Buildups 100dia'!AW$2,0)</f>
        <v>1309</v>
      </c>
      <c r="AJ27" s="54">
        <f>ROUNDUP('Buildups 100dia'!AX$2,0)</f>
        <v>1347</v>
      </c>
      <c r="AK27" s="54">
        <f>ROUNDUP('Buildups 100dia'!AY$2,0)</f>
        <v>1386</v>
      </c>
      <c r="AL27" s="54">
        <f>ROUNDUP('Buildups 100dia'!AZ$2,0)</f>
        <v>1428</v>
      </c>
    </row>
    <row r="28" spans="1:38" ht="15" customHeight="1" x14ac:dyDescent="0.2">
      <c r="A28" s="14" t="s">
        <v>80</v>
      </c>
      <c r="B28" s="16" t="s">
        <v>14</v>
      </c>
      <c r="C28" s="106">
        <f t="shared" ref="C28:AL28" si="3">C17*Medium100</f>
        <v>60.682360980602084</v>
      </c>
      <c r="D28" s="106">
        <f t="shared" si="3"/>
        <v>106.24189452297087</v>
      </c>
      <c r="E28" s="106">
        <f t="shared" si="3"/>
        <v>144.88478935224384</v>
      </c>
      <c r="F28" s="106">
        <f t="shared" si="3"/>
        <v>187.86008425455492</v>
      </c>
      <c r="G28" s="106">
        <f t="shared" si="3"/>
        <v>241.02031967944654</v>
      </c>
      <c r="H28" s="106">
        <f t="shared" si="3"/>
        <v>273.2786249274003</v>
      </c>
      <c r="I28" s="106">
        <f t="shared" si="3"/>
        <v>319.90225673332236</v>
      </c>
      <c r="J28" s="106">
        <f t="shared" si="3"/>
        <v>373.13313784670703</v>
      </c>
      <c r="K28" s="106">
        <f t="shared" si="3"/>
        <v>418.69267138907583</v>
      </c>
      <c r="L28" s="106">
        <f t="shared" si="3"/>
        <v>457.33556621834884</v>
      </c>
      <c r="M28" s="106">
        <f t="shared" si="3"/>
        <v>500.31086112065987</v>
      </c>
      <c r="N28" s="106">
        <f t="shared" si="3"/>
        <v>553.4710965455514</v>
      </c>
      <c r="O28" s="106">
        <f t="shared" si="3"/>
        <v>585.7294017935053</v>
      </c>
      <c r="P28" s="106">
        <f t="shared" si="3"/>
        <v>632.35303359942736</v>
      </c>
      <c r="Q28" s="106">
        <f t="shared" si="3"/>
        <v>693.03539458002945</v>
      </c>
      <c r="R28" s="106">
        <f t="shared" si="3"/>
        <v>738.59492812239819</v>
      </c>
      <c r="S28" s="106">
        <f t="shared" si="3"/>
        <v>777.23782295167121</v>
      </c>
      <c r="T28" s="106">
        <f t="shared" si="3"/>
        <v>820.21311785398223</v>
      </c>
      <c r="U28" s="106">
        <f t="shared" si="3"/>
        <v>873.37335327887399</v>
      </c>
      <c r="V28" s="106">
        <f t="shared" si="3"/>
        <v>905.63165852682778</v>
      </c>
      <c r="W28" s="106">
        <f t="shared" si="3"/>
        <v>952.25529033274961</v>
      </c>
      <c r="X28" s="106">
        <f t="shared" si="3"/>
        <v>1005.4861714461343</v>
      </c>
      <c r="Y28" s="106">
        <f t="shared" si="3"/>
        <v>1051.0457049885031</v>
      </c>
      <c r="Z28" s="106">
        <f t="shared" si="3"/>
        <v>1089.6885998177761</v>
      </c>
      <c r="AA28" s="106">
        <f t="shared" si="3"/>
        <v>1132.6638947200872</v>
      </c>
      <c r="AB28" s="106">
        <f t="shared" si="3"/>
        <v>1185.8241301449789</v>
      </c>
      <c r="AC28" s="106">
        <f t="shared" si="3"/>
        <v>1218.0824353929327</v>
      </c>
      <c r="AD28" s="106">
        <f t="shared" si="3"/>
        <v>1264.7060671988547</v>
      </c>
      <c r="AE28" s="106">
        <f t="shared" si="3"/>
        <v>1325.3884281794569</v>
      </c>
      <c r="AF28" s="106">
        <f t="shared" si="3"/>
        <v>1370.9479617218255</v>
      </c>
      <c r="AG28" s="106">
        <f t="shared" si="3"/>
        <v>1409.5908565510986</v>
      </c>
      <c r="AH28" s="106">
        <f t="shared" si="3"/>
        <v>1452.5661514534095</v>
      </c>
      <c r="AI28" s="106">
        <f t="shared" si="3"/>
        <v>1505.7263868783014</v>
      </c>
      <c r="AJ28" s="106">
        <f t="shared" si="3"/>
        <v>1537.9846921262551</v>
      </c>
      <c r="AK28" s="106">
        <f t="shared" si="3"/>
        <v>1584.608323932177</v>
      </c>
      <c r="AL28" s="106">
        <f t="shared" si="3"/>
        <v>1637.8392050455616</v>
      </c>
    </row>
    <row r="29" spans="1:38" ht="20.100000000000001" customHeight="1" x14ac:dyDescent="0.2">
      <c r="A29" s="273" t="s">
        <v>18</v>
      </c>
      <c r="B29" s="271"/>
      <c r="C29" s="275" t="s">
        <v>63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row>
    <row r="30" spans="1:38" ht="15" customHeight="1" x14ac:dyDescent="0.2">
      <c r="A30" s="14"/>
      <c r="B30" s="15" t="s">
        <v>71</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ht="15" customHeight="1" x14ac:dyDescent="0.2">
      <c r="A31" s="14" t="s">
        <v>30</v>
      </c>
      <c r="B31" s="16" t="s">
        <v>60</v>
      </c>
      <c r="C31" s="54">
        <f>ROUNDUP('Buildups 50dia'!Q$1,0)</f>
        <v>45</v>
      </c>
      <c r="D31" s="54">
        <f>ROUNDUP('Buildups 50dia'!R$1,0)</f>
        <v>74</v>
      </c>
      <c r="E31" s="54">
        <f>ROUNDUP('Buildups 50dia'!S$1,0)</f>
        <v>104</v>
      </c>
      <c r="F31" s="54">
        <f>ROUNDUP('Buildups 50dia'!T$1,0)</f>
        <v>134</v>
      </c>
      <c r="G31" s="54">
        <f>ROUNDUP('Buildups 50dia'!U$1,0)</f>
        <v>163</v>
      </c>
      <c r="H31" s="54">
        <f>ROUNDUP('Buildups 50dia'!V$1,0)</f>
        <v>193</v>
      </c>
      <c r="I31" s="54">
        <f>ROUNDUP('Buildups 50dia'!W$1,0)</f>
        <v>223</v>
      </c>
      <c r="J31" s="54">
        <f>ROUNDUP('Buildups 50dia'!X$1,0)</f>
        <v>253</v>
      </c>
      <c r="K31" s="54">
        <f>ROUNDUP('Buildups 50dia'!Y$1,0)</f>
        <v>283</v>
      </c>
      <c r="L31" s="54">
        <f>ROUNDUP('Buildups 50dia'!Z$1,0)</f>
        <v>313</v>
      </c>
      <c r="M31" s="54">
        <f>ROUNDUP('Buildups 50dia'!AA$1,0)</f>
        <v>342</v>
      </c>
      <c r="N31" s="54">
        <f>ROUNDUP('Buildups 50dia'!AB$1,0)</f>
        <v>372</v>
      </c>
      <c r="O31" s="54">
        <f>ROUNDUP('Buildups 50dia'!AC$1,0)</f>
        <v>402</v>
      </c>
      <c r="P31" s="54">
        <f>ROUNDUP('Buildups 50dia'!AD$1,0)</f>
        <v>433</v>
      </c>
      <c r="Q31" s="54">
        <f>ROUNDUP('Buildups 50dia'!AE$1,0)</f>
        <v>462</v>
      </c>
      <c r="R31" s="54">
        <f>ROUNDUP('Buildups 50dia'!AF$1,0)</f>
        <v>492</v>
      </c>
      <c r="S31" s="54">
        <f>ROUNDUP('Buildups 50dia'!AG$1,0)</f>
        <v>522</v>
      </c>
      <c r="T31" s="54">
        <f>ROUNDUP('Buildups 50dia'!AH$1,0)</f>
        <v>551</v>
      </c>
      <c r="U31" s="54">
        <f>ROUNDUP('Buildups 50dia'!AI$1,0)</f>
        <v>581</v>
      </c>
      <c r="V31" s="54">
        <f>ROUNDUP('Buildups 50dia'!AJ$1,0)</f>
        <v>611</v>
      </c>
      <c r="W31" s="54">
        <f>ROUNDUP('Buildups 50dia'!AK$1,0)</f>
        <v>642</v>
      </c>
      <c r="X31" s="54">
        <f>ROUNDUP('Buildups 50dia'!AL$1,0)</f>
        <v>671</v>
      </c>
      <c r="Y31" s="54">
        <f>ROUNDUP('Buildups 50dia'!AM$1,0)</f>
        <v>701</v>
      </c>
      <c r="Z31" s="54">
        <f>ROUNDUP('Buildups 50dia'!AN$1,0)</f>
        <v>731</v>
      </c>
      <c r="AA31" s="54">
        <f>ROUNDUP('Buildups 50dia'!AO$1,0)</f>
        <v>760</v>
      </c>
      <c r="AB31" s="54">
        <f>ROUNDUP('Buildups 50dia'!AP$1,0)</f>
        <v>790</v>
      </c>
      <c r="AC31" s="54">
        <f>ROUNDUP('Buildups 50dia'!AQ$1,0)</f>
        <v>821</v>
      </c>
      <c r="AD31" s="54">
        <f>ROUNDUP('Buildups 50dia'!AR$1,0)</f>
        <v>850</v>
      </c>
      <c r="AE31" s="54">
        <f>ROUNDUP('Buildups 50dia'!AS$1,0)</f>
        <v>880</v>
      </c>
      <c r="AF31" s="54">
        <f>ROUNDUP('Buildups 50dia'!AT$1,0)</f>
        <v>910</v>
      </c>
      <c r="AG31" s="54">
        <f>ROUNDUP('Buildups 50dia'!AU$1,0)</f>
        <v>939</v>
      </c>
      <c r="AH31" s="54">
        <f>ROUNDUP('Buildups 50dia'!AV$1,0)</f>
        <v>969</v>
      </c>
      <c r="AI31" s="54">
        <f>ROUNDUP('Buildups 50dia'!AW$1,0)</f>
        <v>999</v>
      </c>
      <c r="AJ31" s="54">
        <f>ROUNDUP('Buildups 50dia'!AX$1,0)</f>
        <v>1030</v>
      </c>
      <c r="AK31" s="54">
        <f>ROUNDUP('Buildups 50dia'!AY$1,0)</f>
        <v>1059</v>
      </c>
      <c r="AL31" s="54">
        <f>ROUNDUP('Buildups 50dia'!AZ$1,0)</f>
        <v>1089</v>
      </c>
    </row>
    <row r="32" spans="1:38" ht="15" customHeight="1" x14ac:dyDescent="0.2">
      <c r="A32" s="14" t="s">
        <v>31</v>
      </c>
      <c r="B32" s="16" t="s">
        <v>61</v>
      </c>
      <c r="C32" s="54">
        <f>ROUNDUP('Buildups 50dia'!Q$2,0)</f>
        <v>52</v>
      </c>
      <c r="D32" s="54">
        <f>ROUNDUP('Buildups 50dia'!R$2,0)</f>
        <v>81</v>
      </c>
      <c r="E32" s="54">
        <f>ROUNDUP('Buildups 50dia'!S$2,0)</f>
        <v>111</v>
      </c>
      <c r="F32" s="54">
        <f>ROUNDUP('Buildups 50dia'!T$2,0)</f>
        <v>141</v>
      </c>
      <c r="G32" s="54">
        <f>ROUNDUP('Buildups 50dia'!U$2,0)</f>
        <v>170</v>
      </c>
      <c r="H32" s="54">
        <f>ROUNDUP('Buildups 50dia'!V$2,0)</f>
        <v>200</v>
      </c>
      <c r="I32" s="54">
        <f>ROUNDUP('Buildups 50dia'!W$2,0)</f>
        <v>230</v>
      </c>
      <c r="J32" s="54">
        <f>ROUNDUP('Buildups 50dia'!X$2,0)</f>
        <v>259</v>
      </c>
      <c r="K32" s="54">
        <f>ROUNDUP('Buildups 50dia'!Y$2,0)</f>
        <v>289</v>
      </c>
      <c r="L32" s="54">
        <f>ROUNDUP('Buildups 50dia'!Z$2,0)</f>
        <v>319</v>
      </c>
      <c r="M32" s="54">
        <f>ROUNDUP('Buildups 50dia'!AA$2,0)</f>
        <v>348</v>
      </c>
      <c r="N32" s="54">
        <f>ROUNDUP('Buildups 50dia'!AB$2,0)</f>
        <v>380</v>
      </c>
      <c r="O32" s="54">
        <f>ROUNDUP('Buildups 50dia'!AC$2,0)</f>
        <v>410</v>
      </c>
      <c r="P32" s="54">
        <f>ROUNDUP('Buildups 50dia'!AD$2,0)</f>
        <v>439</v>
      </c>
      <c r="Q32" s="54">
        <f>ROUNDUP('Buildups 50dia'!AE$2,0)</f>
        <v>469</v>
      </c>
      <c r="R32" s="54">
        <f>ROUNDUP('Buildups 50dia'!AF$2,0)</f>
        <v>499</v>
      </c>
      <c r="S32" s="54">
        <f>ROUNDUP('Buildups 50dia'!AG$2,0)</f>
        <v>528</v>
      </c>
      <c r="T32" s="54">
        <f>ROUNDUP('Buildups 50dia'!AH$2,0)</f>
        <v>558</v>
      </c>
      <c r="U32" s="54">
        <f>ROUNDUP('Buildups 50dia'!AI$2,0)</f>
        <v>588</v>
      </c>
      <c r="V32" s="54">
        <f>ROUNDUP('Buildups 50dia'!AJ$2,0)</f>
        <v>617</v>
      </c>
      <c r="W32" s="54">
        <f>ROUNDUP('Buildups 50dia'!AK$2,0)</f>
        <v>647</v>
      </c>
      <c r="X32" s="54">
        <f>ROUNDUP('Buildups 50dia'!AL$2,0)</f>
        <v>678</v>
      </c>
      <c r="Y32" s="54">
        <f>ROUNDUP('Buildups 50dia'!AM$2,0)</f>
        <v>708</v>
      </c>
      <c r="Z32" s="54">
        <f>ROUNDUP('Buildups 50dia'!AN$2,0)</f>
        <v>738</v>
      </c>
      <c r="AA32" s="54">
        <f>ROUNDUP('Buildups 50dia'!AO$2,0)</f>
        <v>767</v>
      </c>
      <c r="AB32" s="54">
        <f>ROUNDUP('Buildups 50dia'!AP$2,0)</f>
        <v>797</v>
      </c>
      <c r="AC32" s="54">
        <f>ROUNDUP('Buildups 50dia'!AQ$2,0)</f>
        <v>827</v>
      </c>
      <c r="AD32" s="54">
        <f>ROUNDUP('Buildups 50dia'!AR$2,0)</f>
        <v>856</v>
      </c>
      <c r="AE32" s="54">
        <f>ROUNDUP('Buildups 50dia'!AS$2,0)</f>
        <v>886</v>
      </c>
      <c r="AF32" s="54">
        <f>ROUNDUP('Buildups 50dia'!AT$2,0)</f>
        <v>916</v>
      </c>
      <c r="AG32" s="54">
        <f>ROUNDUP('Buildups 50dia'!AU$2,0)</f>
        <v>945</v>
      </c>
      <c r="AH32" s="54">
        <f>ROUNDUP('Buildups 50dia'!AV$2,0)</f>
        <v>975</v>
      </c>
      <c r="AI32" s="54">
        <f>ROUNDUP('Buildups 50dia'!AW$2,0)</f>
        <v>1007</v>
      </c>
      <c r="AJ32" s="54">
        <f>ROUNDUP('Buildups 50dia'!AX$2,0)</f>
        <v>1036</v>
      </c>
      <c r="AK32" s="54">
        <f>ROUNDUP('Buildups 50dia'!AY$2,0)</f>
        <v>1066</v>
      </c>
      <c r="AL32" s="54">
        <f>ROUNDUP('Buildups 50dia'!AZ$2,0)</f>
        <v>1096</v>
      </c>
    </row>
    <row r="33" spans="1:38" ht="15" customHeight="1" x14ac:dyDescent="0.2">
      <c r="A33" s="14" t="s">
        <v>32</v>
      </c>
      <c r="B33" s="16" t="s">
        <v>14</v>
      </c>
      <c r="C33" s="106">
        <f t="shared" ref="C33:AL33" si="4">C12*Hard50</f>
        <v>73.839392987249923</v>
      </c>
      <c r="D33" s="106">
        <f t="shared" si="4"/>
        <v>107.37907153922039</v>
      </c>
      <c r="E33" s="106">
        <f t="shared" si="4"/>
        <v>140.91875009119084</v>
      </c>
      <c r="F33" s="106">
        <f t="shared" si="4"/>
        <v>174.45842864316128</v>
      </c>
      <c r="G33" s="106">
        <f t="shared" si="4"/>
        <v>207.99810719513175</v>
      </c>
      <c r="H33" s="106">
        <f t="shared" si="4"/>
        <v>260.39630850491142</v>
      </c>
      <c r="I33" s="106">
        <f t="shared" si="4"/>
        <v>293.93598705688186</v>
      </c>
      <c r="J33" s="106">
        <f t="shared" si="4"/>
        <v>327.4756656088523</v>
      </c>
      <c r="K33" s="106">
        <f t="shared" si="4"/>
        <v>370.06743508457117</v>
      </c>
      <c r="L33" s="106">
        <f t="shared" si="4"/>
        <v>403.60711363654167</v>
      </c>
      <c r="M33" s="106">
        <f t="shared" si="4"/>
        <v>437.14679218851205</v>
      </c>
      <c r="N33" s="106">
        <f t="shared" si="4"/>
        <v>470.68647074048255</v>
      </c>
      <c r="O33" s="106">
        <f t="shared" si="4"/>
        <v>519.42073048588793</v>
      </c>
      <c r="P33" s="106">
        <f t="shared" si="4"/>
        <v>552.96040903785843</v>
      </c>
      <c r="Q33" s="106">
        <f t="shared" si="4"/>
        <v>586.50008758982881</v>
      </c>
      <c r="R33" s="106">
        <f t="shared" si="4"/>
        <v>620.0397661417993</v>
      </c>
      <c r="S33" s="106">
        <f t="shared" si="4"/>
        <v>683.21426617032694</v>
      </c>
      <c r="T33" s="106">
        <f t="shared" si="4"/>
        <v>716.75394472229743</v>
      </c>
      <c r="U33" s="106">
        <f t="shared" si="4"/>
        <v>750.29362327426793</v>
      </c>
      <c r="V33" s="106">
        <f t="shared" si="4"/>
        <v>783.83330182623843</v>
      </c>
      <c r="W33" s="106">
        <f t="shared" si="4"/>
        <v>817.37298037820869</v>
      </c>
      <c r="X33" s="106">
        <f t="shared" si="4"/>
        <v>871.27986350861318</v>
      </c>
      <c r="Y33" s="106">
        <f t="shared" si="4"/>
        <v>904.81954206058367</v>
      </c>
      <c r="Z33" s="106">
        <f t="shared" si="4"/>
        <v>938.35922061255394</v>
      </c>
      <c r="AA33" s="106">
        <f t="shared" si="4"/>
        <v>971.89889916452444</v>
      </c>
      <c r="AB33" s="106">
        <f t="shared" si="4"/>
        <v>1005.4385777164949</v>
      </c>
      <c r="AC33" s="106">
        <f t="shared" si="4"/>
        <v>1038.9782562684654</v>
      </c>
      <c r="AD33" s="106">
        <f t="shared" si="4"/>
        <v>1094.8248731682445</v>
      </c>
      <c r="AE33" s="106">
        <f t="shared" si="4"/>
        <v>1128.3645517202151</v>
      </c>
      <c r="AF33" s="106">
        <f t="shared" si="4"/>
        <v>1161.9042302721855</v>
      </c>
      <c r="AG33" s="106">
        <f t="shared" si="4"/>
        <v>1228.2038569291501</v>
      </c>
      <c r="AH33" s="106">
        <f t="shared" si="4"/>
        <v>1261.7435354811207</v>
      </c>
      <c r="AI33" s="106">
        <f t="shared" si="4"/>
        <v>1295.2832140330911</v>
      </c>
      <c r="AJ33" s="106">
        <f t="shared" si="4"/>
        <v>1328.8228925850617</v>
      </c>
      <c r="AK33" s="106">
        <f t="shared" si="4"/>
        <v>1362.3625711370321</v>
      </c>
      <c r="AL33" s="106">
        <f t="shared" si="4"/>
        <v>1395.9022496890025</v>
      </c>
    </row>
    <row r="34" spans="1:38" ht="15" customHeight="1" x14ac:dyDescent="0.2">
      <c r="A34" s="14"/>
      <c r="B34" s="210" t="s">
        <v>267</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row>
    <row r="35" spans="1:38" ht="15" customHeight="1" x14ac:dyDescent="0.2">
      <c r="A35" s="14" t="s">
        <v>81</v>
      </c>
      <c r="B35" s="16" t="s">
        <v>60</v>
      </c>
      <c r="C35" s="54">
        <f>ROUNDUP('Buildups 100dia'!Q$1,0)</f>
        <v>53</v>
      </c>
      <c r="D35" s="54">
        <f>ROUNDUP('Buildups 100dia'!R$1,0)</f>
        <v>92</v>
      </c>
      <c r="E35" s="54">
        <f>ROUNDUP('Buildups 100dia'!S$1,0)</f>
        <v>130</v>
      </c>
      <c r="F35" s="54">
        <f>ROUNDUP('Buildups 100dia'!T$1,0)</f>
        <v>171</v>
      </c>
      <c r="G35" s="54">
        <f>ROUNDUP('Buildups 100dia'!U$1,0)</f>
        <v>209</v>
      </c>
      <c r="H35" s="54">
        <f>ROUNDUP('Buildups 100dia'!V$1,0)</f>
        <v>247</v>
      </c>
      <c r="I35" s="54">
        <f>ROUNDUP('Buildups 100dia'!W$1,0)</f>
        <v>288</v>
      </c>
      <c r="J35" s="54">
        <f>ROUNDUP('Buildups 100dia'!X$1,0)</f>
        <v>326</v>
      </c>
      <c r="K35" s="54">
        <f>ROUNDUP('Buildups 100dia'!Y$1,0)</f>
        <v>365</v>
      </c>
      <c r="L35" s="54">
        <f>ROUNDUP('Buildups 100dia'!Z$1,0)</f>
        <v>406</v>
      </c>
      <c r="M35" s="54">
        <f>ROUNDUP('Buildups 100dia'!AA$1,0)</f>
        <v>444</v>
      </c>
      <c r="N35" s="54">
        <f>ROUNDUP('Buildups 100dia'!AB$1,0)</f>
        <v>482</v>
      </c>
      <c r="O35" s="54">
        <f>ROUNDUP('Buildups 100dia'!AC$1,0)</f>
        <v>523</v>
      </c>
      <c r="P35" s="54">
        <f>ROUNDUP('Buildups 100dia'!AD$1,0)</f>
        <v>561</v>
      </c>
      <c r="Q35" s="54">
        <f>ROUNDUP('Buildups 100dia'!AE$1,0)</f>
        <v>600</v>
      </c>
      <c r="R35" s="54">
        <f>ROUNDUP('Buildups 100dia'!AF$1,0)</f>
        <v>640</v>
      </c>
      <c r="S35" s="54">
        <f>ROUNDUP('Buildups 100dia'!AG$1,0)</f>
        <v>679</v>
      </c>
      <c r="T35" s="54">
        <f>ROUNDUP('Buildups 100dia'!AH$1,0)</f>
        <v>717</v>
      </c>
      <c r="U35" s="54">
        <f>ROUNDUP('Buildups 100dia'!AI$1,0)</f>
        <v>758</v>
      </c>
      <c r="V35" s="54">
        <f>ROUNDUP('Buildups 100dia'!AJ$1,0)</f>
        <v>796</v>
      </c>
      <c r="W35" s="54">
        <f>ROUNDUP('Buildups 100dia'!AK$1,0)</f>
        <v>835</v>
      </c>
      <c r="X35" s="54">
        <f>ROUNDUP('Buildups 100dia'!AL$1,0)</f>
        <v>875</v>
      </c>
      <c r="Y35" s="54">
        <f>ROUNDUP('Buildups 100dia'!AM$1,0)</f>
        <v>914</v>
      </c>
      <c r="Z35" s="54">
        <f>ROUNDUP('Buildups 100dia'!AN$1,0)</f>
        <v>952</v>
      </c>
      <c r="AA35" s="54">
        <f>ROUNDUP('Buildups 100dia'!AO$1,0)</f>
        <v>993</v>
      </c>
      <c r="AB35" s="54">
        <f>ROUNDUP('Buildups 100dia'!AP$1,0)</f>
        <v>1031</v>
      </c>
      <c r="AC35" s="54">
        <f>ROUNDUP('Buildups 100dia'!AQ$1,0)</f>
        <v>1069</v>
      </c>
      <c r="AD35" s="54">
        <f>ROUNDUP('Buildups 100dia'!AR$1,0)</f>
        <v>1125</v>
      </c>
      <c r="AE35" s="54">
        <f>ROUNDUP('Buildups 100dia'!AS$1,0)</f>
        <v>1163</v>
      </c>
      <c r="AF35" s="54">
        <f>ROUNDUP('Buildups 100dia'!AT$1,0)</f>
        <v>1202</v>
      </c>
      <c r="AG35" s="54">
        <f>ROUNDUP('Buildups 100dia'!AU$1,0)</f>
        <v>1243</v>
      </c>
      <c r="AH35" s="54">
        <f>ROUNDUP('Buildups 100dia'!AV$1,0)</f>
        <v>1281</v>
      </c>
      <c r="AI35" s="54">
        <f>ROUNDUP('Buildups 100dia'!AW$1,0)</f>
        <v>1319</v>
      </c>
      <c r="AJ35" s="54">
        <f>ROUNDUP('Buildups 100dia'!AX$1,0)</f>
        <v>1360</v>
      </c>
      <c r="AK35" s="54">
        <f>ROUNDUP('Buildups 100dia'!AY$1,0)</f>
        <v>1398</v>
      </c>
      <c r="AL35" s="54">
        <f>ROUNDUP('Buildups 100dia'!AZ$1,0)</f>
        <v>1437</v>
      </c>
    </row>
    <row r="36" spans="1:38" ht="15" customHeight="1" x14ac:dyDescent="0.2">
      <c r="A36" s="14" t="s">
        <v>82</v>
      </c>
      <c r="B36" s="16" t="s">
        <v>61</v>
      </c>
      <c r="C36" s="54">
        <f>ROUNDUP('Buildups 100dia'!Q$2,0)</f>
        <v>60</v>
      </c>
      <c r="D36" s="54">
        <f>ROUNDUP('Buildups 100dia'!R$2,0)</f>
        <v>99</v>
      </c>
      <c r="E36" s="54">
        <f>ROUNDUP('Buildups 100dia'!S$2,0)</f>
        <v>137</v>
      </c>
      <c r="F36" s="54">
        <f>ROUNDUP('Buildups 100dia'!T$2,0)</f>
        <v>175</v>
      </c>
      <c r="G36" s="54">
        <f>ROUNDUP('Buildups 100dia'!U$2,0)</f>
        <v>214</v>
      </c>
      <c r="H36" s="54">
        <f>ROUNDUP('Buildups 100dia'!V$2,0)</f>
        <v>256</v>
      </c>
      <c r="I36" s="54">
        <f>ROUNDUP('Buildups 100dia'!W$2,0)</f>
        <v>294</v>
      </c>
      <c r="J36" s="54">
        <f>ROUNDUP('Buildups 100dia'!X$2,0)</f>
        <v>332</v>
      </c>
      <c r="K36" s="54">
        <f>ROUNDUP('Buildups 100dia'!Y$2,0)</f>
        <v>371</v>
      </c>
      <c r="L36" s="54">
        <f>ROUNDUP('Buildups 100dia'!Z$2,0)</f>
        <v>409</v>
      </c>
      <c r="M36" s="54">
        <f>ROUNDUP('Buildups 100dia'!AA$2,0)</f>
        <v>451</v>
      </c>
      <c r="N36" s="54">
        <f>ROUNDUP('Buildups 100dia'!AB$2,0)</f>
        <v>489</v>
      </c>
      <c r="O36" s="54">
        <f>ROUNDUP('Buildups 100dia'!AC$2,0)</f>
        <v>528</v>
      </c>
      <c r="P36" s="54">
        <f>ROUNDUP('Buildups 100dia'!AD$2,0)</f>
        <v>566</v>
      </c>
      <c r="Q36" s="54">
        <f>ROUNDUP('Buildups 100dia'!AE$2,0)</f>
        <v>604</v>
      </c>
      <c r="R36" s="54">
        <f>ROUNDUP('Buildups 100dia'!AF$2,0)</f>
        <v>646</v>
      </c>
      <c r="S36" s="54">
        <f>ROUNDUP('Buildups 100dia'!AG$2,0)</f>
        <v>685</v>
      </c>
      <c r="T36" s="54">
        <f>ROUNDUP('Buildups 100dia'!AH$2,0)</f>
        <v>723</v>
      </c>
      <c r="U36" s="54">
        <f>ROUNDUP('Buildups 100dia'!AI$2,0)</f>
        <v>761</v>
      </c>
      <c r="V36" s="54">
        <f>ROUNDUP('Buildups 100dia'!AJ$2,0)</f>
        <v>800</v>
      </c>
      <c r="W36" s="54">
        <f>ROUNDUP('Buildups 100dia'!AK$2,0)</f>
        <v>842</v>
      </c>
      <c r="X36" s="54">
        <f>ROUNDUP('Buildups 100dia'!AL$2,0)</f>
        <v>880</v>
      </c>
      <c r="Y36" s="54">
        <f>ROUNDUP('Buildups 100dia'!AM$2,0)</f>
        <v>918</v>
      </c>
      <c r="Z36" s="54">
        <f>ROUNDUP('Buildups 100dia'!AN$2,0)</f>
        <v>957</v>
      </c>
      <c r="AA36" s="54">
        <f>ROUNDUP('Buildups 100dia'!AO$2,0)</f>
        <v>995</v>
      </c>
      <c r="AB36" s="54">
        <f>ROUNDUP('Buildups 100dia'!AP$2,0)</f>
        <v>1037</v>
      </c>
      <c r="AC36" s="54">
        <f>ROUNDUP('Buildups 100dia'!AQ$2,0)</f>
        <v>1075</v>
      </c>
      <c r="AD36" s="54">
        <f>ROUNDUP('Buildups 100dia'!AR$2,0)</f>
        <v>1114</v>
      </c>
      <c r="AE36" s="54">
        <f>ROUNDUP('Buildups 100dia'!AS$2,0)</f>
        <v>1152</v>
      </c>
      <c r="AF36" s="54">
        <f>ROUNDUP('Buildups 100dia'!AT$2,0)</f>
        <v>1190</v>
      </c>
      <c r="AG36" s="54">
        <f>ROUNDUP('Buildups 100dia'!AU$2,0)</f>
        <v>1232</v>
      </c>
      <c r="AH36" s="54">
        <f>ROUNDUP('Buildups 100dia'!AV$2,0)</f>
        <v>1271</v>
      </c>
      <c r="AI36" s="54">
        <f>ROUNDUP('Buildups 100dia'!AW$2,0)</f>
        <v>1309</v>
      </c>
      <c r="AJ36" s="54">
        <f>ROUNDUP('Buildups 100dia'!AX$2,0)</f>
        <v>1347</v>
      </c>
      <c r="AK36" s="54">
        <f>ROUNDUP('Buildups 100dia'!AY$2,0)</f>
        <v>1386</v>
      </c>
      <c r="AL36" s="54">
        <f>ROUNDUP('Buildups 100dia'!AZ$2,0)</f>
        <v>1428</v>
      </c>
    </row>
    <row r="37" spans="1:38" ht="15" customHeight="1" x14ac:dyDescent="0.2">
      <c r="A37" s="103" t="s">
        <v>141</v>
      </c>
      <c r="B37" s="16" t="s">
        <v>14</v>
      </c>
      <c r="C37" s="106">
        <f t="shared" ref="C37:AL37" si="5">C17*Hard100</f>
        <v>79.93980981083547</v>
      </c>
      <c r="D37" s="106">
        <f t="shared" si="5"/>
        <v>139.95758742518305</v>
      </c>
      <c r="E37" s="106">
        <f t="shared" si="5"/>
        <v>190.8637422496414</v>
      </c>
      <c r="F37" s="106">
        <f t="shared" si="5"/>
        <v>247.47717728315132</v>
      </c>
      <c r="G37" s="106">
        <f t="shared" si="5"/>
        <v>317.50772719408053</v>
      </c>
      <c r="H37" s="106">
        <f t="shared" si="5"/>
        <v>360.00315328941031</v>
      </c>
      <c r="I37" s="106">
        <f t="shared" si="5"/>
        <v>421.42271902527938</v>
      </c>
      <c r="J37" s="106">
        <f t="shared" si="5"/>
        <v>491.54633391935732</v>
      </c>
      <c r="K37" s="106">
        <f t="shared" si="5"/>
        <v>551.56411153370505</v>
      </c>
      <c r="L37" s="106">
        <f t="shared" si="5"/>
        <v>602.47026635816337</v>
      </c>
      <c r="M37" s="106">
        <f t="shared" si="5"/>
        <v>659.08370139167323</v>
      </c>
      <c r="N37" s="106">
        <f t="shared" si="5"/>
        <v>729.11425130260238</v>
      </c>
      <c r="O37" s="106">
        <f t="shared" si="5"/>
        <v>771.60967739793227</v>
      </c>
      <c r="P37" s="106">
        <f t="shared" si="5"/>
        <v>833.0292431338014</v>
      </c>
      <c r="Q37" s="106">
        <f t="shared" si="5"/>
        <v>912.96905294463681</v>
      </c>
      <c r="R37" s="106">
        <f t="shared" si="5"/>
        <v>972.98683055898437</v>
      </c>
      <c r="S37" s="106">
        <f t="shared" si="5"/>
        <v>1023.8929853834428</v>
      </c>
      <c r="T37" s="106">
        <f t="shared" si="5"/>
        <v>1080.5064204169528</v>
      </c>
      <c r="U37" s="106">
        <f t="shared" si="5"/>
        <v>1150.536970327882</v>
      </c>
      <c r="V37" s="106">
        <f t="shared" si="5"/>
        <v>1193.0323964232118</v>
      </c>
      <c r="W37" s="106">
        <f t="shared" si="5"/>
        <v>1254.4519621590807</v>
      </c>
      <c r="X37" s="106">
        <f t="shared" si="5"/>
        <v>1324.5755770531587</v>
      </c>
      <c r="Y37" s="106">
        <f t="shared" si="5"/>
        <v>1384.5933546675062</v>
      </c>
      <c r="Z37" s="106">
        <f t="shared" si="5"/>
        <v>1435.4995094919648</v>
      </c>
      <c r="AA37" s="106">
        <f t="shared" si="5"/>
        <v>1492.1129445254746</v>
      </c>
      <c r="AB37" s="106">
        <f t="shared" si="5"/>
        <v>1562.1434944364037</v>
      </c>
      <c r="AC37" s="106">
        <f t="shared" si="5"/>
        <v>1604.6389205317334</v>
      </c>
      <c r="AD37" s="106">
        <f t="shared" si="5"/>
        <v>1666.0584862676028</v>
      </c>
      <c r="AE37" s="106">
        <f t="shared" si="5"/>
        <v>1745.9982960784382</v>
      </c>
      <c r="AF37" s="106">
        <f t="shared" si="5"/>
        <v>1806.016073692786</v>
      </c>
      <c r="AG37" s="106">
        <f t="shared" si="5"/>
        <v>1856.9222285172441</v>
      </c>
      <c r="AH37" s="106">
        <f t="shared" si="5"/>
        <v>1913.535663550754</v>
      </c>
      <c r="AI37" s="106">
        <f t="shared" si="5"/>
        <v>1983.5662134616832</v>
      </c>
      <c r="AJ37" s="106">
        <f t="shared" si="5"/>
        <v>2026.0616395570132</v>
      </c>
      <c r="AK37" s="106">
        <f t="shared" si="5"/>
        <v>2087.4812052928819</v>
      </c>
      <c r="AL37" s="106">
        <f t="shared" si="5"/>
        <v>2157.6048201869598</v>
      </c>
    </row>
    <row r="38" spans="1:38" ht="20.100000000000001" customHeight="1" x14ac:dyDescent="0.2">
      <c r="A38" s="279" t="s">
        <v>19</v>
      </c>
      <c r="B38" s="280"/>
      <c r="C38" s="277" t="s">
        <v>63</v>
      </c>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row>
    <row r="39" spans="1:38" ht="15" customHeight="1" x14ac:dyDescent="0.2">
      <c r="A39" s="14"/>
      <c r="B39" s="15" t="s">
        <v>71</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1:38" ht="15" customHeight="1" x14ac:dyDescent="0.2">
      <c r="A40" s="14" t="s">
        <v>33</v>
      </c>
      <c r="B40" s="16" t="s">
        <v>60</v>
      </c>
      <c r="C40" s="54">
        <f>ROUNDUP('Buildups 50dia'!CM1,0)</f>
        <v>66</v>
      </c>
      <c r="D40" s="54">
        <f>ROUNDUP('Buildups 50dia'!CN1,0)</f>
        <v>96</v>
      </c>
      <c r="E40" s="54">
        <f>ROUNDUP('Buildups 50dia'!CO1,0)</f>
        <v>125</v>
      </c>
      <c r="F40" s="54">
        <f>ROUNDUP('Buildups 50dia'!CP1,0)</f>
        <v>155</v>
      </c>
      <c r="G40" s="54">
        <f>ROUNDUP('Buildups 50dia'!CQ1,0)</f>
        <v>185</v>
      </c>
      <c r="H40" s="54">
        <f>ROUNDUP('Buildups 50dia'!CR1,0)</f>
        <v>214</v>
      </c>
      <c r="I40" s="54">
        <f>ROUNDUP('Buildups 50dia'!CS1,0)</f>
        <v>244</v>
      </c>
      <c r="J40" s="54">
        <f>ROUNDUP('Buildups 50dia'!CT1,0)</f>
        <v>277</v>
      </c>
      <c r="K40" s="54">
        <f>ROUNDUP('Buildups 50dia'!CU1,0)</f>
        <v>306</v>
      </c>
      <c r="L40" s="54">
        <f>ROUNDUP('Buildups 50dia'!CV1,0)</f>
        <v>336</v>
      </c>
      <c r="M40" s="54">
        <f>ROUNDUP('Buildups 50dia'!CW1,0)</f>
        <v>365</v>
      </c>
      <c r="N40" s="54">
        <f>ROUNDUP('Buildups 50dia'!CX1,0)</f>
        <v>395</v>
      </c>
      <c r="O40" s="54">
        <f>ROUNDUP('Buildups 50dia'!CY1,0)</f>
        <v>425</v>
      </c>
      <c r="P40" s="54">
        <f>ROUNDUP('Buildups 50dia'!CZ1,0)</f>
        <v>457</v>
      </c>
      <c r="Q40" s="54">
        <f>ROUNDUP('Buildups 50dia'!DA1,0)</f>
        <v>487</v>
      </c>
      <c r="R40" s="54">
        <f>ROUNDUP('Buildups 50dia'!DB1,0)</f>
        <v>517</v>
      </c>
      <c r="S40" s="54">
        <f>ROUNDUP('Buildups 50dia'!DC1,0)</f>
        <v>546</v>
      </c>
      <c r="T40" s="54">
        <f>ROUNDUP('Buildups 50dia'!DD1,0)</f>
        <v>576</v>
      </c>
      <c r="U40" s="54">
        <f>ROUNDUP('Buildups 50dia'!DE1,0)</f>
        <v>605</v>
      </c>
      <c r="V40" s="54">
        <f>ROUNDUP('Buildups 50dia'!DF1,0)</f>
        <v>635</v>
      </c>
      <c r="W40" s="54">
        <f>ROUNDUP('Buildups 50dia'!DG1,0)</f>
        <v>668</v>
      </c>
      <c r="X40" s="54">
        <f>ROUNDUP('Buildups 50dia'!DH1,0)</f>
        <v>697</v>
      </c>
      <c r="Y40" s="54">
        <f>ROUNDUP('Buildups 50dia'!DI1,0)</f>
        <v>727</v>
      </c>
      <c r="Z40" s="54">
        <f>ROUNDUP('Buildups 50dia'!DJ1,0)</f>
        <v>757</v>
      </c>
      <c r="AA40" s="54">
        <f>ROUNDUP('Buildups 50dia'!DK1,0)</f>
        <v>786</v>
      </c>
      <c r="AB40" s="54">
        <f>ROUNDUP('Buildups 50dia'!DL1,0)</f>
        <v>816</v>
      </c>
      <c r="AC40" s="54">
        <f>ROUNDUP('Buildups 50dia'!DM1,0)</f>
        <v>848</v>
      </c>
      <c r="AD40" s="54">
        <f>ROUNDUP('Buildups 50dia'!DN1,0)</f>
        <v>878</v>
      </c>
      <c r="AE40" s="54">
        <f>ROUNDUP('Buildups 50dia'!DO1,0)</f>
        <v>908</v>
      </c>
      <c r="AF40" s="54">
        <f>ROUNDUP('Buildups 50dia'!DP1,0)</f>
        <v>937</v>
      </c>
      <c r="AG40" s="54">
        <f>ROUNDUP('Buildups 50dia'!DQ1,0)</f>
        <v>967</v>
      </c>
      <c r="AH40" s="54">
        <f>ROUNDUP('Buildups 50dia'!DR1,0)</f>
        <v>997</v>
      </c>
      <c r="AI40" s="54">
        <f>ROUNDUP('Buildups 50dia'!DS1,0)</f>
        <v>1026</v>
      </c>
      <c r="AJ40" s="54">
        <f>ROUNDUP('Buildups 50dia'!DT1,0)</f>
        <v>1059</v>
      </c>
      <c r="AK40" s="54">
        <f>ROUNDUP('Buildups 50dia'!DU1,0)</f>
        <v>1089</v>
      </c>
      <c r="AL40" s="54">
        <f>ROUNDUP('Buildups 50dia'!DV1,0)</f>
        <v>1118</v>
      </c>
    </row>
    <row r="41" spans="1:38" ht="15" customHeight="1" x14ac:dyDescent="0.2">
      <c r="A41" s="14" t="s">
        <v>34</v>
      </c>
      <c r="B41" s="16" t="s">
        <v>61</v>
      </c>
      <c r="C41" s="54">
        <f>ROUNDUP('Buildups 50dia'!CM2,0)</f>
        <v>84</v>
      </c>
      <c r="D41" s="54">
        <f>ROUNDUP('Buildups 50dia'!CN2,0)</f>
        <v>114</v>
      </c>
      <c r="E41" s="54">
        <f>ROUNDUP('Buildups 50dia'!CO2,0)</f>
        <v>143</v>
      </c>
      <c r="F41" s="54">
        <f>ROUNDUP('Buildups 50dia'!CP2,0)</f>
        <v>173</v>
      </c>
      <c r="G41" s="54">
        <f>ROUNDUP('Buildups 50dia'!CQ2,0)</f>
        <v>203</v>
      </c>
      <c r="H41" s="54">
        <f>ROUNDUP('Buildups 50dia'!CR2,0)</f>
        <v>232</v>
      </c>
      <c r="I41" s="54">
        <f>ROUNDUP('Buildups 50dia'!CS2,0)</f>
        <v>262</v>
      </c>
      <c r="J41" s="54">
        <f>ROUNDUP('Buildups 50dia'!CT2,0)</f>
        <v>292</v>
      </c>
      <c r="K41" s="54">
        <f>ROUNDUP('Buildups 50dia'!CU2,0)</f>
        <v>321</v>
      </c>
      <c r="L41" s="54">
        <f>ROUNDUP('Buildups 50dia'!CV2,0)</f>
        <v>351</v>
      </c>
      <c r="M41" s="54">
        <f>ROUNDUP('Buildups 50dia'!CW2,0)</f>
        <v>380</v>
      </c>
      <c r="N41" s="54">
        <f>ROUNDUP('Buildups 50dia'!CX2,0)</f>
        <v>415</v>
      </c>
      <c r="O41" s="54">
        <f>ROUNDUP('Buildups 50dia'!CY2,0)</f>
        <v>444</v>
      </c>
      <c r="P41" s="54">
        <f>ROUNDUP('Buildups 50dia'!CZ2,0)</f>
        <v>474</v>
      </c>
      <c r="Q41" s="54">
        <f>ROUNDUP('Buildups 50dia'!DA2,0)</f>
        <v>503</v>
      </c>
      <c r="R41" s="54">
        <f>ROUNDUP('Buildups 50dia'!DB2,0)</f>
        <v>533</v>
      </c>
      <c r="S41" s="54">
        <f>ROUNDUP('Buildups 50dia'!DC2,0)</f>
        <v>563</v>
      </c>
      <c r="T41" s="54">
        <f>ROUNDUP('Buildups 50dia'!DD2,0)</f>
        <v>592</v>
      </c>
      <c r="U41" s="54">
        <f>ROUNDUP('Buildups 50dia'!DE2,0)</f>
        <v>622</v>
      </c>
      <c r="V41" s="54">
        <f>ROUNDUP('Buildups 50dia'!DF2,0)</f>
        <v>652</v>
      </c>
      <c r="W41" s="54">
        <f>ROUNDUP('Buildups 50dia'!DG2,0)</f>
        <v>681</v>
      </c>
      <c r="X41" s="54">
        <f>ROUNDUP('Buildups 50dia'!DH2,0)</f>
        <v>715</v>
      </c>
      <c r="Y41" s="54">
        <f>ROUNDUP('Buildups 50dia'!DI2,0)</f>
        <v>745</v>
      </c>
      <c r="Z41" s="54">
        <f>ROUNDUP('Buildups 50dia'!DJ2,0)</f>
        <v>775</v>
      </c>
      <c r="AA41" s="54">
        <f>ROUNDUP('Buildups 50dia'!DK2,0)</f>
        <v>804</v>
      </c>
      <c r="AB41" s="54">
        <f>ROUNDUP('Buildups 50dia'!DL2,0)</f>
        <v>834</v>
      </c>
      <c r="AC41" s="54">
        <f>ROUNDUP('Buildups 50dia'!DM2,0)</f>
        <v>863</v>
      </c>
      <c r="AD41" s="54">
        <f>ROUNDUP('Buildups 50dia'!DN2,0)</f>
        <v>893</v>
      </c>
      <c r="AE41" s="54">
        <f>ROUNDUP('Buildups 50dia'!DO2,0)</f>
        <v>923</v>
      </c>
      <c r="AF41" s="54">
        <f>ROUNDUP('Buildups 50dia'!DP2,0)</f>
        <v>952</v>
      </c>
      <c r="AG41" s="54">
        <f>ROUNDUP('Buildups 50dia'!DQ2,0)</f>
        <v>982</v>
      </c>
      <c r="AH41" s="54">
        <f>ROUNDUP('Buildups 50dia'!DR2,0)</f>
        <v>1012</v>
      </c>
      <c r="AI41" s="54">
        <f>ROUNDUP('Buildups 50dia'!DS2,0)</f>
        <v>1046</v>
      </c>
      <c r="AJ41" s="54">
        <f>ROUNDUP('Buildups 50dia'!DT2,0)</f>
        <v>1075</v>
      </c>
      <c r="AK41" s="54">
        <f>ROUNDUP('Buildups 50dia'!DU2,0)</f>
        <v>1105</v>
      </c>
      <c r="AL41" s="54">
        <f>ROUNDUP('Buildups 50dia'!DV2,0)</f>
        <v>1135</v>
      </c>
    </row>
    <row r="42" spans="1:38" ht="15" customHeight="1" x14ac:dyDescent="0.2">
      <c r="A42" s="14"/>
      <c r="B42" s="210" t="s">
        <v>267</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1:38" ht="15" customHeight="1" x14ac:dyDescent="0.2">
      <c r="A43" s="14" t="s">
        <v>83</v>
      </c>
      <c r="B43" s="16" t="s">
        <v>60</v>
      </c>
      <c r="C43" s="54">
        <f>ROUNDUP('Buildups 100dia'!CM1,0)</f>
        <v>87</v>
      </c>
      <c r="D43" s="54">
        <f>ROUNDUP('Buildups 100dia'!CN1,0)</f>
        <v>125</v>
      </c>
      <c r="E43" s="54">
        <f>ROUNDUP('Buildups 100dia'!CO1,0)</f>
        <v>163</v>
      </c>
      <c r="F43" s="54">
        <f>ROUNDUP('Buildups 100dia'!CP1,0)</f>
        <v>209</v>
      </c>
      <c r="G43" s="54">
        <f>ROUNDUP('Buildups 100dia'!CQ1,0)</f>
        <v>247</v>
      </c>
      <c r="H43" s="54">
        <f>ROUNDUP('Buildups 100dia'!CR1,0)</f>
        <v>286</v>
      </c>
      <c r="I43" s="54">
        <f>ROUNDUP('Buildups 100dia'!CS1,0)</f>
        <v>332</v>
      </c>
      <c r="J43" s="54">
        <f>ROUNDUP('Buildups 100dia'!CT1,0)</f>
        <v>370</v>
      </c>
      <c r="K43" s="54">
        <f>ROUNDUP('Buildups 100dia'!CU1,0)</f>
        <v>408</v>
      </c>
      <c r="L43" s="54">
        <f>ROUNDUP('Buildups 100dia'!CV1,0)</f>
        <v>454</v>
      </c>
      <c r="M43" s="54">
        <f>ROUNDUP('Buildups 100dia'!CW1,0)</f>
        <v>493</v>
      </c>
      <c r="N43" s="54">
        <f>ROUNDUP('Buildups 100dia'!CX1,0)</f>
        <v>531</v>
      </c>
      <c r="O43" s="54">
        <f>ROUNDUP('Buildups 100dia'!CY1,0)</f>
        <v>577</v>
      </c>
      <c r="P43" s="54">
        <f>ROUNDUP('Buildups 100dia'!CZ1,0)</f>
        <v>615</v>
      </c>
      <c r="Q43" s="54">
        <f>ROUNDUP('Buildups 100dia'!DA1,0)</f>
        <v>653</v>
      </c>
      <c r="R43" s="54">
        <f>ROUNDUP('Buildups 100dia'!DB1,0)</f>
        <v>699</v>
      </c>
      <c r="S43" s="54">
        <f>ROUNDUP('Buildups 100dia'!DC1,0)</f>
        <v>738</v>
      </c>
      <c r="T43" s="54">
        <f>ROUNDUP('Buildups 100dia'!DD1,0)</f>
        <v>776</v>
      </c>
      <c r="U43" s="54">
        <f>ROUNDUP('Buildups 100dia'!DE1,0)</f>
        <v>822</v>
      </c>
      <c r="V43" s="54">
        <f>ROUNDUP('Buildups 100dia'!DF1,0)</f>
        <v>860</v>
      </c>
      <c r="W43" s="54">
        <f>ROUNDUP('Buildups 100dia'!DG1,0)</f>
        <v>898</v>
      </c>
      <c r="X43" s="54">
        <f>ROUNDUP('Buildups 100dia'!DH1,0)</f>
        <v>945</v>
      </c>
      <c r="Y43" s="54">
        <f>ROUNDUP('Buildups 100dia'!DI1,0)</f>
        <v>983</v>
      </c>
      <c r="Z43" s="54">
        <f>ROUNDUP('Buildups 100dia'!DJ1,0)</f>
        <v>1021</v>
      </c>
      <c r="AA43" s="54">
        <f>ROUNDUP('Buildups 100dia'!DK1,0)</f>
        <v>1067</v>
      </c>
      <c r="AB43" s="54">
        <f>ROUNDUP('Buildups 100dia'!DL1,0)</f>
        <v>1105</v>
      </c>
      <c r="AC43" s="54">
        <f>ROUNDUP('Buildups 100dia'!DM1,0)</f>
        <v>1144</v>
      </c>
      <c r="AD43" s="54">
        <f>ROUNDUP('Buildups 100dia'!DN1,0)</f>
        <v>1205</v>
      </c>
      <c r="AE43" s="54">
        <f>ROUNDUP('Buildups 100dia'!DO1,0)</f>
        <v>1243</v>
      </c>
      <c r="AF43" s="54">
        <f>ROUNDUP('Buildups 100dia'!DP1,0)</f>
        <v>1281</v>
      </c>
      <c r="AG43" s="54">
        <f>ROUNDUP('Buildups 100dia'!DQ1,0)</f>
        <v>1327</v>
      </c>
      <c r="AH43" s="54">
        <f>ROUNDUP('Buildups 100dia'!DR1,0)</f>
        <v>1365</v>
      </c>
      <c r="AI43" s="54">
        <f>ROUNDUP('Buildups 100dia'!DS1,0)</f>
        <v>1404</v>
      </c>
      <c r="AJ43" s="54">
        <f>ROUNDUP('Buildups 100dia'!DT1,0)</f>
        <v>1450</v>
      </c>
      <c r="AK43" s="54">
        <f>ROUNDUP('Buildups 100dia'!DU1,0)</f>
        <v>1488</v>
      </c>
      <c r="AL43" s="54">
        <f>ROUNDUP('Buildups 100dia'!DV1,0)</f>
        <v>1526</v>
      </c>
    </row>
    <row r="44" spans="1:38" ht="15" customHeight="1" x14ac:dyDescent="0.2">
      <c r="A44" s="14" t="s">
        <v>84</v>
      </c>
      <c r="B44" s="16" t="s">
        <v>61</v>
      </c>
      <c r="C44" s="54">
        <f>ROUNDUP('Buildups 100dia'!CM2,0)</f>
        <v>111</v>
      </c>
      <c r="D44" s="54">
        <f>ROUNDUP('Buildups 100dia'!CN2,0)</f>
        <v>149</v>
      </c>
      <c r="E44" s="54">
        <f>ROUNDUP('Buildups 100dia'!CO2,0)</f>
        <v>187</v>
      </c>
      <c r="F44" s="54">
        <f>ROUNDUP('Buildups 100dia'!CP2,0)</f>
        <v>225</v>
      </c>
      <c r="G44" s="54">
        <f>ROUNDUP('Buildups 100dia'!CQ2,0)</f>
        <v>263</v>
      </c>
      <c r="H44" s="54">
        <f>ROUNDUP('Buildups 100dia'!CR2,0)</f>
        <v>314</v>
      </c>
      <c r="I44" s="54">
        <f>ROUNDUP('Buildups 100dia'!CS2,0)</f>
        <v>352</v>
      </c>
      <c r="J44" s="54">
        <f>ROUNDUP('Buildups 100dia'!CT2,0)</f>
        <v>390</v>
      </c>
      <c r="K44" s="54">
        <f>ROUNDUP('Buildups 100dia'!CU2,0)</f>
        <v>428</v>
      </c>
      <c r="L44" s="54">
        <f>ROUNDUP('Buildups 100dia'!CV2,0)</f>
        <v>466</v>
      </c>
      <c r="M44" s="54">
        <f>ROUNDUP('Buildups 100dia'!CW2,0)</f>
        <v>517</v>
      </c>
      <c r="N44" s="54">
        <f>ROUNDUP('Buildups 100dia'!CX2,0)</f>
        <v>555</v>
      </c>
      <c r="O44" s="54">
        <f>ROUNDUP('Buildups 100dia'!CY2,0)</f>
        <v>593</v>
      </c>
      <c r="P44" s="54">
        <f>ROUNDUP('Buildups 100dia'!CZ2,0)</f>
        <v>631</v>
      </c>
      <c r="Q44" s="54">
        <f>ROUNDUP('Buildups 100dia'!DA2,0)</f>
        <v>669</v>
      </c>
      <c r="R44" s="54">
        <f>ROUNDUP('Buildups 100dia'!DB2,0)</f>
        <v>719</v>
      </c>
      <c r="S44" s="54">
        <f>ROUNDUP('Buildups 100dia'!DC2,0)</f>
        <v>758</v>
      </c>
      <c r="T44" s="54">
        <f>ROUNDUP('Buildups 100dia'!DD2,0)</f>
        <v>796</v>
      </c>
      <c r="U44" s="54">
        <f>ROUNDUP('Buildups 100dia'!DE2,0)</f>
        <v>834</v>
      </c>
      <c r="V44" s="54">
        <f>ROUNDUP('Buildups 100dia'!DF2,0)</f>
        <v>872</v>
      </c>
      <c r="W44" s="54">
        <f>ROUNDUP('Buildups 100dia'!DG2,0)</f>
        <v>922</v>
      </c>
      <c r="X44" s="54">
        <f>ROUNDUP('Buildups 100dia'!DH2,0)</f>
        <v>961</v>
      </c>
      <c r="Y44" s="54">
        <f>ROUNDUP('Buildups 100dia'!DI2,0)</f>
        <v>999</v>
      </c>
      <c r="Z44" s="54">
        <f>ROUNDUP('Buildups 100dia'!DJ2,0)</f>
        <v>1037</v>
      </c>
      <c r="AA44" s="54">
        <f>ROUNDUP('Buildups 100dia'!DK2,0)</f>
        <v>1075</v>
      </c>
      <c r="AB44" s="54">
        <f>ROUNDUP('Buildups 100dia'!DL2,0)</f>
        <v>1125</v>
      </c>
      <c r="AC44" s="54">
        <f>ROUNDUP('Buildups 100dia'!DM2,0)</f>
        <v>1164</v>
      </c>
      <c r="AD44" s="54">
        <f>ROUNDUP('Buildups 100dia'!DN2,0)</f>
        <v>1202</v>
      </c>
      <c r="AE44" s="54">
        <f>ROUNDUP('Buildups 100dia'!DO2,0)</f>
        <v>1240</v>
      </c>
      <c r="AF44" s="54">
        <f>ROUNDUP('Buildups 100dia'!DP2,0)</f>
        <v>1278</v>
      </c>
      <c r="AG44" s="54">
        <f>ROUNDUP('Buildups 100dia'!DQ2,0)</f>
        <v>1328</v>
      </c>
      <c r="AH44" s="54">
        <f>ROUNDUP('Buildups 100dia'!DR2,0)</f>
        <v>1366</v>
      </c>
      <c r="AI44" s="54">
        <f>ROUNDUP('Buildups 100dia'!DS2,0)</f>
        <v>1405</v>
      </c>
      <c r="AJ44" s="54">
        <f>ROUNDUP('Buildups 100dia'!DT2,0)</f>
        <v>1443</v>
      </c>
      <c r="AK44" s="54">
        <f>ROUNDUP('Buildups 100dia'!DU2,0)</f>
        <v>1481</v>
      </c>
      <c r="AL44" s="54">
        <f>ROUNDUP('Buildups 100dia'!DV2,0)</f>
        <v>1531</v>
      </c>
    </row>
    <row r="45" spans="1:38" ht="20.100000000000001" customHeight="1" x14ac:dyDescent="0.2">
      <c r="A45" s="279" t="s">
        <v>20</v>
      </c>
      <c r="B45" s="280"/>
      <c r="C45" s="277" t="s">
        <v>63</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row>
    <row r="46" spans="1:38" ht="15" customHeight="1" x14ac:dyDescent="0.2">
      <c r="A46" s="14"/>
      <c r="B46" s="15" t="s">
        <v>71</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row>
    <row r="47" spans="1:38" ht="15" customHeight="1" x14ac:dyDescent="0.2">
      <c r="A47" s="14" t="s">
        <v>35</v>
      </c>
      <c r="B47" s="17" t="s">
        <v>150</v>
      </c>
      <c r="C47" s="104">
        <f>'Buildups 50dia'!$S37</f>
        <v>162.70733333333334</v>
      </c>
      <c r="D47" s="54">
        <f>'Buildups 50dia'!$T37</f>
        <v>192.41466666666668</v>
      </c>
      <c r="E47" s="54">
        <f>'Buildups 50dia'!$U37</f>
        <v>222.12200000000001</v>
      </c>
      <c r="F47" s="54">
        <f>'Buildups 50dia'!$V37</f>
        <v>251.82933333333335</v>
      </c>
      <c r="G47" s="104">
        <f>F47+'Buildups 50dia'!$S37</f>
        <v>414.53666666666669</v>
      </c>
      <c r="H47" s="54">
        <f>F47+'Buildups 50dia'!$T37</f>
        <v>444.24400000000003</v>
      </c>
      <c r="I47" s="54">
        <f>F47+'Buildups 50dia'!$U37</f>
        <v>473.95133333333337</v>
      </c>
      <c r="J47" s="54">
        <f>F47+'Buildups 50dia'!$V37</f>
        <v>503.6586666666667</v>
      </c>
      <c r="K47" s="104">
        <f>J47+'Buildups 50dia'!$S37</f>
        <v>666.36599999999999</v>
      </c>
      <c r="L47" s="54">
        <f>J47+'Buildups 50dia'!$T37</f>
        <v>696.07333333333338</v>
      </c>
      <c r="M47" s="54">
        <f>J47+'Buildups 50dia'!$U37</f>
        <v>725.78066666666678</v>
      </c>
      <c r="N47" s="54">
        <f>J47+'Buildups 50dia'!$V37</f>
        <v>755.48800000000006</v>
      </c>
      <c r="O47" s="104">
        <f>N47+'Buildups 50dia'!$S37</f>
        <v>918.19533333333334</v>
      </c>
      <c r="P47" s="54">
        <f>N47+'Buildups 50dia'!$T37</f>
        <v>947.90266666666673</v>
      </c>
      <c r="Q47" s="54">
        <f>N47+'Buildups 50dia'!$U37</f>
        <v>977.61000000000013</v>
      </c>
      <c r="R47" s="54">
        <f>N47+'Buildups 50dia'!$V37</f>
        <v>1007.3173333333334</v>
      </c>
      <c r="S47" s="104">
        <f>R47+'Buildups 50dia'!$S37</f>
        <v>1170.0246666666667</v>
      </c>
      <c r="T47" s="54">
        <f>R47+'Buildups 50dia'!$T37</f>
        <v>1199.732</v>
      </c>
      <c r="U47" s="54">
        <f>R47+'Buildups 50dia'!$U37</f>
        <v>1229.4393333333335</v>
      </c>
      <c r="V47" s="54">
        <f>R47+'Buildups 50dia'!$V37</f>
        <v>1259.1466666666668</v>
      </c>
      <c r="W47" s="104">
        <f>V47+'Buildups 50dia'!$S37</f>
        <v>1421.854</v>
      </c>
      <c r="X47" s="54">
        <f>V47+'Buildups 50dia'!$T37</f>
        <v>1451.5613333333336</v>
      </c>
      <c r="Y47" s="54">
        <f>V47+'Buildups 50dia'!$U37</f>
        <v>1481.2686666666668</v>
      </c>
      <c r="Z47" s="54">
        <f>V47+'Buildups 50dia'!$V37</f>
        <v>1510.9760000000001</v>
      </c>
      <c r="AA47" s="104">
        <f>Z47+'Buildups 50dia'!$S37</f>
        <v>1673.6833333333334</v>
      </c>
      <c r="AB47" s="54">
        <f>Z47+'Buildups 50dia'!$T37</f>
        <v>1703.3906666666667</v>
      </c>
      <c r="AC47" s="54">
        <f>Z47+'Buildups 50dia'!$U37</f>
        <v>1733.0980000000002</v>
      </c>
      <c r="AD47" s="54">
        <f>Z47+'Buildups 50dia'!$V37</f>
        <v>1762.8053333333335</v>
      </c>
      <c r="AE47" s="104">
        <f>AD47+'Buildups 50dia'!$S37</f>
        <v>1925.5126666666667</v>
      </c>
      <c r="AF47" s="54">
        <f>AD47+'Buildups 50dia'!$T37</f>
        <v>1955.2200000000003</v>
      </c>
      <c r="AG47" s="54">
        <f>AD47+'Buildups 50dia'!$U37</f>
        <v>1984.9273333333335</v>
      </c>
      <c r="AH47" s="54">
        <f>AD47+'Buildups 50dia'!$V37</f>
        <v>2014.6346666666668</v>
      </c>
      <c r="AI47" s="104">
        <f>AH47+'Buildups 50dia'!$S37</f>
        <v>2177.3420000000001</v>
      </c>
      <c r="AJ47" s="54">
        <f>AH47+'Buildups 50dia'!$T37</f>
        <v>2207.0493333333334</v>
      </c>
      <c r="AK47" s="54">
        <f>AH47+'Buildups 50dia'!$U37</f>
        <v>2236.7566666666667</v>
      </c>
      <c r="AL47" s="54">
        <f>AH47+'Buildups 50dia'!$V37</f>
        <v>2266.4639999999999</v>
      </c>
    </row>
    <row r="48" spans="1:38" ht="15" customHeight="1" x14ac:dyDescent="0.2">
      <c r="A48" s="14"/>
      <c r="B48" s="210" t="s">
        <v>267</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row>
    <row r="49" spans="1:38" ht="15" customHeight="1" x14ac:dyDescent="0.2">
      <c r="A49" s="14" t="s">
        <v>85</v>
      </c>
      <c r="B49" s="17" t="s">
        <v>150</v>
      </c>
      <c r="C49" s="104">
        <f>'Buildups 100dia'!$S34</f>
        <v>171.5</v>
      </c>
      <c r="D49" s="104">
        <f>'Buildups 100dia'!$T34</f>
        <v>210</v>
      </c>
      <c r="E49" s="104">
        <f>D49+'Buildups 100dia'!$S34</f>
        <v>381.5</v>
      </c>
      <c r="F49" s="104">
        <f>D49+'Buildups 100dia'!$T34</f>
        <v>420</v>
      </c>
      <c r="G49" s="104">
        <f>F49+'Buildups 100dia'!$S34</f>
        <v>591.5</v>
      </c>
      <c r="H49" s="104">
        <f>F49+'Buildups 100dia'!$T34</f>
        <v>630</v>
      </c>
      <c r="I49" s="104">
        <f>H49+'Buildups 100dia'!$S34</f>
        <v>801.5</v>
      </c>
      <c r="J49" s="104">
        <f>H49+'Buildups 100dia'!$T34</f>
        <v>840</v>
      </c>
      <c r="K49" s="104">
        <f>J49+'Buildups 100dia'!$S34</f>
        <v>1011.5</v>
      </c>
      <c r="L49" s="104">
        <f>J49+'Buildups 100dia'!$T34</f>
        <v>1050</v>
      </c>
      <c r="M49" s="104">
        <f>L49+'Buildups 100dia'!$S34</f>
        <v>1221.5</v>
      </c>
      <c r="N49" s="104">
        <f>L49+'Buildups 100dia'!$T34</f>
        <v>1260</v>
      </c>
      <c r="O49" s="104">
        <f>N49+'Buildups 100dia'!$S34</f>
        <v>1431.5</v>
      </c>
      <c r="P49" s="104">
        <f>N49+'Buildups 100dia'!$T34</f>
        <v>1470</v>
      </c>
      <c r="Q49" s="104">
        <f>P49+'Buildups 100dia'!$S34</f>
        <v>1641.5</v>
      </c>
      <c r="R49" s="104">
        <f>P49+'Buildups 100dia'!$T34</f>
        <v>1680</v>
      </c>
      <c r="S49" s="104">
        <f>R49+'Buildups 100dia'!$S34</f>
        <v>1851.5</v>
      </c>
      <c r="T49" s="104">
        <f>R49+'Buildups 100dia'!$T34</f>
        <v>1890</v>
      </c>
      <c r="U49" s="104">
        <f>T49+'Buildups 100dia'!$S34</f>
        <v>2061.5</v>
      </c>
      <c r="V49" s="104">
        <f>T49+'Buildups 100dia'!$T34</f>
        <v>2100</v>
      </c>
      <c r="W49" s="104">
        <f>V49+'Buildups 100dia'!$S34</f>
        <v>2271.5</v>
      </c>
      <c r="X49" s="104">
        <f>V49+'Buildups 100dia'!$T34</f>
        <v>2310</v>
      </c>
      <c r="Y49" s="104">
        <f>X49+'Buildups 100dia'!$S34</f>
        <v>2481.5</v>
      </c>
      <c r="Z49" s="104">
        <f>X49+'Buildups 100dia'!$T34</f>
        <v>2520</v>
      </c>
      <c r="AA49" s="104">
        <f>Z49+'Buildups 100dia'!$S34</f>
        <v>2691.5</v>
      </c>
      <c r="AB49" s="104">
        <f>Z49+'Buildups 100dia'!$T34</f>
        <v>2730</v>
      </c>
      <c r="AC49" s="104">
        <f>AB49+'Buildups 100dia'!$S34</f>
        <v>2901.5</v>
      </c>
      <c r="AD49" s="104">
        <f>AB49+'Buildups 100dia'!$T34</f>
        <v>2940</v>
      </c>
      <c r="AE49" s="104">
        <f>AD49+'Buildups 100dia'!$S34</f>
        <v>3111.5</v>
      </c>
      <c r="AF49" s="104">
        <f>AD49+'Buildups 100dia'!$T34</f>
        <v>3150</v>
      </c>
      <c r="AG49" s="104">
        <f>AF49+'Buildups 100dia'!$S34</f>
        <v>3321.5</v>
      </c>
      <c r="AH49" s="104">
        <f>AF49+'Buildups 100dia'!$T34</f>
        <v>3360</v>
      </c>
      <c r="AI49" s="104">
        <f>AH49+'Buildups 100dia'!$S34</f>
        <v>3531.5</v>
      </c>
      <c r="AJ49" s="104">
        <f>AH49+'Buildups 100dia'!$T34</f>
        <v>3570</v>
      </c>
      <c r="AK49" s="104">
        <f>AJ49+'Buildups 100dia'!$S34</f>
        <v>3741.5</v>
      </c>
      <c r="AL49" s="104">
        <f>AJ49+'Buildups 100dia'!$T34</f>
        <v>3780</v>
      </c>
    </row>
    <row r="52" spans="1:38" ht="15.75" x14ac:dyDescent="0.25">
      <c r="A52" s="18" t="s">
        <v>99</v>
      </c>
      <c r="B52" s="11"/>
      <c r="C52" s="10"/>
      <c r="D52" s="10"/>
      <c r="E52" s="10"/>
      <c r="F52" s="10"/>
      <c r="G52" s="10"/>
      <c r="H52" s="10"/>
      <c r="I52" s="10"/>
    </row>
    <row r="53" spans="1:38" ht="12.75" customHeight="1" x14ac:dyDescent="0.2">
      <c r="A53" s="19" t="s">
        <v>182</v>
      </c>
      <c r="B53" s="11"/>
      <c r="C53" s="12">
        <v>1</v>
      </c>
      <c r="D53" s="12">
        <v>2</v>
      </c>
      <c r="E53" s="12">
        <v>3</v>
      </c>
      <c r="F53" s="12">
        <v>4</v>
      </c>
      <c r="G53" s="12">
        <v>5</v>
      </c>
      <c r="H53" s="12">
        <v>6</v>
      </c>
      <c r="I53" s="12">
        <v>7</v>
      </c>
      <c r="J53" s="12">
        <v>8</v>
      </c>
      <c r="K53" s="12">
        <v>9</v>
      </c>
      <c r="L53" s="12">
        <v>10</v>
      </c>
      <c r="M53" s="12">
        <v>11</v>
      </c>
      <c r="N53" s="12">
        <v>12</v>
      </c>
      <c r="O53" s="12">
        <v>13</v>
      </c>
      <c r="P53" s="12">
        <v>14</v>
      </c>
      <c r="Q53" s="12">
        <v>15</v>
      </c>
      <c r="R53" s="12">
        <v>16</v>
      </c>
      <c r="S53" s="12">
        <v>17</v>
      </c>
      <c r="T53" s="12">
        <v>18</v>
      </c>
      <c r="U53" s="12">
        <v>19</v>
      </c>
      <c r="V53" s="12">
        <v>20</v>
      </c>
      <c r="W53" s="12">
        <v>21</v>
      </c>
      <c r="X53" s="12">
        <v>22</v>
      </c>
      <c r="Y53" s="12">
        <v>23</v>
      </c>
      <c r="Z53" s="12">
        <v>24</v>
      </c>
      <c r="AA53" s="12">
        <v>25</v>
      </c>
      <c r="AB53" s="12">
        <v>26</v>
      </c>
      <c r="AC53" s="12">
        <v>27</v>
      </c>
      <c r="AD53" s="12">
        <v>28</v>
      </c>
      <c r="AE53" s="12">
        <v>29</v>
      </c>
      <c r="AF53" s="12">
        <v>30</v>
      </c>
      <c r="AG53" s="12">
        <v>31</v>
      </c>
      <c r="AH53" s="12">
        <v>32</v>
      </c>
      <c r="AI53" s="12">
        <v>33</v>
      </c>
      <c r="AJ53" s="12">
        <v>34</v>
      </c>
      <c r="AK53" s="12">
        <v>35</v>
      </c>
      <c r="AL53" s="12">
        <v>36</v>
      </c>
    </row>
    <row r="54" spans="1:38" ht="12.75" customHeight="1" x14ac:dyDescent="0.2">
      <c r="C54" s="13" t="s">
        <v>13</v>
      </c>
      <c r="D54" s="13" t="s">
        <v>21</v>
      </c>
      <c r="E54" s="13" t="s">
        <v>21</v>
      </c>
      <c r="F54" s="13" t="s">
        <v>21</v>
      </c>
      <c r="G54" s="13" t="s">
        <v>21</v>
      </c>
      <c r="H54" s="13" t="s">
        <v>21</v>
      </c>
      <c r="I54" s="13" t="s">
        <v>21</v>
      </c>
      <c r="J54" s="13" t="s">
        <v>21</v>
      </c>
      <c r="K54" s="13" t="s">
        <v>21</v>
      </c>
      <c r="L54" s="13" t="s">
        <v>21</v>
      </c>
      <c r="M54" s="13" t="s">
        <v>21</v>
      </c>
      <c r="N54" s="13" t="s">
        <v>21</v>
      </c>
      <c r="O54" s="13" t="s">
        <v>21</v>
      </c>
      <c r="P54" s="13" t="s">
        <v>21</v>
      </c>
      <c r="Q54" s="13" t="s">
        <v>21</v>
      </c>
      <c r="R54" s="13" t="s">
        <v>21</v>
      </c>
      <c r="S54" s="13" t="s">
        <v>21</v>
      </c>
      <c r="T54" s="13" t="s">
        <v>21</v>
      </c>
      <c r="U54" s="13" t="s">
        <v>21</v>
      </c>
      <c r="V54" s="13" t="s">
        <v>21</v>
      </c>
      <c r="W54" s="13" t="s">
        <v>21</v>
      </c>
      <c r="X54" s="13" t="s">
        <v>21</v>
      </c>
      <c r="Y54" s="13" t="s">
        <v>21</v>
      </c>
      <c r="Z54" s="13" t="s">
        <v>21</v>
      </c>
      <c r="AA54" s="13" t="s">
        <v>21</v>
      </c>
      <c r="AB54" s="13" t="s">
        <v>21</v>
      </c>
      <c r="AC54" s="13" t="s">
        <v>21</v>
      </c>
      <c r="AD54" s="13" t="s">
        <v>21</v>
      </c>
      <c r="AE54" s="13" t="s">
        <v>21</v>
      </c>
      <c r="AF54" s="13" t="s">
        <v>21</v>
      </c>
      <c r="AG54" s="13" t="s">
        <v>21</v>
      </c>
      <c r="AH54" s="13" t="s">
        <v>21</v>
      </c>
      <c r="AI54" s="13" t="s">
        <v>21</v>
      </c>
      <c r="AJ54" s="13" t="s">
        <v>21</v>
      </c>
      <c r="AK54" s="13" t="s">
        <v>21</v>
      </c>
      <c r="AL54" s="13" t="s">
        <v>21</v>
      </c>
    </row>
    <row r="55" spans="1:38" ht="20.100000000000001" customHeight="1" x14ac:dyDescent="0.2">
      <c r="A55" s="272" t="s">
        <v>100</v>
      </c>
      <c r="B55" s="273"/>
      <c r="C55" s="270" t="s">
        <v>63</v>
      </c>
      <c r="D55" s="271"/>
      <c r="E55" s="271"/>
      <c r="F55" s="271"/>
      <c r="G55" s="271"/>
      <c r="H55" s="271"/>
      <c r="I55" s="271"/>
      <c r="J55" s="271"/>
      <c r="K55" s="271"/>
      <c r="L55" s="271"/>
      <c r="M55" s="271"/>
      <c r="N55" s="271"/>
      <c r="O55" s="271"/>
      <c r="P55" s="271"/>
      <c r="Q55" s="271"/>
      <c r="R55" s="271"/>
      <c r="S55" s="271"/>
      <c r="T55" s="271"/>
      <c r="U55" s="271"/>
      <c r="V55" s="271"/>
      <c r="W55" s="96"/>
      <c r="X55" s="96"/>
      <c r="Y55" s="96"/>
      <c r="Z55" s="96"/>
      <c r="AA55" s="96"/>
      <c r="AB55" s="96"/>
      <c r="AC55" s="96"/>
      <c r="AD55" s="96"/>
      <c r="AE55" s="96"/>
      <c r="AF55" s="96"/>
      <c r="AG55" s="96"/>
      <c r="AH55" s="96"/>
      <c r="AI55" s="96"/>
      <c r="AJ55" s="96"/>
      <c r="AK55" s="96"/>
      <c r="AL55" s="97"/>
    </row>
    <row r="56" spans="1:38" ht="15" customHeight="1" x14ac:dyDescent="0.2">
      <c r="A56" s="14"/>
      <c r="B56" s="15" t="s">
        <v>71</v>
      </c>
      <c r="C56" s="53"/>
      <c r="D56" s="53"/>
      <c r="E56" s="53"/>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ht="15" customHeight="1" x14ac:dyDescent="0.2">
      <c r="A57" s="14" t="s">
        <v>117</v>
      </c>
      <c r="B57" s="16" t="s">
        <v>60</v>
      </c>
      <c r="C57" s="54">
        <f>ROUNDUP('Urban Buildups 50dia'!S1,0)</f>
        <v>96</v>
      </c>
      <c r="D57" s="54">
        <f>ROUNDUP('Urban Buildups 50dia'!T1,0)</f>
        <v>128</v>
      </c>
      <c r="E57" s="54">
        <f>ROUNDUP('Urban Buildups 50dia'!U1,0)</f>
        <v>160</v>
      </c>
      <c r="F57" s="54">
        <f>ROUNDUP('Urban Buildups 50dia'!V1,0)</f>
        <v>192</v>
      </c>
      <c r="G57" s="54">
        <f>ROUNDUP('Urban Buildups 50dia'!W1,0)</f>
        <v>224</v>
      </c>
      <c r="H57" s="54">
        <f>ROUNDUP('Urban Buildups 50dia'!X1,0)</f>
        <v>256</v>
      </c>
      <c r="I57" s="54">
        <f>ROUNDUP('Urban Buildups 50dia'!Y1,0)</f>
        <v>288</v>
      </c>
      <c r="J57" s="54">
        <f>ROUNDUP('Urban Buildups 50dia'!Z1,0)</f>
        <v>322</v>
      </c>
      <c r="K57" s="54">
        <f>ROUNDUP('Urban Buildups 50dia'!AA1,0)</f>
        <v>354</v>
      </c>
      <c r="L57" s="54">
        <f>ROUNDUP('Urban Buildups 50dia'!AB1,0)</f>
        <v>386</v>
      </c>
      <c r="M57" s="54">
        <f>ROUNDUP('Urban Buildups 50dia'!AC1,0)</f>
        <v>418</v>
      </c>
      <c r="N57" s="54">
        <f>ROUNDUP('Urban Buildups 50dia'!AD1,0)</f>
        <v>450</v>
      </c>
      <c r="O57" s="54">
        <f>ROUNDUP('Urban Buildups 50dia'!AE1,0)</f>
        <v>482</v>
      </c>
      <c r="P57" s="54">
        <f>ROUNDUP('Urban Buildups 50dia'!AF1,0)</f>
        <v>516</v>
      </c>
      <c r="Q57" s="54">
        <f>ROUNDUP('Urban Buildups 50dia'!AG1,0)</f>
        <v>548</v>
      </c>
      <c r="R57" s="54">
        <f>ROUNDUP('Urban Buildups 50dia'!AH1,0)</f>
        <v>579</v>
      </c>
      <c r="S57" s="54">
        <f>ROUNDUP('Urban Buildups 50dia'!AI1,0)</f>
        <v>611</v>
      </c>
      <c r="T57" s="54">
        <f>ROUNDUP('Urban Buildups 50dia'!AJ1,0)</f>
        <v>643</v>
      </c>
      <c r="U57" s="54">
        <f>ROUNDUP('Urban Buildups 50dia'!AK1,0)</f>
        <v>675</v>
      </c>
      <c r="V57" s="54">
        <f>ROUNDUP('Urban Buildups 50dia'!AL1,0)</f>
        <v>707</v>
      </c>
      <c r="W57" s="54">
        <f>ROUNDUP('Urban Buildups 50dia'!AM1,0)</f>
        <v>741</v>
      </c>
      <c r="X57" s="54">
        <f>ROUNDUP('Urban Buildups 50dia'!AN1,0)</f>
        <v>773</v>
      </c>
      <c r="Y57" s="54">
        <f>ROUNDUP('Urban Buildups 50dia'!AO1,0)</f>
        <v>805</v>
      </c>
      <c r="Z57" s="54">
        <f>ROUNDUP('Urban Buildups 50dia'!AP1,0)</f>
        <v>837</v>
      </c>
      <c r="AA57" s="54">
        <f>ROUNDUP('Urban Buildups 50dia'!AQ1,0)</f>
        <v>869</v>
      </c>
      <c r="AB57" s="54">
        <f>ROUNDUP('Urban Buildups 50dia'!AR1,0)</f>
        <v>901</v>
      </c>
      <c r="AC57" s="54">
        <f>ROUNDUP('Urban Buildups 50dia'!AS1,0)</f>
        <v>935</v>
      </c>
      <c r="AD57" s="54">
        <f>ROUNDUP('Urban Buildups 50dia'!AT1,0)</f>
        <v>967</v>
      </c>
      <c r="AE57" s="54">
        <f>ROUNDUP('Urban Buildups 50dia'!AU1,0)</f>
        <v>999</v>
      </c>
      <c r="AF57" s="54">
        <f>ROUNDUP('Urban Buildups 50dia'!AV1,0)</f>
        <v>1031</v>
      </c>
      <c r="AG57" s="54">
        <f>ROUNDUP('Urban Buildups 50dia'!AW1,0)</f>
        <v>1063</v>
      </c>
      <c r="AH57" s="54">
        <f>ROUNDUP('Urban Buildups 50dia'!AX1,0)</f>
        <v>1094</v>
      </c>
      <c r="AI57" s="54">
        <f>ROUNDUP('Urban Buildups 50dia'!AY1,0)</f>
        <v>1126</v>
      </c>
      <c r="AJ57" s="54">
        <f>ROUNDUP('Urban Buildups 50dia'!AZ1,0)</f>
        <v>1160</v>
      </c>
      <c r="AK57" s="54">
        <f>ROUNDUP('Urban Buildups 50dia'!BA1,0)</f>
        <v>1192</v>
      </c>
      <c r="AL57" s="54">
        <f>ROUNDUP('Urban Buildups 50dia'!BB1,0)</f>
        <v>1224</v>
      </c>
    </row>
    <row r="58" spans="1:38" ht="15" customHeight="1" x14ac:dyDescent="0.2">
      <c r="A58" s="14" t="s">
        <v>118</v>
      </c>
      <c r="B58" s="16" t="s">
        <v>61</v>
      </c>
      <c r="C58" s="54">
        <f>ROUNDUP('Urban Buildups 50dia'!S2,0)</f>
        <v>128</v>
      </c>
      <c r="D58" s="54">
        <f>ROUNDUP('Urban Buildups 50dia'!T2,0)</f>
        <v>160</v>
      </c>
      <c r="E58" s="54">
        <f>ROUNDUP('Urban Buildups 50dia'!U2,0)</f>
        <v>192</v>
      </c>
      <c r="F58" s="54">
        <f>ROUNDUP('Urban Buildups 50dia'!V2,0)</f>
        <v>224</v>
      </c>
      <c r="G58" s="54">
        <f>ROUNDUP('Urban Buildups 50dia'!W2,0)</f>
        <v>256</v>
      </c>
      <c r="H58" s="54">
        <f>ROUNDUP('Urban Buildups 50dia'!X2,0)</f>
        <v>288</v>
      </c>
      <c r="I58" s="54">
        <f>ROUNDUP('Urban Buildups 50dia'!Y2,0)</f>
        <v>320</v>
      </c>
      <c r="J58" s="54">
        <f>ROUNDUP('Urban Buildups 50dia'!Z2,0)</f>
        <v>352</v>
      </c>
      <c r="K58" s="54">
        <f>ROUNDUP('Urban Buildups 50dia'!AA2,0)</f>
        <v>384</v>
      </c>
      <c r="L58" s="54">
        <f>ROUNDUP('Urban Buildups 50dia'!AB2,0)</f>
        <v>416</v>
      </c>
      <c r="M58" s="54">
        <f>ROUNDUP('Urban Buildups 50dia'!AC2,0)</f>
        <v>448</v>
      </c>
      <c r="N58" s="54">
        <f>ROUNDUP('Urban Buildups 50dia'!AD2,0)</f>
        <v>483</v>
      </c>
      <c r="O58" s="54">
        <f>ROUNDUP('Urban Buildups 50dia'!AE2,0)</f>
        <v>515</v>
      </c>
      <c r="P58" s="54">
        <f>ROUNDUP('Urban Buildups 50dia'!AF2,0)</f>
        <v>547</v>
      </c>
      <c r="Q58" s="54">
        <f>ROUNDUP('Urban Buildups 50dia'!AG2,0)</f>
        <v>579</v>
      </c>
      <c r="R58" s="54">
        <f>ROUNDUP('Urban Buildups 50dia'!AH2,0)</f>
        <v>610</v>
      </c>
      <c r="S58" s="54">
        <f>ROUNDUP('Urban Buildups 50dia'!AI2,0)</f>
        <v>642</v>
      </c>
      <c r="T58" s="54">
        <f>ROUNDUP('Urban Buildups 50dia'!AJ2,0)</f>
        <v>674</v>
      </c>
      <c r="U58" s="54">
        <f>ROUNDUP('Urban Buildups 50dia'!AK2,0)</f>
        <v>706</v>
      </c>
      <c r="V58" s="54">
        <f>ROUNDUP('Urban Buildups 50dia'!AL2,0)</f>
        <v>738</v>
      </c>
      <c r="W58" s="54">
        <f>ROUNDUP('Urban Buildups 50dia'!AM2,0)</f>
        <v>770</v>
      </c>
      <c r="X58" s="54">
        <f>ROUNDUP('Urban Buildups 50dia'!AN2,0)</f>
        <v>805</v>
      </c>
      <c r="Y58" s="54">
        <f>ROUNDUP('Urban Buildups 50dia'!AO2,0)</f>
        <v>837</v>
      </c>
      <c r="Z58" s="54">
        <f>ROUNDUP('Urban Buildups 50dia'!AP2,0)</f>
        <v>869</v>
      </c>
      <c r="AA58" s="54">
        <f>ROUNDUP('Urban Buildups 50dia'!AQ2,0)</f>
        <v>901</v>
      </c>
      <c r="AB58" s="54">
        <f>ROUNDUP('Urban Buildups 50dia'!AR2,0)</f>
        <v>933</v>
      </c>
      <c r="AC58" s="54">
        <f>ROUNDUP('Urban Buildups 50dia'!AS2,0)</f>
        <v>965</v>
      </c>
      <c r="AD58" s="54">
        <f>ROUNDUP('Urban Buildups 50dia'!AT2,0)</f>
        <v>997</v>
      </c>
      <c r="AE58" s="54">
        <f>ROUNDUP('Urban Buildups 50dia'!AU2,0)</f>
        <v>1029</v>
      </c>
      <c r="AF58" s="54">
        <f>ROUNDUP('Urban Buildups 50dia'!AV2,0)</f>
        <v>1061</v>
      </c>
      <c r="AG58" s="54">
        <f>ROUNDUP('Urban Buildups 50dia'!AW2,0)</f>
        <v>1093</v>
      </c>
      <c r="AH58" s="54">
        <f>ROUNDUP('Urban Buildups 50dia'!AX2,0)</f>
        <v>1124</v>
      </c>
      <c r="AI58" s="54">
        <f>ROUNDUP('Urban Buildups 50dia'!AY2,0)</f>
        <v>1159</v>
      </c>
      <c r="AJ58" s="54">
        <f>ROUNDUP('Urban Buildups 50dia'!AZ2,0)</f>
        <v>1191</v>
      </c>
      <c r="AK58" s="54">
        <f>ROUNDUP('Urban Buildups 50dia'!BA2,0)</f>
        <v>1223</v>
      </c>
      <c r="AL58" s="54">
        <f>ROUNDUP('Urban Buildups 50dia'!BB2,0)</f>
        <v>1255</v>
      </c>
    </row>
    <row r="59" spans="1:38" ht="15" customHeight="1" x14ac:dyDescent="0.2">
      <c r="A59" s="14" t="s">
        <v>119</v>
      </c>
      <c r="B59" s="16" t="s">
        <v>14</v>
      </c>
      <c r="C59" s="54">
        <f t="shared" ref="C59:AL59" si="6">C12*Urban50</f>
        <v>65.402408414648519</v>
      </c>
      <c r="D59" s="54">
        <f t="shared" si="6"/>
        <v>95.109799903237416</v>
      </c>
      <c r="E59" s="54">
        <f t="shared" si="6"/>
        <v>124.81719139182631</v>
      </c>
      <c r="F59" s="54">
        <f t="shared" si="6"/>
        <v>154.52458288041518</v>
      </c>
      <c r="G59" s="54">
        <f t="shared" si="6"/>
        <v>184.23197436900409</v>
      </c>
      <c r="H59" s="54">
        <f t="shared" si="6"/>
        <v>230.64308940683932</v>
      </c>
      <c r="I59" s="54">
        <f t="shared" si="6"/>
        <v>260.35048089542823</v>
      </c>
      <c r="J59" s="54">
        <f t="shared" si="6"/>
        <v>290.05787238401712</v>
      </c>
      <c r="K59" s="54">
        <f t="shared" si="6"/>
        <v>327.78305117624421</v>
      </c>
      <c r="L59" s="54">
        <f t="shared" si="6"/>
        <v>357.49044266483315</v>
      </c>
      <c r="M59" s="54">
        <f t="shared" si="6"/>
        <v>387.19783415342198</v>
      </c>
      <c r="N59" s="54">
        <f t="shared" si="6"/>
        <v>416.90522564201092</v>
      </c>
      <c r="O59" s="54">
        <f t="shared" si="6"/>
        <v>460.07104581884983</v>
      </c>
      <c r="P59" s="54">
        <f t="shared" si="6"/>
        <v>489.77843730743865</v>
      </c>
      <c r="Q59" s="54">
        <f t="shared" si="6"/>
        <v>519.48582879602759</v>
      </c>
      <c r="R59" s="54">
        <f t="shared" si="6"/>
        <v>549.19322028461647</v>
      </c>
      <c r="S59" s="54">
        <f t="shared" si="6"/>
        <v>605.14932020773517</v>
      </c>
      <c r="T59" s="54">
        <f t="shared" si="6"/>
        <v>634.85671169632417</v>
      </c>
      <c r="U59" s="54">
        <f t="shared" si="6"/>
        <v>664.56410318491305</v>
      </c>
      <c r="V59" s="54">
        <f t="shared" si="6"/>
        <v>694.27149467350193</v>
      </c>
      <c r="W59" s="54">
        <f t="shared" si="6"/>
        <v>723.9788861620907</v>
      </c>
      <c r="X59" s="54">
        <f t="shared" si="6"/>
        <v>771.72629908386568</v>
      </c>
      <c r="Y59" s="54">
        <f t="shared" si="6"/>
        <v>801.43369057245468</v>
      </c>
      <c r="Z59" s="54">
        <f t="shared" si="6"/>
        <v>831.14108206104345</v>
      </c>
      <c r="AA59" s="54">
        <f t="shared" si="6"/>
        <v>860.84847354963233</v>
      </c>
      <c r="AB59" s="54">
        <f t="shared" si="6"/>
        <v>890.55586503822121</v>
      </c>
      <c r="AC59" s="54">
        <f t="shared" si="6"/>
        <v>920.26325652681021</v>
      </c>
      <c r="AD59" s="54">
        <f t="shared" si="6"/>
        <v>969.7287667279362</v>
      </c>
      <c r="AE59" s="54">
        <f t="shared" si="6"/>
        <v>999.43615821652509</v>
      </c>
      <c r="AF59" s="54">
        <f t="shared" si="6"/>
        <v>1029.1435497051141</v>
      </c>
      <c r="AG59" s="54">
        <f t="shared" si="6"/>
        <v>1087.867695244965</v>
      </c>
      <c r="AH59" s="54">
        <f t="shared" si="6"/>
        <v>1117.5750867335539</v>
      </c>
      <c r="AI59" s="54">
        <f t="shared" si="6"/>
        <v>1147.282478222143</v>
      </c>
      <c r="AJ59" s="54">
        <f t="shared" si="6"/>
        <v>1176.9898697107319</v>
      </c>
      <c r="AK59" s="54">
        <f t="shared" si="6"/>
        <v>1206.6972611993206</v>
      </c>
      <c r="AL59" s="54">
        <f t="shared" si="6"/>
        <v>1236.4046526879097</v>
      </c>
    </row>
    <row r="60" spans="1:38" ht="15" customHeight="1" x14ac:dyDescent="0.2">
      <c r="A60" s="14" t="s">
        <v>120</v>
      </c>
      <c r="B60" s="16" t="s">
        <v>101</v>
      </c>
      <c r="C60" s="54">
        <v>70</v>
      </c>
      <c r="D60" s="54">
        <f>$C60*D53</f>
        <v>140</v>
      </c>
      <c r="E60" s="54">
        <f t="shared" ref="E60:AK60" si="7">$C60*E53</f>
        <v>210</v>
      </c>
      <c r="F60" s="54">
        <f t="shared" si="7"/>
        <v>280</v>
      </c>
      <c r="G60" s="54">
        <f t="shared" si="7"/>
        <v>350</v>
      </c>
      <c r="H60" s="54">
        <f t="shared" si="7"/>
        <v>420</v>
      </c>
      <c r="I60" s="54">
        <f t="shared" si="7"/>
        <v>490</v>
      </c>
      <c r="J60" s="54">
        <f t="shared" si="7"/>
        <v>560</v>
      </c>
      <c r="K60" s="54">
        <f t="shared" si="7"/>
        <v>630</v>
      </c>
      <c r="L60" s="54">
        <f t="shared" si="7"/>
        <v>700</v>
      </c>
      <c r="M60" s="54">
        <f t="shared" si="7"/>
        <v>770</v>
      </c>
      <c r="N60" s="54">
        <f t="shared" si="7"/>
        <v>840</v>
      </c>
      <c r="O60" s="54">
        <f t="shared" si="7"/>
        <v>910</v>
      </c>
      <c r="P60" s="54">
        <f t="shared" si="7"/>
        <v>980</v>
      </c>
      <c r="Q60" s="54">
        <f t="shared" si="7"/>
        <v>1050</v>
      </c>
      <c r="R60" s="54">
        <f t="shared" si="7"/>
        <v>1120</v>
      </c>
      <c r="S60" s="54">
        <f t="shared" si="7"/>
        <v>1190</v>
      </c>
      <c r="T60" s="54">
        <f t="shared" si="7"/>
        <v>1260</v>
      </c>
      <c r="U60" s="54">
        <f t="shared" si="7"/>
        <v>1330</v>
      </c>
      <c r="V60" s="54">
        <f t="shared" si="7"/>
        <v>1400</v>
      </c>
      <c r="W60" s="54">
        <f t="shared" si="7"/>
        <v>1470</v>
      </c>
      <c r="X60" s="54">
        <f t="shared" si="7"/>
        <v>1540</v>
      </c>
      <c r="Y60" s="54">
        <f t="shared" si="7"/>
        <v>1610</v>
      </c>
      <c r="Z60" s="54">
        <f t="shared" si="7"/>
        <v>1680</v>
      </c>
      <c r="AA60" s="54">
        <f t="shared" si="7"/>
        <v>1750</v>
      </c>
      <c r="AB60" s="54">
        <f t="shared" si="7"/>
        <v>1820</v>
      </c>
      <c r="AC60" s="54">
        <f t="shared" si="7"/>
        <v>1890</v>
      </c>
      <c r="AD60" s="54">
        <f t="shared" si="7"/>
        <v>1960</v>
      </c>
      <c r="AE60" s="54">
        <f t="shared" si="7"/>
        <v>2030</v>
      </c>
      <c r="AF60" s="54">
        <f t="shared" si="7"/>
        <v>2100</v>
      </c>
      <c r="AG60" s="54">
        <f t="shared" si="7"/>
        <v>2170</v>
      </c>
      <c r="AH60" s="54">
        <f t="shared" si="7"/>
        <v>2240</v>
      </c>
      <c r="AI60" s="54">
        <f t="shared" si="7"/>
        <v>2310</v>
      </c>
      <c r="AJ60" s="54">
        <f t="shared" si="7"/>
        <v>2380</v>
      </c>
      <c r="AK60" s="54">
        <f t="shared" si="7"/>
        <v>2450</v>
      </c>
      <c r="AL60" s="54">
        <f>$C60*AL53</f>
        <v>2520</v>
      </c>
    </row>
    <row r="61" spans="1:38" ht="15" customHeight="1" x14ac:dyDescent="0.2">
      <c r="A61" s="14"/>
      <c r="B61" s="210" t="s">
        <v>267</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row>
    <row r="62" spans="1:38" ht="15" customHeight="1" x14ac:dyDescent="0.2">
      <c r="A62" s="14" t="s">
        <v>121</v>
      </c>
      <c r="B62" s="16" t="s">
        <v>60</v>
      </c>
      <c r="C62" s="54">
        <f>ROUNDUP('Urban Buildups 100dia'!S1,0)</f>
        <v>110</v>
      </c>
      <c r="D62" s="54">
        <f>ROUNDUP('Urban Buildups 100dia'!T1,0)</f>
        <v>152</v>
      </c>
      <c r="E62" s="54">
        <f>ROUNDUP('Urban Buildups 100dia'!U1,0)</f>
        <v>193</v>
      </c>
      <c r="F62" s="54">
        <f>ROUNDUP('Urban Buildups 100dia'!V1,0)</f>
        <v>239</v>
      </c>
      <c r="G62" s="54">
        <f>ROUNDUP('Urban Buildups 100dia'!W1,0)</f>
        <v>280</v>
      </c>
      <c r="H62" s="54">
        <f>ROUNDUP('Urban Buildups 100dia'!X1,0)</f>
        <v>322</v>
      </c>
      <c r="I62" s="54">
        <f>ROUNDUP('Urban Buildups 100dia'!Y1,0)</f>
        <v>367</v>
      </c>
      <c r="J62" s="54">
        <f>ROUNDUP('Urban Buildups 100dia'!Z1,0)</f>
        <v>409</v>
      </c>
      <c r="K62" s="54">
        <f>ROUNDUP('Urban Buildups 100dia'!AA1,0)</f>
        <v>450</v>
      </c>
      <c r="L62" s="54">
        <f>ROUNDUP('Urban Buildups 100dia'!AB1,0)</f>
        <v>496</v>
      </c>
      <c r="M62" s="54">
        <f>ROUNDUP('Urban Buildups 100dia'!AC1,0)</f>
        <v>537</v>
      </c>
      <c r="N62" s="54">
        <f>ROUNDUP('Urban Buildups 100dia'!AD1,0)</f>
        <v>579</v>
      </c>
      <c r="O62" s="54">
        <f>ROUNDUP('Urban Buildups 100dia'!AE1,0)</f>
        <v>624</v>
      </c>
      <c r="P62" s="54">
        <f>ROUNDUP('Urban Buildups 100dia'!AF1,0)</f>
        <v>666</v>
      </c>
      <c r="Q62" s="54">
        <f>ROUNDUP('Urban Buildups 100dia'!AG1,0)</f>
        <v>707</v>
      </c>
      <c r="R62" s="54">
        <f>ROUNDUP('Urban Buildups 100dia'!AH1,0)</f>
        <v>753</v>
      </c>
      <c r="S62" s="54">
        <f>ROUNDUP('Urban Buildups 100dia'!AI1,0)</f>
        <v>794</v>
      </c>
      <c r="T62" s="54">
        <f>ROUNDUP('Urban Buildups 100dia'!AJ1,0)</f>
        <v>836</v>
      </c>
      <c r="U62" s="54">
        <f>ROUNDUP('Urban Buildups 100dia'!AK1,0)</f>
        <v>882</v>
      </c>
      <c r="V62" s="54">
        <f>ROUNDUP('Urban Buildups 100dia'!AL1,0)</f>
        <v>923</v>
      </c>
      <c r="W62" s="54">
        <f>ROUNDUP('Urban Buildups 100dia'!AM1,0)</f>
        <v>965</v>
      </c>
      <c r="X62" s="54">
        <f>ROUNDUP('Urban Buildups 100dia'!AN1,0)</f>
        <v>1010</v>
      </c>
      <c r="Y62" s="54">
        <f>ROUNDUP('Urban Buildups 100dia'!AO1,0)</f>
        <v>1052</v>
      </c>
      <c r="Z62" s="54">
        <f>ROUNDUP('Urban Buildups 100dia'!AP1,0)</f>
        <v>1093</v>
      </c>
      <c r="AA62" s="54">
        <f>ROUNDUP('Urban Buildups 100dia'!AQ1,0)</f>
        <v>1154</v>
      </c>
      <c r="AB62" s="54">
        <f>ROUNDUP('Urban Buildups 100dia'!AR1,0)</f>
        <v>1195</v>
      </c>
      <c r="AC62" s="54">
        <f>ROUNDUP('Urban Buildups 100dia'!AS1,0)</f>
        <v>1237</v>
      </c>
      <c r="AD62" s="54">
        <f>ROUNDUP('Urban Buildups 100dia'!AT1,0)</f>
        <v>1282</v>
      </c>
      <c r="AE62" s="54">
        <f>ROUNDUP('Urban Buildups 100dia'!AU1,0)</f>
        <v>1324</v>
      </c>
      <c r="AF62" s="54">
        <f>ROUNDUP('Urban Buildups 100dia'!AV1,0)</f>
        <v>1365</v>
      </c>
      <c r="AG62" s="54">
        <f>ROUNDUP('Urban Buildups 100dia'!AW1,0)</f>
        <v>1411</v>
      </c>
      <c r="AH62" s="54">
        <f>ROUNDUP('Urban Buildups 100dia'!AX1,0)</f>
        <v>1452</v>
      </c>
      <c r="AI62" s="54">
        <f>ROUNDUP('Urban Buildups 100dia'!AY1,0)</f>
        <v>1494</v>
      </c>
      <c r="AJ62" s="54">
        <f>ROUNDUP('Urban Buildups 100dia'!AZ1,0)</f>
        <v>1539</v>
      </c>
      <c r="AK62" s="54">
        <f>ROUNDUP('Urban Buildups 100dia'!BA1,0)</f>
        <v>1581</v>
      </c>
      <c r="AL62" s="54">
        <f>ROUNDUP('Urban Buildups 100dia'!BB1,0)</f>
        <v>1623</v>
      </c>
    </row>
    <row r="63" spans="1:38" ht="15" customHeight="1" x14ac:dyDescent="0.2">
      <c r="A63" s="14" t="s">
        <v>122</v>
      </c>
      <c r="B63" s="16" t="s">
        <v>61</v>
      </c>
      <c r="C63" s="54">
        <f>ROUNDUP('Urban Buildups 100dia'!S2,0)</f>
        <v>144</v>
      </c>
      <c r="D63" s="54">
        <f>ROUNDUP('Urban Buildups 100dia'!T2,0)</f>
        <v>186</v>
      </c>
      <c r="E63" s="54">
        <f>ROUNDUP('Urban Buildups 100dia'!U2,0)</f>
        <v>227</v>
      </c>
      <c r="F63" s="54">
        <f>ROUNDUP('Urban Buildups 100dia'!V2,0)</f>
        <v>269</v>
      </c>
      <c r="G63" s="54">
        <f>ROUNDUP('Urban Buildups 100dia'!W2,0)</f>
        <v>310</v>
      </c>
      <c r="H63" s="54">
        <f>ROUNDUP('Urban Buildups 100dia'!X2,0)</f>
        <v>358</v>
      </c>
      <c r="I63" s="54">
        <f>ROUNDUP('Urban Buildups 100dia'!Y2,0)</f>
        <v>399</v>
      </c>
      <c r="J63" s="54">
        <f>ROUNDUP('Urban Buildups 100dia'!Z2,0)</f>
        <v>441</v>
      </c>
      <c r="K63" s="54">
        <f>ROUNDUP('Urban Buildups 100dia'!AA2,0)</f>
        <v>482</v>
      </c>
      <c r="L63" s="54">
        <f>ROUNDUP('Urban Buildups 100dia'!AB2,0)</f>
        <v>530</v>
      </c>
      <c r="M63" s="54">
        <f>ROUNDUP('Urban Buildups 100dia'!AC2,0)</f>
        <v>571</v>
      </c>
      <c r="N63" s="54">
        <f>ROUNDUP('Urban Buildups 100dia'!AD2,0)</f>
        <v>613</v>
      </c>
      <c r="O63" s="54">
        <f>ROUNDUP('Urban Buildups 100dia'!AE2,0)</f>
        <v>654</v>
      </c>
      <c r="P63" s="54">
        <f>ROUNDUP('Urban Buildups 100dia'!AF2,0)</f>
        <v>696</v>
      </c>
      <c r="Q63" s="54">
        <f>ROUNDUP('Urban Buildups 100dia'!AG2,0)</f>
        <v>743</v>
      </c>
      <c r="R63" s="54">
        <f>ROUNDUP('Urban Buildups 100dia'!AH2,0)</f>
        <v>785</v>
      </c>
      <c r="S63" s="54">
        <f>ROUNDUP('Urban Buildups 100dia'!AI2,0)</f>
        <v>826</v>
      </c>
      <c r="T63" s="54">
        <f>ROUNDUP('Urban Buildups 100dia'!AJ2,0)</f>
        <v>868</v>
      </c>
      <c r="U63" s="54">
        <f>ROUNDUP('Urban Buildups 100dia'!AK2,0)</f>
        <v>916</v>
      </c>
      <c r="V63" s="54">
        <f>ROUNDUP('Urban Buildups 100dia'!AL2,0)</f>
        <v>957</v>
      </c>
      <c r="W63" s="54">
        <f>ROUNDUP('Urban Buildups 100dia'!AM2,0)</f>
        <v>999</v>
      </c>
      <c r="X63" s="54">
        <f>ROUNDUP('Urban Buildups 100dia'!AN2,0)</f>
        <v>1040</v>
      </c>
      <c r="Y63" s="54">
        <f>ROUNDUP('Urban Buildups 100dia'!AO2,0)</f>
        <v>1082</v>
      </c>
      <c r="Z63" s="54">
        <f>ROUNDUP('Urban Buildups 100dia'!AP2,0)</f>
        <v>1129</v>
      </c>
      <c r="AA63" s="54">
        <f>ROUNDUP('Urban Buildups 100dia'!AQ2,0)</f>
        <v>1171</v>
      </c>
      <c r="AB63" s="54">
        <f>ROUNDUP('Urban Buildups 100dia'!AR2,0)</f>
        <v>1212</v>
      </c>
      <c r="AC63" s="54">
        <f>ROUNDUP('Urban Buildups 100dia'!AS2,0)</f>
        <v>1254</v>
      </c>
      <c r="AD63" s="54">
        <f>ROUNDUP('Urban Buildups 100dia'!AT2,0)</f>
        <v>1301</v>
      </c>
      <c r="AE63" s="54">
        <f>ROUNDUP('Urban Buildups 100dia'!AU2,0)</f>
        <v>1343</v>
      </c>
      <c r="AF63" s="54">
        <f>ROUNDUP('Urban Buildups 100dia'!AV2,0)</f>
        <v>1384</v>
      </c>
      <c r="AG63" s="54">
        <f>ROUNDUP('Urban Buildups 100dia'!AW2,0)</f>
        <v>1426</v>
      </c>
      <c r="AH63" s="54">
        <f>ROUNDUP('Urban Buildups 100dia'!AX2,0)</f>
        <v>1467</v>
      </c>
      <c r="AI63" s="54">
        <f>ROUNDUP('Urban Buildups 100dia'!AY2,0)</f>
        <v>1515</v>
      </c>
      <c r="AJ63" s="54">
        <f>ROUNDUP('Urban Buildups 100dia'!AZ2,0)</f>
        <v>1556</v>
      </c>
      <c r="AK63" s="54">
        <f>ROUNDUP('Urban Buildups 100dia'!BA2,0)</f>
        <v>1598</v>
      </c>
      <c r="AL63" s="54">
        <f>ROUNDUP('Urban Buildups 100dia'!BB2,0)</f>
        <v>1640</v>
      </c>
    </row>
    <row r="64" spans="1:38" ht="15" customHeight="1" x14ac:dyDescent="0.2">
      <c r="A64" s="14" t="s">
        <v>123</v>
      </c>
      <c r="B64" s="16" t="s">
        <v>14</v>
      </c>
      <c r="C64" s="54">
        <f t="shared" ref="C64:AL64" si="8">C17*Urban100</f>
        <v>74.233899046321866</v>
      </c>
      <c r="D64" s="54">
        <f t="shared" si="8"/>
        <v>129.96775249119426</v>
      </c>
      <c r="E64" s="54">
        <f t="shared" si="8"/>
        <v>177.24034879856066</v>
      </c>
      <c r="F64" s="54">
        <f t="shared" si="8"/>
        <v>229.81285342282646</v>
      </c>
      <c r="G64" s="54">
        <f t="shared" si="8"/>
        <v>294.84479163418894</v>
      </c>
      <c r="H64" s="54">
        <f t="shared" si="8"/>
        <v>334.30699673770363</v>
      </c>
      <c r="I64" s="54">
        <f t="shared" si="8"/>
        <v>391.3425820498847</v>
      </c>
      <c r="J64" s="54">
        <f t="shared" si="8"/>
        <v>456.46094249042392</v>
      </c>
      <c r="K64" s="54">
        <f t="shared" si="8"/>
        <v>512.19479593529638</v>
      </c>
      <c r="L64" s="54">
        <f t="shared" si="8"/>
        <v>559.46739224266275</v>
      </c>
      <c r="M64" s="54">
        <f t="shared" si="8"/>
        <v>612.03989686692853</v>
      </c>
      <c r="N64" s="54">
        <f t="shared" si="8"/>
        <v>677.07183507829097</v>
      </c>
      <c r="O64" s="54">
        <f t="shared" si="8"/>
        <v>716.53404018180572</v>
      </c>
      <c r="P64" s="54">
        <f t="shared" si="8"/>
        <v>773.56962549398679</v>
      </c>
      <c r="Q64" s="54">
        <f t="shared" si="8"/>
        <v>847.80352454030867</v>
      </c>
      <c r="R64" s="54">
        <f t="shared" si="8"/>
        <v>903.53737798518102</v>
      </c>
      <c r="S64" s="54">
        <f t="shared" si="8"/>
        <v>950.80997429254751</v>
      </c>
      <c r="T64" s="54">
        <f t="shared" si="8"/>
        <v>1003.3824789168133</v>
      </c>
      <c r="U64" s="54">
        <f t="shared" si="8"/>
        <v>1068.4144171281757</v>
      </c>
      <c r="V64" s="54">
        <f t="shared" si="8"/>
        <v>1107.8766222316906</v>
      </c>
      <c r="W64" s="54">
        <f t="shared" si="8"/>
        <v>1164.9122075438713</v>
      </c>
      <c r="X64" s="54">
        <f t="shared" si="8"/>
        <v>1230.0305679844107</v>
      </c>
      <c r="Y64" s="54">
        <f t="shared" si="8"/>
        <v>1285.7644214292832</v>
      </c>
      <c r="Z64" s="54">
        <f t="shared" si="8"/>
        <v>1333.0370177366494</v>
      </c>
      <c r="AA64" s="54">
        <f t="shared" si="8"/>
        <v>1385.6095223609152</v>
      </c>
      <c r="AB64" s="54">
        <f t="shared" si="8"/>
        <v>1450.6414605722778</v>
      </c>
      <c r="AC64" s="54">
        <f t="shared" si="8"/>
        <v>1490.1036656757924</v>
      </c>
      <c r="AD64" s="54">
        <f t="shared" si="8"/>
        <v>1547.1392509879736</v>
      </c>
      <c r="AE64" s="54">
        <f t="shared" si="8"/>
        <v>1621.3731500342956</v>
      </c>
      <c r="AF64" s="54">
        <f t="shared" si="8"/>
        <v>1677.107003479168</v>
      </c>
      <c r="AG64" s="54">
        <f t="shared" si="8"/>
        <v>1724.3795997865341</v>
      </c>
      <c r="AH64" s="54">
        <f t="shared" si="8"/>
        <v>1776.9521044107998</v>
      </c>
      <c r="AI64" s="54">
        <f t="shared" si="8"/>
        <v>1841.9840426221626</v>
      </c>
      <c r="AJ64" s="54">
        <f t="shared" si="8"/>
        <v>1881.4462477256773</v>
      </c>
      <c r="AK64" s="54">
        <f t="shared" si="8"/>
        <v>1938.4818330378582</v>
      </c>
      <c r="AL64" s="54">
        <f t="shared" si="8"/>
        <v>2003.6001934783974</v>
      </c>
    </row>
    <row r="65" spans="1:38" ht="15" customHeight="1" x14ac:dyDescent="0.2">
      <c r="A65" s="14" t="s">
        <v>124</v>
      </c>
      <c r="B65" s="16" t="s">
        <v>101</v>
      </c>
      <c r="C65" s="54">
        <f>100*C53</f>
        <v>100</v>
      </c>
      <c r="D65" s="54">
        <f>$C65*D53</f>
        <v>200</v>
      </c>
      <c r="E65" s="54">
        <f t="shared" ref="E65:AK65" si="9">$C65*E53</f>
        <v>300</v>
      </c>
      <c r="F65" s="54">
        <f t="shared" si="9"/>
        <v>400</v>
      </c>
      <c r="G65" s="54">
        <f t="shared" si="9"/>
        <v>500</v>
      </c>
      <c r="H65" s="54">
        <f t="shared" si="9"/>
        <v>600</v>
      </c>
      <c r="I65" s="54">
        <f t="shared" si="9"/>
        <v>700</v>
      </c>
      <c r="J65" s="54">
        <f t="shared" si="9"/>
        <v>800</v>
      </c>
      <c r="K65" s="54">
        <f t="shared" si="9"/>
        <v>900</v>
      </c>
      <c r="L65" s="54">
        <f t="shared" si="9"/>
        <v>1000</v>
      </c>
      <c r="M65" s="54">
        <f t="shared" si="9"/>
        <v>1100</v>
      </c>
      <c r="N65" s="54">
        <f t="shared" si="9"/>
        <v>1200</v>
      </c>
      <c r="O65" s="54">
        <f t="shared" si="9"/>
        <v>1300</v>
      </c>
      <c r="P65" s="54">
        <f t="shared" si="9"/>
        <v>1400</v>
      </c>
      <c r="Q65" s="54">
        <f t="shared" si="9"/>
        <v>1500</v>
      </c>
      <c r="R65" s="54">
        <f t="shared" si="9"/>
        <v>1600</v>
      </c>
      <c r="S65" s="54">
        <f t="shared" si="9"/>
        <v>1700</v>
      </c>
      <c r="T65" s="54">
        <f t="shared" si="9"/>
        <v>1800</v>
      </c>
      <c r="U65" s="54">
        <f t="shared" si="9"/>
        <v>1900</v>
      </c>
      <c r="V65" s="54">
        <f t="shared" si="9"/>
        <v>2000</v>
      </c>
      <c r="W65" s="54">
        <f t="shared" si="9"/>
        <v>2100</v>
      </c>
      <c r="X65" s="54">
        <f t="shared" si="9"/>
        <v>2200</v>
      </c>
      <c r="Y65" s="54">
        <f t="shared" si="9"/>
        <v>2300</v>
      </c>
      <c r="Z65" s="54">
        <f t="shared" si="9"/>
        <v>2400</v>
      </c>
      <c r="AA65" s="54">
        <f t="shared" si="9"/>
        <v>2500</v>
      </c>
      <c r="AB65" s="54">
        <f t="shared" si="9"/>
        <v>2600</v>
      </c>
      <c r="AC65" s="54">
        <f t="shared" si="9"/>
        <v>2700</v>
      </c>
      <c r="AD65" s="54">
        <f t="shared" si="9"/>
        <v>2800</v>
      </c>
      <c r="AE65" s="54">
        <f t="shared" si="9"/>
        <v>2900</v>
      </c>
      <c r="AF65" s="54">
        <f t="shared" si="9"/>
        <v>3000</v>
      </c>
      <c r="AG65" s="54">
        <f t="shared" si="9"/>
        <v>3100</v>
      </c>
      <c r="AH65" s="54">
        <f t="shared" si="9"/>
        <v>3200</v>
      </c>
      <c r="AI65" s="54">
        <f t="shared" si="9"/>
        <v>3300</v>
      </c>
      <c r="AJ65" s="54">
        <f t="shared" si="9"/>
        <v>3400</v>
      </c>
      <c r="AK65" s="54">
        <f t="shared" si="9"/>
        <v>3500</v>
      </c>
      <c r="AL65" s="54">
        <f>$C65*AL53</f>
        <v>3600</v>
      </c>
    </row>
    <row r="66" spans="1:38" ht="15" customHeight="1" x14ac:dyDescent="0.2">
      <c r="B66" s="81"/>
    </row>
    <row r="67" spans="1:38" ht="15" customHeight="1" x14ac:dyDescent="0.2">
      <c r="B67" s="81"/>
    </row>
    <row r="68" spans="1:38" ht="15" customHeight="1" x14ac:dyDescent="0.25">
      <c r="A68" s="18" t="s">
        <v>135</v>
      </c>
      <c r="B68" s="11"/>
      <c r="C68" s="10"/>
      <c r="D68" s="10"/>
      <c r="E68" s="10"/>
      <c r="F68" s="10"/>
    </row>
    <row r="69" spans="1:38" ht="15" customHeight="1" x14ac:dyDescent="0.2">
      <c r="A69" s="19" t="s">
        <v>112</v>
      </c>
      <c r="B69" s="11"/>
      <c r="G69" s="12">
        <v>1</v>
      </c>
      <c r="H69" s="12">
        <v>2</v>
      </c>
      <c r="I69" s="12">
        <v>3</v>
      </c>
      <c r="J69" s="12">
        <v>4</v>
      </c>
      <c r="K69" s="12">
        <v>5</v>
      </c>
      <c r="L69" s="12">
        <v>6</v>
      </c>
    </row>
    <row r="70" spans="1:38" ht="15" customHeight="1" x14ac:dyDescent="0.2">
      <c r="G70" s="13" t="s">
        <v>113</v>
      </c>
      <c r="H70" s="13" t="s">
        <v>113</v>
      </c>
      <c r="I70" s="13" t="s">
        <v>113</v>
      </c>
      <c r="J70" s="13" t="s">
        <v>113</v>
      </c>
      <c r="K70" s="13" t="s">
        <v>113</v>
      </c>
      <c r="L70" s="13" t="s">
        <v>113</v>
      </c>
    </row>
    <row r="71" spans="1:38" ht="20.100000000000001" customHeight="1" x14ac:dyDescent="0.2">
      <c r="A71" s="281" t="s">
        <v>138</v>
      </c>
      <c r="B71" s="282"/>
      <c r="C71" s="282"/>
      <c r="D71" s="282"/>
      <c r="E71" s="282"/>
      <c r="F71" s="283"/>
      <c r="G71" s="95" t="s">
        <v>63</v>
      </c>
      <c r="H71" s="96"/>
      <c r="I71" s="96"/>
      <c r="J71" s="96"/>
      <c r="K71" s="96"/>
      <c r="L71" s="96"/>
    </row>
    <row r="72" spans="1:38" ht="15" customHeight="1" x14ac:dyDescent="0.2">
      <c r="A72" s="14"/>
      <c r="B72" s="284" t="s">
        <v>139</v>
      </c>
      <c r="C72" s="284"/>
      <c r="D72" s="284"/>
      <c r="E72" s="284"/>
      <c r="F72" s="284"/>
      <c r="G72" s="53"/>
      <c r="H72" s="53"/>
      <c r="I72" s="53"/>
      <c r="J72" s="54"/>
      <c r="K72" s="54"/>
      <c r="L72" s="54"/>
    </row>
    <row r="73" spans="1:38" ht="15" customHeight="1" x14ac:dyDescent="0.2">
      <c r="A73" s="14" t="s">
        <v>125</v>
      </c>
      <c r="B73" s="285" t="s">
        <v>136</v>
      </c>
      <c r="C73" s="285"/>
      <c r="D73" s="285"/>
      <c r="E73" s="285"/>
      <c r="F73" s="285"/>
      <c r="G73" s="54">
        <v>2</v>
      </c>
      <c r="H73" s="54">
        <v>2</v>
      </c>
      <c r="I73" s="54">
        <v>3</v>
      </c>
      <c r="J73" s="54">
        <v>3</v>
      </c>
      <c r="K73" s="54">
        <v>4</v>
      </c>
      <c r="L73" s="54">
        <v>4</v>
      </c>
    </row>
    <row r="74" spans="1:38" ht="15" customHeight="1" x14ac:dyDescent="0.2">
      <c r="A74" s="14" t="s">
        <v>126</v>
      </c>
      <c r="B74" s="285" t="s">
        <v>137</v>
      </c>
      <c r="C74" s="285"/>
      <c r="D74" s="285"/>
      <c r="E74" s="285"/>
      <c r="F74" s="285"/>
      <c r="G74" s="54">
        <v>5</v>
      </c>
      <c r="H74" s="54">
        <v>5</v>
      </c>
      <c r="I74" s="54">
        <v>6</v>
      </c>
      <c r="J74" s="54">
        <v>6</v>
      </c>
      <c r="K74" s="54">
        <v>7</v>
      </c>
      <c r="L74" s="54">
        <v>7</v>
      </c>
    </row>
    <row r="75" spans="1:38" ht="15" customHeight="1" x14ac:dyDescent="0.2">
      <c r="A75" s="14"/>
      <c r="B75" s="286"/>
      <c r="C75" s="286"/>
      <c r="D75" s="286"/>
      <c r="E75" s="286"/>
      <c r="F75" s="286"/>
      <c r="G75" s="54"/>
      <c r="H75" s="54"/>
      <c r="I75" s="54"/>
      <c r="J75" s="54"/>
      <c r="K75" s="54"/>
      <c r="L75" s="54"/>
    </row>
    <row r="76" spans="1:38" ht="15" customHeight="1" x14ac:dyDescent="0.2">
      <c r="B76" s="81"/>
    </row>
    <row r="77" spans="1:38" ht="15" customHeight="1" x14ac:dyDescent="0.2">
      <c r="B77" s="19" t="s">
        <v>183</v>
      </c>
    </row>
    <row r="78" spans="1:38" ht="15" customHeight="1" x14ac:dyDescent="0.2">
      <c r="B78" s="139" t="s">
        <v>269</v>
      </c>
    </row>
    <row r="79" spans="1:38" ht="15" customHeight="1" x14ac:dyDescent="0.2">
      <c r="B79" s="139" t="s">
        <v>270</v>
      </c>
    </row>
    <row r="80" spans="1:38" ht="15" customHeight="1" x14ac:dyDescent="0.2">
      <c r="B80" s="139" t="s">
        <v>271</v>
      </c>
    </row>
    <row r="81" spans="2:2" ht="15" customHeight="1" x14ac:dyDescent="0.2">
      <c r="B81" s="139" t="s">
        <v>272</v>
      </c>
    </row>
    <row r="82" spans="2:2" ht="15" customHeight="1" x14ac:dyDescent="0.2">
      <c r="B82" s="139" t="s">
        <v>268</v>
      </c>
    </row>
    <row r="83" spans="2:2" ht="15" customHeight="1" x14ac:dyDescent="0.2">
      <c r="B83" s="139" t="s">
        <v>180</v>
      </c>
    </row>
    <row r="84" spans="2:2" ht="15" customHeight="1" x14ac:dyDescent="0.2">
      <c r="B84" s="139" t="s">
        <v>273</v>
      </c>
    </row>
    <row r="85" spans="2:2" ht="15" customHeight="1" x14ac:dyDescent="0.2">
      <c r="B85" s="139" t="s">
        <v>274</v>
      </c>
    </row>
    <row r="86" spans="2:2" ht="15" customHeight="1" x14ac:dyDescent="0.2">
      <c r="B86" s="139" t="s">
        <v>275</v>
      </c>
    </row>
    <row r="87" spans="2:2" ht="15" customHeight="1" x14ac:dyDescent="0.2">
      <c r="B87" s="139" t="s">
        <v>266</v>
      </c>
    </row>
    <row r="88" spans="2:2" ht="15" customHeight="1" x14ac:dyDescent="0.2">
      <c r="B88" s="139" t="s">
        <v>276</v>
      </c>
    </row>
    <row r="89" spans="2:2" ht="15" customHeight="1" x14ac:dyDescent="0.2">
      <c r="B89" s="139" t="s">
        <v>277</v>
      </c>
    </row>
    <row r="90" spans="2:2" ht="15" customHeight="1" x14ac:dyDescent="0.2">
      <c r="B90" s="139"/>
    </row>
    <row r="91" spans="2:2" x14ac:dyDescent="0.2">
      <c r="B91" s="81"/>
    </row>
    <row r="92" spans="2:2" x14ac:dyDescent="0.2">
      <c r="B92" s="81"/>
    </row>
    <row r="93" spans="2:2" x14ac:dyDescent="0.2">
      <c r="B93" s="81"/>
    </row>
    <row r="94" spans="2:2" x14ac:dyDescent="0.2">
      <c r="B94" s="81"/>
    </row>
    <row r="95" spans="2:2" x14ac:dyDescent="0.2">
      <c r="B95" s="81"/>
    </row>
    <row r="96" spans="2:2" x14ac:dyDescent="0.2">
      <c r="B96" s="81"/>
    </row>
    <row r="97" spans="2:2" x14ac:dyDescent="0.2">
      <c r="B97" s="81"/>
    </row>
    <row r="98" spans="2:2" x14ac:dyDescent="0.2">
      <c r="B98" s="81"/>
    </row>
    <row r="99" spans="2:2" x14ac:dyDescent="0.2">
      <c r="B99" s="81"/>
    </row>
    <row r="100" spans="2:2" x14ac:dyDescent="0.2">
      <c r="B100" s="81"/>
    </row>
    <row r="101" spans="2:2" x14ac:dyDescent="0.2">
      <c r="B101" s="81"/>
    </row>
    <row r="102" spans="2:2" x14ac:dyDescent="0.2">
      <c r="B102" s="81"/>
    </row>
    <row r="103" spans="2:2" x14ac:dyDescent="0.2">
      <c r="B103" s="81"/>
    </row>
    <row r="104" spans="2:2" x14ac:dyDescent="0.2">
      <c r="B104" s="81"/>
    </row>
    <row r="105" spans="2:2" x14ac:dyDescent="0.2">
      <c r="B105" s="81"/>
    </row>
    <row r="106" spans="2:2" x14ac:dyDescent="0.2">
      <c r="B106" s="81"/>
    </row>
    <row r="107" spans="2:2" x14ac:dyDescent="0.2">
      <c r="B107" s="81"/>
    </row>
    <row r="108" spans="2:2" x14ac:dyDescent="0.2">
      <c r="B108" s="81"/>
    </row>
  </sheetData>
  <mergeCells count="17">
    <mergeCell ref="A71:F71"/>
    <mergeCell ref="B72:F72"/>
    <mergeCell ref="B73:F73"/>
    <mergeCell ref="B74:F74"/>
    <mergeCell ref="B75:F75"/>
    <mergeCell ref="C55:V55"/>
    <mergeCell ref="A55:B55"/>
    <mergeCell ref="C7:AL7"/>
    <mergeCell ref="C18:AL18"/>
    <mergeCell ref="C29:AL29"/>
    <mergeCell ref="C38:AL38"/>
    <mergeCell ref="C45:AL45"/>
    <mergeCell ref="A7:B7"/>
    <mergeCell ref="A18:B18"/>
    <mergeCell ref="A29:B29"/>
    <mergeCell ref="A38:B38"/>
    <mergeCell ref="A45:B45"/>
  </mergeCells>
  <printOptions horizontalCentered="1"/>
  <pageMargins left="0.39370078740157483" right="0.39370078740157483" top="0.59055118110236227" bottom="0.59055118110236227" header="0.39370078740157483" footer="0.19685039370078741"/>
  <pageSetup paperSize="8" scale="57" fitToHeight="0" orientation="landscape" r:id="rId1"/>
  <headerFooter>
    <oddFooter>&amp;C&amp;G&amp;R&amp;"Arial,Regular"&amp;10Rural Trenching , Page 1 of 1
Printed &amp;D at &amp;T</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V127"/>
  <sheetViews>
    <sheetView zoomScale="90" zoomScaleNormal="90" workbookViewId="0">
      <pane xSplit="15" ySplit="5" topLeftCell="P6" activePane="bottomRight" state="frozen"/>
      <selection pane="topRight" activeCell="P1" sqref="P1"/>
      <selection pane="bottomLeft" activeCell="A6" sqref="A6"/>
      <selection pane="bottomRight" activeCell="P6" sqref="P6"/>
    </sheetView>
  </sheetViews>
  <sheetFormatPr defaultRowHeight="15" x14ac:dyDescent="0.25"/>
  <cols>
    <col min="1" max="1" width="16.140625" customWidth="1"/>
    <col min="2" max="7" width="11.7109375" customWidth="1"/>
    <col min="8" max="8" width="1.7109375" customWidth="1"/>
    <col min="9" max="9" width="11.7109375" style="6" customWidth="1"/>
    <col min="10" max="14" width="11.7109375" customWidth="1"/>
    <col min="15" max="15" width="1.7109375" customWidth="1"/>
    <col min="16" max="16" width="12.7109375" customWidth="1"/>
    <col min="17" max="52" width="9.7109375" customWidth="1"/>
    <col min="54" max="126" width="9.7109375" customWidth="1"/>
  </cols>
  <sheetData>
    <row r="1" spans="1:126" ht="18" customHeight="1" x14ac:dyDescent="0.25">
      <c r="A1" s="3" t="s">
        <v>64</v>
      </c>
      <c r="B1" s="55" t="s">
        <v>66</v>
      </c>
      <c r="C1" s="56"/>
      <c r="D1" s="57"/>
      <c r="H1" s="40"/>
      <c r="O1" s="40"/>
      <c r="P1" s="64" t="s">
        <v>58</v>
      </c>
      <c r="Q1" s="63">
        <f>G6</f>
        <v>44.068063333333342</v>
      </c>
      <c r="R1" s="63">
        <f>G7</f>
        <v>73.736126666666664</v>
      </c>
      <c r="S1" s="63">
        <f>G8</f>
        <v>103.40419000000001</v>
      </c>
      <c r="T1" s="63">
        <f>G9</f>
        <v>133.07225333333335</v>
      </c>
      <c r="U1" s="63">
        <f>G10</f>
        <v>162.74031666666667</v>
      </c>
      <c r="V1" s="63">
        <f>G11</f>
        <v>192.40838000000002</v>
      </c>
      <c r="W1" s="63">
        <f>G12</f>
        <v>222.07644333333337</v>
      </c>
      <c r="X1" s="63">
        <f>G13</f>
        <v>252.94450666666671</v>
      </c>
      <c r="Y1" s="63">
        <f>G14</f>
        <v>282.61257000000001</v>
      </c>
      <c r="Z1" s="63">
        <f>G15</f>
        <v>312.28063333333336</v>
      </c>
      <c r="AA1" s="63">
        <f>G16</f>
        <v>341.94869666666671</v>
      </c>
      <c r="AB1" s="63">
        <f>G17</f>
        <v>371.61676000000006</v>
      </c>
      <c r="AC1" s="63">
        <f>G18</f>
        <v>401.28482333333335</v>
      </c>
      <c r="AD1" s="63">
        <f>G19</f>
        <v>432.15288666666675</v>
      </c>
      <c r="AE1" s="63">
        <f>G20</f>
        <v>461.82095000000004</v>
      </c>
      <c r="AF1" s="63">
        <f>G21</f>
        <v>491.48901333333339</v>
      </c>
      <c r="AG1" s="63">
        <f>G22</f>
        <v>521.15707666666674</v>
      </c>
      <c r="AH1" s="63">
        <f>G23</f>
        <v>550.82514000000015</v>
      </c>
      <c r="AI1" s="63">
        <f>G24</f>
        <v>580.49320333333355</v>
      </c>
      <c r="AJ1" s="63">
        <f>G25</f>
        <v>610.16126666666685</v>
      </c>
      <c r="AK1" s="63">
        <f>G26</f>
        <v>641.02933000000007</v>
      </c>
      <c r="AL1" s="63">
        <f>G27</f>
        <v>670.69739333333348</v>
      </c>
      <c r="AM1" s="63">
        <f>G28</f>
        <v>700.36545666666689</v>
      </c>
      <c r="AN1" s="63">
        <f>G29</f>
        <v>730.03352000000007</v>
      </c>
      <c r="AO1" s="63">
        <f>G30</f>
        <v>759.70158333333336</v>
      </c>
      <c r="AP1" s="63">
        <f>G31</f>
        <v>789.36964666666677</v>
      </c>
      <c r="AQ1" s="63">
        <f>G32</f>
        <v>820.23771000000011</v>
      </c>
      <c r="AR1" s="63">
        <f>G33</f>
        <v>849.9057733333334</v>
      </c>
      <c r="AS1" s="63">
        <f>G34</f>
        <v>879.57383666666669</v>
      </c>
      <c r="AT1" s="63">
        <f>G35</f>
        <v>909.2419000000001</v>
      </c>
      <c r="AU1" s="63">
        <f>G36</f>
        <v>938.90996333333351</v>
      </c>
      <c r="AV1" s="63">
        <f>G37</f>
        <v>968.5780266666668</v>
      </c>
      <c r="AW1" s="63">
        <f>G38</f>
        <v>998.24609000000009</v>
      </c>
      <c r="AX1" s="63">
        <f>G39</f>
        <v>1029.1141533333334</v>
      </c>
      <c r="AY1" s="63">
        <f>G40</f>
        <v>1058.7822166666667</v>
      </c>
      <c r="AZ1" s="63">
        <f>G41</f>
        <v>1088.45028</v>
      </c>
      <c r="BA1" s="65" t="s">
        <v>67</v>
      </c>
      <c r="BB1" s="66">
        <f>G49</f>
        <v>51.268063333333338</v>
      </c>
      <c r="BC1" s="66">
        <f>G50</f>
        <v>80.936126666666681</v>
      </c>
      <c r="BD1" s="66">
        <f>G51</f>
        <v>110.60419000000002</v>
      </c>
      <c r="BE1" s="66">
        <f>G52</f>
        <v>140.27225333333337</v>
      </c>
      <c r="BF1" s="66">
        <f>G53</f>
        <v>169.94031666666669</v>
      </c>
      <c r="BG1" s="66">
        <f>G54</f>
        <v>199.60838000000004</v>
      </c>
      <c r="BH1" s="66">
        <f>G55</f>
        <v>229.27644333333336</v>
      </c>
      <c r="BI1" s="66">
        <f>G56</f>
        <v>260.74450666666672</v>
      </c>
      <c r="BJ1" s="66">
        <f>G57</f>
        <v>290.41257000000007</v>
      </c>
      <c r="BK1" s="66">
        <f>G58</f>
        <v>320.08063333333342</v>
      </c>
      <c r="BL1" s="66">
        <f>G59</f>
        <v>349.74869666666672</v>
      </c>
      <c r="BM1" s="66">
        <f>G60</f>
        <v>379.41676000000007</v>
      </c>
      <c r="BN1" s="66">
        <f>G61</f>
        <v>409.08482333333342</v>
      </c>
      <c r="BO1" s="66">
        <f>G62</f>
        <v>440.55288666666672</v>
      </c>
      <c r="BP1" s="66">
        <f>G63</f>
        <v>470.22095000000007</v>
      </c>
      <c r="BQ1" s="66">
        <f>G64</f>
        <v>499.88901333333342</v>
      </c>
      <c r="BR1" s="66">
        <f>G65</f>
        <v>529.55707666666672</v>
      </c>
      <c r="BS1" s="66">
        <f>G66</f>
        <v>559.22514000000001</v>
      </c>
      <c r="BT1" s="66">
        <f>G67</f>
        <v>588.89320333333342</v>
      </c>
      <c r="BU1" s="66">
        <f>G68</f>
        <v>618.56126666666671</v>
      </c>
      <c r="BV1" s="66">
        <f>G69</f>
        <v>650.02933000000007</v>
      </c>
      <c r="BW1" s="66">
        <f>G70</f>
        <v>679.69739333333348</v>
      </c>
      <c r="BX1" s="66">
        <f>G71</f>
        <v>709.36545666666689</v>
      </c>
      <c r="BY1" s="66">
        <f>G72</f>
        <v>739.03352000000007</v>
      </c>
      <c r="BZ1" s="66">
        <f>G73</f>
        <v>768.70158333333336</v>
      </c>
      <c r="CA1" s="66">
        <f>G74</f>
        <v>798.36964666666677</v>
      </c>
      <c r="CB1" s="66">
        <f>G75</f>
        <v>829.83771000000024</v>
      </c>
      <c r="CC1" s="66">
        <f>G76</f>
        <v>859.50577333333354</v>
      </c>
      <c r="CD1" s="66">
        <f>G77</f>
        <v>889.17383666666683</v>
      </c>
      <c r="CE1" s="66">
        <f>G78</f>
        <v>918.84190000000024</v>
      </c>
      <c r="CF1" s="66">
        <f>G79</f>
        <v>948.50996333333353</v>
      </c>
      <c r="CG1" s="66">
        <f>G80</f>
        <v>978.17802666666682</v>
      </c>
      <c r="CH1" s="66">
        <f>G81</f>
        <v>1007.8460900000001</v>
      </c>
      <c r="CI1" s="66">
        <f>G82</f>
        <v>1039.3141533333335</v>
      </c>
      <c r="CJ1" s="66">
        <f>G83</f>
        <v>1068.982216666667</v>
      </c>
      <c r="CK1" s="66">
        <f>G84</f>
        <v>1098.6502800000003</v>
      </c>
      <c r="CL1" s="76" t="s">
        <v>70</v>
      </c>
      <c r="CM1" s="75">
        <f>G92</f>
        <v>65.628793333333334</v>
      </c>
      <c r="CN1" s="75">
        <f>G93</f>
        <v>95.257586666666683</v>
      </c>
      <c r="CO1" s="75">
        <f>G94</f>
        <v>124.88638000000002</v>
      </c>
      <c r="CP1" s="75">
        <f>G95</f>
        <v>154.51517333333337</v>
      </c>
      <c r="CQ1" s="75">
        <f>G96</f>
        <v>184.1439666666667</v>
      </c>
      <c r="CR1" s="75">
        <f>G97</f>
        <v>213.77276000000003</v>
      </c>
      <c r="CS1" s="75">
        <f>G98</f>
        <v>243.40155333333337</v>
      </c>
      <c r="CT1" s="75">
        <f>G99</f>
        <v>276.03034666666673</v>
      </c>
      <c r="CU1" s="75">
        <f>G100</f>
        <v>305.65914000000009</v>
      </c>
      <c r="CV1" s="75">
        <f>G101</f>
        <v>335.2879333333334</v>
      </c>
      <c r="CW1" s="75">
        <f>G102</f>
        <v>364.91672666666676</v>
      </c>
      <c r="CX1" s="75">
        <f>G103</f>
        <v>394.54552000000007</v>
      </c>
      <c r="CY1" s="75">
        <f>G104</f>
        <v>424.17431333333343</v>
      </c>
      <c r="CZ1" s="75">
        <f>G105</f>
        <v>456.80310666666674</v>
      </c>
      <c r="DA1" s="75">
        <f>G106</f>
        <v>486.4319000000001</v>
      </c>
      <c r="DB1" s="75">
        <f>G107</f>
        <v>516.06069333333346</v>
      </c>
      <c r="DC1" s="75">
        <f>G108</f>
        <v>545.68948666666677</v>
      </c>
      <c r="DD1" s="75">
        <f>G109</f>
        <v>575.31828000000007</v>
      </c>
      <c r="DE1" s="75">
        <f>G110</f>
        <v>604.94707333333338</v>
      </c>
      <c r="DF1" s="75">
        <f>G111</f>
        <v>634.57586666666668</v>
      </c>
      <c r="DG1" s="75">
        <f>G112</f>
        <v>667.20465999999999</v>
      </c>
      <c r="DH1" s="75">
        <f>G113</f>
        <v>696.83345333333341</v>
      </c>
      <c r="DI1" s="75">
        <f>G114</f>
        <v>726.46224666666683</v>
      </c>
      <c r="DJ1" s="75">
        <f>G115</f>
        <v>756.09104000000013</v>
      </c>
      <c r="DK1" s="75">
        <f>G116</f>
        <v>785.71983333333344</v>
      </c>
      <c r="DL1" s="75">
        <f>G117</f>
        <v>815.34862666666675</v>
      </c>
      <c r="DM1" s="75">
        <f>G118</f>
        <v>847.97742000000028</v>
      </c>
      <c r="DN1" s="75">
        <f>G119</f>
        <v>877.60621333333347</v>
      </c>
      <c r="DO1" s="75">
        <f>G120</f>
        <v>907.23500666666678</v>
      </c>
      <c r="DP1" s="75">
        <f>G121</f>
        <v>936.8638000000002</v>
      </c>
      <c r="DQ1" s="75">
        <f>G122</f>
        <v>966.49259333333362</v>
      </c>
      <c r="DR1" s="75">
        <f>G123</f>
        <v>996.12138666666692</v>
      </c>
      <c r="DS1" s="75">
        <f>G124</f>
        <v>1025.7501800000002</v>
      </c>
      <c r="DT1" s="75">
        <f>G125</f>
        <v>1058.3789733333335</v>
      </c>
      <c r="DU1" s="75">
        <f>G126</f>
        <v>1088.0077666666671</v>
      </c>
      <c r="DV1" s="75">
        <f>G127</f>
        <v>1117.6365600000004</v>
      </c>
    </row>
    <row r="2" spans="1:126" ht="18" customHeight="1" x14ac:dyDescent="0.25">
      <c r="A2" s="3" t="s">
        <v>12</v>
      </c>
      <c r="B2" s="30" t="s">
        <v>10</v>
      </c>
      <c r="C2" s="9">
        <v>40</v>
      </c>
      <c r="D2" s="134">
        <v>15</v>
      </c>
      <c r="E2" s="24">
        <f>T13</f>
        <v>29.707333333333338</v>
      </c>
      <c r="F2" s="9">
        <v>20</v>
      </c>
      <c r="H2" s="40"/>
      <c r="I2" s="33"/>
      <c r="O2" s="40"/>
      <c r="P2" s="64" t="s">
        <v>59</v>
      </c>
      <c r="Q2" s="63">
        <f>N6</f>
        <v>51.268063333333338</v>
      </c>
      <c r="R2" s="63">
        <f>N7</f>
        <v>80.936126666666681</v>
      </c>
      <c r="S2" s="63">
        <f>N8</f>
        <v>110.60419000000002</v>
      </c>
      <c r="T2" s="63">
        <f>N9</f>
        <v>140.27225333333337</v>
      </c>
      <c r="U2" s="63">
        <f>N10</f>
        <v>169.94031666666669</v>
      </c>
      <c r="V2" s="63">
        <f>N11</f>
        <v>199.60838000000004</v>
      </c>
      <c r="W2" s="63">
        <f>N12</f>
        <v>229.27644333333336</v>
      </c>
      <c r="X2" s="63">
        <f>N13</f>
        <v>258.94450666666671</v>
      </c>
      <c r="Y2" s="63">
        <f>N14</f>
        <v>288.61257000000001</v>
      </c>
      <c r="Z2" s="63">
        <f>N15</f>
        <v>318.28063333333336</v>
      </c>
      <c r="AA2" s="63">
        <f>N16</f>
        <v>347.94869666666671</v>
      </c>
      <c r="AB2" s="63">
        <f>N17</f>
        <v>379.41676000000007</v>
      </c>
      <c r="AC2" s="63">
        <f>N18</f>
        <v>409.08482333333342</v>
      </c>
      <c r="AD2" s="63">
        <f>N19</f>
        <v>438.75288666666677</v>
      </c>
      <c r="AE2" s="63">
        <f>N20</f>
        <v>468.42095000000012</v>
      </c>
      <c r="AF2" s="63">
        <f>N21</f>
        <v>498.08901333333341</v>
      </c>
      <c r="AG2" s="63">
        <f>N22</f>
        <v>527.75707666666676</v>
      </c>
      <c r="AH2" s="63">
        <f>N23</f>
        <v>557.42514000000006</v>
      </c>
      <c r="AI2" s="63">
        <f>N24</f>
        <v>587.09320333333346</v>
      </c>
      <c r="AJ2" s="63">
        <f>N25</f>
        <v>616.76126666666676</v>
      </c>
      <c r="AK2" s="63">
        <f>N26</f>
        <v>646.42933000000005</v>
      </c>
      <c r="AL2" s="63">
        <f>N27</f>
        <v>677.89739333333341</v>
      </c>
      <c r="AM2" s="63">
        <f>N28</f>
        <v>707.56545666666682</v>
      </c>
      <c r="AN2" s="63">
        <f>N29</f>
        <v>737.23352000000011</v>
      </c>
      <c r="AO2" s="63">
        <f>N30</f>
        <v>766.90158333333329</v>
      </c>
      <c r="AP2" s="63">
        <f>N31</f>
        <v>796.5696466666667</v>
      </c>
      <c r="AQ2" s="63">
        <f>N32</f>
        <v>826.23771000000011</v>
      </c>
      <c r="AR2" s="63">
        <f>N33</f>
        <v>855.9057733333334</v>
      </c>
      <c r="AS2" s="63">
        <f>N34</f>
        <v>885.57383666666669</v>
      </c>
      <c r="AT2" s="63">
        <f>N35</f>
        <v>915.2419000000001</v>
      </c>
      <c r="AU2" s="63">
        <f>N36</f>
        <v>944.90996333333351</v>
      </c>
      <c r="AV2" s="63">
        <f>N37</f>
        <v>974.5780266666668</v>
      </c>
      <c r="AW2" s="63">
        <f>N38</f>
        <v>1006.04609</v>
      </c>
      <c r="AX2" s="63">
        <f>N39</f>
        <v>1035.7141533333333</v>
      </c>
      <c r="AY2" s="63">
        <f>N40</f>
        <v>1065.3822166666669</v>
      </c>
      <c r="AZ2" s="63">
        <f>N41</f>
        <v>1095.0502800000002</v>
      </c>
      <c r="BA2" s="65" t="s">
        <v>67</v>
      </c>
      <c r="BB2" s="66">
        <f>N49</f>
        <v>58.46806333333334</v>
      </c>
      <c r="BC2" s="66">
        <f>N50</f>
        <v>88.136126666666684</v>
      </c>
      <c r="BD2" s="66">
        <f>N51</f>
        <v>117.80419000000002</v>
      </c>
      <c r="BE2" s="66">
        <f>N52</f>
        <v>147.47225333333333</v>
      </c>
      <c r="BF2" s="66">
        <f>N53</f>
        <v>177.14031666666668</v>
      </c>
      <c r="BG2" s="66">
        <f>N54</f>
        <v>206.80838000000003</v>
      </c>
      <c r="BH2" s="66">
        <f>N55</f>
        <v>236.47644333333335</v>
      </c>
      <c r="BI2" s="66">
        <f>N56</f>
        <v>266.1445066666667</v>
      </c>
      <c r="BJ2" s="66">
        <f>N57</f>
        <v>295.81257000000005</v>
      </c>
      <c r="BK2" s="66">
        <f>N58</f>
        <v>325.48063333333334</v>
      </c>
      <c r="BL2" s="66">
        <f>N59</f>
        <v>355.14869666666669</v>
      </c>
      <c r="BM2" s="66">
        <f>N60</f>
        <v>384.81676000000004</v>
      </c>
      <c r="BN2" s="66">
        <f>N61</f>
        <v>414.4848233333334</v>
      </c>
      <c r="BO2" s="66">
        <f>N62</f>
        <v>444.15288666666675</v>
      </c>
      <c r="BP2" s="66">
        <f>N63</f>
        <v>478.62095000000005</v>
      </c>
      <c r="BQ2" s="66">
        <f>N64</f>
        <v>508.2890133333334</v>
      </c>
      <c r="BR2" s="66">
        <f>N65</f>
        <v>537.95707666666681</v>
      </c>
      <c r="BS2" s="66">
        <f>N66</f>
        <v>567.6251400000001</v>
      </c>
      <c r="BT2" s="66">
        <f>N67</f>
        <v>597.29320333333351</v>
      </c>
      <c r="BU2" s="66">
        <f>N68</f>
        <v>626.96126666666669</v>
      </c>
      <c r="BV2" s="66">
        <f>N69</f>
        <v>656.62932999999998</v>
      </c>
      <c r="BW2" s="66">
        <f>N70</f>
        <v>686.29739333333339</v>
      </c>
      <c r="BX2" s="66">
        <f>N71</f>
        <v>715.9654566666668</v>
      </c>
      <c r="BY2" s="66">
        <f>N72</f>
        <v>745.63352000000009</v>
      </c>
      <c r="BZ2" s="66">
        <f>N73</f>
        <v>775.30158333333338</v>
      </c>
      <c r="CA2" s="66">
        <f>N74</f>
        <v>804.96964666666679</v>
      </c>
      <c r="CB2" s="66">
        <f>N75</f>
        <v>839.43771000000015</v>
      </c>
      <c r="CC2" s="66">
        <f>N76</f>
        <v>869.10577333333345</v>
      </c>
      <c r="CD2" s="66">
        <f>N77</f>
        <v>898.77383666666674</v>
      </c>
      <c r="CE2" s="66">
        <f>N78</f>
        <v>928.44190000000015</v>
      </c>
      <c r="CF2" s="66">
        <f>N79</f>
        <v>958.10996333333355</v>
      </c>
      <c r="CG2" s="66">
        <f>N80</f>
        <v>987.77802666666685</v>
      </c>
      <c r="CH2" s="66">
        <f>N81</f>
        <v>1017.4460900000001</v>
      </c>
      <c r="CI2" s="66">
        <f>N82</f>
        <v>1047.1141533333334</v>
      </c>
      <c r="CJ2" s="66">
        <f>N83</f>
        <v>1076.7822166666667</v>
      </c>
      <c r="CK2" s="66">
        <f>N84</f>
        <v>1106.45028</v>
      </c>
      <c r="CL2" s="76" t="str">
        <f>CL1</f>
        <v>Rock</v>
      </c>
      <c r="CM2" s="75">
        <f>N92</f>
        <v>83.628793333333334</v>
      </c>
      <c r="CN2" s="75">
        <f>N93</f>
        <v>113.25758666666667</v>
      </c>
      <c r="CO2" s="75">
        <f>N94</f>
        <v>142.88638</v>
      </c>
      <c r="CP2" s="75">
        <f>N95</f>
        <v>172.51517333333334</v>
      </c>
      <c r="CQ2" s="75">
        <f>N96</f>
        <v>202.1439666666667</v>
      </c>
      <c r="CR2" s="75">
        <f>N97</f>
        <v>231.77276000000003</v>
      </c>
      <c r="CS2" s="75">
        <f>N98</f>
        <v>261.40155333333337</v>
      </c>
      <c r="CT2" s="75">
        <f>N99</f>
        <v>291.03034666666673</v>
      </c>
      <c r="CU2" s="75">
        <f>N100</f>
        <v>320.65914000000009</v>
      </c>
      <c r="CV2" s="75">
        <f>N101</f>
        <v>350.2879333333334</v>
      </c>
      <c r="CW2" s="75">
        <f>N102</f>
        <v>379.91672666666676</v>
      </c>
      <c r="CX2" s="75">
        <f>N103</f>
        <v>414.04552000000001</v>
      </c>
      <c r="CY2" s="75">
        <f>N104</f>
        <v>443.67431333333337</v>
      </c>
      <c r="CZ2" s="75">
        <f>N105</f>
        <v>473.30310666666674</v>
      </c>
      <c r="DA2" s="75">
        <f>N106</f>
        <v>502.93190000000004</v>
      </c>
      <c r="DB2" s="75">
        <f>N107</f>
        <v>532.56069333333335</v>
      </c>
      <c r="DC2" s="75">
        <f>N108</f>
        <v>562.18948666666677</v>
      </c>
      <c r="DD2" s="75">
        <f>N109</f>
        <v>591.81828000000007</v>
      </c>
      <c r="DE2" s="75">
        <f>N110</f>
        <v>621.44707333333349</v>
      </c>
      <c r="DF2" s="75">
        <f>N111</f>
        <v>651.07586666666668</v>
      </c>
      <c r="DG2" s="75">
        <f>N112</f>
        <v>680.70465999999999</v>
      </c>
      <c r="DH2" s="75">
        <f>N113</f>
        <v>714.83345333333352</v>
      </c>
      <c r="DI2" s="75">
        <f>N114</f>
        <v>744.46224666666683</v>
      </c>
      <c r="DJ2" s="75">
        <f>N115</f>
        <v>774.09104000000013</v>
      </c>
      <c r="DK2" s="75">
        <f>N116</f>
        <v>803.71983333333344</v>
      </c>
      <c r="DL2" s="75">
        <f>N117</f>
        <v>833.34862666666686</v>
      </c>
      <c r="DM2" s="75">
        <f>N118</f>
        <v>862.97742000000028</v>
      </c>
      <c r="DN2" s="75">
        <f>N119</f>
        <v>892.60621333333347</v>
      </c>
      <c r="DO2" s="75">
        <f>N120</f>
        <v>922.23500666666678</v>
      </c>
      <c r="DP2" s="75">
        <f>N121</f>
        <v>951.8638000000002</v>
      </c>
      <c r="DQ2" s="75">
        <f>N122</f>
        <v>981.49259333333362</v>
      </c>
      <c r="DR2" s="75">
        <f>N123</f>
        <v>1011.1213866666668</v>
      </c>
      <c r="DS2" s="75">
        <f>N124</f>
        <v>1045.25018</v>
      </c>
      <c r="DT2" s="75">
        <f>N125</f>
        <v>1074.8789733333333</v>
      </c>
      <c r="DU2" s="75">
        <f>N126</f>
        <v>1104.5077666666668</v>
      </c>
      <c r="DV2" s="75">
        <f>N127</f>
        <v>1134.1365600000001</v>
      </c>
    </row>
    <row r="3" spans="1:126" x14ac:dyDescent="0.25">
      <c r="B3" s="27"/>
      <c r="C3" s="5" t="s">
        <v>2</v>
      </c>
      <c r="D3" s="2" t="s">
        <v>3</v>
      </c>
      <c r="E3" s="2" t="s">
        <v>53</v>
      </c>
      <c r="F3" s="2" t="s">
        <v>5</v>
      </c>
      <c r="G3" s="287" t="s">
        <v>6</v>
      </c>
      <c r="H3" s="39"/>
      <c r="I3" s="27"/>
      <c r="J3" s="8" t="s">
        <v>2</v>
      </c>
      <c r="K3" s="2" t="s">
        <v>3</v>
      </c>
      <c r="L3" s="2" t="str">
        <f>E3</f>
        <v>50 dia PVC</v>
      </c>
      <c r="M3" s="2" t="s">
        <v>5</v>
      </c>
      <c r="N3" s="287" t="s">
        <v>6</v>
      </c>
      <c r="O3" s="39"/>
    </row>
    <row r="4" spans="1:126" x14ac:dyDescent="0.25">
      <c r="A4" s="1" t="s">
        <v>8</v>
      </c>
      <c r="B4" s="27" t="s">
        <v>7</v>
      </c>
      <c r="C4" s="5" t="s">
        <v>37</v>
      </c>
      <c r="D4" s="61" t="s">
        <v>38</v>
      </c>
      <c r="E4" s="2" t="s">
        <v>54</v>
      </c>
      <c r="F4" s="2" t="s">
        <v>9</v>
      </c>
      <c r="G4" s="287"/>
      <c r="H4" s="39"/>
      <c r="I4" s="27" t="s">
        <v>7</v>
      </c>
      <c r="J4" s="8" t="s">
        <v>36</v>
      </c>
      <c r="K4" s="61" t="s">
        <v>38</v>
      </c>
      <c r="L4" s="2" t="str">
        <f>E4</f>
        <v>SN16 duct</v>
      </c>
      <c r="M4" s="2" t="str">
        <f>F4</f>
        <v>w/ exc mat.</v>
      </c>
      <c r="N4" s="287"/>
      <c r="O4" s="39"/>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row>
    <row r="5" spans="1:126" x14ac:dyDescent="0.25">
      <c r="B5" s="27"/>
      <c r="C5" s="20">
        <v>0.4</v>
      </c>
      <c r="E5" s="20">
        <v>0.05</v>
      </c>
      <c r="H5" s="39"/>
      <c r="I5" s="26"/>
      <c r="J5" s="20">
        <v>0.6</v>
      </c>
      <c r="O5" s="39"/>
    </row>
    <row r="6" spans="1:126" x14ac:dyDescent="0.25">
      <c r="A6" s="2">
        <v>1</v>
      </c>
      <c r="B6" s="31">
        <v>0.6</v>
      </c>
      <c r="C6" s="4">
        <f>$C$2*C$5*B6</f>
        <v>9.6</v>
      </c>
      <c r="D6" s="4">
        <f>IF(B6&gt;1.4,$D$2,0)</f>
        <v>0</v>
      </c>
      <c r="E6" s="4">
        <f>$E$2*$A6</f>
        <v>29.707333333333338</v>
      </c>
      <c r="F6" s="4">
        <f>(($C$5*B6)-(3.1416*($E$5/2)*($E$5/2)*$A6))*$F$2</f>
        <v>4.7607299999999997</v>
      </c>
      <c r="G6" s="4">
        <f t="shared" ref="G6:G38" si="0">SUM(C6:F6)</f>
        <v>44.068063333333342</v>
      </c>
      <c r="H6" s="39"/>
      <c r="I6" s="28">
        <v>0.6</v>
      </c>
      <c r="J6" s="7">
        <f>$C$2*J$5*I6</f>
        <v>14.399999999999999</v>
      </c>
      <c r="K6" s="4">
        <f>IF(I6&gt;1.4,$D$2,0)</f>
        <v>0</v>
      </c>
      <c r="L6" s="7">
        <f>$E$2*$A6</f>
        <v>29.707333333333338</v>
      </c>
      <c r="M6" s="4">
        <f>(($J$5*I6)-(3.1416*($E$5/2)*($E$5/2)*$A6))*$F$2</f>
        <v>7.1607299999999992</v>
      </c>
      <c r="N6" s="7">
        <f>SUM(J6:M6)</f>
        <v>51.268063333333338</v>
      </c>
      <c r="O6" s="39"/>
    </row>
    <row r="7" spans="1:126" x14ac:dyDescent="0.25">
      <c r="A7" s="2">
        <v>2</v>
      </c>
      <c r="B7" s="31">
        <f>B6</f>
        <v>0.6</v>
      </c>
      <c r="C7" s="4">
        <f t="shared" ref="C7:C41" si="1">$C$2*C$5*B7</f>
        <v>9.6</v>
      </c>
      <c r="D7" s="4">
        <f t="shared" ref="D7:D41" si="2">IF(B7&gt;1.4,$D$2,0)</f>
        <v>0</v>
      </c>
      <c r="E7" s="4">
        <f t="shared" ref="E7:E41" si="3">$E$2*A7</f>
        <v>59.414666666666676</v>
      </c>
      <c r="F7" s="4">
        <f t="shared" ref="F7:F41" si="4">(($C$5*B7)-(3.1416*($E$5/2)*($E$5/2)*$A7))*$F$2</f>
        <v>4.7214599999999995</v>
      </c>
      <c r="G7" s="4">
        <f t="shared" si="0"/>
        <v>73.736126666666664</v>
      </c>
      <c r="H7" s="39"/>
      <c r="I7" s="28">
        <f>I6</f>
        <v>0.6</v>
      </c>
      <c r="J7" s="7">
        <f t="shared" ref="J7:J41" si="5">$C$2*J$5*I7</f>
        <v>14.399999999999999</v>
      </c>
      <c r="K7" s="4">
        <f t="shared" ref="K7:K41" si="6">IF(I7&gt;1.4,$D$2,0)</f>
        <v>0</v>
      </c>
      <c r="L7" s="7">
        <f t="shared" ref="L7:L41" si="7">$E$2*$A7</f>
        <v>59.414666666666676</v>
      </c>
      <c r="M7" s="4">
        <f t="shared" ref="M7:M41" si="8">(($J$5*I7)-(3.1416*($E$5/2)*($E$5/2)*$A7))*$F$2</f>
        <v>7.121459999999999</v>
      </c>
      <c r="N7" s="7">
        <f t="shared" ref="N7:N41" si="9">SUM(J7:M7)</f>
        <v>80.936126666666681</v>
      </c>
      <c r="O7" s="39"/>
    </row>
    <row r="8" spans="1:126" x14ac:dyDescent="0.25">
      <c r="A8" s="2">
        <v>3</v>
      </c>
      <c r="B8" s="31">
        <f t="shared" ref="B8:B41" si="10">B7</f>
        <v>0.6</v>
      </c>
      <c r="C8" s="4">
        <f t="shared" si="1"/>
        <v>9.6</v>
      </c>
      <c r="D8" s="4">
        <f t="shared" si="2"/>
        <v>0</v>
      </c>
      <c r="E8" s="4">
        <f t="shared" si="3"/>
        <v>89.122000000000014</v>
      </c>
      <c r="F8" s="4">
        <f t="shared" si="4"/>
        <v>4.6821900000000003</v>
      </c>
      <c r="G8" s="4">
        <f t="shared" si="0"/>
        <v>103.40419000000001</v>
      </c>
      <c r="H8" s="39"/>
      <c r="I8" s="28">
        <f t="shared" ref="I8:I16" si="11">I7</f>
        <v>0.6</v>
      </c>
      <c r="J8" s="7">
        <f t="shared" si="5"/>
        <v>14.399999999999999</v>
      </c>
      <c r="K8" s="4">
        <f t="shared" si="6"/>
        <v>0</v>
      </c>
      <c r="L8" s="7">
        <f t="shared" si="7"/>
        <v>89.122000000000014</v>
      </c>
      <c r="M8" s="4">
        <f t="shared" si="8"/>
        <v>7.0821899999999989</v>
      </c>
      <c r="N8" s="7">
        <f t="shared" si="9"/>
        <v>110.60419000000002</v>
      </c>
      <c r="O8" s="39"/>
      <c r="T8" s="22" t="s">
        <v>41</v>
      </c>
    </row>
    <row r="9" spans="1:126" x14ac:dyDescent="0.25">
      <c r="A9" s="2">
        <v>4</v>
      </c>
      <c r="B9" s="31">
        <f t="shared" si="10"/>
        <v>0.6</v>
      </c>
      <c r="C9" s="4">
        <f t="shared" si="1"/>
        <v>9.6</v>
      </c>
      <c r="D9" s="4">
        <f t="shared" si="2"/>
        <v>0</v>
      </c>
      <c r="E9" s="4">
        <f t="shared" si="3"/>
        <v>118.82933333333335</v>
      </c>
      <c r="F9" s="4">
        <f t="shared" si="4"/>
        <v>4.6429200000000002</v>
      </c>
      <c r="G9" s="4">
        <f t="shared" si="0"/>
        <v>133.07225333333335</v>
      </c>
      <c r="H9" s="39"/>
      <c r="I9" s="28">
        <f t="shared" si="11"/>
        <v>0.6</v>
      </c>
      <c r="J9" s="7">
        <f t="shared" si="5"/>
        <v>14.399999999999999</v>
      </c>
      <c r="K9" s="4">
        <f t="shared" si="6"/>
        <v>0</v>
      </c>
      <c r="L9" s="7">
        <f t="shared" si="7"/>
        <v>118.82933333333335</v>
      </c>
      <c r="M9" s="4">
        <f t="shared" si="8"/>
        <v>7.0429199999999987</v>
      </c>
      <c r="N9" s="7">
        <f t="shared" si="9"/>
        <v>140.27225333333337</v>
      </c>
      <c r="O9" s="39"/>
      <c r="S9" s="1" t="s">
        <v>142</v>
      </c>
      <c r="T9" s="21">
        <f>37/6</f>
        <v>6.166666666666667</v>
      </c>
      <c r="U9" t="s">
        <v>143</v>
      </c>
    </row>
    <row r="10" spans="1:126" x14ac:dyDescent="0.25">
      <c r="A10" s="2">
        <v>5</v>
      </c>
      <c r="B10" s="31">
        <f t="shared" si="10"/>
        <v>0.6</v>
      </c>
      <c r="C10" s="4">
        <f t="shared" si="1"/>
        <v>9.6</v>
      </c>
      <c r="D10" s="4">
        <f t="shared" si="2"/>
        <v>0</v>
      </c>
      <c r="E10" s="4">
        <f t="shared" si="3"/>
        <v>148.53666666666669</v>
      </c>
      <c r="F10" s="4">
        <f t="shared" si="4"/>
        <v>4.60365</v>
      </c>
      <c r="G10" s="4">
        <f t="shared" si="0"/>
        <v>162.74031666666667</v>
      </c>
      <c r="H10" s="39"/>
      <c r="I10" s="28">
        <f t="shared" si="11"/>
        <v>0.6</v>
      </c>
      <c r="J10" s="7">
        <f t="shared" si="5"/>
        <v>14.399999999999999</v>
      </c>
      <c r="K10" s="4">
        <f t="shared" si="6"/>
        <v>0</v>
      </c>
      <c r="L10" s="7">
        <f t="shared" si="7"/>
        <v>148.53666666666669</v>
      </c>
      <c r="M10" s="4">
        <f t="shared" si="8"/>
        <v>7.0036500000000004</v>
      </c>
      <c r="N10" s="7">
        <f t="shared" si="9"/>
        <v>169.94031666666669</v>
      </c>
      <c r="O10" s="39"/>
      <c r="S10" s="1" t="s">
        <v>43</v>
      </c>
      <c r="T10" s="21">
        <v>8.3000000000000007</v>
      </c>
    </row>
    <row r="11" spans="1:126" x14ac:dyDescent="0.25">
      <c r="A11" s="2">
        <v>6</v>
      </c>
      <c r="B11" s="31">
        <f t="shared" si="10"/>
        <v>0.6</v>
      </c>
      <c r="C11" s="4">
        <f t="shared" si="1"/>
        <v>9.6</v>
      </c>
      <c r="D11" s="4">
        <f t="shared" si="2"/>
        <v>0</v>
      </c>
      <c r="E11" s="4">
        <f t="shared" si="3"/>
        <v>178.24400000000003</v>
      </c>
      <c r="F11" s="4">
        <f t="shared" si="4"/>
        <v>4.5643799999999999</v>
      </c>
      <c r="G11" s="4">
        <f t="shared" si="0"/>
        <v>192.40838000000002</v>
      </c>
      <c r="H11" s="39"/>
      <c r="I11" s="28">
        <f t="shared" si="11"/>
        <v>0.6</v>
      </c>
      <c r="J11" s="7">
        <f t="shared" ref="J11:J20" si="12">$C$2*J$5*I11</f>
        <v>14.399999999999999</v>
      </c>
      <c r="K11" s="4">
        <f t="shared" si="6"/>
        <v>0</v>
      </c>
      <c r="L11" s="7">
        <f t="shared" si="7"/>
        <v>178.24400000000003</v>
      </c>
      <c r="M11" s="4">
        <f t="shared" si="8"/>
        <v>6.9643800000000002</v>
      </c>
      <c r="N11" s="7">
        <f t="shared" si="9"/>
        <v>199.60838000000004</v>
      </c>
      <c r="O11" s="39"/>
      <c r="S11" s="1" t="s">
        <v>62</v>
      </c>
      <c r="T11" s="21">
        <f>57*0.22</f>
        <v>12.540000000000001</v>
      </c>
    </row>
    <row r="12" spans="1:126" x14ac:dyDescent="0.25">
      <c r="A12" s="2">
        <v>7</v>
      </c>
      <c r="B12" s="31">
        <f t="shared" si="10"/>
        <v>0.6</v>
      </c>
      <c r="C12" s="4">
        <f t="shared" si="1"/>
        <v>9.6</v>
      </c>
      <c r="D12" s="4">
        <f t="shared" si="2"/>
        <v>0</v>
      </c>
      <c r="E12" s="4">
        <f t="shared" si="3"/>
        <v>207.95133333333337</v>
      </c>
      <c r="F12" s="4">
        <f t="shared" si="4"/>
        <v>4.5251099999999997</v>
      </c>
      <c r="G12" s="4">
        <f t="shared" si="0"/>
        <v>222.07644333333337</v>
      </c>
      <c r="H12" s="39"/>
      <c r="I12" s="28">
        <f t="shared" si="11"/>
        <v>0.6</v>
      </c>
      <c r="J12" s="7">
        <f t="shared" si="12"/>
        <v>14.399999999999999</v>
      </c>
      <c r="K12" s="4">
        <f t="shared" si="6"/>
        <v>0</v>
      </c>
      <c r="L12" s="7">
        <f t="shared" si="7"/>
        <v>207.95133333333337</v>
      </c>
      <c r="M12" s="4">
        <f t="shared" si="8"/>
        <v>6.9251100000000001</v>
      </c>
      <c r="N12" s="7">
        <f t="shared" si="9"/>
        <v>229.27644333333336</v>
      </c>
      <c r="O12" s="39"/>
      <c r="S12" s="1" t="s">
        <v>44</v>
      </c>
      <c r="T12" s="62">
        <f>SUM(T9:T11)</f>
        <v>27.006666666666668</v>
      </c>
    </row>
    <row r="13" spans="1:126" x14ac:dyDescent="0.25">
      <c r="A13" s="2">
        <v>8</v>
      </c>
      <c r="B13" s="32">
        <v>0.65</v>
      </c>
      <c r="C13" s="4">
        <f t="shared" si="1"/>
        <v>10.4</v>
      </c>
      <c r="D13" s="4">
        <f t="shared" si="2"/>
        <v>0</v>
      </c>
      <c r="E13" s="4">
        <f t="shared" si="3"/>
        <v>237.6586666666667</v>
      </c>
      <c r="F13" s="4">
        <f t="shared" si="4"/>
        <v>4.88584</v>
      </c>
      <c r="G13" s="4">
        <f t="shared" si="0"/>
        <v>252.94450666666671</v>
      </c>
      <c r="H13" s="39"/>
      <c r="I13" s="28">
        <f t="shared" si="11"/>
        <v>0.6</v>
      </c>
      <c r="J13" s="7">
        <f t="shared" si="12"/>
        <v>14.399999999999999</v>
      </c>
      <c r="K13" s="4">
        <f t="shared" si="6"/>
        <v>0</v>
      </c>
      <c r="L13" s="7">
        <f t="shared" si="7"/>
        <v>237.6586666666667</v>
      </c>
      <c r="M13" s="4">
        <f t="shared" si="8"/>
        <v>6.88584</v>
      </c>
      <c r="N13" s="7">
        <f t="shared" si="9"/>
        <v>258.94450666666671</v>
      </c>
      <c r="O13" s="39"/>
      <c r="S13" s="1" t="s">
        <v>39</v>
      </c>
      <c r="T13" s="52">
        <f>T12*1.1</f>
        <v>29.707333333333338</v>
      </c>
    </row>
    <row r="14" spans="1:126" x14ac:dyDescent="0.25">
      <c r="A14" s="2">
        <v>9</v>
      </c>
      <c r="B14" s="32">
        <f t="shared" si="10"/>
        <v>0.65</v>
      </c>
      <c r="C14" s="4">
        <f t="shared" si="1"/>
        <v>10.4</v>
      </c>
      <c r="D14" s="4">
        <f t="shared" si="2"/>
        <v>0</v>
      </c>
      <c r="E14" s="4">
        <f t="shared" si="3"/>
        <v>267.36600000000004</v>
      </c>
      <c r="F14" s="4">
        <f t="shared" si="4"/>
        <v>4.8465699999999998</v>
      </c>
      <c r="G14" s="4">
        <f t="shared" si="0"/>
        <v>282.61257000000001</v>
      </c>
      <c r="H14" s="39"/>
      <c r="I14" s="28">
        <f t="shared" si="11"/>
        <v>0.6</v>
      </c>
      <c r="J14" s="7">
        <f t="shared" si="12"/>
        <v>14.399999999999999</v>
      </c>
      <c r="K14" s="4">
        <f t="shared" si="6"/>
        <v>0</v>
      </c>
      <c r="L14" s="7">
        <f t="shared" si="7"/>
        <v>267.36600000000004</v>
      </c>
      <c r="M14" s="4">
        <f t="shared" si="8"/>
        <v>6.8465699999999998</v>
      </c>
      <c r="N14" s="7">
        <f t="shared" si="9"/>
        <v>288.61257000000001</v>
      </c>
      <c r="O14" s="39"/>
      <c r="S14" s="1"/>
      <c r="T14" s="21"/>
    </row>
    <row r="15" spans="1:126" x14ac:dyDescent="0.25">
      <c r="A15" s="2">
        <v>10</v>
      </c>
      <c r="B15" s="32">
        <f t="shared" si="10"/>
        <v>0.65</v>
      </c>
      <c r="C15" s="4">
        <f t="shared" si="1"/>
        <v>10.4</v>
      </c>
      <c r="D15" s="4">
        <f t="shared" si="2"/>
        <v>0</v>
      </c>
      <c r="E15" s="4">
        <f t="shared" si="3"/>
        <v>297.07333333333338</v>
      </c>
      <c r="F15" s="4">
        <f t="shared" si="4"/>
        <v>4.8072999999999997</v>
      </c>
      <c r="G15" s="4">
        <f t="shared" si="0"/>
        <v>312.28063333333336</v>
      </c>
      <c r="H15" s="39"/>
      <c r="I15" s="28">
        <f t="shared" si="11"/>
        <v>0.6</v>
      </c>
      <c r="J15" s="7">
        <f t="shared" si="12"/>
        <v>14.399999999999999</v>
      </c>
      <c r="K15" s="4">
        <f t="shared" si="6"/>
        <v>0</v>
      </c>
      <c r="L15" s="7">
        <f t="shared" si="7"/>
        <v>297.07333333333338</v>
      </c>
      <c r="M15" s="4">
        <f t="shared" si="8"/>
        <v>6.8072999999999997</v>
      </c>
      <c r="N15" s="7">
        <f t="shared" si="9"/>
        <v>318.28063333333336</v>
      </c>
      <c r="O15" s="39"/>
      <c r="W15" s="101" t="s">
        <v>129</v>
      </c>
      <c r="X15" s="22" t="s">
        <v>131</v>
      </c>
    </row>
    <row r="16" spans="1:126" x14ac:dyDescent="0.25">
      <c r="A16" s="2">
        <v>11</v>
      </c>
      <c r="B16" s="32">
        <f t="shared" si="10"/>
        <v>0.65</v>
      </c>
      <c r="C16" s="4">
        <f t="shared" si="1"/>
        <v>10.4</v>
      </c>
      <c r="D16" s="4">
        <f t="shared" si="2"/>
        <v>0</v>
      </c>
      <c r="E16" s="4">
        <f t="shared" si="3"/>
        <v>326.78066666666672</v>
      </c>
      <c r="F16" s="4">
        <f t="shared" si="4"/>
        <v>4.7680300000000004</v>
      </c>
      <c r="G16" s="4">
        <f t="shared" si="0"/>
        <v>341.94869666666671</v>
      </c>
      <c r="H16" s="39"/>
      <c r="I16" s="28">
        <f t="shared" si="11"/>
        <v>0.6</v>
      </c>
      <c r="J16" s="7">
        <f t="shared" si="12"/>
        <v>14.399999999999999</v>
      </c>
      <c r="K16" s="4">
        <f t="shared" si="6"/>
        <v>0</v>
      </c>
      <c r="L16" s="7">
        <f t="shared" si="7"/>
        <v>326.78066666666672</v>
      </c>
      <c r="M16" s="4">
        <f t="shared" si="8"/>
        <v>6.7680299999999995</v>
      </c>
      <c r="N16" s="7">
        <f t="shared" si="9"/>
        <v>347.94869666666671</v>
      </c>
      <c r="O16" s="39"/>
      <c r="S16" s="22" t="s">
        <v>103</v>
      </c>
      <c r="T16" s="101" t="s">
        <v>281</v>
      </c>
      <c r="U16" s="99"/>
      <c r="W16" s="100" t="s">
        <v>127</v>
      </c>
      <c r="X16" s="99" t="s">
        <v>132</v>
      </c>
    </row>
    <row r="17" spans="1:26" x14ac:dyDescent="0.25">
      <c r="A17" s="2">
        <v>12</v>
      </c>
      <c r="B17" s="32">
        <f t="shared" si="10"/>
        <v>0.65</v>
      </c>
      <c r="C17" s="4">
        <f t="shared" si="1"/>
        <v>10.4</v>
      </c>
      <c r="D17" s="4">
        <f t="shared" si="2"/>
        <v>0</v>
      </c>
      <c r="E17" s="4">
        <f t="shared" si="3"/>
        <v>356.48800000000006</v>
      </c>
      <c r="F17" s="4">
        <f t="shared" si="4"/>
        <v>4.7287600000000003</v>
      </c>
      <c r="G17" s="4">
        <f t="shared" si="0"/>
        <v>371.61676000000006</v>
      </c>
      <c r="H17" s="39"/>
      <c r="I17" s="29">
        <v>0.65</v>
      </c>
      <c r="J17" s="7">
        <f t="shared" si="12"/>
        <v>15.600000000000001</v>
      </c>
      <c r="K17" s="4">
        <f t="shared" si="6"/>
        <v>0</v>
      </c>
      <c r="L17" s="7">
        <f t="shared" si="7"/>
        <v>356.48800000000006</v>
      </c>
      <c r="M17" s="4">
        <f t="shared" si="8"/>
        <v>7.3287600000000008</v>
      </c>
      <c r="N17" s="7">
        <f t="shared" si="9"/>
        <v>379.41676000000007</v>
      </c>
      <c r="O17" s="39"/>
      <c r="S17" s="1" t="s">
        <v>285</v>
      </c>
      <c r="T17" s="257">
        <v>2</v>
      </c>
      <c r="U17" t="s">
        <v>282</v>
      </c>
      <c r="W17" t="s">
        <v>128</v>
      </c>
      <c r="X17" s="98" t="s">
        <v>133</v>
      </c>
    </row>
    <row r="18" spans="1:26" x14ac:dyDescent="0.25">
      <c r="A18" s="2">
        <v>13</v>
      </c>
      <c r="B18" s="32">
        <f t="shared" si="10"/>
        <v>0.65</v>
      </c>
      <c r="C18" s="4">
        <f t="shared" si="1"/>
        <v>10.4</v>
      </c>
      <c r="D18" s="4">
        <f t="shared" si="2"/>
        <v>0</v>
      </c>
      <c r="E18" s="4">
        <f t="shared" si="3"/>
        <v>386.19533333333339</v>
      </c>
      <c r="F18" s="4">
        <f t="shared" si="4"/>
        <v>4.6894900000000002</v>
      </c>
      <c r="G18" s="4">
        <f t="shared" si="0"/>
        <v>401.28482333333335</v>
      </c>
      <c r="H18" s="39"/>
      <c r="I18" s="29">
        <f>I17</f>
        <v>0.65</v>
      </c>
      <c r="J18" s="7">
        <f t="shared" si="12"/>
        <v>15.600000000000001</v>
      </c>
      <c r="K18" s="4">
        <f t="shared" si="6"/>
        <v>0</v>
      </c>
      <c r="L18" s="7">
        <f t="shared" si="7"/>
        <v>386.19533333333339</v>
      </c>
      <c r="M18" s="4">
        <f t="shared" si="8"/>
        <v>7.2894900000000007</v>
      </c>
      <c r="N18" s="7">
        <f t="shared" si="9"/>
        <v>409.08482333333342</v>
      </c>
      <c r="O18" s="39"/>
      <c r="S18" s="1"/>
      <c r="T18" s="257">
        <v>4</v>
      </c>
      <c r="U18" t="s">
        <v>286</v>
      </c>
      <c r="W18" t="s">
        <v>130</v>
      </c>
      <c r="X18" s="102">
        <f>350/240</f>
        <v>1.4583333333333333</v>
      </c>
      <c r="Y18" t="s">
        <v>134</v>
      </c>
    </row>
    <row r="19" spans="1:26" x14ac:dyDescent="0.25">
      <c r="A19" s="2">
        <v>14</v>
      </c>
      <c r="B19" s="31">
        <v>0.7</v>
      </c>
      <c r="C19" s="4">
        <f t="shared" si="1"/>
        <v>11.2</v>
      </c>
      <c r="D19" s="4">
        <f t="shared" si="2"/>
        <v>0</v>
      </c>
      <c r="E19" s="4">
        <f t="shared" si="3"/>
        <v>415.90266666666673</v>
      </c>
      <c r="F19" s="4">
        <f t="shared" si="4"/>
        <v>5.0502199999999995</v>
      </c>
      <c r="G19" s="4">
        <f t="shared" si="0"/>
        <v>432.15288666666675</v>
      </c>
      <c r="H19" s="39"/>
      <c r="I19" s="29">
        <f t="shared" ref="I19:I41" si="13">I18</f>
        <v>0.65</v>
      </c>
      <c r="J19" s="7">
        <f t="shared" si="12"/>
        <v>15.600000000000001</v>
      </c>
      <c r="K19" s="4">
        <f t="shared" si="6"/>
        <v>0</v>
      </c>
      <c r="L19" s="7">
        <f t="shared" si="7"/>
        <v>415.90266666666673</v>
      </c>
      <c r="M19" s="4">
        <f t="shared" si="8"/>
        <v>7.2502200000000006</v>
      </c>
      <c r="N19" s="7">
        <f t="shared" si="9"/>
        <v>438.75288666666677</v>
      </c>
      <c r="O19" s="39"/>
      <c r="S19" s="1" t="s">
        <v>284</v>
      </c>
      <c r="T19" s="257">
        <v>5</v>
      </c>
      <c r="U19" t="s">
        <v>282</v>
      </c>
    </row>
    <row r="20" spans="1:26" x14ac:dyDescent="0.25">
      <c r="A20" s="2">
        <v>15</v>
      </c>
      <c r="B20" s="31">
        <f t="shared" si="10"/>
        <v>0.7</v>
      </c>
      <c r="C20" s="4">
        <f t="shared" si="1"/>
        <v>11.2</v>
      </c>
      <c r="D20" s="4">
        <f t="shared" si="2"/>
        <v>0</v>
      </c>
      <c r="E20" s="4">
        <f t="shared" si="3"/>
        <v>445.61000000000007</v>
      </c>
      <c r="F20" s="4">
        <f t="shared" si="4"/>
        <v>5.0109499999999993</v>
      </c>
      <c r="G20" s="4">
        <f t="shared" si="0"/>
        <v>461.82095000000004</v>
      </c>
      <c r="H20" s="39"/>
      <c r="I20" s="29">
        <f t="shared" si="13"/>
        <v>0.65</v>
      </c>
      <c r="J20" s="7">
        <f t="shared" si="12"/>
        <v>15.600000000000001</v>
      </c>
      <c r="K20" s="4">
        <f t="shared" si="6"/>
        <v>0</v>
      </c>
      <c r="L20" s="7">
        <f t="shared" si="7"/>
        <v>445.61000000000007</v>
      </c>
      <c r="M20" s="4">
        <f t="shared" si="8"/>
        <v>7.2109500000000004</v>
      </c>
      <c r="N20" s="7">
        <f t="shared" si="9"/>
        <v>468.42095000000012</v>
      </c>
      <c r="O20" s="39"/>
      <c r="S20" s="1"/>
      <c r="T20" s="257">
        <v>7</v>
      </c>
      <c r="U20" t="s">
        <v>283</v>
      </c>
    </row>
    <row r="21" spans="1:26" x14ac:dyDescent="0.25">
      <c r="A21" s="2">
        <v>16</v>
      </c>
      <c r="B21" s="31">
        <f t="shared" si="10"/>
        <v>0.7</v>
      </c>
      <c r="C21" s="4">
        <f t="shared" si="1"/>
        <v>11.2</v>
      </c>
      <c r="D21" s="4">
        <f t="shared" si="2"/>
        <v>0</v>
      </c>
      <c r="E21" s="4">
        <f t="shared" si="3"/>
        <v>475.31733333333341</v>
      </c>
      <c r="F21" s="4">
        <f t="shared" si="4"/>
        <v>4.9716799999999992</v>
      </c>
      <c r="G21" s="4">
        <f t="shared" si="0"/>
        <v>491.48901333333339</v>
      </c>
      <c r="H21" s="39"/>
      <c r="I21" s="29">
        <f t="shared" si="13"/>
        <v>0.65</v>
      </c>
      <c r="J21" s="7">
        <f t="shared" si="5"/>
        <v>15.600000000000001</v>
      </c>
      <c r="K21" s="4">
        <f t="shared" si="6"/>
        <v>0</v>
      </c>
      <c r="L21" s="7">
        <f t="shared" si="7"/>
        <v>475.31733333333341</v>
      </c>
      <c r="M21" s="4">
        <f t="shared" si="8"/>
        <v>7.1716800000000003</v>
      </c>
      <c r="N21" s="7">
        <f t="shared" si="9"/>
        <v>498.08901333333341</v>
      </c>
      <c r="O21" s="39"/>
      <c r="S21" s="1"/>
      <c r="T21" s="21"/>
    </row>
    <row r="22" spans="1:26" x14ac:dyDescent="0.25">
      <c r="A22" s="2">
        <v>17</v>
      </c>
      <c r="B22" s="31">
        <f t="shared" si="10"/>
        <v>0.7</v>
      </c>
      <c r="C22" s="4">
        <f t="shared" si="1"/>
        <v>11.2</v>
      </c>
      <c r="D22" s="4">
        <f t="shared" si="2"/>
        <v>0</v>
      </c>
      <c r="E22" s="4">
        <f t="shared" si="3"/>
        <v>505.02466666666675</v>
      </c>
      <c r="F22" s="4">
        <f t="shared" si="4"/>
        <v>4.9324099999999991</v>
      </c>
      <c r="G22" s="4">
        <f t="shared" si="0"/>
        <v>521.15707666666674</v>
      </c>
      <c r="H22" s="39"/>
      <c r="I22" s="29">
        <f t="shared" si="13"/>
        <v>0.65</v>
      </c>
      <c r="J22" s="7">
        <f t="shared" si="5"/>
        <v>15.600000000000001</v>
      </c>
      <c r="K22" s="4">
        <f t="shared" si="6"/>
        <v>0</v>
      </c>
      <c r="L22" s="7">
        <f t="shared" si="7"/>
        <v>505.02466666666675</v>
      </c>
      <c r="M22" s="4">
        <f t="shared" si="8"/>
        <v>7.1324100000000001</v>
      </c>
      <c r="N22" s="7">
        <f t="shared" si="9"/>
        <v>527.75707666666676</v>
      </c>
      <c r="O22" s="39"/>
    </row>
    <row r="23" spans="1:26" x14ac:dyDescent="0.25">
      <c r="A23" s="2">
        <v>18</v>
      </c>
      <c r="B23" s="31">
        <f t="shared" si="10"/>
        <v>0.7</v>
      </c>
      <c r="C23" s="4">
        <f t="shared" si="1"/>
        <v>11.2</v>
      </c>
      <c r="D23" s="4">
        <f t="shared" si="2"/>
        <v>0</v>
      </c>
      <c r="E23" s="4">
        <f t="shared" si="3"/>
        <v>534.73200000000008</v>
      </c>
      <c r="F23" s="4">
        <f t="shared" si="4"/>
        <v>4.8931399999999989</v>
      </c>
      <c r="G23" s="4">
        <f t="shared" si="0"/>
        <v>550.82514000000015</v>
      </c>
      <c r="H23" s="39"/>
      <c r="I23" s="29">
        <f t="shared" si="13"/>
        <v>0.65</v>
      </c>
      <c r="J23" s="7">
        <f t="shared" si="5"/>
        <v>15.600000000000001</v>
      </c>
      <c r="K23" s="4">
        <f t="shared" si="6"/>
        <v>0</v>
      </c>
      <c r="L23" s="7">
        <f t="shared" si="7"/>
        <v>534.73200000000008</v>
      </c>
      <c r="M23" s="4">
        <f t="shared" si="8"/>
        <v>7.09314</v>
      </c>
      <c r="N23" s="7">
        <f t="shared" si="9"/>
        <v>557.42514000000006</v>
      </c>
      <c r="O23" s="39"/>
      <c r="S23" s="22" t="s">
        <v>102</v>
      </c>
      <c r="T23" s="22" t="s">
        <v>287</v>
      </c>
    </row>
    <row r="24" spans="1:26" x14ac:dyDescent="0.25">
      <c r="A24" s="2">
        <v>19</v>
      </c>
      <c r="B24" s="31">
        <f t="shared" si="10"/>
        <v>0.7</v>
      </c>
      <c r="C24" s="4">
        <f t="shared" si="1"/>
        <v>11.2</v>
      </c>
      <c r="D24" s="4">
        <f t="shared" si="2"/>
        <v>0</v>
      </c>
      <c r="E24" s="4">
        <f t="shared" si="3"/>
        <v>564.43933333333348</v>
      </c>
      <c r="F24" s="4">
        <f t="shared" si="4"/>
        <v>4.8538699999999997</v>
      </c>
      <c r="G24" s="4">
        <f t="shared" si="0"/>
        <v>580.49320333333355</v>
      </c>
      <c r="H24" s="39"/>
      <c r="I24" s="29">
        <f t="shared" si="13"/>
        <v>0.65</v>
      </c>
      <c r="J24" s="7">
        <f t="shared" si="5"/>
        <v>15.600000000000001</v>
      </c>
      <c r="K24" s="4">
        <f t="shared" si="6"/>
        <v>0</v>
      </c>
      <c r="L24" s="7">
        <f t="shared" si="7"/>
        <v>564.43933333333348</v>
      </c>
      <c r="M24" s="4">
        <f t="shared" si="8"/>
        <v>7.0538699999999999</v>
      </c>
      <c r="N24" s="7">
        <f t="shared" si="9"/>
        <v>587.09320333333346</v>
      </c>
      <c r="O24" s="39"/>
      <c r="S24" s="1" t="s">
        <v>144</v>
      </c>
      <c r="T24" s="21">
        <v>70</v>
      </c>
    </row>
    <row r="25" spans="1:26" x14ac:dyDescent="0.25">
      <c r="A25" s="2">
        <v>20</v>
      </c>
      <c r="B25" s="31">
        <f t="shared" si="10"/>
        <v>0.7</v>
      </c>
      <c r="C25" s="4">
        <f t="shared" si="1"/>
        <v>11.2</v>
      </c>
      <c r="D25" s="4">
        <f t="shared" si="2"/>
        <v>0</v>
      </c>
      <c r="E25" s="4">
        <f t="shared" si="3"/>
        <v>594.14666666666676</v>
      </c>
      <c r="F25" s="4">
        <f t="shared" si="4"/>
        <v>4.8145999999999995</v>
      </c>
      <c r="G25" s="4">
        <f t="shared" si="0"/>
        <v>610.16126666666685</v>
      </c>
      <c r="H25" s="39"/>
      <c r="I25" s="29">
        <f t="shared" si="13"/>
        <v>0.65</v>
      </c>
      <c r="J25" s="7">
        <f t="shared" si="5"/>
        <v>15.600000000000001</v>
      </c>
      <c r="K25" s="4">
        <f t="shared" si="6"/>
        <v>0</v>
      </c>
      <c r="L25" s="7">
        <f t="shared" si="7"/>
        <v>594.14666666666676</v>
      </c>
      <c r="M25" s="4">
        <f t="shared" si="8"/>
        <v>7.0145999999999997</v>
      </c>
      <c r="N25" s="7">
        <f t="shared" si="9"/>
        <v>616.76126666666676</v>
      </c>
      <c r="O25" s="39"/>
    </row>
    <row r="26" spans="1:26" x14ac:dyDescent="0.25">
      <c r="A26" s="2">
        <v>21</v>
      </c>
      <c r="B26" s="32">
        <v>0.75</v>
      </c>
      <c r="C26" s="4">
        <f t="shared" si="1"/>
        <v>12</v>
      </c>
      <c r="D26" s="4">
        <f t="shared" si="2"/>
        <v>0</v>
      </c>
      <c r="E26" s="4">
        <f t="shared" si="3"/>
        <v>623.85400000000004</v>
      </c>
      <c r="F26" s="4">
        <f t="shared" si="4"/>
        <v>5.1753300000000015</v>
      </c>
      <c r="G26" s="4">
        <f t="shared" si="0"/>
        <v>641.02933000000007</v>
      </c>
      <c r="H26" s="39"/>
      <c r="I26" s="29">
        <f t="shared" si="13"/>
        <v>0.65</v>
      </c>
      <c r="J26" s="7">
        <f t="shared" si="5"/>
        <v>15.600000000000001</v>
      </c>
      <c r="K26" s="4">
        <f t="shared" si="6"/>
        <v>0</v>
      </c>
      <c r="L26" s="7">
        <f t="shared" si="7"/>
        <v>623.85400000000004</v>
      </c>
      <c r="M26" s="4">
        <f t="shared" si="8"/>
        <v>6.9753300000000005</v>
      </c>
      <c r="N26" s="7">
        <f t="shared" si="9"/>
        <v>646.42933000000005</v>
      </c>
      <c r="O26" s="39"/>
    </row>
    <row r="27" spans="1:26" x14ac:dyDescent="0.25">
      <c r="A27" s="2">
        <v>22</v>
      </c>
      <c r="B27" s="32">
        <f t="shared" si="10"/>
        <v>0.75</v>
      </c>
      <c r="C27" s="4">
        <f t="shared" si="1"/>
        <v>12</v>
      </c>
      <c r="D27" s="4">
        <f t="shared" si="2"/>
        <v>0</v>
      </c>
      <c r="E27" s="4">
        <f t="shared" si="3"/>
        <v>653.56133333333344</v>
      </c>
      <c r="F27" s="4">
        <f t="shared" si="4"/>
        <v>5.1360600000000014</v>
      </c>
      <c r="G27" s="4">
        <f t="shared" si="0"/>
        <v>670.69739333333348</v>
      </c>
      <c r="H27" s="39"/>
      <c r="I27" s="28">
        <v>0.7</v>
      </c>
      <c r="J27" s="7">
        <f t="shared" si="5"/>
        <v>16.799999999999997</v>
      </c>
      <c r="K27" s="4">
        <f t="shared" si="6"/>
        <v>0</v>
      </c>
      <c r="L27" s="7">
        <f t="shared" si="7"/>
        <v>653.56133333333344</v>
      </c>
      <c r="M27" s="4">
        <f t="shared" si="8"/>
        <v>7.53606</v>
      </c>
      <c r="N27" s="7">
        <f t="shared" si="9"/>
        <v>677.89739333333341</v>
      </c>
      <c r="O27" s="39"/>
    </row>
    <row r="28" spans="1:26" x14ac:dyDescent="0.25">
      <c r="A28" s="2">
        <v>23</v>
      </c>
      <c r="B28" s="32">
        <f t="shared" si="10"/>
        <v>0.75</v>
      </c>
      <c r="C28" s="4">
        <f t="shared" si="1"/>
        <v>12</v>
      </c>
      <c r="D28" s="4">
        <f t="shared" si="2"/>
        <v>0</v>
      </c>
      <c r="E28" s="4">
        <f t="shared" si="3"/>
        <v>683.26866666666683</v>
      </c>
      <c r="F28" s="4">
        <f t="shared" si="4"/>
        <v>5.0967900000000013</v>
      </c>
      <c r="G28" s="4">
        <f t="shared" si="0"/>
        <v>700.36545666666689</v>
      </c>
      <c r="H28" s="39"/>
      <c r="I28" s="28">
        <f t="shared" si="13"/>
        <v>0.7</v>
      </c>
      <c r="J28" s="7">
        <f t="shared" si="5"/>
        <v>16.799999999999997</v>
      </c>
      <c r="K28" s="4">
        <f t="shared" si="6"/>
        <v>0</v>
      </c>
      <c r="L28" s="7">
        <f t="shared" si="7"/>
        <v>683.26866666666683</v>
      </c>
      <c r="M28" s="4">
        <f t="shared" si="8"/>
        <v>7.4967899999999998</v>
      </c>
      <c r="N28" s="7">
        <f t="shared" si="9"/>
        <v>707.56545666666682</v>
      </c>
      <c r="O28" s="39"/>
    </row>
    <row r="29" spans="1:26" x14ac:dyDescent="0.25">
      <c r="A29" s="2">
        <v>24</v>
      </c>
      <c r="B29" s="32">
        <f t="shared" si="10"/>
        <v>0.75</v>
      </c>
      <c r="C29" s="4">
        <f t="shared" si="1"/>
        <v>12</v>
      </c>
      <c r="D29" s="4">
        <f t="shared" si="2"/>
        <v>0</v>
      </c>
      <c r="E29" s="4">
        <f t="shared" si="3"/>
        <v>712.97600000000011</v>
      </c>
      <c r="F29" s="4">
        <f t="shared" si="4"/>
        <v>5.0575200000000011</v>
      </c>
      <c r="G29" s="4">
        <f t="shared" si="0"/>
        <v>730.03352000000007</v>
      </c>
      <c r="H29" s="39"/>
      <c r="I29" s="28">
        <f t="shared" si="13"/>
        <v>0.7</v>
      </c>
      <c r="J29" s="7">
        <f t="shared" si="5"/>
        <v>16.799999999999997</v>
      </c>
      <c r="K29" s="4">
        <f t="shared" si="6"/>
        <v>0</v>
      </c>
      <c r="L29" s="7">
        <f t="shared" si="7"/>
        <v>712.97600000000011</v>
      </c>
      <c r="M29" s="4">
        <f t="shared" si="8"/>
        <v>7.4575199999999997</v>
      </c>
      <c r="N29" s="7">
        <f t="shared" si="9"/>
        <v>737.23352000000011</v>
      </c>
      <c r="O29" s="39"/>
      <c r="Q29" s="233"/>
      <c r="R29" s="83"/>
      <c r="S29" s="80"/>
      <c r="T29" s="80"/>
      <c r="U29" s="80"/>
      <c r="V29" s="80"/>
      <c r="W29" s="80"/>
      <c r="X29" s="84"/>
      <c r="Y29" s="233"/>
      <c r="Z29" s="233"/>
    </row>
    <row r="30" spans="1:26" x14ac:dyDescent="0.25">
      <c r="A30" s="2">
        <v>25</v>
      </c>
      <c r="B30" s="32">
        <f t="shared" si="10"/>
        <v>0.75</v>
      </c>
      <c r="C30" s="4">
        <f t="shared" si="1"/>
        <v>12</v>
      </c>
      <c r="D30" s="4">
        <f t="shared" si="2"/>
        <v>0</v>
      </c>
      <c r="E30" s="4">
        <f t="shared" si="3"/>
        <v>742.68333333333339</v>
      </c>
      <c r="F30" s="4">
        <f t="shared" si="4"/>
        <v>5.018250000000001</v>
      </c>
      <c r="G30" s="4">
        <f t="shared" si="0"/>
        <v>759.70158333333336</v>
      </c>
      <c r="H30" s="39"/>
      <c r="I30" s="28">
        <f t="shared" si="13"/>
        <v>0.7</v>
      </c>
      <c r="J30" s="7">
        <f t="shared" si="5"/>
        <v>16.799999999999997</v>
      </c>
      <c r="K30" s="4">
        <f t="shared" si="6"/>
        <v>0</v>
      </c>
      <c r="L30" s="7">
        <f t="shared" si="7"/>
        <v>742.68333333333339</v>
      </c>
      <c r="M30" s="4">
        <f t="shared" si="8"/>
        <v>7.4182499999999996</v>
      </c>
      <c r="N30" s="7">
        <f t="shared" si="9"/>
        <v>766.90158333333329</v>
      </c>
      <c r="O30" s="39"/>
      <c r="Q30" s="233"/>
      <c r="R30" s="85"/>
      <c r="S30" s="87" t="s">
        <v>146</v>
      </c>
      <c r="T30" s="87" t="s">
        <v>145</v>
      </c>
      <c r="U30" s="87" t="s">
        <v>13</v>
      </c>
      <c r="V30" s="87" t="s">
        <v>90</v>
      </c>
      <c r="W30" s="87" t="s">
        <v>92</v>
      </c>
      <c r="X30" s="88"/>
      <c r="Y30" s="233"/>
      <c r="Z30" s="233"/>
    </row>
    <row r="31" spans="1:26" x14ac:dyDescent="0.25">
      <c r="A31" s="2">
        <v>26</v>
      </c>
      <c r="B31" s="32">
        <f t="shared" si="10"/>
        <v>0.75</v>
      </c>
      <c r="C31" s="4">
        <f t="shared" si="1"/>
        <v>12</v>
      </c>
      <c r="D31" s="4">
        <f t="shared" si="2"/>
        <v>0</v>
      </c>
      <c r="E31" s="4">
        <f t="shared" si="3"/>
        <v>772.39066666666679</v>
      </c>
      <c r="F31" s="4">
        <f t="shared" si="4"/>
        <v>4.9789800000000008</v>
      </c>
      <c r="G31" s="4">
        <f t="shared" si="0"/>
        <v>789.36964666666677</v>
      </c>
      <c r="H31" s="39"/>
      <c r="I31" s="28">
        <f t="shared" si="13"/>
        <v>0.7</v>
      </c>
      <c r="J31" s="7">
        <f t="shared" si="5"/>
        <v>16.799999999999997</v>
      </c>
      <c r="K31" s="4">
        <f t="shared" si="6"/>
        <v>0</v>
      </c>
      <c r="L31" s="7">
        <f t="shared" si="7"/>
        <v>772.39066666666679</v>
      </c>
      <c r="M31" s="4">
        <f t="shared" si="8"/>
        <v>7.3789799999999994</v>
      </c>
      <c r="N31" s="7">
        <f t="shared" si="9"/>
        <v>796.5696466666667</v>
      </c>
      <c r="O31" s="39"/>
      <c r="Q31" s="233"/>
      <c r="R31" s="85"/>
      <c r="S31" s="89" t="s">
        <v>147</v>
      </c>
      <c r="T31" s="90">
        <f>(24+48)/2</f>
        <v>36</v>
      </c>
      <c r="U31" s="107">
        <f>E2</f>
        <v>29.707333333333338</v>
      </c>
      <c r="V31" s="107">
        <f>60*0.1*0.5</f>
        <v>3</v>
      </c>
      <c r="W31" s="109">
        <f>SUM(T31:V31)</f>
        <v>68.707333333333338</v>
      </c>
      <c r="X31" s="88"/>
      <c r="Y31" s="233"/>
      <c r="Z31" s="233"/>
    </row>
    <row r="32" spans="1:26" x14ac:dyDescent="0.25">
      <c r="A32" s="2">
        <v>27</v>
      </c>
      <c r="B32" s="31">
        <v>0.8</v>
      </c>
      <c r="C32" s="4">
        <f t="shared" si="1"/>
        <v>12.8</v>
      </c>
      <c r="D32" s="4">
        <f t="shared" si="2"/>
        <v>0</v>
      </c>
      <c r="E32" s="4">
        <f t="shared" si="3"/>
        <v>802.09800000000018</v>
      </c>
      <c r="F32" s="4">
        <f t="shared" si="4"/>
        <v>5.3397100000000011</v>
      </c>
      <c r="G32" s="4">
        <f t="shared" si="0"/>
        <v>820.23771000000011</v>
      </c>
      <c r="H32" s="39"/>
      <c r="I32" s="28">
        <f t="shared" si="13"/>
        <v>0.7</v>
      </c>
      <c r="J32" s="7">
        <f t="shared" si="5"/>
        <v>16.799999999999997</v>
      </c>
      <c r="K32" s="4">
        <f t="shared" si="6"/>
        <v>0</v>
      </c>
      <c r="L32" s="7">
        <f t="shared" si="7"/>
        <v>802.09800000000018</v>
      </c>
      <c r="M32" s="4">
        <f t="shared" si="8"/>
        <v>7.3397099999999993</v>
      </c>
      <c r="N32" s="7">
        <f t="shared" si="9"/>
        <v>826.23771000000011</v>
      </c>
      <c r="O32" s="39"/>
      <c r="Q32" s="233"/>
      <c r="R32" s="85"/>
      <c r="S32" s="89" t="s">
        <v>148</v>
      </c>
      <c r="T32" s="90">
        <f>(48+80)/2</f>
        <v>64</v>
      </c>
      <c r="U32" s="107">
        <f>U31</f>
        <v>29.707333333333338</v>
      </c>
      <c r="V32" s="107">
        <f>V31</f>
        <v>3</v>
      </c>
      <c r="W32" s="109">
        <f>SUM(T32:V32)</f>
        <v>96.707333333333338</v>
      </c>
      <c r="X32" s="88"/>
      <c r="Y32" s="233"/>
      <c r="Z32" s="233"/>
    </row>
    <row r="33" spans="1:26" x14ac:dyDescent="0.25">
      <c r="A33" s="2">
        <v>28</v>
      </c>
      <c r="B33" s="31">
        <f t="shared" si="10"/>
        <v>0.8</v>
      </c>
      <c r="C33" s="7">
        <f t="shared" si="1"/>
        <v>12.8</v>
      </c>
      <c r="D33" s="4">
        <f t="shared" si="2"/>
        <v>0</v>
      </c>
      <c r="E33" s="7">
        <f t="shared" si="3"/>
        <v>831.80533333333346</v>
      </c>
      <c r="F33" s="4">
        <f t="shared" si="4"/>
        <v>5.3004400000000018</v>
      </c>
      <c r="G33" s="7">
        <f t="shared" si="0"/>
        <v>849.9057733333334</v>
      </c>
      <c r="H33" s="39"/>
      <c r="I33" s="28">
        <f t="shared" si="13"/>
        <v>0.7</v>
      </c>
      <c r="J33" s="7">
        <f t="shared" si="5"/>
        <v>16.799999999999997</v>
      </c>
      <c r="K33" s="4">
        <f t="shared" si="6"/>
        <v>0</v>
      </c>
      <c r="L33" s="4">
        <f t="shared" si="7"/>
        <v>831.80533333333346</v>
      </c>
      <c r="M33" s="4">
        <f t="shared" si="8"/>
        <v>7.3004399999999992</v>
      </c>
      <c r="N33" s="7">
        <f t="shared" si="9"/>
        <v>855.9057733333334</v>
      </c>
      <c r="O33" s="39"/>
      <c r="Q33" s="233"/>
      <c r="R33" s="85"/>
      <c r="S33" s="89" t="s">
        <v>149</v>
      </c>
      <c r="T33" s="90">
        <f>(112+148)/2</f>
        <v>130</v>
      </c>
      <c r="U33" s="107">
        <f>U32</f>
        <v>29.707333333333338</v>
      </c>
      <c r="V33" s="107">
        <f>V32</f>
        <v>3</v>
      </c>
      <c r="W33" s="109">
        <f>SUM(T33:V33)</f>
        <v>162.70733333333334</v>
      </c>
      <c r="X33" s="88"/>
      <c r="Y33" s="233"/>
      <c r="Z33" s="233"/>
    </row>
    <row r="34" spans="1:26" x14ac:dyDescent="0.25">
      <c r="A34" s="2">
        <v>29</v>
      </c>
      <c r="B34" s="31">
        <f t="shared" si="10"/>
        <v>0.8</v>
      </c>
      <c r="C34" s="7">
        <f t="shared" si="1"/>
        <v>12.8</v>
      </c>
      <c r="D34" s="4">
        <f t="shared" si="2"/>
        <v>0</v>
      </c>
      <c r="E34" s="7">
        <f t="shared" si="3"/>
        <v>861.51266666666675</v>
      </c>
      <c r="F34" s="4">
        <f t="shared" si="4"/>
        <v>5.2611700000000017</v>
      </c>
      <c r="G34" s="7">
        <f t="shared" si="0"/>
        <v>879.57383666666669</v>
      </c>
      <c r="H34" s="39"/>
      <c r="I34" s="28">
        <f t="shared" si="13"/>
        <v>0.7</v>
      </c>
      <c r="J34" s="7">
        <f t="shared" si="5"/>
        <v>16.799999999999997</v>
      </c>
      <c r="K34" s="4">
        <f t="shared" si="6"/>
        <v>0</v>
      </c>
      <c r="L34" s="4">
        <f t="shared" si="7"/>
        <v>861.51266666666675</v>
      </c>
      <c r="M34" s="4">
        <f t="shared" si="8"/>
        <v>7.2611699999999999</v>
      </c>
      <c r="N34" s="4">
        <f t="shared" si="9"/>
        <v>885.57383666666669</v>
      </c>
      <c r="O34" s="39"/>
      <c r="Q34" s="233"/>
      <c r="R34" s="85"/>
      <c r="S34" s="86"/>
      <c r="T34" s="86"/>
      <c r="U34" s="107"/>
      <c r="V34" s="107"/>
      <c r="W34" s="107"/>
      <c r="X34" s="88"/>
      <c r="Y34" s="233"/>
      <c r="Z34" s="233"/>
    </row>
    <row r="35" spans="1:26" x14ac:dyDescent="0.25">
      <c r="A35" s="2">
        <v>30</v>
      </c>
      <c r="B35" s="31">
        <f t="shared" si="10"/>
        <v>0.8</v>
      </c>
      <c r="C35" s="7">
        <f t="shared" si="1"/>
        <v>12.8</v>
      </c>
      <c r="D35" s="4">
        <f t="shared" si="2"/>
        <v>0</v>
      </c>
      <c r="E35" s="7">
        <f t="shared" si="3"/>
        <v>891.22000000000014</v>
      </c>
      <c r="F35" s="4">
        <f t="shared" si="4"/>
        <v>5.2219000000000015</v>
      </c>
      <c r="G35" s="7">
        <f t="shared" si="0"/>
        <v>909.2419000000001</v>
      </c>
      <c r="H35" s="39"/>
      <c r="I35" s="28">
        <f t="shared" si="13"/>
        <v>0.7</v>
      </c>
      <c r="J35" s="7">
        <f t="shared" si="5"/>
        <v>16.799999999999997</v>
      </c>
      <c r="K35" s="4">
        <f t="shared" si="6"/>
        <v>0</v>
      </c>
      <c r="L35" s="4">
        <f t="shared" si="7"/>
        <v>891.22000000000014</v>
      </c>
      <c r="M35" s="4">
        <f t="shared" si="8"/>
        <v>7.2218999999999998</v>
      </c>
      <c r="N35" s="4">
        <f t="shared" si="9"/>
        <v>915.2419000000001</v>
      </c>
      <c r="O35" s="39"/>
      <c r="Q35" s="233"/>
      <c r="R35" s="85"/>
      <c r="S35" s="86">
        <v>1</v>
      </c>
      <c r="T35" s="86">
        <v>2</v>
      </c>
      <c r="U35" s="86">
        <v>3</v>
      </c>
      <c r="V35" s="86">
        <v>4</v>
      </c>
      <c r="W35" s="86"/>
      <c r="X35" s="88"/>
      <c r="Y35" s="233"/>
      <c r="Z35" s="233"/>
    </row>
    <row r="36" spans="1:26" x14ac:dyDescent="0.25">
      <c r="A36" s="2">
        <v>31</v>
      </c>
      <c r="B36" s="31">
        <f t="shared" si="10"/>
        <v>0.8</v>
      </c>
      <c r="C36" s="7">
        <f t="shared" si="1"/>
        <v>12.8</v>
      </c>
      <c r="D36" s="4">
        <f t="shared" si="2"/>
        <v>0</v>
      </c>
      <c r="E36" s="7">
        <f t="shared" si="3"/>
        <v>920.92733333333354</v>
      </c>
      <c r="F36" s="4">
        <f t="shared" si="4"/>
        <v>5.1826300000000014</v>
      </c>
      <c r="G36" s="7">
        <f t="shared" si="0"/>
        <v>938.90996333333351</v>
      </c>
      <c r="H36" s="39"/>
      <c r="I36" s="28">
        <f t="shared" si="13"/>
        <v>0.7</v>
      </c>
      <c r="J36" s="7">
        <f t="shared" si="5"/>
        <v>16.799999999999997</v>
      </c>
      <c r="K36" s="4">
        <f t="shared" si="6"/>
        <v>0</v>
      </c>
      <c r="L36" s="4">
        <f t="shared" si="7"/>
        <v>920.92733333333354</v>
      </c>
      <c r="M36" s="4">
        <f t="shared" si="8"/>
        <v>7.1826299999999996</v>
      </c>
      <c r="N36" s="4">
        <f t="shared" si="9"/>
        <v>944.90996333333351</v>
      </c>
      <c r="O36" s="39"/>
      <c r="Q36" s="233"/>
      <c r="R36" s="85"/>
      <c r="S36" s="89" t="s">
        <v>13</v>
      </c>
      <c r="T36" s="89" t="s">
        <v>13</v>
      </c>
      <c r="U36" s="89" t="s">
        <v>13</v>
      </c>
      <c r="V36" s="89" t="s">
        <v>13</v>
      </c>
      <c r="W36" s="86"/>
      <c r="X36" s="88"/>
      <c r="Y36" s="233"/>
      <c r="Z36" s="233"/>
    </row>
    <row r="37" spans="1:26" x14ac:dyDescent="0.25">
      <c r="A37" s="2">
        <v>32</v>
      </c>
      <c r="B37" s="31">
        <f t="shared" si="10"/>
        <v>0.8</v>
      </c>
      <c r="C37" s="7">
        <f t="shared" si="1"/>
        <v>12.8</v>
      </c>
      <c r="D37" s="4">
        <f t="shared" si="2"/>
        <v>0</v>
      </c>
      <c r="E37" s="7">
        <f t="shared" si="3"/>
        <v>950.63466666666682</v>
      </c>
      <c r="F37" s="4">
        <f t="shared" si="4"/>
        <v>5.1433600000000013</v>
      </c>
      <c r="G37" s="7">
        <f t="shared" si="0"/>
        <v>968.5780266666668</v>
      </c>
      <c r="H37" s="39"/>
      <c r="I37" s="28">
        <f t="shared" si="13"/>
        <v>0.7</v>
      </c>
      <c r="J37" s="7">
        <f t="shared" si="5"/>
        <v>16.799999999999997</v>
      </c>
      <c r="K37" s="4">
        <f t="shared" si="6"/>
        <v>0</v>
      </c>
      <c r="L37" s="4">
        <f t="shared" si="7"/>
        <v>950.63466666666682</v>
      </c>
      <c r="M37" s="4">
        <f t="shared" si="8"/>
        <v>7.1433599999999995</v>
      </c>
      <c r="N37" s="4">
        <f t="shared" si="9"/>
        <v>974.5780266666668</v>
      </c>
      <c r="O37" s="39"/>
      <c r="Q37" s="233"/>
      <c r="R37" s="85"/>
      <c r="S37" s="107">
        <f>W33</f>
        <v>162.70733333333334</v>
      </c>
      <c r="T37" s="108">
        <f>S37+$U33</f>
        <v>192.41466666666668</v>
      </c>
      <c r="U37" s="108">
        <f>T37+$U33</f>
        <v>222.12200000000001</v>
      </c>
      <c r="V37" s="108">
        <f>U37+$U33</f>
        <v>251.82933333333335</v>
      </c>
      <c r="W37" s="86"/>
      <c r="X37" s="88"/>
      <c r="Y37" s="233"/>
      <c r="Z37" s="233"/>
    </row>
    <row r="38" spans="1:26" x14ac:dyDescent="0.25">
      <c r="A38" s="2">
        <v>33</v>
      </c>
      <c r="B38" s="31">
        <f t="shared" si="10"/>
        <v>0.8</v>
      </c>
      <c r="C38" s="7">
        <f t="shared" si="1"/>
        <v>12.8</v>
      </c>
      <c r="D38" s="4">
        <f t="shared" si="2"/>
        <v>0</v>
      </c>
      <c r="E38" s="7">
        <f t="shared" si="3"/>
        <v>980.3420000000001</v>
      </c>
      <c r="F38" s="4">
        <f t="shared" si="4"/>
        <v>5.1040900000000011</v>
      </c>
      <c r="G38" s="7">
        <f t="shared" si="0"/>
        <v>998.24609000000009</v>
      </c>
      <c r="H38" s="39"/>
      <c r="I38" s="29">
        <v>0.75</v>
      </c>
      <c r="J38" s="7">
        <f t="shared" si="5"/>
        <v>18</v>
      </c>
      <c r="K38" s="4">
        <f t="shared" si="6"/>
        <v>0</v>
      </c>
      <c r="L38" s="4">
        <f t="shared" si="7"/>
        <v>980.3420000000001</v>
      </c>
      <c r="M38" s="4">
        <f t="shared" si="8"/>
        <v>7.704089999999999</v>
      </c>
      <c r="N38" s="4">
        <f t="shared" si="9"/>
        <v>1006.04609</v>
      </c>
      <c r="O38" s="39"/>
      <c r="Q38" s="233"/>
      <c r="R38" s="91"/>
      <c r="S38" s="92"/>
      <c r="T38" s="92"/>
      <c r="U38" s="92"/>
      <c r="V38" s="92"/>
      <c r="W38" s="92"/>
      <c r="X38" s="94"/>
      <c r="Y38" s="233"/>
      <c r="Z38" s="233"/>
    </row>
    <row r="39" spans="1:26" x14ac:dyDescent="0.25">
      <c r="A39" s="2">
        <v>34</v>
      </c>
      <c r="B39" s="32">
        <v>0.85</v>
      </c>
      <c r="C39" s="7">
        <f t="shared" si="1"/>
        <v>13.6</v>
      </c>
      <c r="D39" s="4">
        <f t="shared" si="2"/>
        <v>0</v>
      </c>
      <c r="E39" s="7">
        <f t="shared" si="3"/>
        <v>1010.0493333333335</v>
      </c>
      <c r="F39" s="4">
        <f t="shared" si="4"/>
        <v>5.4648200000000005</v>
      </c>
      <c r="G39" s="7">
        <f t="shared" ref="G39:G41" si="14">SUM(C39:F39)</f>
        <v>1029.1141533333334</v>
      </c>
      <c r="H39" s="39"/>
      <c r="I39" s="29">
        <f t="shared" si="13"/>
        <v>0.75</v>
      </c>
      <c r="J39" s="7">
        <f t="shared" si="5"/>
        <v>18</v>
      </c>
      <c r="K39" s="4">
        <f t="shared" si="6"/>
        <v>0</v>
      </c>
      <c r="L39" s="4">
        <f t="shared" si="7"/>
        <v>1010.0493333333335</v>
      </c>
      <c r="M39" s="4">
        <f t="shared" si="8"/>
        <v>7.6648199999999989</v>
      </c>
      <c r="N39" s="4">
        <f t="shared" si="9"/>
        <v>1035.7141533333333</v>
      </c>
      <c r="O39" s="39"/>
      <c r="Q39" s="233"/>
      <c r="R39" s="233"/>
      <c r="S39" s="233"/>
      <c r="T39" s="233"/>
      <c r="U39" s="233"/>
      <c r="V39" s="233"/>
      <c r="W39" s="233"/>
      <c r="X39" s="233"/>
      <c r="Y39" s="233"/>
      <c r="Z39" s="233"/>
    </row>
    <row r="40" spans="1:26" x14ac:dyDescent="0.25">
      <c r="A40" s="2">
        <v>35</v>
      </c>
      <c r="B40" s="32">
        <f t="shared" si="10"/>
        <v>0.85</v>
      </c>
      <c r="C40" s="7">
        <f t="shared" si="1"/>
        <v>13.6</v>
      </c>
      <c r="D40" s="4">
        <f t="shared" si="2"/>
        <v>0</v>
      </c>
      <c r="E40" s="7">
        <f t="shared" si="3"/>
        <v>1039.7566666666669</v>
      </c>
      <c r="F40" s="4">
        <f t="shared" si="4"/>
        <v>5.4255500000000012</v>
      </c>
      <c r="G40" s="7">
        <f t="shared" si="14"/>
        <v>1058.7822166666667</v>
      </c>
      <c r="H40" s="39"/>
      <c r="I40" s="29">
        <f t="shared" si="13"/>
        <v>0.75</v>
      </c>
      <c r="J40" s="7">
        <f t="shared" si="5"/>
        <v>18</v>
      </c>
      <c r="K40" s="4">
        <f t="shared" si="6"/>
        <v>0</v>
      </c>
      <c r="L40" s="4">
        <f t="shared" si="7"/>
        <v>1039.7566666666669</v>
      </c>
      <c r="M40" s="4">
        <f t="shared" si="8"/>
        <v>7.6255499999999987</v>
      </c>
      <c r="N40" s="4">
        <f t="shared" si="9"/>
        <v>1065.3822166666669</v>
      </c>
      <c r="O40" s="39"/>
      <c r="T40" s="260"/>
      <c r="U40" s="261"/>
      <c r="V40" s="260"/>
      <c r="W40" s="260"/>
      <c r="X40" s="260"/>
    </row>
    <row r="41" spans="1:26" ht="15.75" thickBot="1" x14ac:dyDescent="0.3">
      <c r="A41" s="2">
        <v>36</v>
      </c>
      <c r="B41" s="32">
        <f t="shared" si="10"/>
        <v>0.85</v>
      </c>
      <c r="C41" s="7">
        <f t="shared" si="1"/>
        <v>13.6</v>
      </c>
      <c r="D41" s="4">
        <f t="shared" si="2"/>
        <v>0</v>
      </c>
      <c r="E41" s="7">
        <f t="shared" si="3"/>
        <v>1069.4640000000002</v>
      </c>
      <c r="F41" s="4">
        <f t="shared" si="4"/>
        <v>5.3862800000000011</v>
      </c>
      <c r="G41" s="7">
        <f t="shared" si="14"/>
        <v>1088.45028</v>
      </c>
      <c r="H41" s="39"/>
      <c r="I41" s="29">
        <f t="shared" si="13"/>
        <v>0.75</v>
      </c>
      <c r="J41" s="7">
        <f t="shared" si="5"/>
        <v>18</v>
      </c>
      <c r="K41" s="4">
        <f t="shared" si="6"/>
        <v>0</v>
      </c>
      <c r="L41" s="4">
        <f t="shared" si="7"/>
        <v>1069.4640000000002</v>
      </c>
      <c r="M41" s="4">
        <f t="shared" si="8"/>
        <v>7.5862799999999986</v>
      </c>
      <c r="N41" s="4">
        <f t="shared" si="9"/>
        <v>1095.0502800000002</v>
      </c>
      <c r="O41" s="39"/>
      <c r="Q41" s="6"/>
      <c r="R41" s="6"/>
      <c r="S41" s="116"/>
      <c r="T41" s="262"/>
      <c r="U41" s="262"/>
      <c r="V41" s="262"/>
      <c r="W41" s="262"/>
      <c r="X41" s="262"/>
      <c r="Y41" s="262"/>
      <c r="Z41" s="6"/>
    </row>
    <row r="42" spans="1:26" ht="9.9499999999999993" customHeight="1" thickTop="1" thickBot="1" x14ac:dyDescent="0.3">
      <c r="A42" s="67"/>
      <c r="B42" s="68"/>
      <c r="C42" s="67"/>
      <c r="D42" s="67"/>
      <c r="E42" s="67"/>
      <c r="F42" s="67"/>
      <c r="G42" s="67"/>
      <c r="H42" s="69"/>
      <c r="I42" s="68"/>
      <c r="J42" s="67"/>
      <c r="K42" s="67"/>
      <c r="L42" s="67"/>
      <c r="M42" s="67"/>
      <c r="N42" s="67"/>
      <c r="O42" s="70"/>
      <c r="Q42" s="6"/>
      <c r="R42" s="6"/>
      <c r="S42" s="6"/>
      <c r="T42" s="6"/>
      <c r="U42" s="6"/>
      <c r="V42" s="6"/>
      <c r="W42" s="6"/>
      <c r="X42" s="6"/>
      <c r="Y42" s="6"/>
      <c r="Z42" s="6"/>
    </row>
    <row r="43" spans="1:26" ht="15.75" thickTop="1" x14ac:dyDescent="0.25">
      <c r="B43" s="71"/>
      <c r="H43" s="39"/>
      <c r="I43" s="29"/>
      <c r="O43" s="39"/>
      <c r="Q43" s="6"/>
      <c r="R43" s="6"/>
      <c r="S43" s="237"/>
      <c r="T43" s="238"/>
      <c r="U43" s="238"/>
      <c r="V43" s="238"/>
      <c r="W43" s="238"/>
      <c r="X43" s="238"/>
      <c r="Y43" s="238"/>
      <c r="Z43" s="6"/>
    </row>
    <row r="44" spans="1:26" x14ac:dyDescent="0.25">
      <c r="A44" s="3" t="s">
        <v>64</v>
      </c>
      <c r="B44" s="58" t="s">
        <v>65</v>
      </c>
      <c r="C44" s="59"/>
      <c r="D44" s="60"/>
      <c r="H44" s="40"/>
      <c r="I44" s="27"/>
      <c r="O44" s="40"/>
      <c r="Q44" s="6"/>
      <c r="R44" s="6"/>
      <c r="S44" s="237"/>
      <c r="T44" s="236"/>
      <c r="U44" s="236"/>
      <c r="V44" s="236"/>
      <c r="W44" s="236"/>
      <c r="X44" s="236"/>
      <c r="Y44" s="6"/>
      <c r="Z44" s="6"/>
    </row>
    <row r="45" spans="1:26" x14ac:dyDescent="0.25">
      <c r="A45" s="3" t="s">
        <v>12</v>
      </c>
      <c r="B45" s="30" t="s">
        <v>10</v>
      </c>
      <c r="C45" s="9">
        <f>C2</f>
        <v>40</v>
      </c>
      <c r="D45" s="1"/>
      <c r="E45" s="24">
        <f>E2</f>
        <v>29.707333333333338</v>
      </c>
      <c r="F45" s="9">
        <f>F2</f>
        <v>20</v>
      </c>
      <c r="H45" s="40"/>
      <c r="I45" s="27"/>
      <c r="O45" s="40"/>
      <c r="Q45" s="6"/>
      <c r="R45" s="6"/>
      <c r="S45" s="6"/>
      <c r="T45" s="6"/>
      <c r="U45" s="6"/>
      <c r="V45" s="6"/>
      <c r="W45" s="6"/>
      <c r="X45" s="6"/>
      <c r="Y45" s="6"/>
      <c r="Z45" s="6"/>
    </row>
    <row r="46" spans="1:26" x14ac:dyDescent="0.25">
      <c r="B46" s="27"/>
      <c r="C46" s="5" t="s">
        <v>2</v>
      </c>
      <c r="D46" s="2" t="s">
        <v>3</v>
      </c>
      <c r="E46" s="2" t="s">
        <v>53</v>
      </c>
      <c r="F46" s="2" t="s">
        <v>5</v>
      </c>
      <c r="G46" s="287" t="s">
        <v>6</v>
      </c>
      <c r="H46" s="39"/>
      <c r="I46" s="27"/>
      <c r="J46" s="8" t="s">
        <v>2</v>
      </c>
      <c r="K46" s="2" t="s">
        <v>3</v>
      </c>
      <c r="L46" s="2" t="str">
        <f>E46</f>
        <v>50 dia PVC</v>
      </c>
      <c r="M46" s="2" t="s">
        <v>5</v>
      </c>
      <c r="N46" s="287" t="s">
        <v>6</v>
      </c>
      <c r="O46" s="39"/>
      <c r="Q46" s="6"/>
      <c r="R46" s="6"/>
      <c r="S46" s="237"/>
      <c r="T46" s="238"/>
      <c r="U46" s="238"/>
      <c r="V46" s="238"/>
      <c r="W46" s="238"/>
      <c r="X46" s="238"/>
      <c r="Y46" s="238"/>
      <c r="Z46" s="6"/>
    </row>
    <row r="47" spans="1:26" x14ac:dyDescent="0.25">
      <c r="A47" s="1" t="s">
        <v>8</v>
      </c>
      <c r="B47" s="27" t="s">
        <v>7</v>
      </c>
      <c r="C47" s="5" t="s">
        <v>37</v>
      </c>
      <c r="D47" s="61" t="s">
        <v>68</v>
      </c>
      <c r="E47" s="2" t="s">
        <v>54</v>
      </c>
      <c r="F47" s="2" t="s">
        <v>9</v>
      </c>
      <c r="G47" s="287"/>
      <c r="H47" s="39"/>
      <c r="I47" s="27" t="s">
        <v>7</v>
      </c>
      <c r="J47" s="8" t="s">
        <v>36</v>
      </c>
      <c r="K47" s="61" t="str">
        <f>D47</f>
        <v>over 0.9m</v>
      </c>
      <c r="L47" s="2" t="str">
        <f>E47</f>
        <v>SN16 duct</v>
      </c>
      <c r="M47" s="2" t="str">
        <f>F47</f>
        <v>w/ exc mat.</v>
      </c>
      <c r="N47" s="287"/>
      <c r="O47" s="39"/>
      <c r="Q47" s="6"/>
      <c r="R47" s="6"/>
      <c r="S47" s="237"/>
      <c r="T47" s="236"/>
      <c r="U47" s="236"/>
      <c r="V47" s="236"/>
      <c r="W47" s="236"/>
      <c r="X47" s="236"/>
      <c r="Y47" s="6"/>
      <c r="Z47" s="6"/>
    </row>
    <row r="48" spans="1:26" x14ac:dyDescent="0.25">
      <c r="B48" s="27"/>
      <c r="C48" s="20">
        <v>0.6</v>
      </c>
      <c r="D48" s="20">
        <v>0.9</v>
      </c>
      <c r="E48" s="20">
        <v>0.05</v>
      </c>
      <c r="H48" s="39"/>
      <c r="I48" s="26"/>
      <c r="J48" s="20">
        <v>0.8</v>
      </c>
      <c r="O48" s="39"/>
      <c r="Q48" s="6"/>
      <c r="R48" s="6"/>
      <c r="S48" s="6"/>
      <c r="T48" s="6"/>
      <c r="U48" s="6"/>
      <c r="V48" s="6"/>
      <c r="W48" s="6"/>
      <c r="X48" s="6"/>
      <c r="Y48" s="6"/>
      <c r="Z48" s="6"/>
    </row>
    <row r="49" spans="1:26" x14ac:dyDescent="0.25">
      <c r="A49" s="2">
        <v>1</v>
      </c>
      <c r="B49" s="31">
        <v>0.6</v>
      </c>
      <c r="C49" s="4">
        <f>$C45*C48*B49</f>
        <v>14.399999999999999</v>
      </c>
      <c r="D49" s="4">
        <f>IF(B49&gt;$D$48,$D$2,0)</f>
        <v>0</v>
      </c>
      <c r="E49" s="4">
        <f>$E45*$A49</f>
        <v>29.707333333333338</v>
      </c>
      <c r="F49" s="4">
        <f>(($C48*B49)-(3.1416*($E48/2)*($E48/2)*$A49))*$F45</f>
        <v>7.1607299999999992</v>
      </c>
      <c r="G49" s="4">
        <f>SUM(C49:F49)</f>
        <v>51.268063333333338</v>
      </c>
      <c r="H49" s="39"/>
      <c r="I49" s="28">
        <v>0.6</v>
      </c>
      <c r="J49" s="7">
        <f>$C45*J48*I49</f>
        <v>19.2</v>
      </c>
      <c r="K49" s="4">
        <f>IF(I49&gt;$D$48,$D$2,0)</f>
        <v>0</v>
      </c>
      <c r="L49" s="7">
        <f>$E45*$A49</f>
        <v>29.707333333333338</v>
      </c>
      <c r="M49" s="7">
        <f>(($J48*I49)-(3.1416*($E48/2)*($E48/2)*$A49))*$F45</f>
        <v>9.5607299999999995</v>
      </c>
      <c r="N49" s="7">
        <f>SUM(J49:M49)</f>
        <v>58.46806333333334</v>
      </c>
      <c r="O49" s="39"/>
      <c r="Q49" s="6"/>
      <c r="R49" s="6"/>
      <c r="S49" s="116"/>
      <c r="T49" s="262"/>
      <c r="U49" s="262"/>
      <c r="V49" s="262"/>
      <c r="W49" s="262"/>
      <c r="X49" s="262"/>
      <c r="Y49" s="262"/>
      <c r="Z49" s="262"/>
    </row>
    <row r="50" spans="1:26" x14ac:dyDescent="0.25">
      <c r="A50" s="2">
        <v>2</v>
      </c>
      <c r="B50" s="31">
        <f>B49</f>
        <v>0.6</v>
      </c>
      <c r="C50" s="4">
        <f>$C$45*C$48*B50</f>
        <v>14.399999999999999</v>
      </c>
      <c r="D50" s="4">
        <f t="shared" ref="D50:D84" si="15">IF(B50&gt;$D$48,$D$2,0)</f>
        <v>0</v>
      </c>
      <c r="E50" s="4">
        <f t="shared" ref="E50:E84" si="16">$E$45*$A50</f>
        <v>59.414666666666676</v>
      </c>
      <c r="F50" s="4">
        <f t="shared" ref="F50:F84" si="17">(($C$48*B50)-(3.1416*($E$48/2)*($E$48/2)*$A50))*$F$45</f>
        <v>7.121459999999999</v>
      </c>
      <c r="G50" s="4">
        <f t="shared" ref="G50:G84" si="18">SUM(C50:F50)</f>
        <v>80.936126666666681</v>
      </c>
      <c r="H50" s="39"/>
      <c r="I50" s="28">
        <f>I49</f>
        <v>0.6</v>
      </c>
      <c r="J50" s="7">
        <f t="shared" ref="J50:J84" si="19">$C$45*J$48*I50</f>
        <v>19.2</v>
      </c>
      <c r="K50" s="4">
        <f t="shared" ref="K50:K84" si="20">IF(I50&gt;$D$48,$D$2,0)</f>
        <v>0</v>
      </c>
      <c r="L50" s="7">
        <f t="shared" ref="L50:L84" si="21">$E$45*$A50</f>
        <v>59.414666666666676</v>
      </c>
      <c r="M50" s="7">
        <f t="shared" ref="M50:M84" si="22">(($J$48*I50)-(3.1416*($E$48/2)*($E$48/2)*$A50))*$F$45</f>
        <v>9.5214599999999994</v>
      </c>
      <c r="N50" s="7">
        <f t="shared" ref="N50:N84" si="23">SUM(J50:M50)</f>
        <v>88.136126666666684</v>
      </c>
      <c r="O50" s="39"/>
      <c r="Q50" s="6"/>
      <c r="R50" s="6"/>
      <c r="S50" s="237"/>
      <c r="T50" s="236"/>
      <c r="U50" s="236"/>
      <c r="V50" s="236"/>
      <c r="W50" s="236"/>
      <c r="X50" s="236"/>
      <c r="Y50" s="6"/>
      <c r="Z50" s="6"/>
    </row>
    <row r="51" spans="1:26" x14ac:dyDescent="0.25">
      <c r="A51" s="2">
        <v>3</v>
      </c>
      <c r="B51" s="31">
        <f t="shared" ref="B51:B84" si="24">B50</f>
        <v>0.6</v>
      </c>
      <c r="C51" s="4">
        <f>$C$45*C$48*B51</f>
        <v>14.399999999999999</v>
      </c>
      <c r="D51" s="4">
        <f t="shared" si="15"/>
        <v>0</v>
      </c>
      <c r="E51" s="4">
        <f t="shared" si="16"/>
        <v>89.122000000000014</v>
      </c>
      <c r="F51" s="4">
        <f t="shared" si="17"/>
        <v>7.0821899999999989</v>
      </c>
      <c r="G51" s="4">
        <f t="shared" si="18"/>
        <v>110.60419000000002</v>
      </c>
      <c r="H51" s="39"/>
      <c r="I51" s="28">
        <f t="shared" ref="I51:I84" si="25">I50</f>
        <v>0.6</v>
      </c>
      <c r="J51" s="7">
        <f t="shared" si="19"/>
        <v>19.2</v>
      </c>
      <c r="K51" s="4">
        <f t="shared" si="20"/>
        <v>0</v>
      </c>
      <c r="L51" s="7">
        <f t="shared" si="21"/>
        <v>89.122000000000014</v>
      </c>
      <c r="M51" s="7">
        <f t="shared" si="22"/>
        <v>9.4821899999999992</v>
      </c>
      <c r="N51" s="7">
        <f t="shared" si="23"/>
        <v>117.80419000000002</v>
      </c>
      <c r="O51" s="39"/>
      <c r="Q51" s="6"/>
      <c r="R51" s="6"/>
      <c r="S51" s="237"/>
      <c r="T51" s="263"/>
      <c r="U51" s="238"/>
      <c r="V51" s="238"/>
      <c r="W51" s="238"/>
      <c r="X51" s="238"/>
      <c r="Y51" s="238"/>
      <c r="Z51" s="238"/>
    </row>
    <row r="52" spans="1:26" x14ac:dyDescent="0.25">
      <c r="A52" s="2">
        <v>4</v>
      </c>
      <c r="B52" s="31">
        <f t="shared" si="24"/>
        <v>0.6</v>
      </c>
      <c r="C52" s="4">
        <f t="shared" ref="C52:C84" si="26">$C$45*C$48*B52</f>
        <v>14.399999999999999</v>
      </c>
      <c r="D52" s="4">
        <f t="shared" si="15"/>
        <v>0</v>
      </c>
      <c r="E52" s="4">
        <f t="shared" si="16"/>
        <v>118.82933333333335</v>
      </c>
      <c r="F52" s="4">
        <f t="shared" si="17"/>
        <v>7.0429199999999987</v>
      </c>
      <c r="G52" s="4">
        <f t="shared" si="18"/>
        <v>140.27225333333337</v>
      </c>
      <c r="H52" s="39"/>
      <c r="I52" s="28">
        <f t="shared" si="25"/>
        <v>0.6</v>
      </c>
      <c r="J52" s="7">
        <f t="shared" si="19"/>
        <v>19.2</v>
      </c>
      <c r="K52" s="4">
        <f t="shared" si="20"/>
        <v>0</v>
      </c>
      <c r="L52" s="7">
        <f t="shared" si="21"/>
        <v>118.82933333333335</v>
      </c>
      <c r="M52" s="7">
        <f t="shared" si="22"/>
        <v>9.4429199999999991</v>
      </c>
      <c r="N52" s="7">
        <f t="shared" si="23"/>
        <v>147.47225333333333</v>
      </c>
      <c r="O52" s="39"/>
      <c r="Q52" s="6"/>
      <c r="R52" s="6"/>
      <c r="S52" s="6"/>
      <c r="T52" s="236"/>
      <c r="U52" s="237"/>
      <c r="V52" s="236"/>
      <c r="W52" s="236"/>
      <c r="X52" s="236"/>
      <c r="Y52" s="236"/>
      <c r="Z52" s="6"/>
    </row>
    <row r="53" spans="1:26" x14ac:dyDescent="0.25">
      <c r="A53" s="2">
        <v>5</v>
      </c>
      <c r="B53" s="31">
        <f t="shared" si="24"/>
        <v>0.6</v>
      </c>
      <c r="C53" s="4">
        <f t="shared" si="26"/>
        <v>14.399999999999999</v>
      </c>
      <c r="D53" s="4">
        <f t="shared" si="15"/>
        <v>0</v>
      </c>
      <c r="E53" s="4">
        <f t="shared" si="16"/>
        <v>148.53666666666669</v>
      </c>
      <c r="F53" s="4">
        <f t="shared" si="17"/>
        <v>7.0036500000000004</v>
      </c>
      <c r="G53" s="4">
        <f t="shared" si="18"/>
        <v>169.94031666666669</v>
      </c>
      <c r="H53" s="39"/>
      <c r="I53" s="28">
        <f t="shared" si="25"/>
        <v>0.6</v>
      </c>
      <c r="J53" s="7">
        <f t="shared" si="19"/>
        <v>19.2</v>
      </c>
      <c r="K53" s="4">
        <f t="shared" si="20"/>
        <v>0</v>
      </c>
      <c r="L53" s="7">
        <f t="shared" si="21"/>
        <v>148.53666666666669</v>
      </c>
      <c r="M53" s="7">
        <f t="shared" si="22"/>
        <v>9.4036500000000007</v>
      </c>
      <c r="N53" s="7">
        <f t="shared" si="23"/>
        <v>177.14031666666668</v>
      </c>
      <c r="O53" s="39"/>
      <c r="Q53" s="6"/>
      <c r="R53" s="6"/>
      <c r="S53" s="6"/>
      <c r="T53" s="6"/>
      <c r="U53" s="6"/>
      <c r="V53" s="6"/>
      <c r="W53" s="6"/>
      <c r="X53" s="6"/>
      <c r="Y53" s="6"/>
      <c r="Z53" s="6"/>
    </row>
    <row r="54" spans="1:26" x14ac:dyDescent="0.25">
      <c r="A54" s="2">
        <v>6</v>
      </c>
      <c r="B54" s="31">
        <f t="shared" si="24"/>
        <v>0.6</v>
      </c>
      <c r="C54" s="4">
        <f t="shared" si="26"/>
        <v>14.399999999999999</v>
      </c>
      <c r="D54" s="4">
        <f t="shared" si="15"/>
        <v>0</v>
      </c>
      <c r="E54" s="4">
        <f t="shared" si="16"/>
        <v>178.24400000000003</v>
      </c>
      <c r="F54" s="4">
        <f t="shared" si="17"/>
        <v>6.9643800000000002</v>
      </c>
      <c r="G54" s="4">
        <f t="shared" si="18"/>
        <v>199.60838000000004</v>
      </c>
      <c r="H54" s="39"/>
      <c r="I54" s="28">
        <f t="shared" si="25"/>
        <v>0.6</v>
      </c>
      <c r="J54" s="7">
        <f t="shared" si="19"/>
        <v>19.2</v>
      </c>
      <c r="K54" s="4">
        <f t="shared" si="20"/>
        <v>0</v>
      </c>
      <c r="L54" s="7">
        <f t="shared" si="21"/>
        <v>178.24400000000003</v>
      </c>
      <c r="M54" s="7">
        <f t="shared" si="22"/>
        <v>9.3643800000000006</v>
      </c>
      <c r="N54" s="7">
        <f t="shared" si="23"/>
        <v>206.80838000000003</v>
      </c>
      <c r="O54" s="39"/>
      <c r="Q54" s="6"/>
      <c r="R54" s="6"/>
      <c r="S54" s="237"/>
      <c r="T54" s="263"/>
      <c r="U54" s="238"/>
      <c r="V54" s="238"/>
      <c r="W54" s="238"/>
      <c r="X54" s="238"/>
      <c r="Y54" s="238"/>
      <c r="Z54" s="238"/>
    </row>
    <row r="55" spans="1:26" x14ac:dyDescent="0.25">
      <c r="A55" s="2">
        <v>7</v>
      </c>
      <c r="B55" s="31">
        <f t="shared" si="24"/>
        <v>0.6</v>
      </c>
      <c r="C55" s="4">
        <f t="shared" si="26"/>
        <v>14.399999999999999</v>
      </c>
      <c r="D55" s="4">
        <f t="shared" si="15"/>
        <v>0</v>
      </c>
      <c r="E55" s="4">
        <f t="shared" si="16"/>
        <v>207.95133333333337</v>
      </c>
      <c r="F55" s="4">
        <f t="shared" si="17"/>
        <v>6.9251100000000001</v>
      </c>
      <c r="G55" s="4">
        <f t="shared" si="18"/>
        <v>229.27644333333336</v>
      </c>
      <c r="H55" s="39"/>
      <c r="I55" s="28">
        <f t="shared" si="25"/>
        <v>0.6</v>
      </c>
      <c r="J55" s="7">
        <f t="shared" si="19"/>
        <v>19.2</v>
      </c>
      <c r="K55" s="4">
        <f t="shared" si="20"/>
        <v>0</v>
      </c>
      <c r="L55" s="7">
        <f t="shared" si="21"/>
        <v>207.95133333333337</v>
      </c>
      <c r="M55" s="7">
        <f t="shared" si="22"/>
        <v>9.3251100000000005</v>
      </c>
      <c r="N55" s="7">
        <f t="shared" si="23"/>
        <v>236.47644333333335</v>
      </c>
      <c r="O55" s="39"/>
      <c r="Q55" s="6"/>
      <c r="R55" s="6"/>
      <c r="S55" s="6"/>
      <c r="T55" s="236"/>
      <c r="U55" s="237"/>
      <c r="V55" s="236"/>
      <c r="W55" s="236"/>
      <c r="X55" s="236"/>
      <c r="Y55" s="236"/>
      <c r="Z55" s="6"/>
    </row>
    <row r="56" spans="1:26" x14ac:dyDescent="0.25">
      <c r="A56" s="2">
        <v>8</v>
      </c>
      <c r="B56" s="32">
        <v>0.65</v>
      </c>
      <c r="C56" s="4">
        <f t="shared" si="26"/>
        <v>15.600000000000001</v>
      </c>
      <c r="D56" s="4">
        <f t="shared" si="15"/>
        <v>0</v>
      </c>
      <c r="E56" s="4">
        <f t="shared" si="16"/>
        <v>237.6586666666667</v>
      </c>
      <c r="F56" s="4">
        <f t="shared" si="17"/>
        <v>7.4858400000000005</v>
      </c>
      <c r="G56" s="4">
        <f t="shared" si="18"/>
        <v>260.74450666666672</v>
      </c>
      <c r="H56" s="39"/>
      <c r="I56" s="28">
        <f t="shared" si="25"/>
        <v>0.6</v>
      </c>
      <c r="J56" s="7">
        <f t="shared" si="19"/>
        <v>19.2</v>
      </c>
      <c r="K56" s="4">
        <f t="shared" si="20"/>
        <v>0</v>
      </c>
      <c r="L56" s="7">
        <f t="shared" si="21"/>
        <v>237.6586666666667</v>
      </c>
      <c r="M56" s="7">
        <f t="shared" si="22"/>
        <v>9.2858400000000003</v>
      </c>
      <c r="N56" s="7">
        <f t="shared" si="23"/>
        <v>266.1445066666667</v>
      </c>
      <c r="O56" s="39"/>
      <c r="Q56" s="6"/>
      <c r="R56" s="6"/>
      <c r="S56" s="6"/>
      <c r="T56" s="6"/>
      <c r="U56" s="6"/>
      <c r="V56" s="6"/>
      <c r="W56" s="6"/>
      <c r="X56" s="6"/>
      <c r="Y56" s="6"/>
      <c r="Z56" s="6"/>
    </row>
    <row r="57" spans="1:26" x14ac:dyDescent="0.25">
      <c r="A57" s="2">
        <v>9</v>
      </c>
      <c r="B57" s="32">
        <f t="shared" si="24"/>
        <v>0.65</v>
      </c>
      <c r="C57" s="4">
        <f t="shared" si="26"/>
        <v>15.600000000000001</v>
      </c>
      <c r="D57" s="4">
        <f t="shared" si="15"/>
        <v>0</v>
      </c>
      <c r="E57" s="4">
        <f t="shared" si="16"/>
        <v>267.36600000000004</v>
      </c>
      <c r="F57" s="4">
        <f t="shared" si="17"/>
        <v>7.4465700000000004</v>
      </c>
      <c r="G57" s="4">
        <f t="shared" si="18"/>
        <v>290.41257000000007</v>
      </c>
      <c r="H57" s="39"/>
      <c r="I57" s="28">
        <f t="shared" si="25"/>
        <v>0.6</v>
      </c>
      <c r="J57" s="7">
        <f t="shared" si="19"/>
        <v>19.2</v>
      </c>
      <c r="K57" s="4">
        <f t="shared" si="20"/>
        <v>0</v>
      </c>
      <c r="L57" s="7">
        <f t="shared" si="21"/>
        <v>267.36600000000004</v>
      </c>
      <c r="M57" s="7">
        <f t="shared" si="22"/>
        <v>9.2465700000000002</v>
      </c>
      <c r="N57" s="7">
        <f t="shared" si="23"/>
        <v>295.81257000000005</v>
      </c>
      <c r="O57" s="39"/>
      <c r="Q57" s="6"/>
      <c r="R57" s="6"/>
      <c r="S57" s="6"/>
      <c r="T57" s="6"/>
      <c r="U57" s="6"/>
      <c r="V57" s="6"/>
      <c r="W57" s="6"/>
      <c r="X57" s="6"/>
      <c r="Y57" s="6"/>
      <c r="Z57" s="6"/>
    </row>
    <row r="58" spans="1:26" x14ac:dyDescent="0.25">
      <c r="A58" s="2">
        <v>10</v>
      </c>
      <c r="B58" s="32">
        <f t="shared" si="24"/>
        <v>0.65</v>
      </c>
      <c r="C58" s="4">
        <f t="shared" si="26"/>
        <v>15.600000000000001</v>
      </c>
      <c r="D58" s="4">
        <f t="shared" si="15"/>
        <v>0</v>
      </c>
      <c r="E58" s="4">
        <f t="shared" si="16"/>
        <v>297.07333333333338</v>
      </c>
      <c r="F58" s="4">
        <f t="shared" si="17"/>
        <v>7.4073000000000002</v>
      </c>
      <c r="G58" s="4">
        <f t="shared" si="18"/>
        <v>320.08063333333342</v>
      </c>
      <c r="H58" s="39"/>
      <c r="I58" s="28">
        <f t="shared" si="25"/>
        <v>0.6</v>
      </c>
      <c r="J58" s="7">
        <f t="shared" si="19"/>
        <v>19.2</v>
      </c>
      <c r="K58" s="4">
        <f t="shared" si="20"/>
        <v>0</v>
      </c>
      <c r="L58" s="7">
        <f t="shared" si="21"/>
        <v>297.07333333333338</v>
      </c>
      <c r="M58" s="7">
        <f t="shared" si="22"/>
        <v>9.2073</v>
      </c>
      <c r="N58" s="7">
        <f t="shared" si="23"/>
        <v>325.48063333333334</v>
      </c>
      <c r="O58" s="39"/>
      <c r="Q58" s="6"/>
      <c r="R58" s="6"/>
      <c r="S58" s="6"/>
      <c r="T58" s="6"/>
      <c r="U58" s="6"/>
      <c r="V58" s="6"/>
      <c r="W58" s="6"/>
      <c r="X58" s="6"/>
      <c r="Y58" s="6"/>
      <c r="Z58" s="6"/>
    </row>
    <row r="59" spans="1:26" x14ac:dyDescent="0.25">
      <c r="A59" s="2">
        <v>11</v>
      </c>
      <c r="B59" s="32">
        <f t="shared" si="24"/>
        <v>0.65</v>
      </c>
      <c r="C59" s="4">
        <f t="shared" si="26"/>
        <v>15.600000000000001</v>
      </c>
      <c r="D59" s="4">
        <f t="shared" si="15"/>
        <v>0</v>
      </c>
      <c r="E59" s="4">
        <f t="shared" si="16"/>
        <v>326.78066666666672</v>
      </c>
      <c r="F59" s="4">
        <f t="shared" si="17"/>
        <v>7.3680300000000001</v>
      </c>
      <c r="G59" s="4">
        <f t="shared" si="18"/>
        <v>349.74869666666672</v>
      </c>
      <c r="H59" s="39"/>
      <c r="I59" s="28">
        <f t="shared" si="25"/>
        <v>0.6</v>
      </c>
      <c r="J59" s="7">
        <f t="shared" si="19"/>
        <v>19.2</v>
      </c>
      <c r="K59" s="4">
        <f t="shared" si="20"/>
        <v>0</v>
      </c>
      <c r="L59" s="7">
        <f t="shared" si="21"/>
        <v>326.78066666666672</v>
      </c>
      <c r="M59" s="7">
        <f t="shared" si="22"/>
        <v>9.1680299999999999</v>
      </c>
      <c r="N59" s="7">
        <f t="shared" si="23"/>
        <v>355.14869666666669</v>
      </c>
      <c r="O59" s="39"/>
    </row>
    <row r="60" spans="1:26" x14ac:dyDescent="0.25">
      <c r="A60" s="2">
        <v>12</v>
      </c>
      <c r="B60" s="32">
        <f t="shared" si="24"/>
        <v>0.65</v>
      </c>
      <c r="C60" s="4">
        <f t="shared" si="26"/>
        <v>15.600000000000001</v>
      </c>
      <c r="D60" s="4">
        <f t="shared" si="15"/>
        <v>0</v>
      </c>
      <c r="E60" s="4">
        <f t="shared" si="16"/>
        <v>356.48800000000006</v>
      </c>
      <c r="F60" s="4">
        <f t="shared" si="17"/>
        <v>7.3287600000000008</v>
      </c>
      <c r="G60" s="4">
        <f t="shared" si="18"/>
        <v>379.41676000000007</v>
      </c>
      <c r="H60" s="39"/>
      <c r="I60" s="28">
        <f t="shared" si="25"/>
        <v>0.6</v>
      </c>
      <c r="J60" s="7">
        <f t="shared" si="19"/>
        <v>19.2</v>
      </c>
      <c r="K60" s="4">
        <f t="shared" si="20"/>
        <v>0</v>
      </c>
      <c r="L60" s="7">
        <f t="shared" si="21"/>
        <v>356.48800000000006</v>
      </c>
      <c r="M60" s="7">
        <f t="shared" si="22"/>
        <v>9.1287599999999998</v>
      </c>
      <c r="N60" s="7">
        <f t="shared" si="23"/>
        <v>384.81676000000004</v>
      </c>
      <c r="O60" s="39"/>
    </row>
    <row r="61" spans="1:26" x14ac:dyDescent="0.25">
      <c r="A61" s="2">
        <v>13</v>
      </c>
      <c r="B61" s="32">
        <f t="shared" si="24"/>
        <v>0.65</v>
      </c>
      <c r="C61" s="4">
        <f t="shared" si="26"/>
        <v>15.600000000000001</v>
      </c>
      <c r="D61" s="4">
        <f t="shared" si="15"/>
        <v>0</v>
      </c>
      <c r="E61" s="4">
        <f t="shared" si="16"/>
        <v>386.19533333333339</v>
      </c>
      <c r="F61" s="4">
        <f t="shared" si="17"/>
        <v>7.2894900000000007</v>
      </c>
      <c r="G61" s="4">
        <f t="shared" si="18"/>
        <v>409.08482333333342</v>
      </c>
      <c r="H61" s="39"/>
      <c r="I61" s="28">
        <f t="shared" si="25"/>
        <v>0.6</v>
      </c>
      <c r="J61" s="7">
        <f t="shared" si="19"/>
        <v>19.2</v>
      </c>
      <c r="K61" s="4">
        <f t="shared" si="20"/>
        <v>0</v>
      </c>
      <c r="L61" s="7">
        <f t="shared" si="21"/>
        <v>386.19533333333339</v>
      </c>
      <c r="M61" s="7">
        <f t="shared" si="22"/>
        <v>9.0894899999999996</v>
      </c>
      <c r="N61" s="7">
        <f t="shared" si="23"/>
        <v>414.4848233333334</v>
      </c>
      <c r="O61" s="39"/>
    </row>
    <row r="62" spans="1:26" x14ac:dyDescent="0.25">
      <c r="A62" s="2">
        <v>14</v>
      </c>
      <c r="B62" s="31">
        <v>0.7</v>
      </c>
      <c r="C62" s="4">
        <f t="shared" si="26"/>
        <v>16.799999999999997</v>
      </c>
      <c r="D62" s="4">
        <f t="shared" si="15"/>
        <v>0</v>
      </c>
      <c r="E62" s="4">
        <f t="shared" si="16"/>
        <v>415.90266666666673</v>
      </c>
      <c r="F62" s="4">
        <f t="shared" si="17"/>
        <v>7.8502200000000002</v>
      </c>
      <c r="G62" s="4">
        <f t="shared" si="18"/>
        <v>440.55288666666672</v>
      </c>
      <c r="H62" s="39"/>
      <c r="I62" s="28">
        <f t="shared" si="25"/>
        <v>0.6</v>
      </c>
      <c r="J62" s="7">
        <f t="shared" si="19"/>
        <v>19.2</v>
      </c>
      <c r="K62" s="4">
        <f t="shared" si="20"/>
        <v>0</v>
      </c>
      <c r="L62" s="7">
        <f t="shared" si="21"/>
        <v>415.90266666666673</v>
      </c>
      <c r="M62" s="7">
        <f t="shared" si="22"/>
        <v>9.0502199999999995</v>
      </c>
      <c r="N62" s="7">
        <f t="shared" si="23"/>
        <v>444.15288666666675</v>
      </c>
      <c r="O62" s="39"/>
    </row>
    <row r="63" spans="1:26" x14ac:dyDescent="0.25">
      <c r="A63" s="2">
        <v>15</v>
      </c>
      <c r="B63" s="31">
        <f t="shared" si="24"/>
        <v>0.7</v>
      </c>
      <c r="C63" s="4">
        <f t="shared" si="26"/>
        <v>16.799999999999997</v>
      </c>
      <c r="D63" s="4">
        <f t="shared" si="15"/>
        <v>0</v>
      </c>
      <c r="E63" s="4">
        <f t="shared" si="16"/>
        <v>445.61000000000007</v>
      </c>
      <c r="F63" s="4">
        <f t="shared" si="17"/>
        <v>7.8109500000000001</v>
      </c>
      <c r="G63" s="4">
        <f t="shared" si="18"/>
        <v>470.22095000000007</v>
      </c>
      <c r="H63" s="39"/>
      <c r="I63" s="29">
        <v>0.7</v>
      </c>
      <c r="J63" s="7">
        <f t="shared" si="19"/>
        <v>22.4</v>
      </c>
      <c r="K63" s="4">
        <f t="shared" si="20"/>
        <v>0</v>
      </c>
      <c r="L63" s="7">
        <f t="shared" si="21"/>
        <v>445.61000000000007</v>
      </c>
      <c r="M63" s="7">
        <f t="shared" si="22"/>
        <v>10.610949999999999</v>
      </c>
      <c r="N63" s="7">
        <f t="shared" si="23"/>
        <v>478.62095000000005</v>
      </c>
      <c r="O63" s="39"/>
    </row>
    <row r="64" spans="1:26" x14ac:dyDescent="0.25">
      <c r="A64" s="2">
        <v>16</v>
      </c>
      <c r="B64" s="31">
        <f t="shared" si="24"/>
        <v>0.7</v>
      </c>
      <c r="C64" s="4">
        <f t="shared" si="26"/>
        <v>16.799999999999997</v>
      </c>
      <c r="D64" s="4">
        <f t="shared" si="15"/>
        <v>0</v>
      </c>
      <c r="E64" s="4">
        <f t="shared" si="16"/>
        <v>475.31733333333341</v>
      </c>
      <c r="F64" s="4">
        <f t="shared" si="17"/>
        <v>7.7716799999999999</v>
      </c>
      <c r="G64" s="4">
        <f t="shared" si="18"/>
        <v>499.88901333333342</v>
      </c>
      <c r="H64" s="39"/>
      <c r="I64" s="29">
        <f t="shared" si="25"/>
        <v>0.7</v>
      </c>
      <c r="J64" s="7">
        <f t="shared" si="19"/>
        <v>22.4</v>
      </c>
      <c r="K64" s="4">
        <f t="shared" si="20"/>
        <v>0</v>
      </c>
      <c r="L64" s="7">
        <f t="shared" si="21"/>
        <v>475.31733333333341</v>
      </c>
      <c r="M64" s="7">
        <f t="shared" si="22"/>
        <v>10.571679999999999</v>
      </c>
      <c r="N64" s="7">
        <f t="shared" si="23"/>
        <v>508.2890133333334</v>
      </c>
      <c r="O64" s="39"/>
    </row>
    <row r="65" spans="1:15" x14ac:dyDescent="0.25">
      <c r="A65" s="2">
        <v>17</v>
      </c>
      <c r="B65" s="31">
        <f t="shared" si="24"/>
        <v>0.7</v>
      </c>
      <c r="C65" s="4">
        <f t="shared" si="26"/>
        <v>16.799999999999997</v>
      </c>
      <c r="D65" s="4">
        <f t="shared" si="15"/>
        <v>0</v>
      </c>
      <c r="E65" s="4">
        <f t="shared" si="16"/>
        <v>505.02466666666675</v>
      </c>
      <c r="F65" s="4">
        <f t="shared" si="17"/>
        <v>7.7324099999999998</v>
      </c>
      <c r="G65" s="4">
        <f t="shared" si="18"/>
        <v>529.55707666666672</v>
      </c>
      <c r="H65" s="39"/>
      <c r="I65" s="29">
        <f t="shared" si="25"/>
        <v>0.7</v>
      </c>
      <c r="J65" s="7">
        <f t="shared" si="19"/>
        <v>22.4</v>
      </c>
      <c r="K65" s="4">
        <f t="shared" si="20"/>
        <v>0</v>
      </c>
      <c r="L65" s="7">
        <f t="shared" si="21"/>
        <v>505.02466666666675</v>
      </c>
      <c r="M65" s="7">
        <f t="shared" si="22"/>
        <v>10.532409999999999</v>
      </c>
      <c r="N65" s="7">
        <f t="shared" si="23"/>
        <v>537.95707666666681</v>
      </c>
      <c r="O65" s="39"/>
    </row>
    <row r="66" spans="1:15" x14ac:dyDescent="0.25">
      <c r="A66" s="2">
        <v>18</v>
      </c>
      <c r="B66" s="31">
        <f t="shared" si="24"/>
        <v>0.7</v>
      </c>
      <c r="C66" s="4">
        <f t="shared" si="26"/>
        <v>16.799999999999997</v>
      </c>
      <c r="D66" s="4">
        <f t="shared" si="15"/>
        <v>0</v>
      </c>
      <c r="E66" s="4">
        <f t="shared" si="16"/>
        <v>534.73200000000008</v>
      </c>
      <c r="F66" s="4">
        <f t="shared" si="17"/>
        <v>7.6931399999999996</v>
      </c>
      <c r="G66" s="4">
        <f t="shared" si="18"/>
        <v>559.22514000000001</v>
      </c>
      <c r="H66" s="39"/>
      <c r="I66" s="29">
        <f t="shared" si="25"/>
        <v>0.7</v>
      </c>
      <c r="J66" s="7">
        <f t="shared" si="19"/>
        <v>22.4</v>
      </c>
      <c r="K66" s="4">
        <f t="shared" si="20"/>
        <v>0</v>
      </c>
      <c r="L66" s="7">
        <f t="shared" si="21"/>
        <v>534.73200000000008</v>
      </c>
      <c r="M66" s="7">
        <f t="shared" si="22"/>
        <v>10.493139999999999</v>
      </c>
      <c r="N66" s="7">
        <f t="shared" si="23"/>
        <v>567.6251400000001</v>
      </c>
      <c r="O66" s="39"/>
    </row>
    <row r="67" spans="1:15" x14ac:dyDescent="0.25">
      <c r="A67" s="2">
        <v>19</v>
      </c>
      <c r="B67" s="31">
        <f t="shared" si="24"/>
        <v>0.7</v>
      </c>
      <c r="C67" s="4">
        <f t="shared" si="26"/>
        <v>16.799999999999997</v>
      </c>
      <c r="D67" s="4">
        <f t="shared" si="15"/>
        <v>0</v>
      </c>
      <c r="E67" s="4">
        <f t="shared" si="16"/>
        <v>564.43933333333348</v>
      </c>
      <c r="F67" s="4">
        <f t="shared" si="17"/>
        <v>7.6538699999999995</v>
      </c>
      <c r="G67" s="4">
        <f t="shared" si="18"/>
        <v>588.89320333333342</v>
      </c>
      <c r="H67" s="39"/>
      <c r="I67" s="29">
        <f t="shared" si="25"/>
        <v>0.7</v>
      </c>
      <c r="J67" s="7">
        <f t="shared" si="19"/>
        <v>22.4</v>
      </c>
      <c r="K67" s="4">
        <f t="shared" si="20"/>
        <v>0</v>
      </c>
      <c r="L67" s="7">
        <f t="shared" si="21"/>
        <v>564.43933333333348</v>
      </c>
      <c r="M67" s="7">
        <f t="shared" si="22"/>
        <v>10.453869999999998</v>
      </c>
      <c r="N67" s="7">
        <f t="shared" si="23"/>
        <v>597.29320333333351</v>
      </c>
      <c r="O67" s="39"/>
    </row>
    <row r="68" spans="1:15" x14ac:dyDescent="0.25">
      <c r="A68" s="2">
        <v>20</v>
      </c>
      <c r="B68" s="31">
        <f t="shared" si="24"/>
        <v>0.7</v>
      </c>
      <c r="C68" s="4">
        <f t="shared" si="26"/>
        <v>16.799999999999997</v>
      </c>
      <c r="D68" s="4">
        <f t="shared" si="15"/>
        <v>0</v>
      </c>
      <c r="E68" s="4">
        <f t="shared" si="16"/>
        <v>594.14666666666676</v>
      </c>
      <c r="F68" s="4">
        <f t="shared" si="17"/>
        <v>7.6146000000000003</v>
      </c>
      <c r="G68" s="4">
        <f t="shared" si="18"/>
        <v>618.56126666666671</v>
      </c>
      <c r="H68" s="39"/>
      <c r="I68" s="29">
        <f t="shared" si="25"/>
        <v>0.7</v>
      </c>
      <c r="J68" s="7">
        <f t="shared" si="19"/>
        <v>22.4</v>
      </c>
      <c r="K68" s="4">
        <f t="shared" si="20"/>
        <v>0</v>
      </c>
      <c r="L68" s="7">
        <f t="shared" si="21"/>
        <v>594.14666666666676</v>
      </c>
      <c r="M68" s="7">
        <f t="shared" si="22"/>
        <v>10.414599999999998</v>
      </c>
      <c r="N68" s="7">
        <f t="shared" si="23"/>
        <v>626.96126666666669</v>
      </c>
      <c r="O68" s="39"/>
    </row>
    <row r="69" spans="1:15" x14ac:dyDescent="0.25">
      <c r="A69" s="2">
        <v>21</v>
      </c>
      <c r="B69" s="32">
        <v>0.75</v>
      </c>
      <c r="C69" s="4">
        <f t="shared" si="26"/>
        <v>18</v>
      </c>
      <c r="D69" s="4">
        <f t="shared" si="15"/>
        <v>0</v>
      </c>
      <c r="E69" s="4">
        <f t="shared" si="16"/>
        <v>623.85400000000004</v>
      </c>
      <c r="F69" s="4">
        <f t="shared" si="17"/>
        <v>8.1753299999999989</v>
      </c>
      <c r="G69" s="4">
        <f t="shared" si="18"/>
        <v>650.02933000000007</v>
      </c>
      <c r="H69" s="39"/>
      <c r="I69" s="29">
        <f t="shared" si="25"/>
        <v>0.7</v>
      </c>
      <c r="J69" s="7">
        <f t="shared" si="19"/>
        <v>22.4</v>
      </c>
      <c r="K69" s="4">
        <f t="shared" si="20"/>
        <v>0</v>
      </c>
      <c r="L69" s="7">
        <f t="shared" si="21"/>
        <v>623.85400000000004</v>
      </c>
      <c r="M69" s="7">
        <f t="shared" si="22"/>
        <v>10.375329999999998</v>
      </c>
      <c r="N69" s="7">
        <f t="shared" si="23"/>
        <v>656.62932999999998</v>
      </c>
      <c r="O69" s="39"/>
    </row>
    <row r="70" spans="1:15" x14ac:dyDescent="0.25">
      <c r="A70" s="2">
        <v>22</v>
      </c>
      <c r="B70" s="32">
        <f t="shared" si="24"/>
        <v>0.75</v>
      </c>
      <c r="C70" s="4">
        <f t="shared" si="26"/>
        <v>18</v>
      </c>
      <c r="D70" s="4">
        <f t="shared" si="15"/>
        <v>0</v>
      </c>
      <c r="E70" s="4">
        <f t="shared" si="16"/>
        <v>653.56133333333344</v>
      </c>
      <c r="F70" s="4">
        <f t="shared" si="17"/>
        <v>8.1360599999999987</v>
      </c>
      <c r="G70" s="4">
        <f t="shared" si="18"/>
        <v>679.69739333333348</v>
      </c>
      <c r="H70" s="39"/>
      <c r="I70" s="29">
        <f t="shared" si="25"/>
        <v>0.7</v>
      </c>
      <c r="J70" s="7">
        <f t="shared" si="19"/>
        <v>22.4</v>
      </c>
      <c r="K70" s="4">
        <f t="shared" si="20"/>
        <v>0</v>
      </c>
      <c r="L70" s="7">
        <f t="shared" si="21"/>
        <v>653.56133333333344</v>
      </c>
      <c r="M70" s="7">
        <f t="shared" si="22"/>
        <v>10.336059999999998</v>
      </c>
      <c r="N70" s="7">
        <f t="shared" si="23"/>
        <v>686.29739333333339</v>
      </c>
      <c r="O70" s="39"/>
    </row>
    <row r="71" spans="1:15" x14ac:dyDescent="0.25">
      <c r="A71" s="2">
        <v>23</v>
      </c>
      <c r="B71" s="32">
        <f t="shared" si="24"/>
        <v>0.75</v>
      </c>
      <c r="C71" s="4">
        <f t="shared" si="26"/>
        <v>18</v>
      </c>
      <c r="D71" s="4">
        <f t="shared" si="15"/>
        <v>0</v>
      </c>
      <c r="E71" s="4">
        <f t="shared" si="16"/>
        <v>683.26866666666683</v>
      </c>
      <c r="F71" s="4">
        <f t="shared" si="17"/>
        <v>8.0967899999999986</v>
      </c>
      <c r="G71" s="4">
        <f t="shared" si="18"/>
        <v>709.36545666666689</v>
      </c>
      <c r="H71" s="39"/>
      <c r="I71" s="29">
        <f t="shared" si="25"/>
        <v>0.7</v>
      </c>
      <c r="J71" s="7">
        <f t="shared" si="19"/>
        <v>22.4</v>
      </c>
      <c r="K71" s="4">
        <f t="shared" si="20"/>
        <v>0</v>
      </c>
      <c r="L71" s="7">
        <f t="shared" si="21"/>
        <v>683.26866666666683</v>
      </c>
      <c r="M71" s="7">
        <f t="shared" si="22"/>
        <v>10.296789999999998</v>
      </c>
      <c r="N71" s="7">
        <f t="shared" si="23"/>
        <v>715.9654566666668</v>
      </c>
      <c r="O71" s="39"/>
    </row>
    <row r="72" spans="1:15" x14ac:dyDescent="0.25">
      <c r="A72" s="2">
        <v>24</v>
      </c>
      <c r="B72" s="32">
        <f t="shared" si="24"/>
        <v>0.75</v>
      </c>
      <c r="C72" s="4">
        <f t="shared" si="26"/>
        <v>18</v>
      </c>
      <c r="D72" s="4">
        <f t="shared" si="15"/>
        <v>0</v>
      </c>
      <c r="E72" s="4">
        <f t="shared" si="16"/>
        <v>712.97600000000011</v>
      </c>
      <c r="F72" s="4">
        <f t="shared" si="17"/>
        <v>8.0575199999999985</v>
      </c>
      <c r="G72" s="4">
        <f t="shared" si="18"/>
        <v>739.03352000000007</v>
      </c>
      <c r="H72" s="39"/>
      <c r="I72" s="29">
        <f t="shared" si="25"/>
        <v>0.7</v>
      </c>
      <c r="J72" s="7">
        <f t="shared" si="19"/>
        <v>22.4</v>
      </c>
      <c r="K72" s="4">
        <f t="shared" si="20"/>
        <v>0</v>
      </c>
      <c r="L72" s="7">
        <f t="shared" si="21"/>
        <v>712.97600000000011</v>
      </c>
      <c r="M72" s="7">
        <f t="shared" si="22"/>
        <v>10.257519999999998</v>
      </c>
      <c r="N72" s="7">
        <f t="shared" si="23"/>
        <v>745.63352000000009</v>
      </c>
      <c r="O72" s="39"/>
    </row>
    <row r="73" spans="1:15" x14ac:dyDescent="0.25">
      <c r="A73" s="2">
        <v>25</v>
      </c>
      <c r="B73" s="32">
        <f t="shared" si="24"/>
        <v>0.75</v>
      </c>
      <c r="C73" s="4">
        <f t="shared" si="26"/>
        <v>18</v>
      </c>
      <c r="D73" s="4">
        <f t="shared" si="15"/>
        <v>0</v>
      </c>
      <c r="E73" s="4">
        <f t="shared" si="16"/>
        <v>742.68333333333339</v>
      </c>
      <c r="F73" s="4">
        <f t="shared" si="17"/>
        <v>8.0182499999999983</v>
      </c>
      <c r="G73" s="4">
        <f t="shared" si="18"/>
        <v>768.70158333333336</v>
      </c>
      <c r="H73" s="39"/>
      <c r="I73" s="29">
        <f t="shared" si="25"/>
        <v>0.7</v>
      </c>
      <c r="J73" s="7">
        <f t="shared" si="19"/>
        <v>22.4</v>
      </c>
      <c r="K73" s="4">
        <f t="shared" si="20"/>
        <v>0</v>
      </c>
      <c r="L73" s="7">
        <f t="shared" si="21"/>
        <v>742.68333333333339</v>
      </c>
      <c r="M73" s="7">
        <f t="shared" si="22"/>
        <v>10.218249999999999</v>
      </c>
      <c r="N73" s="7">
        <f t="shared" si="23"/>
        <v>775.30158333333338</v>
      </c>
      <c r="O73" s="39"/>
    </row>
    <row r="74" spans="1:15" x14ac:dyDescent="0.25">
      <c r="A74" s="2">
        <v>26</v>
      </c>
      <c r="B74" s="32">
        <f t="shared" si="24"/>
        <v>0.75</v>
      </c>
      <c r="C74" s="4">
        <f t="shared" si="26"/>
        <v>18</v>
      </c>
      <c r="D74" s="4">
        <f t="shared" si="15"/>
        <v>0</v>
      </c>
      <c r="E74" s="4">
        <f t="shared" si="16"/>
        <v>772.39066666666679</v>
      </c>
      <c r="F74" s="4">
        <f t="shared" si="17"/>
        <v>7.9789799999999991</v>
      </c>
      <c r="G74" s="4">
        <f t="shared" si="18"/>
        <v>798.36964666666677</v>
      </c>
      <c r="H74" s="39"/>
      <c r="I74" s="29">
        <f t="shared" si="25"/>
        <v>0.7</v>
      </c>
      <c r="J74" s="7">
        <f t="shared" si="19"/>
        <v>22.4</v>
      </c>
      <c r="K74" s="4">
        <f t="shared" si="20"/>
        <v>0</v>
      </c>
      <c r="L74" s="7">
        <f t="shared" si="21"/>
        <v>772.39066666666679</v>
      </c>
      <c r="M74" s="7">
        <f t="shared" si="22"/>
        <v>10.178979999999999</v>
      </c>
      <c r="N74" s="7">
        <f t="shared" si="23"/>
        <v>804.96964666666679</v>
      </c>
      <c r="O74" s="39"/>
    </row>
    <row r="75" spans="1:15" x14ac:dyDescent="0.25">
      <c r="A75" s="2">
        <v>27</v>
      </c>
      <c r="B75" s="31">
        <v>0.8</v>
      </c>
      <c r="C75" s="4">
        <f t="shared" si="26"/>
        <v>19.200000000000003</v>
      </c>
      <c r="D75" s="4">
        <f t="shared" si="15"/>
        <v>0</v>
      </c>
      <c r="E75" s="4">
        <f t="shared" si="16"/>
        <v>802.09800000000018</v>
      </c>
      <c r="F75" s="4">
        <f t="shared" si="17"/>
        <v>8.5397099999999995</v>
      </c>
      <c r="G75" s="4">
        <f t="shared" si="18"/>
        <v>829.83771000000024</v>
      </c>
      <c r="H75" s="39"/>
      <c r="I75" s="28">
        <v>0.8</v>
      </c>
      <c r="J75" s="7">
        <f t="shared" si="19"/>
        <v>25.6</v>
      </c>
      <c r="K75" s="4">
        <f t="shared" si="20"/>
        <v>0</v>
      </c>
      <c r="L75" s="7">
        <f t="shared" si="21"/>
        <v>802.09800000000018</v>
      </c>
      <c r="M75" s="7">
        <f t="shared" si="22"/>
        <v>11.739710000000002</v>
      </c>
      <c r="N75" s="7">
        <f t="shared" si="23"/>
        <v>839.43771000000015</v>
      </c>
      <c r="O75" s="39"/>
    </row>
    <row r="76" spans="1:15" x14ac:dyDescent="0.25">
      <c r="A76" s="2">
        <v>28</v>
      </c>
      <c r="B76" s="31">
        <f t="shared" si="24"/>
        <v>0.8</v>
      </c>
      <c r="C76" s="4">
        <f t="shared" si="26"/>
        <v>19.200000000000003</v>
      </c>
      <c r="D76" s="4">
        <f t="shared" si="15"/>
        <v>0</v>
      </c>
      <c r="E76" s="4">
        <f t="shared" si="16"/>
        <v>831.80533333333346</v>
      </c>
      <c r="F76" s="4">
        <f t="shared" si="17"/>
        <v>8.5004400000000011</v>
      </c>
      <c r="G76" s="4">
        <f t="shared" si="18"/>
        <v>859.50577333333354</v>
      </c>
      <c r="H76" s="39"/>
      <c r="I76" s="28">
        <f t="shared" si="25"/>
        <v>0.8</v>
      </c>
      <c r="J76" s="7">
        <f t="shared" si="19"/>
        <v>25.6</v>
      </c>
      <c r="K76" s="4">
        <f t="shared" si="20"/>
        <v>0</v>
      </c>
      <c r="L76" s="7">
        <f t="shared" si="21"/>
        <v>831.80533333333346</v>
      </c>
      <c r="M76" s="7">
        <f t="shared" si="22"/>
        <v>11.700440000000004</v>
      </c>
      <c r="N76" s="7">
        <f t="shared" si="23"/>
        <v>869.10577333333345</v>
      </c>
      <c r="O76" s="39"/>
    </row>
    <row r="77" spans="1:15" x14ac:dyDescent="0.25">
      <c r="A77" s="2">
        <v>29</v>
      </c>
      <c r="B77" s="31">
        <f t="shared" si="24"/>
        <v>0.8</v>
      </c>
      <c r="C77" s="4">
        <f t="shared" si="26"/>
        <v>19.200000000000003</v>
      </c>
      <c r="D77" s="4">
        <f t="shared" si="15"/>
        <v>0</v>
      </c>
      <c r="E77" s="4">
        <f t="shared" si="16"/>
        <v>861.51266666666675</v>
      </c>
      <c r="F77" s="4">
        <f t="shared" si="17"/>
        <v>8.4611699999999992</v>
      </c>
      <c r="G77" s="4">
        <f t="shared" si="18"/>
        <v>889.17383666666683</v>
      </c>
      <c r="H77" s="39"/>
      <c r="I77" s="28">
        <f t="shared" si="25"/>
        <v>0.8</v>
      </c>
      <c r="J77" s="7">
        <f t="shared" si="19"/>
        <v>25.6</v>
      </c>
      <c r="K77" s="4">
        <f t="shared" si="20"/>
        <v>0</v>
      </c>
      <c r="L77" s="7">
        <f t="shared" si="21"/>
        <v>861.51266666666675</v>
      </c>
      <c r="M77" s="7">
        <f t="shared" si="22"/>
        <v>11.661170000000002</v>
      </c>
      <c r="N77" s="7">
        <f t="shared" si="23"/>
        <v>898.77383666666674</v>
      </c>
      <c r="O77" s="39"/>
    </row>
    <row r="78" spans="1:15" x14ac:dyDescent="0.25">
      <c r="A78" s="2">
        <v>30</v>
      </c>
      <c r="B78" s="31">
        <f t="shared" si="24"/>
        <v>0.8</v>
      </c>
      <c r="C78" s="4">
        <f t="shared" si="26"/>
        <v>19.200000000000003</v>
      </c>
      <c r="D78" s="4">
        <f t="shared" si="15"/>
        <v>0</v>
      </c>
      <c r="E78" s="4">
        <f t="shared" si="16"/>
        <v>891.22000000000014</v>
      </c>
      <c r="F78" s="4">
        <f t="shared" si="17"/>
        <v>8.4219000000000008</v>
      </c>
      <c r="G78" s="4">
        <f t="shared" si="18"/>
        <v>918.84190000000024</v>
      </c>
      <c r="H78" s="39"/>
      <c r="I78" s="28">
        <f t="shared" si="25"/>
        <v>0.8</v>
      </c>
      <c r="J78" s="7">
        <f t="shared" si="19"/>
        <v>25.6</v>
      </c>
      <c r="K78" s="4">
        <f t="shared" si="20"/>
        <v>0</v>
      </c>
      <c r="L78" s="7">
        <f t="shared" si="21"/>
        <v>891.22000000000014</v>
      </c>
      <c r="M78" s="7">
        <f t="shared" si="22"/>
        <v>11.621900000000004</v>
      </c>
      <c r="N78" s="7">
        <f t="shared" si="23"/>
        <v>928.44190000000015</v>
      </c>
      <c r="O78" s="39"/>
    </row>
    <row r="79" spans="1:15" x14ac:dyDescent="0.25">
      <c r="A79" s="2">
        <v>31</v>
      </c>
      <c r="B79" s="31">
        <f t="shared" si="24"/>
        <v>0.8</v>
      </c>
      <c r="C79" s="4">
        <f t="shared" si="26"/>
        <v>19.200000000000003</v>
      </c>
      <c r="D79" s="4">
        <f t="shared" si="15"/>
        <v>0</v>
      </c>
      <c r="E79" s="4">
        <f t="shared" si="16"/>
        <v>920.92733333333354</v>
      </c>
      <c r="F79" s="4">
        <f t="shared" si="17"/>
        <v>8.3826299999999989</v>
      </c>
      <c r="G79" s="4">
        <f t="shared" si="18"/>
        <v>948.50996333333353</v>
      </c>
      <c r="H79" s="39"/>
      <c r="I79" s="28">
        <f t="shared" si="25"/>
        <v>0.8</v>
      </c>
      <c r="J79" s="7">
        <f t="shared" si="19"/>
        <v>25.6</v>
      </c>
      <c r="K79" s="4">
        <f t="shared" si="20"/>
        <v>0</v>
      </c>
      <c r="L79" s="7">
        <f t="shared" si="21"/>
        <v>920.92733333333354</v>
      </c>
      <c r="M79" s="7">
        <f t="shared" si="22"/>
        <v>11.582630000000002</v>
      </c>
      <c r="N79" s="7">
        <f t="shared" si="23"/>
        <v>958.10996333333355</v>
      </c>
      <c r="O79" s="39"/>
    </row>
    <row r="80" spans="1:15" x14ac:dyDescent="0.25">
      <c r="A80" s="2">
        <v>32</v>
      </c>
      <c r="B80" s="31">
        <f t="shared" si="24"/>
        <v>0.8</v>
      </c>
      <c r="C80" s="4">
        <f t="shared" si="26"/>
        <v>19.200000000000003</v>
      </c>
      <c r="D80" s="4">
        <f t="shared" si="15"/>
        <v>0</v>
      </c>
      <c r="E80" s="4">
        <f t="shared" si="16"/>
        <v>950.63466666666682</v>
      </c>
      <c r="F80" s="4">
        <f t="shared" si="17"/>
        <v>8.3433600000000006</v>
      </c>
      <c r="G80" s="4">
        <f t="shared" si="18"/>
        <v>978.17802666666682</v>
      </c>
      <c r="H80" s="39"/>
      <c r="I80" s="28">
        <f t="shared" si="25"/>
        <v>0.8</v>
      </c>
      <c r="J80" s="7">
        <f t="shared" si="19"/>
        <v>25.6</v>
      </c>
      <c r="K80" s="4">
        <f t="shared" si="20"/>
        <v>0</v>
      </c>
      <c r="L80" s="7">
        <f t="shared" si="21"/>
        <v>950.63466666666682</v>
      </c>
      <c r="M80" s="7">
        <f t="shared" si="22"/>
        <v>11.543360000000003</v>
      </c>
      <c r="N80" s="7">
        <f t="shared" si="23"/>
        <v>987.77802666666685</v>
      </c>
      <c r="O80" s="39"/>
    </row>
    <row r="81" spans="1:15" x14ac:dyDescent="0.25">
      <c r="A81" s="2">
        <v>33</v>
      </c>
      <c r="B81" s="31">
        <f t="shared" si="24"/>
        <v>0.8</v>
      </c>
      <c r="C81" s="4">
        <f t="shared" si="26"/>
        <v>19.200000000000003</v>
      </c>
      <c r="D81" s="4">
        <f t="shared" si="15"/>
        <v>0</v>
      </c>
      <c r="E81" s="4">
        <f t="shared" si="16"/>
        <v>980.3420000000001</v>
      </c>
      <c r="F81" s="4">
        <f t="shared" si="17"/>
        <v>8.3040899999999986</v>
      </c>
      <c r="G81" s="4">
        <f t="shared" si="18"/>
        <v>1007.8460900000001</v>
      </c>
      <c r="H81" s="39"/>
      <c r="I81" s="28">
        <f t="shared" si="25"/>
        <v>0.8</v>
      </c>
      <c r="J81" s="7">
        <f t="shared" si="19"/>
        <v>25.6</v>
      </c>
      <c r="K81" s="4">
        <f t="shared" si="20"/>
        <v>0</v>
      </c>
      <c r="L81" s="7">
        <f t="shared" si="21"/>
        <v>980.3420000000001</v>
      </c>
      <c r="M81" s="7">
        <f t="shared" si="22"/>
        <v>11.504090000000001</v>
      </c>
      <c r="N81" s="7">
        <f t="shared" si="23"/>
        <v>1017.4460900000001</v>
      </c>
      <c r="O81" s="39"/>
    </row>
    <row r="82" spans="1:15" x14ac:dyDescent="0.25">
      <c r="A82" s="2">
        <v>34</v>
      </c>
      <c r="B82" s="32">
        <v>0.85</v>
      </c>
      <c r="C82" s="4">
        <f t="shared" si="26"/>
        <v>20.399999999999999</v>
      </c>
      <c r="D82" s="4">
        <f t="shared" si="15"/>
        <v>0</v>
      </c>
      <c r="E82" s="4">
        <f t="shared" si="16"/>
        <v>1010.0493333333335</v>
      </c>
      <c r="F82" s="4">
        <f t="shared" si="17"/>
        <v>8.8648199999999999</v>
      </c>
      <c r="G82" s="4">
        <f t="shared" si="18"/>
        <v>1039.3141533333335</v>
      </c>
      <c r="H82" s="39"/>
      <c r="I82" s="28">
        <f t="shared" si="25"/>
        <v>0.8</v>
      </c>
      <c r="J82" s="7">
        <f t="shared" si="19"/>
        <v>25.6</v>
      </c>
      <c r="K82" s="4">
        <f t="shared" si="20"/>
        <v>0</v>
      </c>
      <c r="L82" s="7">
        <f t="shared" si="21"/>
        <v>1010.0493333333335</v>
      </c>
      <c r="M82" s="7">
        <f t="shared" si="22"/>
        <v>11.464820000000003</v>
      </c>
      <c r="N82" s="7">
        <f t="shared" si="23"/>
        <v>1047.1141533333334</v>
      </c>
      <c r="O82" s="39"/>
    </row>
    <row r="83" spans="1:15" x14ac:dyDescent="0.25">
      <c r="A83" s="2">
        <v>35</v>
      </c>
      <c r="B83" s="32">
        <f t="shared" si="24"/>
        <v>0.85</v>
      </c>
      <c r="C83" s="4">
        <f t="shared" si="26"/>
        <v>20.399999999999999</v>
      </c>
      <c r="D83" s="4">
        <f t="shared" si="15"/>
        <v>0</v>
      </c>
      <c r="E83" s="4">
        <f t="shared" si="16"/>
        <v>1039.7566666666669</v>
      </c>
      <c r="F83" s="4">
        <f t="shared" si="17"/>
        <v>8.8255499999999998</v>
      </c>
      <c r="G83" s="4">
        <f t="shared" si="18"/>
        <v>1068.982216666667</v>
      </c>
      <c r="H83" s="39"/>
      <c r="I83" s="28">
        <f t="shared" si="25"/>
        <v>0.8</v>
      </c>
      <c r="J83" s="7">
        <f t="shared" si="19"/>
        <v>25.6</v>
      </c>
      <c r="K83" s="4">
        <f t="shared" si="20"/>
        <v>0</v>
      </c>
      <c r="L83" s="7">
        <f t="shared" si="21"/>
        <v>1039.7566666666669</v>
      </c>
      <c r="M83" s="7">
        <f t="shared" si="22"/>
        <v>11.425550000000001</v>
      </c>
      <c r="N83" s="7">
        <f t="shared" si="23"/>
        <v>1076.7822166666667</v>
      </c>
      <c r="O83" s="39"/>
    </row>
    <row r="84" spans="1:15" ht="15.75" thickBot="1" x14ac:dyDescent="0.3">
      <c r="A84" s="2">
        <v>36</v>
      </c>
      <c r="B84" s="32">
        <f t="shared" si="24"/>
        <v>0.85</v>
      </c>
      <c r="C84" s="4">
        <f t="shared" si="26"/>
        <v>20.399999999999999</v>
      </c>
      <c r="D84" s="4">
        <f t="shared" si="15"/>
        <v>0</v>
      </c>
      <c r="E84" s="4">
        <f t="shared" si="16"/>
        <v>1069.4640000000002</v>
      </c>
      <c r="F84" s="4">
        <f t="shared" si="17"/>
        <v>8.7862799999999996</v>
      </c>
      <c r="G84" s="4">
        <f t="shared" si="18"/>
        <v>1098.6502800000003</v>
      </c>
      <c r="H84" s="39"/>
      <c r="I84" s="28">
        <f t="shared" si="25"/>
        <v>0.8</v>
      </c>
      <c r="J84" s="7">
        <f t="shared" si="19"/>
        <v>25.6</v>
      </c>
      <c r="K84" s="4">
        <f t="shared" si="20"/>
        <v>0</v>
      </c>
      <c r="L84" s="7">
        <f t="shared" si="21"/>
        <v>1069.4640000000002</v>
      </c>
      <c r="M84" s="7">
        <f t="shared" si="22"/>
        <v>11.386280000000003</v>
      </c>
      <c r="N84" s="7">
        <f t="shared" si="23"/>
        <v>1106.45028</v>
      </c>
      <c r="O84" s="39"/>
    </row>
    <row r="85" spans="1:15" ht="9.9499999999999993" customHeight="1" thickTop="1" thickBot="1" x14ac:dyDescent="0.3">
      <c r="A85" s="67"/>
      <c r="B85" s="68"/>
      <c r="C85" s="67"/>
      <c r="D85" s="67"/>
      <c r="E85" s="67"/>
      <c r="F85" s="67"/>
      <c r="G85" s="67"/>
      <c r="H85" s="69"/>
      <c r="I85" s="68"/>
      <c r="J85" s="67"/>
      <c r="K85" s="67"/>
      <c r="L85" s="67"/>
      <c r="M85" s="67"/>
      <c r="N85" s="67"/>
      <c r="O85" s="70"/>
    </row>
    <row r="86" spans="1:15" ht="15.75" thickTop="1" x14ac:dyDescent="0.25">
      <c r="B86" s="71"/>
      <c r="H86" s="39"/>
      <c r="I86" s="29"/>
      <c r="O86" s="39"/>
    </row>
    <row r="87" spans="1:15" x14ac:dyDescent="0.25">
      <c r="A87" s="3" t="s">
        <v>64</v>
      </c>
      <c r="B87" s="72" t="s">
        <v>69</v>
      </c>
      <c r="C87" s="73"/>
      <c r="D87" s="74"/>
      <c r="H87" s="40"/>
      <c r="I87" s="27"/>
      <c r="O87" s="40"/>
    </row>
    <row r="88" spans="1:15" x14ac:dyDescent="0.25">
      <c r="A88" s="3" t="s">
        <v>12</v>
      </c>
      <c r="B88" s="30" t="s">
        <v>10</v>
      </c>
      <c r="C88" s="77">
        <v>110</v>
      </c>
      <c r="D88" s="1"/>
      <c r="E88" s="24">
        <f>E2</f>
        <v>29.707333333333338</v>
      </c>
      <c r="F88" s="79">
        <v>40</v>
      </c>
      <c r="H88" s="40"/>
      <c r="I88" s="27"/>
      <c r="O88" s="40"/>
    </row>
    <row r="89" spans="1:15" x14ac:dyDescent="0.25">
      <c r="B89" s="27"/>
      <c r="C89" s="5" t="s">
        <v>2</v>
      </c>
      <c r="D89" s="2" t="s">
        <v>3</v>
      </c>
      <c r="E89" s="2" t="s">
        <v>53</v>
      </c>
      <c r="F89" s="2" t="s">
        <v>5</v>
      </c>
      <c r="G89" s="287" t="s">
        <v>6</v>
      </c>
      <c r="H89" s="39"/>
      <c r="I89" s="27"/>
      <c r="J89" s="8" t="s">
        <v>2</v>
      </c>
      <c r="K89" s="2" t="s">
        <v>3</v>
      </c>
      <c r="L89" s="2" t="str">
        <f>E89</f>
        <v>50 dia PVC</v>
      </c>
      <c r="M89" s="2" t="s">
        <v>5</v>
      </c>
      <c r="N89" s="287" t="s">
        <v>6</v>
      </c>
      <c r="O89" s="39"/>
    </row>
    <row r="90" spans="1:15" x14ac:dyDescent="0.25">
      <c r="A90" s="1" t="s">
        <v>8</v>
      </c>
      <c r="B90" s="27" t="s">
        <v>7</v>
      </c>
      <c r="C90" s="5" t="s">
        <v>37</v>
      </c>
      <c r="D90" s="61" t="s">
        <v>38</v>
      </c>
      <c r="E90" s="2" t="s">
        <v>54</v>
      </c>
      <c r="F90" s="2" t="s">
        <v>9</v>
      </c>
      <c r="G90" s="287"/>
      <c r="H90" s="39"/>
      <c r="I90" s="27" t="s">
        <v>7</v>
      </c>
      <c r="J90" s="8" t="s">
        <v>36</v>
      </c>
      <c r="K90" s="61" t="str">
        <f>D90</f>
        <v>over 1.4m</v>
      </c>
      <c r="L90" s="2" t="str">
        <f>E90</f>
        <v>SN16 duct</v>
      </c>
      <c r="M90" s="2" t="str">
        <f>F90</f>
        <v>w/ exc mat.</v>
      </c>
      <c r="N90" s="287"/>
      <c r="O90" s="39"/>
    </row>
    <row r="91" spans="1:15" x14ac:dyDescent="0.25">
      <c r="B91" s="27"/>
      <c r="C91" s="20">
        <v>0.4</v>
      </c>
      <c r="D91" s="20">
        <v>1.4</v>
      </c>
      <c r="E91" s="20">
        <v>0.05</v>
      </c>
      <c r="H91" s="39"/>
      <c r="I91" s="26"/>
      <c r="J91" s="20">
        <v>0.6</v>
      </c>
      <c r="O91" s="39"/>
    </row>
    <row r="92" spans="1:15" x14ac:dyDescent="0.25">
      <c r="A92" s="2">
        <v>1</v>
      </c>
      <c r="B92" s="31">
        <v>0.6</v>
      </c>
      <c r="C92" s="4">
        <f>$C88*C91*B92</f>
        <v>26.4</v>
      </c>
      <c r="D92" s="4">
        <f>IF(B92&gt;$D$91,$D$2,0)</f>
        <v>0</v>
      </c>
      <c r="E92" s="4">
        <f>$E88*$A92</f>
        <v>29.707333333333338</v>
      </c>
      <c r="F92" s="4">
        <f>(($C91*B92)-(3.1416*($E91/2)*($E91/2)*$A92))*$F88</f>
        <v>9.5214599999999994</v>
      </c>
      <c r="G92" s="4">
        <f>SUM(C92:F92)</f>
        <v>65.628793333333334</v>
      </c>
      <c r="H92" s="39"/>
      <c r="I92" s="28">
        <v>0.6</v>
      </c>
      <c r="J92" s="7">
        <f>$C88*J91*I92</f>
        <v>39.6</v>
      </c>
      <c r="K92" s="4">
        <f>IF(I92&gt;$D$91,$D$2,0)</f>
        <v>0</v>
      </c>
      <c r="L92" s="7">
        <f>$E88*$A92</f>
        <v>29.707333333333338</v>
      </c>
      <c r="M92" s="7">
        <f>(($J91*I92)-(3.1416*($E91/2)*($E91/2)*$A92))*$F88</f>
        <v>14.321459999999998</v>
      </c>
      <c r="N92" s="7">
        <f>SUM(J92:M92)</f>
        <v>83.628793333333334</v>
      </c>
      <c r="O92" s="39"/>
    </row>
    <row r="93" spans="1:15" x14ac:dyDescent="0.25">
      <c r="A93" s="2">
        <v>2</v>
      </c>
      <c r="B93" s="31">
        <f>B92</f>
        <v>0.6</v>
      </c>
      <c r="C93" s="4">
        <f>$C$88*C$91*B93</f>
        <v>26.4</v>
      </c>
      <c r="D93" s="4">
        <f t="shared" ref="D93:D127" si="27">IF(B93&gt;$D$91,$D$2,0)</f>
        <v>0</v>
      </c>
      <c r="E93" s="4">
        <f>$E$88*$A93</f>
        <v>59.414666666666676</v>
      </c>
      <c r="F93" s="4">
        <f>(($C$91*B93)-(3.1416*($E$91/2)*($E$91/2)*$A93))*$F$88</f>
        <v>9.4429199999999991</v>
      </c>
      <c r="G93" s="4">
        <f>SUM(C93:F93)</f>
        <v>95.257586666666683</v>
      </c>
      <c r="H93" s="39"/>
      <c r="I93" s="28">
        <f>I92</f>
        <v>0.6</v>
      </c>
      <c r="J93" s="7">
        <f>$C$88*J$91*I93</f>
        <v>39.6</v>
      </c>
      <c r="K93" s="4">
        <f t="shared" ref="K93:K127" si="28">IF(I93&gt;$D$91,$D$2,0)</f>
        <v>0</v>
      </c>
      <c r="L93" s="7">
        <f>$E$88*$A93</f>
        <v>59.414666666666676</v>
      </c>
      <c r="M93" s="7">
        <f>(($J$91*I93)-(3.1416*($E$91/2)*($E$91/2)*$A93))*$F$88</f>
        <v>14.242919999999998</v>
      </c>
      <c r="N93" s="7">
        <f>SUM(J93:M93)</f>
        <v>113.25758666666667</v>
      </c>
      <c r="O93" s="39"/>
    </row>
    <row r="94" spans="1:15" x14ac:dyDescent="0.25">
      <c r="A94" s="2">
        <v>3</v>
      </c>
      <c r="B94" s="31">
        <f t="shared" ref="B94:B127" si="29">B93</f>
        <v>0.6</v>
      </c>
      <c r="C94" s="4">
        <f t="shared" ref="C94:C127" si="30">$C$88*C$91*B94</f>
        <v>26.4</v>
      </c>
      <c r="D94" s="4">
        <f t="shared" si="27"/>
        <v>0</v>
      </c>
      <c r="E94" s="4">
        <f t="shared" ref="E94:E127" si="31">$E$88*$A94</f>
        <v>89.122000000000014</v>
      </c>
      <c r="F94" s="4">
        <f t="shared" ref="F94:F127" si="32">(($C$91*B94)-(3.1416*($E$91/2)*($E$91/2)*$A94))*$F$88</f>
        <v>9.3643800000000006</v>
      </c>
      <c r="G94" s="4">
        <f t="shared" ref="G94:G127" si="33">SUM(C94:F94)</f>
        <v>124.88638000000002</v>
      </c>
      <c r="H94" s="39"/>
      <c r="I94" s="28">
        <f t="shared" ref="I94:I102" si="34">I93</f>
        <v>0.6</v>
      </c>
      <c r="J94" s="7">
        <f t="shared" ref="J94:J127" si="35">$C$88*J$91*I94</f>
        <v>39.6</v>
      </c>
      <c r="K94" s="4">
        <f t="shared" si="28"/>
        <v>0</v>
      </c>
      <c r="L94" s="7">
        <f t="shared" ref="L94:L127" si="36">$E$88*$A94</f>
        <v>89.122000000000014</v>
      </c>
      <c r="M94" s="7">
        <f t="shared" ref="M94:M127" si="37">(($J$91*I94)-(3.1416*($E$91/2)*($E$91/2)*$A94))*$F$88</f>
        <v>14.164379999999998</v>
      </c>
      <c r="N94" s="7">
        <f t="shared" ref="N94:N127" si="38">SUM(J94:M94)</f>
        <v>142.88638</v>
      </c>
      <c r="O94" s="39"/>
    </row>
    <row r="95" spans="1:15" x14ac:dyDescent="0.25">
      <c r="A95" s="2">
        <v>4</v>
      </c>
      <c r="B95" s="31">
        <f t="shared" si="29"/>
        <v>0.6</v>
      </c>
      <c r="C95" s="4">
        <f t="shared" si="30"/>
        <v>26.4</v>
      </c>
      <c r="D95" s="4">
        <f t="shared" si="27"/>
        <v>0</v>
      </c>
      <c r="E95" s="4">
        <f t="shared" si="31"/>
        <v>118.82933333333335</v>
      </c>
      <c r="F95" s="4">
        <f t="shared" si="32"/>
        <v>9.2858400000000003</v>
      </c>
      <c r="G95" s="4">
        <f t="shared" si="33"/>
        <v>154.51517333333337</v>
      </c>
      <c r="H95" s="39"/>
      <c r="I95" s="28">
        <f t="shared" si="34"/>
        <v>0.6</v>
      </c>
      <c r="J95" s="7">
        <f t="shared" si="35"/>
        <v>39.6</v>
      </c>
      <c r="K95" s="4">
        <f t="shared" si="28"/>
        <v>0</v>
      </c>
      <c r="L95" s="7">
        <f t="shared" si="36"/>
        <v>118.82933333333335</v>
      </c>
      <c r="M95" s="7">
        <f t="shared" si="37"/>
        <v>14.085839999999997</v>
      </c>
      <c r="N95" s="7">
        <f t="shared" si="38"/>
        <v>172.51517333333334</v>
      </c>
      <c r="O95" s="39"/>
    </row>
    <row r="96" spans="1:15" x14ac:dyDescent="0.25">
      <c r="A96" s="2">
        <v>5</v>
      </c>
      <c r="B96" s="31">
        <f t="shared" si="29"/>
        <v>0.6</v>
      </c>
      <c r="C96" s="4">
        <f t="shared" si="30"/>
        <v>26.4</v>
      </c>
      <c r="D96" s="4">
        <f t="shared" si="27"/>
        <v>0</v>
      </c>
      <c r="E96" s="4">
        <f t="shared" si="31"/>
        <v>148.53666666666669</v>
      </c>
      <c r="F96" s="4">
        <f t="shared" si="32"/>
        <v>9.2073</v>
      </c>
      <c r="G96" s="4">
        <f t="shared" si="33"/>
        <v>184.1439666666667</v>
      </c>
      <c r="H96" s="39"/>
      <c r="I96" s="28">
        <f t="shared" si="34"/>
        <v>0.6</v>
      </c>
      <c r="J96" s="7">
        <f t="shared" si="35"/>
        <v>39.6</v>
      </c>
      <c r="K96" s="4">
        <f t="shared" si="28"/>
        <v>0</v>
      </c>
      <c r="L96" s="7">
        <f t="shared" si="36"/>
        <v>148.53666666666669</v>
      </c>
      <c r="M96" s="7">
        <f t="shared" si="37"/>
        <v>14.007300000000001</v>
      </c>
      <c r="N96" s="7">
        <f t="shared" si="38"/>
        <v>202.1439666666667</v>
      </c>
      <c r="O96" s="39"/>
    </row>
    <row r="97" spans="1:15" x14ac:dyDescent="0.25">
      <c r="A97" s="2">
        <v>6</v>
      </c>
      <c r="B97" s="31">
        <f t="shared" si="29"/>
        <v>0.6</v>
      </c>
      <c r="C97" s="4">
        <f t="shared" si="30"/>
        <v>26.4</v>
      </c>
      <c r="D97" s="4">
        <f t="shared" si="27"/>
        <v>0</v>
      </c>
      <c r="E97" s="4">
        <f t="shared" si="31"/>
        <v>178.24400000000003</v>
      </c>
      <c r="F97" s="4">
        <f t="shared" si="32"/>
        <v>9.1287599999999998</v>
      </c>
      <c r="G97" s="4">
        <f t="shared" si="33"/>
        <v>213.77276000000003</v>
      </c>
      <c r="H97" s="39"/>
      <c r="I97" s="28">
        <f t="shared" si="34"/>
        <v>0.6</v>
      </c>
      <c r="J97" s="7">
        <f t="shared" si="35"/>
        <v>39.6</v>
      </c>
      <c r="K97" s="4">
        <f t="shared" si="28"/>
        <v>0</v>
      </c>
      <c r="L97" s="7">
        <f t="shared" si="36"/>
        <v>178.24400000000003</v>
      </c>
      <c r="M97" s="7">
        <f t="shared" si="37"/>
        <v>13.92876</v>
      </c>
      <c r="N97" s="7">
        <f t="shared" si="38"/>
        <v>231.77276000000003</v>
      </c>
      <c r="O97" s="39"/>
    </row>
    <row r="98" spans="1:15" x14ac:dyDescent="0.25">
      <c r="A98" s="2">
        <v>7</v>
      </c>
      <c r="B98" s="31">
        <f t="shared" si="29"/>
        <v>0.6</v>
      </c>
      <c r="C98" s="4">
        <f t="shared" si="30"/>
        <v>26.4</v>
      </c>
      <c r="D98" s="4">
        <f t="shared" si="27"/>
        <v>0</v>
      </c>
      <c r="E98" s="4">
        <f t="shared" si="31"/>
        <v>207.95133333333337</v>
      </c>
      <c r="F98" s="4">
        <f t="shared" si="32"/>
        <v>9.0502199999999995</v>
      </c>
      <c r="G98" s="4">
        <f t="shared" si="33"/>
        <v>243.40155333333337</v>
      </c>
      <c r="H98" s="39"/>
      <c r="I98" s="28">
        <f t="shared" si="34"/>
        <v>0.6</v>
      </c>
      <c r="J98" s="7">
        <f t="shared" si="35"/>
        <v>39.6</v>
      </c>
      <c r="K98" s="4">
        <f t="shared" si="28"/>
        <v>0</v>
      </c>
      <c r="L98" s="7">
        <f t="shared" si="36"/>
        <v>207.95133333333337</v>
      </c>
      <c r="M98" s="7">
        <f t="shared" si="37"/>
        <v>13.85022</v>
      </c>
      <c r="N98" s="7">
        <f t="shared" si="38"/>
        <v>261.40155333333337</v>
      </c>
      <c r="O98" s="39"/>
    </row>
    <row r="99" spans="1:15" x14ac:dyDescent="0.25">
      <c r="A99" s="2">
        <v>8</v>
      </c>
      <c r="B99" s="32">
        <v>0.65</v>
      </c>
      <c r="C99" s="4">
        <f t="shared" si="30"/>
        <v>28.6</v>
      </c>
      <c r="D99" s="4">
        <f t="shared" si="27"/>
        <v>0</v>
      </c>
      <c r="E99" s="4">
        <f t="shared" si="31"/>
        <v>237.6586666666667</v>
      </c>
      <c r="F99" s="4">
        <f t="shared" si="32"/>
        <v>9.7716799999999999</v>
      </c>
      <c r="G99" s="4">
        <f t="shared" si="33"/>
        <v>276.03034666666673</v>
      </c>
      <c r="H99" s="39"/>
      <c r="I99" s="28">
        <f t="shared" si="34"/>
        <v>0.6</v>
      </c>
      <c r="J99" s="7">
        <f t="shared" si="35"/>
        <v>39.6</v>
      </c>
      <c r="K99" s="4">
        <f t="shared" si="28"/>
        <v>0</v>
      </c>
      <c r="L99" s="7">
        <f t="shared" si="36"/>
        <v>237.6586666666667</v>
      </c>
      <c r="M99" s="7">
        <f t="shared" si="37"/>
        <v>13.77168</v>
      </c>
      <c r="N99" s="7">
        <f t="shared" si="38"/>
        <v>291.03034666666673</v>
      </c>
      <c r="O99" s="39"/>
    </row>
    <row r="100" spans="1:15" x14ac:dyDescent="0.25">
      <c r="A100" s="2">
        <v>9</v>
      </c>
      <c r="B100" s="32">
        <f t="shared" si="29"/>
        <v>0.65</v>
      </c>
      <c r="C100" s="4">
        <f t="shared" si="30"/>
        <v>28.6</v>
      </c>
      <c r="D100" s="4">
        <f t="shared" si="27"/>
        <v>0</v>
      </c>
      <c r="E100" s="4">
        <f t="shared" si="31"/>
        <v>267.36600000000004</v>
      </c>
      <c r="F100" s="4">
        <f t="shared" si="32"/>
        <v>9.6931399999999996</v>
      </c>
      <c r="G100" s="4">
        <f t="shared" si="33"/>
        <v>305.65914000000009</v>
      </c>
      <c r="H100" s="39"/>
      <c r="I100" s="28">
        <f t="shared" si="34"/>
        <v>0.6</v>
      </c>
      <c r="J100" s="7">
        <f t="shared" si="35"/>
        <v>39.6</v>
      </c>
      <c r="K100" s="4">
        <f t="shared" si="28"/>
        <v>0</v>
      </c>
      <c r="L100" s="7">
        <f t="shared" si="36"/>
        <v>267.36600000000004</v>
      </c>
      <c r="M100" s="7">
        <f t="shared" si="37"/>
        <v>13.69314</v>
      </c>
      <c r="N100" s="7">
        <f t="shared" si="38"/>
        <v>320.65914000000009</v>
      </c>
      <c r="O100" s="39"/>
    </row>
    <row r="101" spans="1:15" x14ac:dyDescent="0.25">
      <c r="A101" s="2">
        <v>10</v>
      </c>
      <c r="B101" s="32">
        <f t="shared" si="29"/>
        <v>0.65</v>
      </c>
      <c r="C101" s="4">
        <f t="shared" si="30"/>
        <v>28.6</v>
      </c>
      <c r="D101" s="4">
        <f t="shared" si="27"/>
        <v>0</v>
      </c>
      <c r="E101" s="4">
        <f t="shared" si="31"/>
        <v>297.07333333333338</v>
      </c>
      <c r="F101" s="4">
        <f t="shared" si="32"/>
        <v>9.6145999999999994</v>
      </c>
      <c r="G101" s="4">
        <f t="shared" si="33"/>
        <v>335.2879333333334</v>
      </c>
      <c r="H101" s="39"/>
      <c r="I101" s="28">
        <f t="shared" si="34"/>
        <v>0.6</v>
      </c>
      <c r="J101" s="7">
        <f t="shared" si="35"/>
        <v>39.6</v>
      </c>
      <c r="K101" s="4">
        <f t="shared" si="28"/>
        <v>0</v>
      </c>
      <c r="L101" s="7">
        <f t="shared" si="36"/>
        <v>297.07333333333338</v>
      </c>
      <c r="M101" s="7">
        <f t="shared" si="37"/>
        <v>13.614599999999999</v>
      </c>
      <c r="N101" s="7">
        <f t="shared" si="38"/>
        <v>350.2879333333334</v>
      </c>
      <c r="O101" s="39"/>
    </row>
    <row r="102" spans="1:15" x14ac:dyDescent="0.25">
      <c r="A102" s="2">
        <v>11</v>
      </c>
      <c r="B102" s="32">
        <f t="shared" si="29"/>
        <v>0.65</v>
      </c>
      <c r="C102" s="4">
        <f t="shared" si="30"/>
        <v>28.6</v>
      </c>
      <c r="D102" s="4">
        <f t="shared" si="27"/>
        <v>0</v>
      </c>
      <c r="E102" s="4">
        <f t="shared" si="31"/>
        <v>326.78066666666672</v>
      </c>
      <c r="F102" s="4">
        <f t="shared" si="32"/>
        <v>9.5360600000000009</v>
      </c>
      <c r="G102" s="4">
        <f t="shared" si="33"/>
        <v>364.91672666666676</v>
      </c>
      <c r="H102" s="39"/>
      <c r="I102" s="28">
        <f t="shared" si="34"/>
        <v>0.6</v>
      </c>
      <c r="J102" s="7">
        <f t="shared" si="35"/>
        <v>39.6</v>
      </c>
      <c r="K102" s="4">
        <f t="shared" si="28"/>
        <v>0</v>
      </c>
      <c r="L102" s="7">
        <f t="shared" si="36"/>
        <v>326.78066666666672</v>
      </c>
      <c r="M102" s="7">
        <f t="shared" si="37"/>
        <v>13.536059999999999</v>
      </c>
      <c r="N102" s="7">
        <f t="shared" si="38"/>
        <v>379.91672666666676</v>
      </c>
      <c r="O102" s="39"/>
    </row>
    <row r="103" spans="1:15" x14ac:dyDescent="0.25">
      <c r="A103" s="2">
        <v>12</v>
      </c>
      <c r="B103" s="32">
        <f t="shared" si="29"/>
        <v>0.65</v>
      </c>
      <c r="C103" s="4">
        <f t="shared" si="30"/>
        <v>28.6</v>
      </c>
      <c r="D103" s="4">
        <f t="shared" si="27"/>
        <v>0</v>
      </c>
      <c r="E103" s="4">
        <f t="shared" si="31"/>
        <v>356.48800000000006</v>
      </c>
      <c r="F103" s="4">
        <f t="shared" si="32"/>
        <v>9.4575200000000006</v>
      </c>
      <c r="G103" s="4">
        <f t="shared" si="33"/>
        <v>394.54552000000007</v>
      </c>
      <c r="H103" s="39"/>
      <c r="I103" s="29">
        <v>0.65</v>
      </c>
      <c r="J103" s="7">
        <f t="shared" si="35"/>
        <v>42.9</v>
      </c>
      <c r="K103" s="4">
        <f t="shared" si="28"/>
        <v>0</v>
      </c>
      <c r="L103" s="7">
        <f t="shared" si="36"/>
        <v>356.48800000000006</v>
      </c>
      <c r="M103" s="7">
        <f t="shared" si="37"/>
        <v>14.657520000000002</v>
      </c>
      <c r="N103" s="7">
        <f t="shared" si="38"/>
        <v>414.04552000000001</v>
      </c>
      <c r="O103" s="39"/>
    </row>
    <row r="104" spans="1:15" x14ac:dyDescent="0.25">
      <c r="A104" s="2">
        <v>13</v>
      </c>
      <c r="B104" s="32">
        <f t="shared" si="29"/>
        <v>0.65</v>
      </c>
      <c r="C104" s="4">
        <f t="shared" si="30"/>
        <v>28.6</v>
      </c>
      <c r="D104" s="4">
        <f t="shared" si="27"/>
        <v>0</v>
      </c>
      <c r="E104" s="4">
        <f t="shared" si="31"/>
        <v>386.19533333333339</v>
      </c>
      <c r="F104" s="4">
        <f t="shared" si="32"/>
        <v>9.3789800000000003</v>
      </c>
      <c r="G104" s="4">
        <f t="shared" si="33"/>
        <v>424.17431333333343</v>
      </c>
      <c r="H104" s="39"/>
      <c r="I104" s="29">
        <f>I103</f>
        <v>0.65</v>
      </c>
      <c r="J104" s="7">
        <f t="shared" si="35"/>
        <v>42.9</v>
      </c>
      <c r="K104" s="4">
        <f t="shared" si="28"/>
        <v>0</v>
      </c>
      <c r="L104" s="7">
        <f t="shared" si="36"/>
        <v>386.19533333333339</v>
      </c>
      <c r="M104" s="7">
        <f t="shared" si="37"/>
        <v>14.578980000000001</v>
      </c>
      <c r="N104" s="7">
        <f t="shared" si="38"/>
        <v>443.67431333333337</v>
      </c>
      <c r="O104" s="39"/>
    </row>
    <row r="105" spans="1:15" x14ac:dyDescent="0.25">
      <c r="A105" s="2">
        <v>14</v>
      </c>
      <c r="B105" s="31">
        <v>0.7</v>
      </c>
      <c r="C105" s="4">
        <f t="shared" si="30"/>
        <v>30.799999999999997</v>
      </c>
      <c r="D105" s="4">
        <f t="shared" si="27"/>
        <v>0</v>
      </c>
      <c r="E105" s="4">
        <f t="shared" si="31"/>
        <v>415.90266666666673</v>
      </c>
      <c r="F105" s="4">
        <f t="shared" si="32"/>
        <v>10.100439999999999</v>
      </c>
      <c r="G105" s="4">
        <f t="shared" si="33"/>
        <v>456.80310666666674</v>
      </c>
      <c r="H105" s="39"/>
      <c r="I105" s="29">
        <f t="shared" ref="I105:I127" si="39">I104</f>
        <v>0.65</v>
      </c>
      <c r="J105" s="7">
        <f t="shared" si="35"/>
        <v>42.9</v>
      </c>
      <c r="K105" s="4">
        <f t="shared" si="28"/>
        <v>0</v>
      </c>
      <c r="L105" s="7">
        <f t="shared" si="36"/>
        <v>415.90266666666673</v>
      </c>
      <c r="M105" s="7">
        <f t="shared" si="37"/>
        <v>14.500440000000001</v>
      </c>
      <c r="N105" s="7">
        <f t="shared" si="38"/>
        <v>473.30310666666674</v>
      </c>
      <c r="O105" s="39"/>
    </row>
    <row r="106" spans="1:15" x14ac:dyDescent="0.25">
      <c r="A106" s="2">
        <v>15</v>
      </c>
      <c r="B106" s="31">
        <f t="shared" si="29"/>
        <v>0.7</v>
      </c>
      <c r="C106" s="4">
        <f t="shared" si="30"/>
        <v>30.799999999999997</v>
      </c>
      <c r="D106" s="4">
        <f t="shared" si="27"/>
        <v>0</v>
      </c>
      <c r="E106" s="4">
        <f t="shared" si="31"/>
        <v>445.61000000000007</v>
      </c>
      <c r="F106" s="4">
        <f t="shared" si="32"/>
        <v>10.021899999999999</v>
      </c>
      <c r="G106" s="4">
        <f t="shared" si="33"/>
        <v>486.4319000000001</v>
      </c>
      <c r="H106" s="39"/>
      <c r="I106" s="29">
        <f t="shared" si="39"/>
        <v>0.65</v>
      </c>
      <c r="J106" s="7">
        <f t="shared" si="35"/>
        <v>42.9</v>
      </c>
      <c r="K106" s="4">
        <f t="shared" si="28"/>
        <v>0</v>
      </c>
      <c r="L106" s="7">
        <f t="shared" si="36"/>
        <v>445.61000000000007</v>
      </c>
      <c r="M106" s="7">
        <f t="shared" si="37"/>
        <v>14.421900000000001</v>
      </c>
      <c r="N106" s="7">
        <f t="shared" si="38"/>
        <v>502.93190000000004</v>
      </c>
      <c r="O106" s="39"/>
    </row>
    <row r="107" spans="1:15" x14ac:dyDescent="0.25">
      <c r="A107" s="2">
        <v>16</v>
      </c>
      <c r="B107" s="31">
        <f t="shared" si="29"/>
        <v>0.7</v>
      </c>
      <c r="C107" s="4">
        <f t="shared" si="30"/>
        <v>30.799999999999997</v>
      </c>
      <c r="D107" s="4">
        <f t="shared" si="27"/>
        <v>0</v>
      </c>
      <c r="E107" s="4">
        <f t="shared" si="31"/>
        <v>475.31733333333341</v>
      </c>
      <c r="F107" s="4">
        <f t="shared" si="32"/>
        <v>9.9433599999999984</v>
      </c>
      <c r="G107" s="4">
        <f t="shared" si="33"/>
        <v>516.06069333333346</v>
      </c>
      <c r="H107" s="39"/>
      <c r="I107" s="29">
        <f t="shared" si="39"/>
        <v>0.65</v>
      </c>
      <c r="J107" s="7">
        <f t="shared" si="35"/>
        <v>42.9</v>
      </c>
      <c r="K107" s="4">
        <f t="shared" si="28"/>
        <v>0</v>
      </c>
      <c r="L107" s="7">
        <f t="shared" si="36"/>
        <v>475.31733333333341</v>
      </c>
      <c r="M107" s="7">
        <f t="shared" si="37"/>
        <v>14.343360000000001</v>
      </c>
      <c r="N107" s="7">
        <f t="shared" si="38"/>
        <v>532.56069333333335</v>
      </c>
      <c r="O107" s="39"/>
    </row>
    <row r="108" spans="1:15" x14ac:dyDescent="0.25">
      <c r="A108" s="2">
        <v>17</v>
      </c>
      <c r="B108" s="31">
        <f t="shared" si="29"/>
        <v>0.7</v>
      </c>
      <c r="C108" s="4">
        <f t="shared" si="30"/>
        <v>30.799999999999997</v>
      </c>
      <c r="D108" s="4">
        <f t="shared" si="27"/>
        <v>0</v>
      </c>
      <c r="E108" s="4">
        <f t="shared" si="31"/>
        <v>505.02466666666675</v>
      </c>
      <c r="F108" s="4">
        <f t="shared" si="32"/>
        <v>9.8648199999999981</v>
      </c>
      <c r="G108" s="4">
        <f t="shared" si="33"/>
        <v>545.68948666666677</v>
      </c>
      <c r="H108" s="39"/>
      <c r="I108" s="29">
        <f t="shared" si="39"/>
        <v>0.65</v>
      </c>
      <c r="J108" s="7">
        <f t="shared" si="35"/>
        <v>42.9</v>
      </c>
      <c r="K108" s="4">
        <f t="shared" si="28"/>
        <v>0</v>
      </c>
      <c r="L108" s="7">
        <f t="shared" si="36"/>
        <v>505.02466666666675</v>
      </c>
      <c r="M108" s="7">
        <f t="shared" si="37"/>
        <v>14.26482</v>
      </c>
      <c r="N108" s="7">
        <f t="shared" si="38"/>
        <v>562.18948666666677</v>
      </c>
      <c r="O108" s="39"/>
    </row>
    <row r="109" spans="1:15" x14ac:dyDescent="0.25">
      <c r="A109" s="2">
        <v>18</v>
      </c>
      <c r="B109" s="31">
        <f t="shared" si="29"/>
        <v>0.7</v>
      </c>
      <c r="C109" s="4">
        <f t="shared" si="30"/>
        <v>30.799999999999997</v>
      </c>
      <c r="D109" s="4">
        <f t="shared" si="27"/>
        <v>0</v>
      </c>
      <c r="E109" s="4">
        <f t="shared" si="31"/>
        <v>534.73200000000008</v>
      </c>
      <c r="F109" s="4">
        <f t="shared" si="32"/>
        <v>9.7862799999999979</v>
      </c>
      <c r="G109" s="4">
        <f t="shared" si="33"/>
        <v>575.31828000000007</v>
      </c>
      <c r="H109" s="39"/>
      <c r="I109" s="29">
        <f t="shared" si="39"/>
        <v>0.65</v>
      </c>
      <c r="J109" s="7">
        <f t="shared" si="35"/>
        <v>42.9</v>
      </c>
      <c r="K109" s="4">
        <f t="shared" si="28"/>
        <v>0</v>
      </c>
      <c r="L109" s="7">
        <f t="shared" si="36"/>
        <v>534.73200000000008</v>
      </c>
      <c r="M109" s="7">
        <f t="shared" si="37"/>
        <v>14.18628</v>
      </c>
      <c r="N109" s="7">
        <f t="shared" si="38"/>
        <v>591.81828000000007</v>
      </c>
      <c r="O109" s="39"/>
    </row>
    <row r="110" spans="1:15" x14ac:dyDescent="0.25">
      <c r="A110" s="2">
        <v>19</v>
      </c>
      <c r="B110" s="31">
        <f t="shared" si="29"/>
        <v>0.7</v>
      </c>
      <c r="C110" s="4">
        <f t="shared" si="30"/>
        <v>30.799999999999997</v>
      </c>
      <c r="D110" s="4">
        <f t="shared" si="27"/>
        <v>0</v>
      </c>
      <c r="E110" s="4">
        <f t="shared" si="31"/>
        <v>564.43933333333348</v>
      </c>
      <c r="F110" s="4">
        <f t="shared" si="32"/>
        <v>9.7077399999999994</v>
      </c>
      <c r="G110" s="4">
        <f t="shared" si="33"/>
        <v>604.94707333333338</v>
      </c>
      <c r="H110" s="39"/>
      <c r="I110" s="29">
        <f t="shared" si="39"/>
        <v>0.65</v>
      </c>
      <c r="J110" s="7">
        <f t="shared" si="35"/>
        <v>42.9</v>
      </c>
      <c r="K110" s="4">
        <f t="shared" si="28"/>
        <v>0</v>
      </c>
      <c r="L110" s="7">
        <f t="shared" si="36"/>
        <v>564.43933333333348</v>
      </c>
      <c r="M110" s="7">
        <f t="shared" si="37"/>
        <v>14.10774</v>
      </c>
      <c r="N110" s="7">
        <f t="shared" si="38"/>
        <v>621.44707333333349</v>
      </c>
      <c r="O110" s="39"/>
    </row>
    <row r="111" spans="1:15" x14ac:dyDescent="0.25">
      <c r="A111" s="2">
        <v>20</v>
      </c>
      <c r="B111" s="31">
        <f t="shared" si="29"/>
        <v>0.7</v>
      </c>
      <c r="C111" s="4">
        <f t="shared" si="30"/>
        <v>30.799999999999997</v>
      </c>
      <c r="D111" s="4">
        <f t="shared" si="27"/>
        <v>0</v>
      </c>
      <c r="E111" s="4">
        <f t="shared" si="31"/>
        <v>594.14666666666676</v>
      </c>
      <c r="F111" s="4">
        <f t="shared" si="32"/>
        <v>9.6291999999999991</v>
      </c>
      <c r="G111" s="4">
        <f t="shared" si="33"/>
        <v>634.57586666666668</v>
      </c>
      <c r="H111" s="39"/>
      <c r="I111" s="29">
        <f t="shared" si="39"/>
        <v>0.65</v>
      </c>
      <c r="J111" s="7">
        <f t="shared" si="35"/>
        <v>42.9</v>
      </c>
      <c r="K111" s="4">
        <f t="shared" si="28"/>
        <v>0</v>
      </c>
      <c r="L111" s="7">
        <f t="shared" si="36"/>
        <v>594.14666666666676</v>
      </c>
      <c r="M111" s="7">
        <f t="shared" si="37"/>
        <v>14.029199999999999</v>
      </c>
      <c r="N111" s="7">
        <f t="shared" si="38"/>
        <v>651.07586666666668</v>
      </c>
      <c r="O111" s="39"/>
    </row>
    <row r="112" spans="1:15" x14ac:dyDescent="0.25">
      <c r="A112" s="2">
        <v>21</v>
      </c>
      <c r="B112" s="32">
        <v>0.75</v>
      </c>
      <c r="C112" s="4">
        <f t="shared" si="30"/>
        <v>33</v>
      </c>
      <c r="D112" s="4">
        <f t="shared" si="27"/>
        <v>0</v>
      </c>
      <c r="E112" s="4">
        <f t="shared" si="31"/>
        <v>623.85400000000004</v>
      </c>
      <c r="F112" s="4">
        <f t="shared" si="32"/>
        <v>10.350660000000003</v>
      </c>
      <c r="G112" s="4">
        <f t="shared" si="33"/>
        <v>667.20465999999999</v>
      </c>
      <c r="H112" s="39"/>
      <c r="I112" s="29">
        <f t="shared" si="39"/>
        <v>0.65</v>
      </c>
      <c r="J112" s="7">
        <f t="shared" si="35"/>
        <v>42.9</v>
      </c>
      <c r="K112" s="4">
        <f t="shared" si="28"/>
        <v>0</v>
      </c>
      <c r="L112" s="7">
        <f t="shared" si="36"/>
        <v>623.85400000000004</v>
      </c>
      <c r="M112" s="7">
        <f t="shared" si="37"/>
        <v>13.950660000000001</v>
      </c>
      <c r="N112" s="7">
        <f t="shared" si="38"/>
        <v>680.70465999999999</v>
      </c>
      <c r="O112" s="39"/>
    </row>
    <row r="113" spans="1:15" x14ac:dyDescent="0.25">
      <c r="A113" s="2">
        <v>22</v>
      </c>
      <c r="B113" s="32">
        <f t="shared" si="29"/>
        <v>0.75</v>
      </c>
      <c r="C113" s="4">
        <f t="shared" si="30"/>
        <v>33</v>
      </c>
      <c r="D113" s="4">
        <f t="shared" si="27"/>
        <v>0</v>
      </c>
      <c r="E113" s="4">
        <f t="shared" si="31"/>
        <v>653.56133333333344</v>
      </c>
      <c r="F113" s="4">
        <f t="shared" si="32"/>
        <v>10.272120000000003</v>
      </c>
      <c r="G113" s="4">
        <f t="shared" si="33"/>
        <v>696.83345333333341</v>
      </c>
      <c r="H113" s="39"/>
      <c r="I113" s="28">
        <v>0.7</v>
      </c>
      <c r="J113" s="7">
        <f t="shared" si="35"/>
        <v>46.199999999999996</v>
      </c>
      <c r="K113" s="4">
        <f t="shared" si="28"/>
        <v>0</v>
      </c>
      <c r="L113" s="7">
        <f t="shared" si="36"/>
        <v>653.56133333333344</v>
      </c>
      <c r="M113" s="7">
        <f t="shared" si="37"/>
        <v>15.07212</v>
      </c>
      <c r="N113" s="7">
        <f t="shared" si="38"/>
        <v>714.83345333333352</v>
      </c>
      <c r="O113" s="39"/>
    </row>
    <row r="114" spans="1:15" x14ac:dyDescent="0.25">
      <c r="A114" s="2">
        <v>23</v>
      </c>
      <c r="B114" s="32">
        <f t="shared" si="29"/>
        <v>0.75</v>
      </c>
      <c r="C114" s="4">
        <f t="shared" si="30"/>
        <v>33</v>
      </c>
      <c r="D114" s="4">
        <f t="shared" si="27"/>
        <v>0</v>
      </c>
      <c r="E114" s="4">
        <f t="shared" si="31"/>
        <v>683.26866666666683</v>
      </c>
      <c r="F114" s="4">
        <f t="shared" si="32"/>
        <v>10.193580000000003</v>
      </c>
      <c r="G114" s="4">
        <f t="shared" si="33"/>
        <v>726.46224666666683</v>
      </c>
      <c r="H114" s="39"/>
      <c r="I114" s="28">
        <f t="shared" si="39"/>
        <v>0.7</v>
      </c>
      <c r="J114" s="7">
        <f t="shared" si="35"/>
        <v>46.199999999999996</v>
      </c>
      <c r="K114" s="4">
        <f t="shared" si="28"/>
        <v>0</v>
      </c>
      <c r="L114" s="7">
        <f t="shared" si="36"/>
        <v>683.26866666666683</v>
      </c>
      <c r="M114" s="7">
        <f t="shared" si="37"/>
        <v>14.99358</v>
      </c>
      <c r="N114" s="7">
        <f t="shared" si="38"/>
        <v>744.46224666666683</v>
      </c>
      <c r="O114" s="39"/>
    </row>
    <row r="115" spans="1:15" x14ac:dyDescent="0.25">
      <c r="A115" s="2">
        <v>24</v>
      </c>
      <c r="B115" s="32">
        <f t="shared" si="29"/>
        <v>0.75</v>
      </c>
      <c r="C115" s="4">
        <f t="shared" si="30"/>
        <v>33</v>
      </c>
      <c r="D115" s="4">
        <f t="shared" si="27"/>
        <v>0</v>
      </c>
      <c r="E115" s="4">
        <f t="shared" si="31"/>
        <v>712.97600000000011</v>
      </c>
      <c r="F115" s="4">
        <f t="shared" si="32"/>
        <v>10.115040000000002</v>
      </c>
      <c r="G115" s="4">
        <f t="shared" si="33"/>
        <v>756.09104000000013</v>
      </c>
      <c r="H115" s="39"/>
      <c r="I115" s="28">
        <f t="shared" si="39"/>
        <v>0.7</v>
      </c>
      <c r="J115" s="7">
        <f t="shared" si="35"/>
        <v>46.199999999999996</v>
      </c>
      <c r="K115" s="4">
        <f t="shared" si="28"/>
        <v>0</v>
      </c>
      <c r="L115" s="7">
        <f t="shared" si="36"/>
        <v>712.97600000000011</v>
      </c>
      <c r="M115" s="7">
        <f t="shared" si="37"/>
        <v>14.915039999999999</v>
      </c>
      <c r="N115" s="7">
        <f t="shared" si="38"/>
        <v>774.09104000000013</v>
      </c>
      <c r="O115" s="39"/>
    </row>
    <row r="116" spans="1:15" x14ac:dyDescent="0.25">
      <c r="A116" s="2">
        <v>25</v>
      </c>
      <c r="B116" s="32">
        <f t="shared" si="29"/>
        <v>0.75</v>
      </c>
      <c r="C116" s="4">
        <f t="shared" si="30"/>
        <v>33</v>
      </c>
      <c r="D116" s="4">
        <f t="shared" si="27"/>
        <v>0</v>
      </c>
      <c r="E116" s="4">
        <f t="shared" si="31"/>
        <v>742.68333333333339</v>
      </c>
      <c r="F116" s="4">
        <f t="shared" si="32"/>
        <v>10.036500000000002</v>
      </c>
      <c r="G116" s="4">
        <f t="shared" si="33"/>
        <v>785.71983333333344</v>
      </c>
      <c r="H116" s="39"/>
      <c r="I116" s="28">
        <f t="shared" si="39"/>
        <v>0.7</v>
      </c>
      <c r="J116" s="7">
        <f t="shared" si="35"/>
        <v>46.199999999999996</v>
      </c>
      <c r="K116" s="4">
        <f t="shared" si="28"/>
        <v>0</v>
      </c>
      <c r="L116" s="7">
        <f t="shared" si="36"/>
        <v>742.68333333333339</v>
      </c>
      <c r="M116" s="7">
        <f t="shared" si="37"/>
        <v>14.836499999999999</v>
      </c>
      <c r="N116" s="7">
        <f t="shared" si="38"/>
        <v>803.71983333333344</v>
      </c>
      <c r="O116" s="39"/>
    </row>
    <row r="117" spans="1:15" x14ac:dyDescent="0.25">
      <c r="A117" s="2">
        <v>26</v>
      </c>
      <c r="B117" s="32">
        <f t="shared" si="29"/>
        <v>0.75</v>
      </c>
      <c r="C117" s="4">
        <f>$C$88*C$91*B117</f>
        <v>33</v>
      </c>
      <c r="D117" s="4">
        <f t="shared" si="27"/>
        <v>0</v>
      </c>
      <c r="E117" s="4">
        <f>$E$88*$A117</f>
        <v>772.39066666666679</v>
      </c>
      <c r="F117" s="4">
        <f>(($C$91*B117)-(3.1416*($E$91/2)*($E$91/2)*$A117))*$F$88</f>
        <v>9.9579600000000017</v>
      </c>
      <c r="G117" s="4">
        <f>SUM(C117:F117)</f>
        <v>815.34862666666675</v>
      </c>
      <c r="H117" s="39"/>
      <c r="I117" s="28">
        <f t="shared" si="39"/>
        <v>0.7</v>
      </c>
      <c r="J117" s="7">
        <f>$C$88*J$91*I117</f>
        <v>46.199999999999996</v>
      </c>
      <c r="K117" s="4">
        <f t="shared" si="28"/>
        <v>0</v>
      </c>
      <c r="L117" s="7">
        <f>$E$88*$A117</f>
        <v>772.39066666666679</v>
      </c>
      <c r="M117" s="7">
        <f>(($J$91*I117)-(3.1416*($E$91/2)*($E$91/2)*$A117))*$F$88</f>
        <v>14.757959999999999</v>
      </c>
      <c r="N117" s="7">
        <f>SUM(J117:M117)</f>
        <v>833.34862666666686</v>
      </c>
      <c r="O117" s="39"/>
    </row>
    <row r="118" spans="1:15" x14ac:dyDescent="0.25">
      <c r="A118" s="2">
        <v>27</v>
      </c>
      <c r="B118" s="31">
        <v>0.8</v>
      </c>
      <c r="C118" s="4">
        <f t="shared" si="30"/>
        <v>35.200000000000003</v>
      </c>
      <c r="D118" s="4">
        <f t="shared" si="27"/>
        <v>0</v>
      </c>
      <c r="E118" s="4">
        <f t="shared" si="31"/>
        <v>802.09800000000018</v>
      </c>
      <c r="F118" s="4">
        <f t="shared" si="32"/>
        <v>10.679420000000002</v>
      </c>
      <c r="G118" s="4">
        <f t="shared" si="33"/>
        <v>847.97742000000028</v>
      </c>
      <c r="H118" s="39"/>
      <c r="I118" s="28">
        <f t="shared" si="39"/>
        <v>0.7</v>
      </c>
      <c r="J118" s="7">
        <f t="shared" si="35"/>
        <v>46.199999999999996</v>
      </c>
      <c r="K118" s="4">
        <f t="shared" si="28"/>
        <v>0</v>
      </c>
      <c r="L118" s="7">
        <f t="shared" si="36"/>
        <v>802.09800000000018</v>
      </c>
      <c r="M118" s="7">
        <f t="shared" si="37"/>
        <v>14.679419999999999</v>
      </c>
      <c r="N118" s="7">
        <f t="shared" si="38"/>
        <v>862.97742000000028</v>
      </c>
      <c r="O118" s="39"/>
    </row>
    <row r="119" spans="1:15" x14ac:dyDescent="0.25">
      <c r="A119" s="2">
        <v>28</v>
      </c>
      <c r="B119" s="31">
        <f t="shared" si="29"/>
        <v>0.8</v>
      </c>
      <c r="C119" s="4">
        <f t="shared" si="30"/>
        <v>35.200000000000003</v>
      </c>
      <c r="D119" s="4">
        <f t="shared" si="27"/>
        <v>0</v>
      </c>
      <c r="E119" s="4">
        <f t="shared" si="31"/>
        <v>831.80533333333346</v>
      </c>
      <c r="F119" s="4">
        <f t="shared" si="32"/>
        <v>10.600880000000004</v>
      </c>
      <c r="G119" s="4">
        <f t="shared" si="33"/>
        <v>877.60621333333347</v>
      </c>
      <c r="H119" s="39"/>
      <c r="I119" s="28">
        <f t="shared" si="39"/>
        <v>0.7</v>
      </c>
      <c r="J119" s="7">
        <f t="shared" si="35"/>
        <v>46.199999999999996</v>
      </c>
      <c r="K119" s="4">
        <f t="shared" si="28"/>
        <v>0</v>
      </c>
      <c r="L119" s="7">
        <f t="shared" si="36"/>
        <v>831.80533333333346</v>
      </c>
      <c r="M119" s="7">
        <f t="shared" si="37"/>
        <v>14.600879999999998</v>
      </c>
      <c r="N119" s="7">
        <f t="shared" si="38"/>
        <v>892.60621333333347</v>
      </c>
      <c r="O119" s="39"/>
    </row>
    <row r="120" spans="1:15" x14ac:dyDescent="0.25">
      <c r="A120" s="2">
        <v>29</v>
      </c>
      <c r="B120" s="31">
        <f t="shared" si="29"/>
        <v>0.8</v>
      </c>
      <c r="C120" s="4">
        <f t="shared" si="30"/>
        <v>35.200000000000003</v>
      </c>
      <c r="D120" s="4">
        <f t="shared" si="27"/>
        <v>0</v>
      </c>
      <c r="E120" s="4">
        <f t="shared" si="31"/>
        <v>861.51266666666675</v>
      </c>
      <c r="F120" s="4">
        <f t="shared" si="32"/>
        <v>10.522340000000003</v>
      </c>
      <c r="G120" s="4">
        <f t="shared" si="33"/>
        <v>907.23500666666678</v>
      </c>
      <c r="H120" s="39"/>
      <c r="I120" s="28">
        <f t="shared" si="39"/>
        <v>0.7</v>
      </c>
      <c r="J120" s="7">
        <f t="shared" si="35"/>
        <v>46.199999999999996</v>
      </c>
      <c r="K120" s="4">
        <f t="shared" si="28"/>
        <v>0</v>
      </c>
      <c r="L120" s="7">
        <f t="shared" si="36"/>
        <v>861.51266666666675</v>
      </c>
      <c r="M120" s="7">
        <f t="shared" si="37"/>
        <v>14.52234</v>
      </c>
      <c r="N120" s="7">
        <f t="shared" si="38"/>
        <v>922.23500666666678</v>
      </c>
      <c r="O120" s="39"/>
    </row>
    <row r="121" spans="1:15" x14ac:dyDescent="0.25">
      <c r="A121" s="2">
        <v>30</v>
      </c>
      <c r="B121" s="31">
        <f t="shared" si="29"/>
        <v>0.8</v>
      </c>
      <c r="C121" s="4">
        <f t="shared" si="30"/>
        <v>35.200000000000003</v>
      </c>
      <c r="D121" s="4">
        <f t="shared" si="27"/>
        <v>0</v>
      </c>
      <c r="E121" s="4">
        <f t="shared" si="31"/>
        <v>891.22000000000014</v>
      </c>
      <c r="F121" s="4">
        <f t="shared" si="32"/>
        <v>10.443800000000003</v>
      </c>
      <c r="G121" s="4">
        <f t="shared" si="33"/>
        <v>936.8638000000002</v>
      </c>
      <c r="H121" s="39"/>
      <c r="I121" s="28">
        <f t="shared" si="39"/>
        <v>0.7</v>
      </c>
      <c r="J121" s="7">
        <f t="shared" si="35"/>
        <v>46.199999999999996</v>
      </c>
      <c r="K121" s="4">
        <f t="shared" si="28"/>
        <v>0</v>
      </c>
      <c r="L121" s="7">
        <f t="shared" si="36"/>
        <v>891.22000000000014</v>
      </c>
      <c r="M121" s="7">
        <f t="shared" si="37"/>
        <v>14.4438</v>
      </c>
      <c r="N121" s="7">
        <f t="shared" si="38"/>
        <v>951.8638000000002</v>
      </c>
      <c r="O121" s="39"/>
    </row>
    <row r="122" spans="1:15" x14ac:dyDescent="0.25">
      <c r="A122" s="2">
        <v>31</v>
      </c>
      <c r="B122" s="31">
        <f t="shared" si="29"/>
        <v>0.8</v>
      </c>
      <c r="C122" s="4">
        <f t="shared" si="30"/>
        <v>35.200000000000003</v>
      </c>
      <c r="D122" s="4">
        <f t="shared" si="27"/>
        <v>0</v>
      </c>
      <c r="E122" s="4">
        <f t="shared" si="31"/>
        <v>920.92733333333354</v>
      </c>
      <c r="F122" s="4">
        <f t="shared" si="32"/>
        <v>10.365260000000003</v>
      </c>
      <c r="G122" s="4">
        <f t="shared" si="33"/>
        <v>966.49259333333362</v>
      </c>
      <c r="H122" s="39"/>
      <c r="I122" s="28">
        <f t="shared" si="39"/>
        <v>0.7</v>
      </c>
      <c r="J122" s="7">
        <f t="shared" si="35"/>
        <v>46.199999999999996</v>
      </c>
      <c r="K122" s="4">
        <f t="shared" si="28"/>
        <v>0</v>
      </c>
      <c r="L122" s="7">
        <f t="shared" si="36"/>
        <v>920.92733333333354</v>
      </c>
      <c r="M122" s="7">
        <f t="shared" si="37"/>
        <v>14.365259999999999</v>
      </c>
      <c r="N122" s="7">
        <f t="shared" si="38"/>
        <v>981.49259333333362</v>
      </c>
      <c r="O122" s="39"/>
    </row>
    <row r="123" spans="1:15" x14ac:dyDescent="0.25">
      <c r="A123" s="2">
        <v>32</v>
      </c>
      <c r="B123" s="31">
        <f t="shared" si="29"/>
        <v>0.8</v>
      </c>
      <c r="C123" s="4">
        <f t="shared" si="30"/>
        <v>35.200000000000003</v>
      </c>
      <c r="D123" s="4">
        <f t="shared" si="27"/>
        <v>0</v>
      </c>
      <c r="E123" s="4">
        <f t="shared" si="31"/>
        <v>950.63466666666682</v>
      </c>
      <c r="F123" s="4">
        <f t="shared" si="32"/>
        <v>10.286720000000003</v>
      </c>
      <c r="G123" s="4">
        <f t="shared" si="33"/>
        <v>996.12138666666692</v>
      </c>
      <c r="H123" s="39"/>
      <c r="I123" s="28">
        <f t="shared" si="39"/>
        <v>0.7</v>
      </c>
      <c r="J123" s="7">
        <f t="shared" si="35"/>
        <v>46.199999999999996</v>
      </c>
      <c r="K123" s="4">
        <f t="shared" si="28"/>
        <v>0</v>
      </c>
      <c r="L123" s="7">
        <f t="shared" si="36"/>
        <v>950.63466666666682</v>
      </c>
      <c r="M123" s="7">
        <f t="shared" si="37"/>
        <v>14.286719999999999</v>
      </c>
      <c r="N123" s="7">
        <f t="shared" si="38"/>
        <v>1011.1213866666668</v>
      </c>
      <c r="O123" s="39"/>
    </row>
    <row r="124" spans="1:15" x14ac:dyDescent="0.25">
      <c r="A124" s="2">
        <v>33</v>
      </c>
      <c r="B124" s="31">
        <f t="shared" si="29"/>
        <v>0.8</v>
      </c>
      <c r="C124" s="4">
        <f t="shared" si="30"/>
        <v>35.200000000000003</v>
      </c>
      <c r="D124" s="4">
        <f t="shared" si="27"/>
        <v>0</v>
      </c>
      <c r="E124" s="4">
        <f t="shared" si="31"/>
        <v>980.3420000000001</v>
      </c>
      <c r="F124" s="4">
        <f t="shared" si="32"/>
        <v>10.208180000000002</v>
      </c>
      <c r="G124" s="4">
        <f t="shared" si="33"/>
        <v>1025.7501800000002</v>
      </c>
      <c r="H124" s="39"/>
      <c r="I124" s="29">
        <v>0.75</v>
      </c>
      <c r="J124" s="7">
        <f t="shared" si="35"/>
        <v>49.5</v>
      </c>
      <c r="K124" s="4">
        <f t="shared" si="28"/>
        <v>0</v>
      </c>
      <c r="L124" s="7">
        <f t="shared" si="36"/>
        <v>980.3420000000001</v>
      </c>
      <c r="M124" s="7">
        <f t="shared" si="37"/>
        <v>15.408179999999998</v>
      </c>
      <c r="N124" s="7">
        <f t="shared" si="38"/>
        <v>1045.25018</v>
      </c>
      <c r="O124" s="39"/>
    </row>
    <row r="125" spans="1:15" x14ac:dyDescent="0.25">
      <c r="A125" s="2">
        <v>34</v>
      </c>
      <c r="B125" s="32">
        <v>0.85</v>
      </c>
      <c r="C125" s="4">
        <f t="shared" si="30"/>
        <v>37.4</v>
      </c>
      <c r="D125" s="4">
        <f t="shared" si="27"/>
        <v>0</v>
      </c>
      <c r="E125" s="4">
        <f t="shared" si="31"/>
        <v>1010.0493333333335</v>
      </c>
      <c r="F125" s="4">
        <f t="shared" si="32"/>
        <v>10.929640000000001</v>
      </c>
      <c r="G125" s="4">
        <f t="shared" si="33"/>
        <v>1058.3789733333335</v>
      </c>
      <c r="H125" s="39"/>
      <c r="I125" s="29">
        <f t="shared" si="39"/>
        <v>0.75</v>
      </c>
      <c r="J125" s="7">
        <f t="shared" si="35"/>
        <v>49.5</v>
      </c>
      <c r="K125" s="4">
        <f t="shared" si="28"/>
        <v>0</v>
      </c>
      <c r="L125" s="7">
        <f t="shared" si="36"/>
        <v>1010.0493333333335</v>
      </c>
      <c r="M125" s="7">
        <f t="shared" si="37"/>
        <v>15.329639999999998</v>
      </c>
      <c r="N125" s="7">
        <f t="shared" si="38"/>
        <v>1074.8789733333333</v>
      </c>
      <c r="O125" s="39"/>
    </row>
    <row r="126" spans="1:15" x14ac:dyDescent="0.25">
      <c r="A126" s="2">
        <v>35</v>
      </c>
      <c r="B126" s="32">
        <f t="shared" si="29"/>
        <v>0.85</v>
      </c>
      <c r="C126" s="4">
        <f t="shared" si="30"/>
        <v>37.4</v>
      </c>
      <c r="D126" s="4">
        <f t="shared" si="27"/>
        <v>0</v>
      </c>
      <c r="E126" s="4">
        <f t="shared" si="31"/>
        <v>1039.7566666666669</v>
      </c>
      <c r="F126" s="4">
        <f t="shared" si="32"/>
        <v>10.851100000000002</v>
      </c>
      <c r="G126" s="4">
        <f t="shared" si="33"/>
        <v>1088.0077666666671</v>
      </c>
      <c r="H126" s="39"/>
      <c r="I126" s="29">
        <f t="shared" si="39"/>
        <v>0.75</v>
      </c>
      <c r="J126" s="7">
        <f t="shared" si="35"/>
        <v>49.5</v>
      </c>
      <c r="K126" s="4">
        <f t="shared" si="28"/>
        <v>0</v>
      </c>
      <c r="L126" s="7">
        <f t="shared" si="36"/>
        <v>1039.7566666666669</v>
      </c>
      <c r="M126" s="7">
        <f t="shared" si="37"/>
        <v>15.251099999999997</v>
      </c>
      <c r="N126" s="7">
        <f t="shared" si="38"/>
        <v>1104.5077666666668</v>
      </c>
      <c r="O126" s="39"/>
    </row>
    <row r="127" spans="1:15" x14ac:dyDescent="0.25">
      <c r="A127" s="2">
        <v>36</v>
      </c>
      <c r="B127" s="32">
        <f t="shared" si="29"/>
        <v>0.85</v>
      </c>
      <c r="C127" s="4">
        <f t="shared" si="30"/>
        <v>37.4</v>
      </c>
      <c r="D127" s="4">
        <f t="shared" si="27"/>
        <v>0</v>
      </c>
      <c r="E127" s="4">
        <f t="shared" si="31"/>
        <v>1069.4640000000002</v>
      </c>
      <c r="F127" s="4">
        <f t="shared" si="32"/>
        <v>10.772560000000002</v>
      </c>
      <c r="G127" s="4">
        <f t="shared" si="33"/>
        <v>1117.6365600000004</v>
      </c>
      <c r="H127" s="39"/>
      <c r="I127" s="29">
        <f t="shared" si="39"/>
        <v>0.75</v>
      </c>
      <c r="J127" s="7">
        <f t="shared" si="35"/>
        <v>49.5</v>
      </c>
      <c r="K127" s="4">
        <f t="shared" si="28"/>
        <v>0</v>
      </c>
      <c r="L127" s="7">
        <f t="shared" si="36"/>
        <v>1069.4640000000002</v>
      </c>
      <c r="M127" s="7">
        <f t="shared" si="37"/>
        <v>15.172559999999997</v>
      </c>
      <c r="N127" s="7">
        <f t="shared" si="38"/>
        <v>1134.1365600000001</v>
      </c>
      <c r="O127" s="39"/>
    </row>
  </sheetData>
  <mergeCells count="6">
    <mergeCell ref="G3:G4"/>
    <mergeCell ref="N3:N4"/>
    <mergeCell ref="G46:G47"/>
    <mergeCell ref="N46:N47"/>
    <mergeCell ref="G89:G90"/>
    <mergeCell ref="N89:N90"/>
  </mergeCells>
  <pageMargins left="0.7" right="0.7" top="0.75" bottom="0.75" header="0.3" footer="0.3"/>
  <pageSetup paperSize="9" orientation="portrait" copies="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V127"/>
  <sheetViews>
    <sheetView zoomScale="90" zoomScaleNormal="90" workbookViewId="0">
      <pane xSplit="15" ySplit="5" topLeftCell="P6" activePane="bottomRight" state="frozen"/>
      <selection pane="topRight" activeCell="P1" sqref="P1"/>
      <selection pane="bottomLeft" activeCell="A6" sqref="A6"/>
      <selection pane="bottomRight" activeCell="P6" sqref="P6"/>
    </sheetView>
  </sheetViews>
  <sheetFormatPr defaultRowHeight="15" x14ac:dyDescent="0.25"/>
  <cols>
    <col min="1" max="1" width="16.140625" customWidth="1"/>
    <col min="2" max="7" width="11.7109375" customWidth="1"/>
    <col min="8" max="8" width="1.7109375" customWidth="1"/>
    <col min="9" max="9" width="11.7109375" style="6" customWidth="1"/>
    <col min="10" max="14" width="11.7109375" customWidth="1"/>
    <col min="15" max="15" width="1.7109375" customWidth="1"/>
    <col min="16" max="16" width="12.7109375" customWidth="1"/>
    <col min="17" max="126" width="9.7109375" customWidth="1"/>
  </cols>
  <sheetData>
    <row r="1" spans="1:126" ht="18" customHeight="1" x14ac:dyDescent="0.25">
      <c r="A1" s="3" t="s">
        <v>64</v>
      </c>
      <c r="B1" s="55" t="s">
        <v>66</v>
      </c>
      <c r="C1" s="56"/>
      <c r="D1" s="57"/>
      <c r="H1" s="40"/>
      <c r="O1" s="40"/>
      <c r="P1" s="64" t="s">
        <v>58</v>
      </c>
      <c r="Q1" s="63">
        <f>G6</f>
        <v>52.742919999999998</v>
      </c>
      <c r="R1" s="63">
        <f>G7</f>
        <v>91.08583999999999</v>
      </c>
      <c r="S1" s="63">
        <f>G8</f>
        <v>129.42875999999998</v>
      </c>
      <c r="T1" s="63">
        <f>G9</f>
        <v>170.17167999999998</v>
      </c>
      <c r="U1" s="63">
        <f>G10</f>
        <v>208.5146</v>
      </c>
      <c r="V1" s="63">
        <f>G11</f>
        <v>246.85751999999999</v>
      </c>
      <c r="W1" s="63">
        <f>G12</f>
        <v>287.60043999999999</v>
      </c>
      <c r="X1" s="63">
        <f>G13</f>
        <v>325.94335999999998</v>
      </c>
      <c r="Y1" s="63">
        <f>G14</f>
        <v>364.28628000000003</v>
      </c>
      <c r="Z1" s="63">
        <f>G15</f>
        <v>405.0292</v>
      </c>
      <c r="AA1" s="63">
        <f>G16</f>
        <v>443.37212</v>
      </c>
      <c r="AB1" s="63">
        <f>G17</f>
        <v>481.71503999999999</v>
      </c>
      <c r="AC1" s="63">
        <f>G18</f>
        <v>522.45795999999996</v>
      </c>
      <c r="AD1" s="63">
        <f>G19</f>
        <v>560.80088000000001</v>
      </c>
      <c r="AE1" s="63">
        <f>G20</f>
        <v>599.14380000000006</v>
      </c>
      <c r="AF1" s="63">
        <f>G21</f>
        <v>639.88671999999997</v>
      </c>
      <c r="AG1" s="63">
        <f>G22</f>
        <v>678.22964000000002</v>
      </c>
      <c r="AH1" s="63">
        <f>G23</f>
        <v>716.57256000000007</v>
      </c>
      <c r="AI1" s="63">
        <f>G24</f>
        <v>757.31548000000009</v>
      </c>
      <c r="AJ1" s="63">
        <f>G25</f>
        <v>795.65840000000003</v>
      </c>
      <c r="AK1" s="63">
        <f>G26</f>
        <v>834.00132000000008</v>
      </c>
      <c r="AL1" s="63">
        <f>G27</f>
        <v>874.74423999999999</v>
      </c>
      <c r="AM1" s="63">
        <f>G28</f>
        <v>913.08715999999993</v>
      </c>
      <c r="AN1" s="63">
        <f>G29</f>
        <v>951.43007999999998</v>
      </c>
      <c r="AO1" s="63">
        <f>G30</f>
        <v>992.173</v>
      </c>
      <c r="AP1" s="63">
        <f>G31</f>
        <v>1030.5159200000001</v>
      </c>
      <c r="AQ1" s="63">
        <f>G32</f>
        <v>1068.8588400000001</v>
      </c>
      <c r="AR1" s="63">
        <f>G33</f>
        <v>1124.60176</v>
      </c>
      <c r="AS1" s="63">
        <f>G34</f>
        <v>1162.9446800000001</v>
      </c>
      <c r="AT1" s="63">
        <f>G35</f>
        <v>1201.2876000000001</v>
      </c>
      <c r="AU1" s="63">
        <f>G36</f>
        <v>1242.03052</v>
      </c>
      <c r="AV1" s="63">
        <f>G37</f>
        <v>1280.3734399999998</v>
      </c>
      <c r="AW1" s="63">
        <f>G38</f>
        <v>1318.7163599999999</v>
      </c>
      <c r="AX1" s="63">
        <f>G39</f>
        <v>1359.45928</v>
      </c>
      <c r="AY1" s="63">
        <f>G40</f>
        <v>1397.8022000000001</v>
      </c>
      <c r="AZ1" s="63">
        <f>G41</f>
        <v>1436.1451200000001</v>
      </c>
      <c r="BA1" s="65" t="s">
        <v>67</v>
      </c>
      <c r="BB1" s="66">
        <f>G49</f>
        <v>59.942920000000001</v>
      </c>
      <c r="BC1" s="66">
        <f>G50</f>
        <v>98.285840000000007</v>
      </c>
      <c r="BD1" s="66">
        <f>G51</f>
        <v>136.62876</v>
      </c>
      <c r="BE1" s="66">
        <f>G52</f>
        <v>174.97167999999999</v>
      </c>
      <c r="BF1" s="66">
        <f>G53</f>
        <v>213.31460000000001</v>
      </c>
      <c r="BG1" s="66">
        <f>G54</f>
        <v>255.25752</v>
      </c>
      <c r="BH1" s="66">
        <f>G55</f>
        <v>293.60043999999999</v>
      </c>
      <c r="BI1" s="66">
        <f>G56</f>
        <v>331.94335999999998</v>
      </c>
      <c r="BJ1" s="66">
        <f>G57</f>
        <v>370.28628000000003</v>
      </c>
      <c r="BK1" s="66">
        <f>G58</f>
        <v>408.62920000000003</v>
      </c>
      <c r="BL1" s="66">
        <f>G59</f>
        <v>450.57211999999998</v>
      </c>
      <c r="BM1" s="66">
        <f>G60</f>
        <v>488.91503999999998</v>
      </c>
      <c r="BN1" s="66">
        <f>G61</f>
        <v>527.25796000000003</v>
      </c>
      <c r="BO1" s="66">
        <f>G62</f>
        <v>565.60088000000007</v>
      </c>
      <c r="BP1" s="66">
        <f>G63</f>
        <v>603.94380000000001</v>
      </c>
      <c r="BQ1" s="66">
        <f>G64</f>
        <v>645.88671999999997</v>
      </c>
      <c r="BR1" s="66">
        <f>G65</f>
        <v>684.22964000000002</v>
      </c>
      <c r="BS1" s="66">
        <f>G66</f>
        <v>722.57256000000007</v>
      </c>
      <c r="BT1" s="66">
        <f>G67</f>
        <v>760.91548</v>
      </c>
      <c r="BU1" s="66">
        <f>G68</f>
        <v>799.25840000000005</v>
      </c>
      <c r="BV1" s="66">
        <f>G69</f>
        <v>856.20132000000001</v>
      </c>
      <c r="BW1" s="66">
        <f>G70</f>
        <v>894.54423999999995</v>
      </c>
      <c r="BX1" s="66">
        <f>G71</f>
        <v>932.88715999999999</v>
      </c>
      <c r="BY1" s="66">
        <f>G72</f>
        <v>971.23008000000004</v>
      </c>
      <c r="BZ1" s="66">
        <f>G73</f>
        <v>1009.573</v>
      </c>
      <c r="CA1" s="66">
        <f>G74</f>
        <v>1051.5159200000001</v>
      </c>
      <c r="CB1" s="66">
        <f>G75</f>
        <v>1089.8588400000001</v>
      </c>
      <c r="CC1" s="66">
        <f>G76</f>
        <v>1128.2017600000001</v>
      </c>
      <c r="CD1" s="66">
        <f>G77</f>
        <v>1166.5446800000002</v>
      </c>
      <c r="CE1" s="66">
        <f>G78</f>
        <v>1204.8876</v>
      </c>
      <c r="CF1" s="66">
        <f>G79</f>
        <v>1246.83052</v>
      </c>
      <c r="CG1" s="66">
        <f>G80</f>
        <v>1285.17344</v>
      </c>
      <c r="CH1" s="66">
        <f>G81</f>
        <v>1323.5163599999998</v>
      </c>
      <c r="CI1" s="66">
        <f>G82</f>
        <v>1361.8592799999999</v>
      </c>
      <c r="CJ1" s="66">
        <f>G83</f>
        <v>1400.2021999999999</v>
      </c>
      <c r="CK1" s="66">
        <f>G84</f>
        <v>1438.54512</v>
      </c>
      <c r="CL1" s="76" t="s">
        <v>70</v>
      </c>
      <c r="CM1" s="75">
        <f>G92</f>
        <v>86.185840000000013</v>
      </c>
      <c r="CN1" s="75">
        <f>G93</f>
        <v>124.37168</v>
      </c>
      <c r="CO1" s="75">
        <f>G94</f>
        <v>162.55752000000001</v>
      </c>
      <c r="CP1" s="75">
        <f>G95</f>
        <v>208.74336</v>
      </c>
      <c r="CQ1" s="75">
        <f>G96</f>
        <v>246.92920000000001</v>
      </c>
      <c r="CR1" s="75">
        <f>G97</f>
        <v>285.11504000000002</v>
      </c>
      <c r="CS1" s="75">
        <f>G98</f>
        <v>331.30088000000001</v>
      </c>
      <c r="CT1" s="75">
        <f>G99</f>
        <v>369.48671999999999</v>
      </c>
      <c r="CU1" s="75">
        <f>G100</f>
        <v>407.67255999999998</v>
      </c>
      <c r="CV1" s="75">
        <f>G101</f>
        <v>453.85840000000002</v>
      </c>
      <c r="CW1" s="75">
        <f>G102</f>
        <v>492.04424</v>
      </c>
      <c r="CX1" s="75">
        <f>G103</f>
        <v>530.23008000000004</v>
      </c>
      <c r="CY1" s="75">
        <f>G104</f>
        <v>576.41592000000003</v>
      </c>
      <c r="CZ1" s="75">
        <f>G105</f>
        <v>614.60176000000001</v>
      </c>
      <c r="DA1" s="75">
        <f>G106</f>
        <v>652.7876</v>
      </c>
      <c r="DB1" s="75">
        <f>G107</f>
        <v>698.97343999999998</v>
      </c>
      <c r="DC1" s="75">
        <f>G108</f>
        <v>737.15927999999997</v>
      </c>
      <c r="DD1" s="75">
        <f>G109</f>
        <v>775.34511999999995</v>
      </c>
      <c r="DE1" s="75">
        <f>G110</f>
        <v>821.53095999999994</v>
      </c>
      <c r="DF1" s="75">
        <f>G111</f>
        <v>859.71679999999992</v>
      </c>
      <c r="DG1" s="75">
        <f>G112</f>
        <v>897.90263999999991</v>
      </c>
      <c r="DH1" s="75">
        <f>G113</f>
        <v>944.08848</v>
      </c>
      <c r="DI1" s="75">
        <f>G114</f>
        <v>982.2743200000001</v>
      </c>
      <c r="DJ1" s="75">
        <f>G115</f>
        <v>1020.4601600000001</v>
      </c>
      <c r="DK1" s="75">
        <f>G116</f>
        <v>1066.646</v>
      </c>
      <c r="DL1" s="75">
        <f>G117</f>
        <v>1104.8318399999998</v>
      </c>
      <c r="DM1" s="75">
        <f>G118</f>
        <v>1143.0176799999999</v>
      </c>
      <c r="DN1" s="75">
        <f>G119</f>
        <v>1204.20352</v>
      </c>
      <c r="DO1" s="75">
        <f>G120</f>
        <v>1242.3893599999999</v>
      </c>
      <c r="DP1" s="75">
        <f>G121</f>
        <v>1280.5752</v>
      </c>
      <c r="DQ1" s="75">
        <f>G122</f>
        <v>1326.7610400000001</v>
      </c>
      <c r="DR1" s="75">
        <f>G123</f>
        <v>1364.9468800000002</v>
      </c>
      <c r="DS1" s="75">
        <f>G124</f>
        <v>1403.1327200000001</v>
      </c>
      <c r="DT1" s="75">
        <f>G125</f>
        <v>1449.3185599999999</v>
      </c>
      <c r="DU1" s="75">
        <f>G126</f>
        <v>1487.5044</v>
      </c>
      <c r="DV1" s="75">
        <f>G127</f>
        <v>1525.6902399999999</v>
      </c>
    </row>
    <row r="2" spans="1:126" ht="18" customHeight="1" x14ac:dyDescent="0.25">
      <c r="A2" s="3" t="s">
        <v>12</v>
      </c>
      <c r="B2" s="30" t="s">
        <v>10</v>
      </c>
      <c r="C2" s="9">
        <v>40</v>
      </c>
      <c r="D2" s="134">
        <v>15</v>
      </c>
      <c r="E2" s="24">
        <f>T13</f>
        <v>38.5</v>
      </c>
      <c r="F2" s="9">
        <v>20</v>
      </c>
      <c r="H2" s="40"/>
      <c r="I2" s="33"/>
      <c r="O2" s="40"/>
      <c r="P2" s="64" t="s">
        <v>59</v>
      </c>
      <c r="Q2" s="63">
        <f>N6</f>
        <v>59.942920000000001</v>
      </c>
      <c r="R2" s="63">
        <f>N7</f>
        <v>98.285840000000007</v>
      </c>
      <c r="S2" s="63">
        <f>N8</f>
        <v>136.62876</v>
      </c>
      <c r="T2" s="63">
        <f>N9</f>
        <v>174.97167999999999</v>
      </c>
      <c r="U2" s="63">
        <f>N10</f>
        <v>213.31460000000001</v>
      </c>
      <c r="V2" s="63">
        <f>N11</f>
        <v>255.25752</v>
      </c>
      <c r="W2" s="63">
        <f>N12</f>
        <v>293.60043999999999</v>
      </c>
      <c r="X2" s="63">
        <f>N13</f>
        <v>331.94335999999998</v>
      </c>
      <c r="Y2" s="63">
        <f>N14</f>
        <v>370.28628000000003</v>
      </c>
      <c r="Z2" s="63">
        <f>N15</f>
        <v>408.62920000000003</v>
      </c>
      <c r="AA2" s="63">
        <f>N16</f>
        <v>450.57211999999998</v>
      </c>
      <c r="AB2" s="63">
        <f>N17</f>
        <v>488.91503999999998</v>
      </c>
      <c r="AC2" s="63">
        <f>N18</f>
        <v>527.25796000000003</v>
      </c>
      <c r="AD2" s="63">
        <f>N19</f>
        <v>565.60088000000007</v>
      </c>
      <c r="AE2" s="63">
        <f>N20</f>
        <v>603.94380000000001</v>
      </c>
      <c r="AF2" s="63">
        <f>N21</f>
        <v>645.88671999999997</v>
      </c>
      <c r="AG2" s="63">
        <f>N22</f>
        <v>684.22964000000002</v>
      </c>
      <c r="AH2" s="63">
        <f>N23</f>
        <v>722.57256000000007</v>
      </c>
      <c r="AI2" s="63">
        <f>N24</f>
        <v>760.91548</v>
      </c>
      <c r="AJ2" s="63">
        <f>N25</f>
        <v>799.25840000000005</v>
      </c>
      <c r="AK2" s="63">
        <f>N26</f>
        <v>841.20132000000001</v>
      </c>
      <c r="AL2" s="63">
        <f>N27</f>
        <v>879.54423999999995</v>
      </c>
      <c r="AM2" s="63">
        <f>N28</f>
        <v>917.88715999999999</v>
      </c>
      <c r="AN2" s="63">
        <f>N29</f>
        <v>956.23008000000004</v>
      </c>
      <c r="AO2" s="63">
        <f>N30</f>
        <v>994.57299999999998</v>
      </c>
      <c r="AP2" s="63">
        <f>N31</f>
        <v>1036.5159200000001</v>
      </c>
      <c r="AQ2" s="63">
        <f>N32</f>
        <v>1074.8588400000001</v>
      </c>
      <c r="AR2" s="63">
        <f>N33</f>
        <v>1113.2017600000001</v>
      </c>
      <c r="AS2" s="63">
        <f>N34</f>
        <v>1151.5446800000002</v>
      </c>
      <c r="AT2" s="63">
        <f>N35</f>
        <v>1189.8876</v>
      </c>
      <c r="AU2" s="63">
        <f>N36</f>
        <v>1231.83052</v>
      </c>
      <c r="AV2" s="63">
        <f>N37</f>
        <v>1270.17344</v>
      </c>
      <c r="AW2" s="63">
        <f>N38</f>
        <v>1308.5163599999998</v>
      </c>
      <c r="AX2" s="63">
        <f>N39</f>
        <v>1346.8592799999999</v>
      </c>
      <c r="AY2" s="63">
        <f>N40</f>
        <v>1385.2021999999999</v>
      </c>
      <c r="AZ2" s="63">
        <f>N41</f>
        <v>1427.1451200000001</v>
      </c>
      <c r="BA2" s="65" t="s">
        <v>67</v>
      </c>
      <c r="BB2" s="66">
        <f>N49</f>
        <v>67.142920000000004</v>
      </c>
      <c r="BC2" s="66">
        <f>N50</f>
        <v>105.48584</v>
      </c>
      <c r="BD2" s="66">
        <f>N51</f>
        <v>143.82875999999999</v>
      </c>
      <c r="BE2" s="66">
        <f>N52</f>
        <v>182.17167999999998</v>
      </c>
      <c r="BF2" s="66">
        <f>N53</f>
        <v>220.51459999999997</v>
      </c>
      <c r="BG2" s="66">
        <f>N54</f>
        <v>258.85751999999997</v>
      </c>
      <c r="BH2" s="66">
        <f>N55</f>
        <v>297.20044000000001</v>
      </c>
      <c r="BI2" s="66">
        <f>N56</f>
        <v>340.34335999999996</v>
      </c>
      <c r="BJ2" s="66">
        <f>N57</f>
        <v>378.68627999999995</v>
      </c>
      <c r="BK2" s="66">
        <f>N58</f>
        <v>417.0292</v>
      </c>
      <c r="BL2" s="66">
        <f>N59</f>
        <v>455.37212</v>
      </c>
      <c r="BM2" s="66">
        <f>N60</f>
        <v>493.71503999999999</v>
      </c>
      <c r="BN2" s="66">
        <f>N61</f>
        <v>532.05795999999998</v>
      </c>
      <c r="BO2" s="66">
        <f>N62</f>
        <v>570.40088000000003</v>
      </c>
      <c r="BP2" s="66">
        <f>N63</f>
        <v>613.54380000000003</v>
      </c>
      <c r="BQ2" s="66">
        <f>N64</f>
        <v>651.88671999999997</v>
      </c>
      <c r="BR2" s="66">
        <f>N65</f>
        <v>690.22964000000002</v>
      </c>
      <c r="BS2" s="66">
        <f>N66</f>
        <v>728.57256000000007</v>
      </c>
      <c r="BT2" s="66">
        <f>N67</f>
        <v>766.91548</v>
      </c>
      <c r="BU2" s="66">
        <f>N68</f>
        <v>805.25840000000005</v>
      </c>
      <c r="BV2" s="66">
        <f>N69</f>
        <v>843.60131999999999</v>
      </c>
      <c r="BW2" s="66">
        <f>N70</f>
        <v>886.74423999999999</v>
      </c>
      <c r="BX2" s="66">
        <f>N71</f>
        <v>925.08715999999993</v>
      </c>
      <c r="BY2" s="66">
        <f>N72</f>
        <v>963.43007999999998</v>
      </c>
      <c r="BZ2" s="66">
        <f>N73</f>
        <v>1001.7729999999999</v>
      </c>
      <c r="CA2" s="66">
        <f>N74</f>
        <v>1040.11592</v>
      </c>
      <c r="CB2" s="66">
        <f>N75</f>
        <v>1078.45884</v>
      </c>
      <c r="CC2" s="66">
        <f>N76</f>
        <v>1116.8017600000001</v>
      </c>
      <c r="CD2" s="66">
        <f>N77</f>
        <v>1174.9446800000001</v>
      </c>
      <c r="CE2" s="66">
        <f>N78</f>
        <v>1213.2876000000001</v>
      </c>
      <c r="CF2" s="66">
        <f>N79</f>
        <v>1251.6305199999999</v>
      </c>
      <c r="CG2" s="66">
        <f>N80</f>
        <v>1289.97344</v>
      </c>
      <c r="CH2" s="66">
        <f>N81</f>
        <v>1328.31636</v>
      </c>
      <c r="CI2" s="66">
        <f>N82</f>
        <v>1366.6592800000001</v>
      </c>
      <c r="CJ2" s="66">
        <f>N83</f>
        <v>1405.0021999999999</v>
      </c>
      <c r="CK2" s="66">
        <f>N84</f>
        <v>1443.34512</v>
      </c>
      <c r="CL2" s="76" t="str">
        <f>CL1</f>
        <v>Rock</v>
      </c>
      <c r="CM2" s="75">
        <f>N92</f>
        <v>110.18583999999998</v>
      </c>
      <c r="CN2" s="75">
        <f>N93</f>
        <v>148.37168</v>
      </c>
      <c r="CO2" s="75">
        <f>N94</f>
        <v>186.55751999999998</v>
      </c>
      <c r="CP2" s="75">
        <f>N95</f>
        <v>224.74336</v>
      </c>
      <c r="CQ2" s="75">
        <f>N96</f>
        <v>262.92919999999998</v>
      </c>
      <c r="CR2" s="75">
        <f>N97</f>
        <v>313.11503999999996</v>
      </c>
      <c r="CS2" s="75">
        <f>N98</f>
        <v>351.30088000000001</v>
      </c>
      <c r="CT2" s="75">
        <f>N99</f>
        <v>389.48671999999999</v>
      </c>
      <c r="CU2" s="75">
        <f>N100</f>
        <v>427.67255999999998</v>
      </c>
      <c r="CV2" s="75">
        <f>N101</f>
        <v>465.85839999999996</v>
      </c>
      <c r="CW2" s="75">
        <f>N102</f>
        <v>516.04424000000006</v>
      </c>
      <c r="CX2" s="75">
        <f>N103</f>
        <v>554.23007999999993</v>
      </c>
      <c r="CY2" s="75">
        <f>N104</f>
        <v>592.41591999999991</v>
      </c>
      <c r="CZ2" s="75">
        <f>N105</f>
        <v>630.6017599999999</v>
      </c>
      <c r="DA2" s="75">
        <f>N106</f>
        <v>668.7876</v>
      </c>
      <c r="DB2" s="75">
        <f>N107</f>
        <v>718.97343999999998</v>
      </c>
      <c r="DC2" s="75">
        <f>N108</f>
        <v>757.15927999999997</v>
      </c>
      <c r="DD2" s="75">
        <f>N109</f>
        <v>795.34511999999995</v>
      </c>
      <c r="DE2" s="75">
        <f>N110</f>
        <v>833.53095999999994</v>
      </c>
      <c r="DF2" s="75">
        <f>N111</f>
        <v>871.71679999999992</v>
      </c>
      <c r="DG2" s="75">
        <f>N112</f>
        <v>921.90264000000002</v>
      </c>
      <c r="DH2" s="75">
        <f>N113</f>
        <v>960.08848</v>
      </c>
      <c r="DI2" s="75">
        <f>N114</f>
        <v>998.27431999999999</v>
      </c>
      <c r="DJ2" s="75">
        <f>N115</f>
        <v>1036.4601600000001</v>
      </c>
      <c r="DK2" s="75">
        <f>N116</f>
        <v>1074.646</v>
      </c>
      <c r="DL2" s="75">
        <f>N117</f>
        <v>1124.8318399999998</v>
      </c>
      <c r="DM2" s="75">
        <f>N118</f>
        <v>1163.0176799999999</v>
      </c>
      <c r="DN2" s="75">
        <f>N119</f>
        <v>1201.20352</v>
      </c>
      <c r="DO2" s="75">
        <f>N120</f>
        <v>1239.3893599999999</v>
      </c>
      <c r="DP2" s="75">
        <f>N121</f>
        <v>1277.5752</v>
      </c>
      <c r="DQ2" s="75">
        <f>N122</f>
        <v>1327.7610400000001</v>
      </c>
      <c r="DR2" s="75">
        <f>N123</f>
        <v>1365.94688</v>
      </c>
      <c r="DS2" s="75">
        <f>N124</f>
        <v>1404.1327200000001</v>
      </c>
      <c r="DT2" s="75">
        <f>N125</f>
        <v>1442.3185599999999</v>
      </c>
      <c r="DU2" s="75">
        <f>N126</f>
        <v>1480.5044</v>
      </c>
      <c r="DV2" s="75">
        <f>N127</f>
        <v>1530.6902399999999</v>
      </c>
    </row>
    <row r="3" spans="1:126" x14ac:dyDescent="0.25">
      <c r="B3" s="27"/>
      <c r="C3" s="8" t="s">
        <v>2</v>
      </c>
      <c r="D3" s="2" t="s">
        <v>3</v>
      </c>
      <c r="E3" s="2" t="s">
        <v>1</v>
      </c>
      <c r="F3" s="2" t="s">
        <v>5</v>
      </c>
      <c r="G3" s="287" t="s">
        <v>6</v>
      </c>
      <c r="H3" s="39"/>
      <c r="I3" s="27"/>
      <c r="J3" s="8" t="s">
        <v>2</v>
      </c>
      <c r="K3" s="2" t="s">
        <v>3</v>
      </c>
      <c r="L3" s="2" t="s">
        <v>1</v>
      </c>
      <c r="M3" s="2" t="s">
        <v>5</v>
      </c>
      <c r="N3" s="287" t="s">
        <v>6</v>
      </c>
      <c r="O3" s="39"/>
    </row>
    <row r="4" spans="1:126" x14ac:dyDescent="0.25">
      <c r="A4" s="1" t="s">
        <v>8</v>
      </c>
      <c r="B4" s="27" t="s">
        <v>7</v>
      </c>
      <c r="C4" s="8" t="s">
        <v>37</v>
      </c>
      <c r="D4" s="61" t="s">
        <v>38</v>
      </c>
      <c r="E4" s="2" t="s">
        <v>4</v>
      </c>
      <c r="F4" s="2" t="s">
        <v>9</v>
      </c>
      <c r="G4" s="287"/>
      <c r="H4" s="39"/>
      <c r="I4" s="27" t="s">
        <v>7</v>
      </c>
      <c r="J4" s="8" t="s">
        <v>36</v>
      </c>
      <c r="K4" s="61" t="str">
        <f>D4</f>
        <v>over 1.4m</v>
      </c>
      <c r="L4" s="2" t="s">
        <v>4</v>
      </c>
      <c r="M4" s="2" t="s">
        <v>9</v>
      </c>
      <c r="N4" s="287"/>
      <c r="O4" s="39"/>
    </row>
    <row r="5" spans="1:126" x14ac:dyDescent="0.25">
      <c r="B5" s="27"/>
      <c r="C5" s="20">
        <v>0.4</v>
      </c>
      <c r="E5" s="20">
        <v>0.1</v>
      </c>
      <c r="H5" s="39"/>
      <c r="I5" s="26"/>
      <c r="J5" s="20">
        <v>0.6</v>
      </c>
      <c r="O5" s="39"/>
    </row>
    <row r="6" spans="1:126" x14ac:dyDescent="0.25">
      <c r="A6" s="2">
        <v>1</v>
      </c>
      <c r="B6" s="31">
        <v>0.6</v>
      </c>
      <c r="C6" s="4">
        <f>$C$2*C$5*B6</f>
        <v>9.6</v>
      </c>
      <c r="D6" s="4">
        <f>IF(B6&gt;1.4,D$2,0)</f>
        <v>0</v>
      </c>
      <c r="E6" s="4">
        <f>$E$2*$A6</f>
        <v>38.5</v>
      </c>
      <c r="F6" s="4">
        <f>(($C$5*B6)-(3.1416*($E$5/2)*($E$5/2)*$A6))*$F$2</f>
        <v>4.6429200000000002</v>
      </c>
      <c r="G6" s="4">
        <f t="shared" ref="G6:G38" si="0">SUM(C6:F6)</f>
        <v>52.742919999999998</v>
      </c>
      <c r="H6" s="39"/>
      <c r="I6" s="28">
        <v>0.6</v>
      </c>
      <c r="J6" s="7">
        <f>$C$2*J$5*I6</f>
        <v>14.399999999999999</v>
      </c>
      <c r="K6" s="7">
        <f>IF(I6&gt;1.4,D$2,0)</f>
        <v>0</v>
      </c>
      <c r="L6" s="7">
        <f>$E$2*$A6</f>
        <v>38.5</v>
      </c>
      <c r="M6" s="7">
        <f>(($J$5*I6)-(3.1416*($E$5/2)*($E$5/2)*$A6))*$F$2</f>
        <v>7.0429199999999987</v>
      </c>
      <c r="N6" s="7">
        <f>SUM(J6:M6)</f>
        <v>59.942920000000001</v>
      </c>
      <c r="O6" s="39"/>
    </row>
    <row r="7" spans="1:126" x14ac:dyDescent="0.25">
      <c r="A7" s="2">
        <v>2</v>
      </c>
      <c r="B7" s="31">
        <f>B6</f>
        <v>0.6</v>
      </c>
      <c r="C7" s="4">
        <f t="shared" ref="C7:C41" si="1">$C$2*C$5*B7</f>
        <v>9.6</v>
      </c>
      <c r="D7" s="4">
        <f t="shared" ref="D7:D41" si="2">IF(B7&gt;1.4,D$2,0)</f>
        <v>0</v>
      </c>
      <c r="E7" s="4">
        <f t="shared" ref="E7:E38" si="3">$E$2*A7</f>
        <v>77</v>
      </c>
      <c r="F7" s="4">
        <f t="shared" ref="F7:F41" si="4">(($C$5*B7)-(3.1416*($E$5/2)*($E$5/2)*$A7))*$F$2</f>
        <v>4.4858399999999996</v>
      </c>
      <c r="G7" s="4">
        <f t="shared" si="0"/>
        <v>91.08583999999999</v>
      </c>
      <c r="H7" s="39"/>
      <c r="I7" s="28">
        <f>I6</f>
        <v>0.6</v>
      </c>
      <c r="J7" s="7">
        <f t="shared" ref="J7:J41" si="5">$C$2*J$5*I7</f>
        <v>14.399999999999999</v>
      </c>
      <c r="K7" s="7">
        <f t="shared" ref="K7:K41" si="6">IF(I7&gt;1.4,D$2,0)</f>
        <v>0</v>
      </c>
      <c r="L7" s="7">
        <f t="shared" ref="L7:L41" si="7">$E$2*$A7</f>
        <v>77</v>
      </c>
      <c r="M7" s="7">
        <f t="shared" ref="M7:M41" si="8">(($J$5*I7)-(3.1416*($E$5/2)*($E$5/2)*$A7))*$F$2</f>
        <v>6.88584</v>
      </c>
      <c r="N7" s="7">
        <f t="shared" ref="N7:N41" si="9">SUM(J7:M7)</f>
        <v>98.285840000000007</v>
      </c>
      <c r="O7" s="39"/>
    </row>
    <row r="8" spans="1:126" x14ac:dyDescent="0.25">
      <c r="A8" s="2">
        <v>3</v>
      </c>
      <c r="B8" s="31">
        <f t="shared" ref="B8:B41" si="10">B7</f>
        <v>0.6</v>
      </c>
      <c r="C8" s="4">
        <f t="shared" si="1"/>
        <v>9.6</v>
      </c>
      <c r="D8" s="4">
        <f t="shared" si="2"/>
        <v>0</v>
      </c>
      <c r="E8" s="4">
        <f t="shared" si="3"/>
        <v>115.5</v>
      </c>
      <c r="F8" s="4">
        <f t="shared" si="4"/>
        <v>4.3287599999999999</v>
      </c>
      <c r="G8" s="4">
        <f t="shared" si="0"/>
        <v>129.42875999999998</v>
      </c>
      <c r="H8" s="39"/>
      <c r="I8" s="28">
        <f t="shared" ref="I8:I40" si="11">I7</f>
        <v>0.6</v>
      </c>
      <c r="J8" s="7">
        <f t="shared" si="5"/>
        <v>14.399999999999999</v>
      </c>
      <c r="K8" s="7">
        <f t="shared" si="6"/>
        <v>0</v>
      </c>
      <c r="L8" s="7">
        <f t="shared" si="7"/>
        <v>115.5</v>
      </c>
      <c r="M8" s="7">
        <f t="shared" si="8"/>
        <v>6.7287600000000003</v>
      </c>
      <c r="N8" s="7">
        <f t="shared" si="9"/>
        <v>136.62876</v>
      </c>
      <c r="O8" s="39"/>
      <c r="T8" s="22" t="s">
        <v>41</v>
      </c>
      <c r="W8" s="22" t="s">
        <v>114</v>
      </c>
    </row>
    <row r="9" spans="1:126" x14ac:dyDescent="0.25">
      <c r="A9" s="2">
        <v>4</v>
      </c>
      <c r="B9" s="32">
        <v>0.7</v>
      </c>
      <c r="C9" s="4">
        <f t="shared" si="1"/>
        <v>11.2</v>
      </c>
      <c r="D9" s="4">
        <f t="shared" si="2"/>
        <v>0</v>
      </c>
      <c r="E9" s="4">
        <f t="shared" si="3"/>
        <v>154</v>
      </c>
      <c r="F9" s="4">
        <f t="shared" si="4"/>
        <v>4.9716799999999992</v>
      </c>
      <c r="G9" s="4">
        <f t="shared" si="0"/>
        <v>170.17167999999998</v>
      </c>
      <c r="H9" s="39"/>
      <c r="I9" s="28">
        <f t="shared" si="11"/>
        <v>0.6</v>
      </c>
      <c r="J9" s="7">
        <f t="shared" si="5"/>
        <v>14.399999999999999</v>
      </c>
      <c r="K9" s="7">
        <f t="shared" si="6"/>
        <v>0</v>
      </c>
      <c r="L9" s="7">
        <f t="shared" si="7"/>
        <v>154</v>
      </c>
      <c r="M9" s="7">
        <f t="shared" si="8"/>
        <v>6.5716799999999997</v>
      </c>
      <c r="N9" s="7">
        <f t="shared" si="9"/>
        <v>174.97167999999999</v>
      </c>
      <c r="O9" s="39"/>
      <c r="S9" s="1" t="s">
        <v>42</v>
      </c>
      <c r="T9" s="21">
        <f>56/6</f>
        <v>9.3333333333333339</v>
      </c>
      <c r="U9" t="s">
        <v>45</v>
      </c>
    </row>
    <row r="10" spans="1:126" x14ac:dyDescent="0.25">
      <c r="A10" s="2">
        <v>5</v>
      </c>
      <c r="B10" s="32">
        <f t="shared" si="10"/>
        <v>0.7</v>
      </c>
      <c r="C10" s="4">
        <f t="shared" si="1"/>
        <v>11.2</v>
      </c>
      <c r="D10" s="4">
        <f t="shared" si="2"/>
        <v>0</v>
      </c>
      <c r="E10" s="4">
        <f t="shared" si="3"/>
        <v>192.5</v>
      </c>
      <c r="F10" s="4">
        <f t="shared" si="4"/>
        <v>4.8145999999999995</v>
      </c>
      <c r="G10" s="4">
        <f t="shared" si="0"/>
        <v>208.5146</v>
      </c>
      <c r="H10" s="39"/>
      <c r="I10" s="28">
        <f t="shared" si="11"/>
        <v>0.6</v>
      </c>
      <c r="J10" s="7">
        <f t="shared" si="5"/>
        <v>14.399999999999999</v>
      </c>
      <c r="K10" s="7">
        <f t="shared" si="6"/>
        <v>0</v>
      </c>
      <c r="L10" s="7">
        <f t="shared" si="7"/>
        <v>192.5</v>
      </c>
      <c r="M10" s="7">
        <f t="shared" si="8"/>
        <v>6.4145999999999992</v>
      </c>
      <c r="N10" s="7">
        <f t="shared" si="9"/>
        <v>213.31460000000001</v>
      </c>
      <c r="O10" s="39"/>
      <c r="S10" s="1" t="s">
        <v>43</v>
      </c>
      <c r="T10" s="21">
        <f>T12-T9-T11</f>
        <v>8.5666666666666664</v>
      </c>
    </row>
    <row r="11" spans="1:126" x14ac:dyDescent="0.25">
      <c r="A11" s="2">
        <v>6</v>
      </c>
      <c r="B11" s="32">
        <f t="shared" si="10"/>
        <v>0.7</v>
      </c>
      <c r="C11" s="4">
        <f t="shared" si="1"/>
        <v>11.2</v>
      </c>
      <c r="D11" s="4">
        <f t="shared" si="2"/>
        <v>0</v>
      </c>
      <c r="E11" s="4">
        <f t="shared" si="3"/>
        <v>231</v>
      </c>
      <c r="F11" s="4">
        <f t="shared" si="4"/>
        <v>4.6575199999999999</v>
      </c>
      <c r="G11" s="4">
        <f t="shared" si="0"/>
        <v>246.85751999999999</v>
      </c>
      <c r="H11" s="39"/>
      <c r="I11" s="29">
        <v>0.7</v>
      </c>
      <c r="J11" s="7">
        <f t="shared" si="5"/>
        <v>16.799999999999997</v>
      </c>
      <c r="K11" s="7">
        <f t="shared" si="6"/>
        <v>0</v>
      </c>
      <c r="L11" s="7">
        <f t="shared" si="7"/>
        <v>231</v>
      </c>
      <c r="M11" s="7">
        <f t="shared" si="8"/>
        <v>7.4575199999999997</v>
      </c>
      <c r="N11" s="7">
        <f t="shared" si="9"/>
        <v>255.25752</v>
      </c>
      <c r="O11" s="39"/>
      <c r="S11" s="1" t="s">
        <v>40</v>
      </c>
      <c r="T11" s="21">
        <f>57*0.3</f>
        <v>17.099999999999998</v>
      </c>
    </row>
    <row r="12" spans="1:126" x14ac:dyDescent="0.25">
      <c r="A12" s="2">
        <v>7</v>
      </c>
      <c r="B12" s="31">
        <v>0.8</v>
      </c>
      <c r="C12" s="4">
        <f t="shared" si="1"/>
        <v>12.8</v>
      </c>
      <c r="D12" s="4">
        <f t="shared" si="2"/>
        <v>0</v>
      </c>
      <c r="E12" s="4">
        <f t="shared" si="3"/>
        <v>269.5</v>
      </c>
      <c r="F12" s="4">
        <f t="shared" si="4"/>
        <v>5.3004400000000018</v>
      </c>
      <c r="G12" s="4">
        <f t="shared" si="0"/>
        <v>287.60043999999999</v>
      </c>
      <c r="H12" s="39"/>
      <c r="I12" s="29">
        <f t="shared" si="11"/>
        <v>0.7</v>
      </c>
      <c r="J12" s="7">
        <f t="shared" si="5"/>
        <v>16.799999999999997</v>
      </c>
      <c r="K12" s="7">
        <f t="shared" si="6"/>
        <v>0</v>
      </c>
      <c r="L12" s="7">
        <f t="shared" si="7"/>
        <v>269.5</v>
      </c>
      <c r="M12" s="7">
        <f t="shared" si="8"/>
        <v>7.3004399999999992</v>
      </c>
      <c r="N12" s="7">
        <f t="shared" si="9"/>
        <v>293.60043999999999</v>
      </c>
      <c r="O12" s="39"/>
      <c r="S12" s="1" t="s">
        <v>44</v>
      </c>
      <c r="T12" s="62">
        <v>35</v>
      </c>
    </row>
    <row r="13" spans="1:126" x14ac:dyDescent="0.25">
      <c r="A13" s="2">
        <v>8</v>
      </c>
      <c r="B13" s="31">
        <f t="shared" si="10"/>
        <v>0.8</v>
      </c>
      <c r="C13" s="4">
        <f t="shared" si="1"/>
        <v>12.8</v>
      </c>
      <c r="D13" s="4">
        <f t="shared" si="2"/>
        <v>0</v>
      </c>
      <c r="E13" s="4">
        <f t="shared" si="3"/>
        <v>308</v>
      </c>
      <c r="F13" s="4">
        <f t="shared" si="4"/>
        <v>5.1433600000000013</v>
      </c>
      <c r="G13" s="4">
        <f t="shared" si="0"/>
        <v>325.94335999999998</v>
      </c>
      <c r="H13" s="39"/>
      <c r="I13" s="29">
        <f t="shared" si="11"/>
        <v>0.7</v>
      </c>
      <c r="J13" s="7">
        <f t="shared" si="5"/>
        <v>16.799999999999997</v>
      </c>
      <c r="K13" s="7">
        <f t="shared" si="6"/>
        <v>0</v>
      </c>
      <c r="L13" s="7">
        <f t="shared" si="7"/>
        <v>308</v>
      </c>
      <c r="M13" s="7">
        <f t="shared" si="8"/>
        <v>7.1433599999999995</v>
      </c>
      <c r="N13" s="7">
        <f t="shared" si="9"/>
        <v>331.94335999999998</v>
      </c>
      <c r="O13" s="39"/>
      <c r="S13" s="1" t="s">
        <v>39</v>
      </c>
      <c r="T13" s="52">
        <f>T12*1.1</f>
        <v>38.5</v>
      </c>
      <c r="W13" s="21">
        <v>45</v>
      </c>
      <c r="X13" s="98" t="s">
        <v>115</v>
      </c>
    </row>
    <row r="14" spans="1:126" x14ac:dyDescent="0.25">
      <c r="A14" s="2">
        <v>9</v>
      </c>
      <c r="B14" s="31">
        <f t="shared" si="10"/>
        <v>0.8</v>
      </c>
      <c r="C14" s="4">
        <f t="shared" si="1"/>
        <v>12.8</v>
      </c>
      <c r="D14" s="4">
        <f t="shared" si="2"/>
        <v>0</v>
      </c>
      <c r="E14" s="4">
        <f t="shared" si="3"/>
        <v>346.5</v>
      </c>
      <c r="F14" s="4">
        <f t="shared" si="4"/>
        <v>4.9862800000000016</v>
      </c>
      <c r="G14" s="4">
        <f t="shared" si="0"/>
        <v>364.28628000000003</v>
      </c>
      <c r="H14" s="39"/>
      <c r="I14" s="29">
        <f t="shared" si="11"/>
        <v>0.7</v>
      </c>
      <c r="J14" s="7">
        <f t="shared" si="5"/>
        <v>16.799999999999997</v>
      </c>
      <c r="K14" s="7">
        <f t="shared" si="6"/>
        <v>0</v>
      </c>
      <c r="L14" s="7">
        <f t="shared" si="7"/>
        <v>346.5</v>
      </c>
      <c r="M14" s="7">
        <f t="shared" si="8"/>
        <v>6.9862800000000007</v>
      </c>
      <c r="N14" s="7">
        <f t="shared" si="9"/>
        <v>370.28628000000003</v>
      </c>
      <c r="O14" s="39"/>
      <c r="S14" s="1"/>
      <c r="T14" s="21"/>
      <c r="W14" s="21">
        <v>27</v>
      </c>
      <c r="X14" s="98" t="s">
        <v>116</v>
      </c>
    </row>
    <row r="15" spans="1:126" x14ac:dyDescent="0.25">
      <c r="A15" s="2">
        <v>10</v>
      </c>
      <c r="B15" s="32">
        <v>0.9</v>
      </c>
      <c r="C15" s="4">
        <f t="shared" si="1"/>
        <v>14.4</v>
      </c>
      <c r="D15" s="4">
        <f t="shared" si="2"/>
        <v>0</v>
      </c>
      <c r="E15" s="4">
        <f t="shared" si="3"/>
        <v>385</v>
      </c>
      <c r="F15" s="4">
        <f t="shared" si="4"/>
        <v>5.6292000000000009</v>
      </c>
      <c r="G15" s="4">
        <f t="shared" si="0"/>
        <v>405.0292</v>
      </c>
      <c r="H15" s="39"/>
      <c r="I15" s="29">
        <f t="shared" si="11"/>
        <v>0.7</v>
      </c>
      <c r="J15" s="7">
        <f t="shared" si="5"/>
        <v>16.799999999999997</v>
      </c>
      <c r="K15" s="7">
        <f t="shared" si="6"/>
        <v>0</v>
      </c>
      <c r="L15" s="7">
        <f t="shared" si="7"/>
        <v>385</v>
      </c>
      <c r="M15" s="7">
        <f t="shared" si="8"/>
        <v>6.8292000000000002</v>
      </c>
      <c r="N15" s="7">
        <f t="shared" si="9"/>
        <v>408.62920000000003</v>
      </c>
      <c r="O15" s="39"/>
      <c r="W15" s="4">
        <v>0.2</v>
      </c>
      <c r="X15" s="98" t="s">
        <v>191</v>
      </c>
    </row>
    <row r="16" spans="1:126" x14ac:dyDescent="0.25">
      <c r="A16" s="2">
        <v>11</v>
      </c>
      <c r="B16" s="32">
        <f t="shared" si="10"/>
        <v>0.9</v>
      </c>
      <c r="C16" s="4">
        <f t="shared" si="1"/>
        <v>14.4</v>
      </c>
      <c r="D16" s="4">
        <f t="shared" si="2"/>
        <v>0</v>
      </c>
      <c r="E16" s="4">
        <f t="shared" si="3"/>
        <v>423.5</v>
      </c>
      <c r="F16" s="4">
        <f t="shared" si="4"/>
        <v>5.4721200000000003</v>
      </c>
      <c r="G16" s="4">
        <f t="shared" si="0"/>
        <v>443.37212</v>
      </c>
      <c r="H16" s="39"/>
      <c r="I16" s="28">
        <v>0.8</v>
      </c>
      <c r="J16" s="7">
        <f t="shared" si="5"/>
        <v>19.200000000000003</v>
      </c>
      <c r="K16" s="7">
        <f t="shared" si="6"/>
        <v>0</v>
      </c>
      <c r="L16" s="7">
        <f t="shared" si="7"/>
        <v>423.5</v>
      </c>
      <c r="M16" s="7">
        <f t="shared" si="8"/>
        <v>7.8721200000000007</v>
      </c>
      <c r="N16" s="7">
        <f t="shared" si="9"/>
        <v>450.57211999999998</v>
      </c>
      <c r="O16" s="39"/>
      <c r="S16" s="37"/>
      <c r="T16" s="37"/>
      <c r="U16" s="22"/>
    </row>
    <row r="17" spans="1:26" x14ac:dyDescent="0.25">
      <c r="A17" s="2">
        <v>12</v>
      </c>
      <c r="B17" s="32">
        <f t="shared" si="10"/>
        <v>0.9</v>
      </c>
      <c r="C17" s="4">
        <f t="shared" si="1"/>
        <v>14.4</v>
      </c>
      <c r="D17" s="4">
        <f t="shared" si="2"/>
        <v>0</v>
      </c>
      <c r="E17" s="4">
        <f t="shared" si="3"/>
        <v>462</v>
      </c>
      <c r="F17" s="4">
        <f t="shared" si="4"/>
        <v>5.3150400000000007</v>
      </c>
      <c r="G17" s="4">
        <f t="shared" si="0"/>
        <v>481.71503999999999</v>
      </c>
      <c r="H17" s="39"/>
      <c r="I17" s="28">
        <f t="shared" si="11"/>
        <v>0.8</v>
      </c>
      <c r="J17" s="7">
        <f t="shared" si="5"/>
        <v>19.200000000000003</v>
      </c>
      <c r="K17" s="7">
        <f t="shared" si="6"/>
        <v>0</v>
      </c>
      <c r="L17" s="7">
        <f t="shared" si="7"/>
        <v>462</v>
      </c>
      <c r="M17" s="7">
        <f t="shared" si="8"/>
        <v>7.7150400000000001</v>
      </c>
      <c r="N17" s="7">
        <f t="shared" si="9"/>
        <v>488.91503999999998</v>
      </c>
      <c r="O17" s="39"/>
      <c r="S17" s="22" t="s">
        <v>102</v>
      </c>
      <c r="T17" s="22" t="s">
        <v>1</v>
      </c>
    </row>
    <row r="18" spans="1:26" x14ac:dyDescent="0.25">
      <c r="A18" s="2">
        <v>13</v>
      </c>
      <c r="B18" s="31">
        <v>1</v>
      </c>
      <c r="C18" s="4">
        <f t="shared" si="1"/>
        <v>16</v>
      </c>
      <c r="D18" s="4">
        <f t="shared" si="2"/>
        <v>0</v>
      </c>
      <c r="E18" s="4">
        <f t="shared" si="3"/>
        <v>500.5</v>
      </c>
      <c r="F18" s="4">
        <f t="shared" si="4"/>
        <v>5.9579599999999999</v>
      </c>
      <c r="G18" s="4">
        <f t="shared" si="0"/>
        <v>522.45795999999996</v>
      </c>
      <c r="H18" s="39"/>
      <c r="I18" s="28">
        <f t="shared" si="11"/>
        <v>0.8</v>
      </c>
      <c r="J18" s="7">
        <f t="shared" si="5"/>
        <v>19.200000000000003</v>
      </c>
      <c r="K18" s="7">
        <f t="shared" si="6"/>
        <v>0</v>
      </c>
      <c r="L18" s="7">
        <f t="shared" si="7"/>
        <v>500.5</v>
      </c>
      <c r="M18" s="7">
        <f t="shared" si="8"/>
        <v>7.5579599999999996</v>
      </c>
      <c r="N18" s="7">
        <f t="shared" si="9"/>
        <v>527.25796000000003</v>
      </c>
      <c r="O18" s="39"/>
      <c r="S18" s="1" t="s">
        <v>144</v>
      </c>
      <c r="T18" s="21">
        <v>100</v>
      </c>
    </row>
    <row r="19" spans="1:26" x14ac:dyDescent="0.25">
      <c r="A19" s="2">
        <v>14</v>
      </c>
      <c r="B19" s="31">
        <f t="shared" si="10"/>
        <v>1</v>
      </c>
      <c r="C19" s="4">
        <f t="shared" si="1"/>
        <v>16</v>
      </c>
      <c r="D19" s="4">
        <f t="shared" si="2"/>
        <v>0</v>
      </c>
      <c r="E19" s="4">
        <f t="shared" si="3"/>
        <v>539</v>
      </c>
      <c r="F19" s="4">
        <f t="shared" si="4"/>
        <v>5.8008800000000003</v>
      </c>
      <c r="G19" s="4">
        <f t="shared" si="0"/>
        <v>560.80088000000001</v>
      </c>
      <c r="H19" s="39"/>
      <c r="I19" s="28">
        <f t="shared" si="11"/>
        <v>0.8</v>
      </c>
      <c r="J19" s="7">
        <f t="shared" si="5"/>
        <v>19.200000000000003</v>
      </c>
      <c r="K19" s="7">
        <f t="shared" si="6"/>
        <v>0</v>
      </c>
      <c r="L19" s="7">
        <f t="shared" si="7"/>
        <v>539</v>
      </c>
      <c r="M19" s="7">
        <f t="shared" si="8"/>
        <v>7.4008799999999999</v>
      </c>
      <c r="N19" s="7">
        <f t="shared" si="9"/>
        <v>565.60088000000007</v>
      </c>
      <c r="O19" s="39"/>
    </row>
    <row r="20" spans="1:26" x14ac:dyDescent="0.25">
      <c r="A20" s="2">
        <v>15</v>
      </c>
      <c r="B20" s="31">
        <f t="shared" si="10"/>
        <v>1</v>
      </c>
      <c r="C20" s="4">
        <f t="shared" si="1"/>
        <v>16</v>
      </c>
      <c r="D20" s="4">
        <f t="shared" si="2"/>
        <v>0</v>
      </c>
      <c r="E20" s="4">
        <f t="shared" si="3"/>
        <v>577.5</v>
      </c>
      <c r="F20" s="4">
        <f t="shared" si="4"/>
        <v>5.6438000000000006</v>
      </c>
      <c r="G20" s="4">
        <f t="shared" si="0"/>
        <v>599.14380000000006</v>
      </c>
      <c r="H20" s="39"/>
      <c r="I20" s="28">
        <f t="shared" si="11"/>
        <v>0.8</v>
      </c>
      <c r="J20" s="7">
        <f t="shared" si="5"/>
        <v>19.200000000000003</v>
      </c>
      <c r="K20" s="7">
        <f t="shared" si="6"/>
        <v>0</v>
      </c>
      <c r="L20" s="7">
        <f t="shared" si="7"/>
        <v>577.5</v>
      </c>
      <c r="M20" s="7">
        <f t="shared" si="8"/>
        <v>7.2438000000000002</v>
      </c>
      <c r="N20" s="7">
        <f t="shared" si="9"/>
        <v>603.94380000000001</v>
      </c>
      <c r="O20" s="39"/>
      <c r="U20" s="22"/>
    </row>
    <row r="21" spans="1:26" x14ac:dyDescent="0.25">
      <c r="A21" s="2">
        <v>16</v>
      </c>
      <c r="B21" s="32">
        <v>1.1000000000000001</v>
      </c>
      <c r="C21" s="4">
        <f t="shared" si="1"/>
        <v>17.600000000000001</v>
      </c>
      <c r="D21" s="4">
        <f t="shared" si="2"/>
        <v>0</v>
      </c>
      <c r="E21" s="4">
        <f t="shared" si="3"/>
        <v>616</v>
      </c>
      <c r="F21" s="4">
        <f t="shared" si="4"/>
        <v>6.2867200000000008</v>
      </c>
      <c r="G21" s="4">
        <f t="shared" si="0"/>
        <v>639.88671999999997</v>
      </c>
      <c r="H21" s="39"/>
      <c r="I21" s="29">
        <v>0.9</v>
      </c>
      <c r="J21" s="7">
        <f t="shared" si="5"/>
        <v>21.6</v>
      </c>
      <c r="K21" s="7">
        <f t="shared" si="6"/>
        <v>0</v>
      </c>
      <c r="L21" s="7">
        <f t="shared" si="7"/>
        <v>616</v>
      </c>
      <c r="M21" s="7">
        <f t="shared" si="8"/>
        <v>8.2867200000000008</v>
      </c>
      <c r="N21" s="7">
        <f t="shared" si="9"/>
        <v>645.88671999999997</v>
      </c>
      <c r="O21" s="39"/>
    </row>
    <row r="22" spans="1:26" x14ac:dyDescent="0.25">
      <c r="A22" s="2">
        <v>17</v>
      </c>
      <c r="B22" s="32">
        <f t="shared" si="10"/>
        <v>1.1000000000000001</v>
      </c>
      <c r="C22" s="4">
        <f t="shared" si="1"/>
        <v>17.600000000000001</v>
      </c>
      <c r="D22" s="4">
        <f t="shared" si="2"/>
        <v>0</v>
      </c>
      <c r="E22" s="4">
        <f t="shared" si="3"/>
        <v>654.5</v>
      </c>
      <c r="F22" s="4">
        <f t="shared" si="4"/>
        <v>6.1296400000000002</v>
      </c>
      <c r="G22" s="4">
        <f t="shared" si="0"/>
        <v>678.22964000000002</v>
      </c>
      <c r="H22" s="39"/>
      <c r="I22" s="29">
        <f t="shared" si="11"/>
        <v>0.9</v>
      </c>
      <c r="J22" s="7">
        <f t="shared" si="5"/>
        <v>21.6</v>
      </c>
      <c r="K22" s="7">
        <f t="shared" si="6"/>
        <v>0</v>
      </c>
      <c r="L22" s="7">
        <f t="shared" si="7"/>
        <v>654.5</v>
      </c>
      <c r="M22" s="7">
        <f t="shared" si="8"/>
        <v>8.1296400000000002</v>
      </c>
      <c r="N22" s="7">
        <f t="shared" si="9"/>
        <v>684.22964000000002</v>
      </c>
      <c r="O22" s="39"/>
    </row>
    <row r="23" spans="1:26" x14ac:dyDescent="0.25">
      <c r="A23" s="2">
        <v>18</v>
      </c>
      <c r="B23" s="32">
        <f t="shared" si="10"/>
        <v>1.1000000000000001</v>
      </c>
      <c r="C23" s="4">
        <f t="shared" si="1"/>
        <v>17.600000000000001</v>
      </c>
      <c r="D23" s="4">
        <f t="shared" si="2"/>
        <v>0</v>
      </c>
      <c r="E23" s="4">
        <f t="shared" si="3"/>
        <v>693</v>
      </c>
      <c r="F23" s="4">
        <f t="shared" si="4"/>
        <v>5.9725600000000014</v>
      </c>
      <c r="G23" s="4">
        <f t="shared" si="0"/>
        <v>716.57256000000007</v>
      </c>
      <c r="H23" s="39"/>
      <c r="I23" s="29">
        <f t="shared" si="11"/>
        <v>0.9</v>
      </c>
      <c r="J23" s="7">
        <f t="shared" si="5"/>
        <v>21.6</v>
      </c>
      <c r="K23" s="7">
        <f t="shared" si="6"/>
        <v>0</v>
      </c>
      <c r="L23" s="7">
        <f t="shared" si="7"/>
        <v>693</v>
      </c>
      <c r="M23" s="7">
        <f t="shared" si="8"/>
        <v>7.9725600000000005</v>
      </c>
      <c r="N23" s="7">
        <f t="shared" si="9"/>
        <v>722.57256000000007</v>
      </c>
      <c r="O23" s="39"/>
    </row>
    <row r="24" spans="1:26" x14ac:dyDescent="0.25">
      <c r="A24" s="2">
        <v>19</v>
      </c>
      <c r="B24" s="31">
        <v>1.2</v>
      </c>
      <c r="C24" s="4">
        <f t="shared" si="1"/>
        <v>19.2</v>
      </c>
      <c r="D24" s="4">
        <f t="shared" si="2"/>
        <v>0</v>
      </c>
      <c r="E24" s="4">
        <f t="shared" si="3"/>
        <v>731.5</v>
      </c>
      <c r="F24" s="4">
        <f t="shared" si="4"/>
        <v>6.6154799999999998</v>
      </c>
      <c r="G24" s="4">
        <f t="shared" si="0"/>
        <v>757.31548000000009</v>
      </c>
      <c r="H24" s="39"/>
      <c r="I24" s="29">
        <f t="shared" si="11"/>
        <v>0.9</v>
      </c>
      <c r="J24" s="7">
        <f t="shared" si="5"/>
        <v>21.6</v>
      </c>
      <c r="K24" s="7">
        <f t="shared" si="6"/>
        <v>0</v>
      </c>
      <c r="L24" s="7">
        <f t="shared" si="7"/>
        <v>731.5</v>
      </c>
      <c r="M24" s="7">
        <f t="shared" si="8"/>
        <v>7.8154800000000009</v>
      </c>
      <c r="N24" s="7">
        <f t="shared" si="9"/>
        <v>760.91548</v>
      </c>
      <c r="O24" s="39"/>
    </row>
    <row r="25" spans="1:26" x14ac:dyDescent="0.25">
      <c r="A25" s="2">
        <v>20</v>
      </c>
      <c r="B25" s="31">
        <f t="shared" si="10"/>
        <v>1.2</v>
      </c>
      <c r="C25" s="4">
        <f t="shared" si="1"/>
        <v>19.2</v>
      </c>
      <c r="D25" s="4">
        <f t="shared" si="2"/>
        <v>0</v>
      </c>
      <c r="E25" s="4">
        <f t="shared" si="3"/>
        <v>770</v>
      </c>
      <c r="F25" s="4">
        <f t="shared" si="4"/>
        <v>6.4583999999999993</v>
      </c>
      <c r="G25" s="4">
        <f t="shared" si="0"/>
        <v>795.65840000000003</v>
      </c>
      <c r="H25" s="39"/>
      <c r="I25" s="29">
        <f t="shared" si="11"/>
        <v>0.9</v>
      </c>
      <c r="J25" s="7">
        <f t="shared" si="5"/>
        <v>21.6</v>
      </c>
      <c r="K25" s="7">
        <f t="shared" si="6"/>
        <v>0</v>
      </c>
      <c r="L25" s="7">
        <f t="shared" si="7"/>
        <v>770</v>
      </c>
      <c r="M25" s="7">
        <f t="shared" si="8"/>
        <v>7.6584000000000003</v>
      </c>
      <c r="N25" s="7">
        <f t="shared" si="9"/>
        <v>799.25840000000005</v>
      </c>
      <c r="O25" s="39"/>
      <c r="Q25" s="233"/>
      <c r="R25" s="233"/>
      <c r="S25" s="233"/>
      <c r="T25" s="233"/>
      <c r="U25" s="233"/>
      <c r="V25" s="233"/>
      <c r="W25" s="233"/>
      <c r="X25" s="233"/>
      <c r="Y25" s="233"/>
      <c r="Z25" s="233"/>
    </row>
    <row r="26" spans="1:26" x14ac:dyDescent="0.25">
      <c r="A26" s="2">
        <v>21</v>
      </c>
      <c r="B26" s="31">
        <f t="shared" si="10"/>
        <v>1.2</v>
      </c>
      <c r="C26" s="4">
        <f t="shared" si="1"/>
        <v>19.2</v>
      </c>
      <c r="D26" s="4">
        <f t="shared" si="2"/>
        <v>0</v>
      </c>
      <c r="E26" s="4">
        <f t="shared" si="3"/>
        <v>808.5</v>
      </c>
      <c r="F26" s="4">
        <f t="shared" si="4"/>
        <v>6.3013199999999987</v>
      </c>
      <c r="G26" s="4">
        <f t="shared" si="0"/>
        <v>834.00132000000008</v>
      </c>
      <c r="H26" s="39"/>
      <c r="I26" s="28">
        <v>1</v>
      </c>
      <c r="J26" s="7">
        <f t="shared" si="5"/>
        <v>24</v>
      </c>
      <c r="K26" s="7">
        <f t="shared" si="6"/>
        <v>0</v>
      </c>
      <c r="L26" s="7">
        <f t="shared" si="7"/>
        <v>808.5</v>
      </c>
      <c r="M26" s="7">
        <f t="shared" si="8"/>
        <v>8.7013199999999991</v>
      </c>
      <c r="N26" s="7">
        <f t="shared" si="9"/>
        <v>841.20132000000001</v>
      </c>
      <c r="O26" s="39"/>
      <c r="Q26" s="233"/>
      <c r="R26" s="83"/>
      <c r="S26" s="80"/>
      <c r="T26" s="80"/>
      <c r="U26" s="80"/>
      <c r="V26" s="80"/>
      <c r="W26" s="80"/>
      <c r="X26" s="84"/>
      <c r="Y26" s="233"/>
      <c r="Z26" s="233"/>
    </row>
    <row r="27" spans="1:26" x14ac:dyDescent="0.25">
      <c r="A27" s="2">
        <v>22</v>
      </c>
      <c r="B27" s="32">
        <v>1.3</v>
      </c>
      <c r="C27" s="4">
        <f t="shared" si="1"/>
        <v>20.8</v>
      </c>
      <c r="D27" s="4">
        <f t="shared" si="2"/>
        <v>0</v>
      </c>
      <c r="E27" s="4">
        <f t="shared" si="3"/>
        <v>847</v>
      </c>
      <c r="F27" s="4">
        <f t="shared" si="4"/>
        <v>6.9442400000000006</v>
      </c>
      <c r="G27" s="4">
        <f t="shared" si="0"/>
        <v>874.74423999999999</v>
      </c>
      <c r="H27" s="39"/>
      <c r="I27" s="28">
        <f t="shared" si="11"/>
        <v>1</v>
      </c>
      <c r="J27" s="7">
        <f t="shared" si="5"/>
        <v>24</v>
      </c>
      <c r="K27" s="7">
        <f t="shared" si="6"/>
        <v>0</v>
      </c>
      <c r="L27" s="7">
        <f t="shared" si="7"/>
        <v>847</v>
      </c>
      <c r="M27" s="7">
        <f t="shared" si="8"/>
        <v>8.5442400000000003</v>
      </c>
      <c r="N27" s="7">
        <f t="shared" si="9"/>
        <v>879.54423999999995</v>
      </c>
      <c r="O27" s="39"/>
      <c r="Q27" s="233"/>
      <c r="R27" s="85"/>
      <c r="S27" s="87" t="s">
        <v>146</v>
      </c>
      <c r="T27" s="87" t="s">
        <v>1</v>
      </c>
      <c r="U27" s="87" t="s">
        <v>13</v>
      </c>
      <c r="V27" s="87" t="s">
        <v>90</v>
      </c>
      <c r="W27" s="87" t="s">
        <v>92</v>
      </c>
      <c r="X27" s="88"/>
      <c r="Y27" s="233"/>
      <c r="Z27" s="233"/>
    </row>
    <row r="28" spans="1:26" x14ac:dyDescent="0.25">
      <c r="A28" s="2">
        <v>23</v>
      </c>
      <c r="B28" s="32">
        <f t="shared" si="10"/>
        <v>1.3</v>
      </c>
      <c r="C28" s="4">
        <f t="shared" si="1"/>
        <v>20.8</v>
      </c>
      <c r="D28" s="4">
        <f t="shared" si="2"/>
        <v>0</v>
      </c>
      <c r="E28" s="4">
        <f t="shared" si="3"/>
        <v>885.5</v>
      </c>
      <c r="F28" s="4">
        <f t="shared" si="4"/>
        <v>6.787160000000001</v>
      </c>
      <c r="G28" s="4">
        <f t="shared" si="0"/>
        <v>913.08715999999993</v>
      </c>
      <c r="H28" s="39"/>
      <c r="I28" s="28">
        <f t="shared" si="11"/>
        <v>1</v>
      </c>
      <c r="J28" s="7">
        <f t="shared" si="5"/>
        <v>24</v>
      </c>
      <c r="K28" s="7">
        <f t="shared" si="6"/>
        <v>0</v>
      </c>
      <c r="L28" s="7">
        <f t="shared" si="7"/>
        <v>885.5</v>
      </c>
      <c r="M28" s="7">
        <f t="shared" si="8"/>
        <v>8.3871599999999997</v>
      </c>
      <c r="N28" s="7">
        <f t="shared" si="9"/>
        <v>917.88715999999999</v>
      </c>
      <c r="O28" s="39"/>
      <c r="Q28" s="233"/>
      <c r="R28" s="85"/>
      <c r="S28" s="89" t="s">
        <v>147</v>
      </c>
      <c r="T28" s="107">
        <f>(24+48)/2</f>
        <v>36</v>
      </c>
      <c r="U28" s="107">
        <f>T13</f>
        <v>38.5</v>
      </c>
      <c r="V28" s="107">
        <f>60*0.1*0.5</f>
        <v>3</v>
      </c>
      <c r="W28" s="107">
        <f>SUM(T28:V28)</f>
        <v>77.5</v>
      </c>
      <c r="X28" s="88"/>
      <c r="Y28" s="233"/>
      <c r="Z28" s="233"/>
    </row>
    <row r="29" spans="1:26" x14ac:dyDescent="0.25">
      <c r="A29" s="2">
        <v>24</v>
      </c>
      <c r="B29" s="32">
        <f t="shared" si="10"/>
        <v>1.3</v>
      </c>
      <c r="C29" s="4">
        <f t="shared" si="1"/>
        <v>20.8</v>
      </c>
      <c r="D29" s="4">
        <f t="shared" si="2"/>
        <v>0</v>
      </c>
      <c r="E29" s="4">
        <f t="shared" si="3"/>
        <v>924</v>
      </c>
      <c r="F29" s="4">
        <f t="shared" si="4"/>
        <v>6.6300800000000004</v>
      </c>
      <c r="G29" s="4">
        <f t="shared" si="0"/>
        <v>951.43007999999998</v>
      </c>
      <c r="H29" s="39"/>
      <c r="I29" s="28">
        <f t="shared" si="11"/>
        <v>1</v>
      </c>
      <c r="J29" s="7">
        <f t="shared" si="5"/>
        <v>24</v>
      </c>
      <c r="K29" s="7">
        <f t="shared" si="6"/>
        <v>0</v>
      </c>
      <c r="L29" s="7">
        <f t="shared" si="7"/>
        <v>924</v>
      </c>
      <c r="M29" s="7">
        <f t="shared" si="8"/>
        <v>8.2300799999999992</v>
      </c>
      <c r="N29" s="7">
        <f t="shared" si="9"/>
        <v>956.23008000000004</v>
      </c>
      <c r="O29" s="39"/>
      <c r="Q29" s="233"/>
      <c r="R29" s="85"/>
      <c r="S29" s="89" t="s">
        <v>148</v>
      </c>
      <c r="T29" s="107">
        <f>(48+80)/2</f>
        <v>64</v>
      </c>
      <c r="U29" s="107">
        <f>U28</f>
        <v>38.5</v>
      </c>
      <c r="V29" s="107">
        <f>V28</f>
        <v>3</v>
      </c>
      <c r="W29" s="107">
        <f t="shared" ref="W29:W30" si="12">SUM(T29:V29)</f>
        <v>105.5</v>
      </c>
      <c r="X29" s="88"/>
      <c r="Y29" s="233"/>
      <c r="Z29" s="233"/>
    </row>
    <row r="30" spans="1:26" x14ac:dyDescent="0.25">
      <c r="A30" s="2">
        <v>25</v>
      </c>
      <c r="B30" s="31">
        <v>1.4</v>
      </c>
      <c r="C30" s="4">
        <f t="shared" si="1"/>
        <v>22.4</v>
      </c>
      <c r="D30" s="4">
        <f t="shared" si="2"/>
        <v>0</v>
      </c>
      <c r="E30" s="4">
        <f t="shared" si="3"/>
        <v>962.5</v>
      </c>
      <c r="F30" s="4">
        <f t="shared" si="4"/>
        <v>7.2729999999999979</v>
      </c>
      <c r="G30" s="4">
        <f t="shared" si="0"/>
        <v>992.173</v>
      </c>
      <c r="H30" s="39"/>
      <c r="I30" s="28">
        <f t="shared" si="11"/>
        <v>1</v>
      </c>
      <c r="J30" s="7">
        <f t="shared" si="5"/>
        <v>24</v>
      </c>
      <c r="K30" s="7">
        <f t="shared" si="6"/>
        <v>0</v>
      </c>
      <c r="L30" s="7">
        <f t="shared" si="7"/>
        <v>962.5</v>
      </c>
      <c r="M30" s="7">
        <f t="shared" si="8"/>
        <v>8.0729999999999986</v>
      </c>
      <c r="N30" s="7">
        <f t="shared" si="9"/>
        <v>994.57299999999998</v>
      </c>
      <c r="O30" s="39"/>
      <c r="Q30" s="233"/>
      <c r="R30" s="85"/>
      <c r="S30" s="89" t="s">
        <v>149</v>
      </c>
      <c r="T30" s="107">
        <f>(112+148)/2</f>
        <v>130</v>
      </c>
      <c r="U30" s="107">
        <f>U29</f>
        <v>38.5</v>
      </c>
      <c r="V30" s="107">
        <f>V29</f>
        <v>3</v>
      </c>
      <c r="W30" s="107">
        <f t="shared" si="12"/>
        <v>171.5</v>
      </c>
      <c r="X30" s="88"/>
      <c r="Y30" s="233"/>
      <c r="Z30" s="233"/>
    </row>
    <row r="31" spans="1:26" x14ac:dyDescent="0.25">
      <c r="A31" s="2">
        <v>26</v>
      </c>
      <c r="B31" s="31">
        <f t="shared" si="10"/>
        <v>1.4</v>
      </c>
      <c r="C31" s="4">
        <f t="shared" si="1"/>
        <v>22.4</v>
      </c>
      <c r="D31" s="4">
        <f t="shared" si="2"/>
        <v>0</v>
      </c>
      <c r="E31" s="4">
        <f t="shared" si="3"/>
        <v>1001</v>
      </c>
      <c r="F31" s="4">
        <f t="shared" si="4"/>
        <v>7.1159199999999991</v>
      </c>
      <c r="G31" s="4">
        <f t="shared" si="0"/>
        <v>1030.5159200000001</v>
      </c>
      <c r="H31" s="39"/>
      <c r="I31" s="29">
        <v>1.1000000000000001</v>
      </c>
      <c r="J31" s="7">
        <f t="shared" si="5"/>
        <v>26.400000000000002</v>
      </c>
      <c r="K31" s="7">
        <f t="shared" si="6"/>
        <v>0</v>
      </c>
      <c r="L31" s="7">
        <f t="shared" si="7"/>
        <v>1001</v>
      </c>
      <c r="M31" s="7">
        <f t="shared" si="8"/>
        <v>9.1159200000000009</v>
      </c>
      <c r="N31" s="7">
        <f t="shared" si="9"/>
        <v>1036.5159200000001</v>
      </c>
      <c r="O31" s="39"/>
      <c r="P31" s="38"/>
      <c r="Q31" s="233"/>
      <c r="R31" s="85"/>
      <c r="S31" s="86"/>
      <c r="T31" s="86"/>
      <c r="U31" s="86"/>
      <c r="V31" s="86"/>
      <c r="W31" s="86"/>
      <c r="X31" s="88"/>
      <c r="Y31" s="233"/>
      <c r="Z31" s="233"/>
    </row>
    <row r="32" spans="1:26" x14ac:dyDescent="0.25">
      <c r="A32" s="2">
        <v>27</v>
      </c>
      <c r="B32" s="31">
        <f t="shared" si="10"/>
        <v>1.4</v>
      </c>
      <c r="C32" s="4">
        <f t="shared" si="1"/>
        <v>22.4</v>
      </c>
      <c r="D32" s="4">
        <f t="shared" si="2"/>
        <v>0</v>
      </c>
      <c r="E32" s="4">
        <f t="shared" si="3"/>
        <v>1039.5</v>
      </c>
      <c r="F32" s="4">
        <f>(($C$5*B32)-(3.1416*($E$5/2)*($E$5/2)*$A32))*$F$2</f>
        <v>6.9588399999999995</v>
      </c>
      <c r="G32" s="4">
        <f t="shared" si="0"/>
        <v>1068.8588400000001</v>
      </c>
      <c r="H32" s="39"/>
      <c r="I32" s="29">
        <f t="shared" si="11"/>
        <v>1.1000000000000001</v>
      </c>
      <c r="J32" s="7">
        <f t="shared" si="5"/>
        <v>26.400000000000002</v>
      </c>
      <c r="K32" s="7">
        <f t="shared" si="6"/>
        <v>0</v>
      </c>
      <c r="L32" s="7">
        <f t="shared" si="7"/>
        <v>1039.5</v>
      </c>
      <c r="M32" s="7">
        <f t="shared" si="8"/>
        <v>8.9588400000000021</v>
      </c>
      <c r="N32" s="7">
        <f t="shared" si="9"/>
        <v>1074.8588400000001</v>
      </c>
      <c r="O32" s="39"/>
      <c r="P32" s="35"/>
      <c r="Q32" s="233"/>
      <c r="R32" s="85"/>
      <c r="S32" s="86">
        <v>1</v>
      </c>
      <c r="T32" s="86">
        <v>2</v>
      </c>
      <c r="U32" s="86"/>
      <c r="V32" s="86"/>
      <c r="W32" s="86"/>
      <c r="X32" s="88"/>
      <c r="Y32" s="233"/>
      <c r="Z32" s="233"/>
    </row>
    <row r="33" spans="1:26" x14ac:dyDescent="0.25">
      <c r="A33" s="2">
        <v>28</v>
      </c>
      <c r="B33" s="32">
        <v>1.5</v>
      </c>
      <c r="C33" s="7">
        <f t="shared" si="1"/>
        <v>24</v>
      </c>
      <c r="D33" s="4">
        <f t="shared" si="2"/>
        <v>15</v>
      </c>
      <c r="E33" s="7">
        <f t="shared" si="3"/>
        <v>1078</v>
      </c>
      <c r="F33" s="7">
        <f>(($C$5*B33)-(3.1416*($E$5/2)*($E$5/2)*$A33))*$F$2</f>
        <v>7.6017600000000023</v>
      </c>
      <c r="G33" s="7">
        <f t="shared" si="0"/>
        <v>1124.60176</v>
      </c>
      <c r="H33" s="39"/>
      <c r="I33" s="29">
        <f t="shared" si="11"/>
        <v>1.1000000000000001</v>
      </c>
      <c r="J33" s="7">
        <f t="shared" si="5"/>
        <v>26.400000000000002</v>
      </c>
      <c r="K33" s="7">
        <f t="shared" si="6"/>
        <v>0</v>
      </c>
      <c r="L33" s="4">
        <f t="shared" si="7"/>
        <v>1078</v>
      </c>
      <c r="M33" s="4">
        <f t="shared" si="8"/>
        <v>8.8017600000000016</v>
      </c>
      <c r="N33" s="7">
        <f t="shared" si="9"/>
        <v>1113.2017600000001</v>
      </c>
      <c r="O33" s="39"/>
      <c r="P33" s="35"/>
      <c r="Q33" s="233"/>
      <c r="R33" s="85"/>
      <c r="S33" s="89" t="s">
        <v>13</v>
      </c>
      <c r="T33" s="89" t="s">
        <v>13</v>
      </c>
      <c r="U33" s="89"/>
      <c r="V33" s="89"/>
      <c r="W33" s="86"/>
      <c r="X33" s="88"/>
      <c r="Y33" s="233"/>
      <c r="Z33" s="233"/>
    </row>
    <row r="34" spans="1:26" x14ac:dyDescent="0.25">
      <c r="A34" s="2">
        <v>29</v>
      </c>
      <c r="B34" s="32">
        <f t="shared" si="10"/>
        <v>1.5</v>
      </c>
      <c r="C34" s="7">
        <f t="shared" si="1"/>
        <v>24</v>
      </c>
      <c r="D34" s="4">
        <f t="shared" si="2"/>
        <v>15</v>
      </c>
      <c r="E34" s="7">
        <f t="shared" si="3"/>
        <v>1116.5</v>
      </c>
      <c r="F34" s="7">
        <f t="shared" si="4"/>
        <v>7.4446800000000017</v>
      </c>
      <c r="G34" s="7">
        <f t="shared" si="0"/>
        <v>1162.9446800000001</v>
      </c>
      <c r="H34" s="39"/>
      <c r="I34" s="29">
        <f t="shared" si="11"/>
        <v>1.1000000000000001</v>
      </c>
      <c r="J34" s="7">
        <f t="shared" si="5"/>
        <v>26.400000000000002</v>
      </c>
      <c r="K34" s="7">
        <f t="shared" si="6"/>
        <v>0</v>
      </c>
      <c r="L34" s="4">
        <f t="shared" si="7"/>
        <v>1116.5</v>
      </c>
      <c r="M34" s="4">
        <f t="shared" si="8"/>
        <v>8.644680000000001</v>
      </c>
      <c r="N34" s="4">
        <f t="shared" si="9"/>
        <v>1151.5446800000002</v>
      </c>
      <c r="O34" s="39"/>
      <c r="Q34" s="233"/>
      <c r="R34" s="85"/>
      <c r="S34" s="107">
        <f>W30</f>
        <v>171.5</v>
      </c>
      <c r="T34" s="108">
        <f>S34+$U30</f>
        <v>210</v>
      </c>
      <c r="U34" s="108"/>
      <c r="V34" s="108"/>
      <c r="W34" s="86"/>
      <c r="X34" s="88"/>
      <c r="Y34" s="233"/>
      <c r="Z34" s="233"/>
    </row>
    <row r="35" spans="1:26" x14ac:dyDescent="0.25">
      <c r="A35" s="2">
        <v>30</v>
      </c>
      <c r="B35" s="32">
        <f t="shared" si="10"/>
        <v>1.5</v>
      </c>
      <c r="C35" s="7">
        <f t="shared" si="1"/>
        <v>24</v>
      </c>
      <c r="D35" s="4">
        <f t="shared" si="2"/>
        <v>15</v>
      </c>
      <c r="E35" s="7">
        <f t="shared" si="3"/>
        <v>1155</v>
      </c>
      <c r="F35" s="7">
        <f t="shared" si="4"/>
        <v>7.2876000000000021</v>
      </c>
      <c r="G35" s="7">
        <f t="shared" si="0"/>
        <v>1201.2876000000001</v>
      </c>
      <c r="H35" s="39"/>
      <c r="I35" s="29">
        <f t="shared" si="11"/>
        <v>1.1000000000000001</v>
      </c>
      <c r="J35" s="7">
        <f t="shared" si="5"/>
        <v>26.400000000000002</v>
      </c>
      <c r="K35" s="7">
        <f t="shared" si="6"/>
        <v>0</v>
      </c>
      <c r="L35" s="4">
        <f t="shared" si="7"/>
        <v>1155</v>
      </c>
      <c r="M35" s="4">
        <f t="shared" si="8"/>
        <v>8.4876000000000005</v>
      </c>
      <c r="N35" s="4">
        <f t="shared" si="9"/>
        <v>1189.8876</v>
      </c>
      <c r="O35" s="39"/>
      <c r="Q35" s="233"/>
      <c r="R35" s="91"/>
      <c r="S35" s="92"/>
      <c r="T35" s="92"/>
      <c r="U35" s="92"/>
      <c r="V35" s="92"/>
      <c r="W35" s="92"/>
      <c r="X35" s="94"/>
      <c r="Y35" s="233"/>
      <c r="Z35" s="233"/>
    </row>
    <row r="36" spans="1:26" x14ac:dyDescent="0.25">
      <c r="A36" s="2">
        <v>31</v>
      </c>
      <c r="B36" s="31">
        <v>1.6</v>
      </c>
      <c r="C36" s="7">
        <f t="shared" si="1"/>
        <v>25.6</v>
      </c>
      <c r="D36" s="4">
        <f t="shared" si="2"/>
        <v>15</v>
      </c>
      <c r="E36" s="7">
        <f t="shared" si="3"/>
        <v>1193.5</v>
      </c>
      <c r="F36" s="7">
        <f t="shared" si="4"/>
        <v>7.9305200000000031</v>
      </c>
      <c r="G36" s="7">
        <f t="shared" si="0"/>
        <v>1242.03052</v>
      </c>
      <c r="H36" s="39"/>
      <c r="I36" s="28">
        <v>1.2</v>
      </c>
      <c r="J36" s="7">
        <f t="shared" si="5"/>
        <v>28.799999999999997</v>
      </c>
      <c r="K36" s="7">
        <f t="shared" si="6"/>
        <v>0</v>
      </c>
      <c r="L36" s="4">
        <f t="shared" si="7"/>
        <v>1193.5</v>
      </c>
      <c r="M36" s="4">
        <f t="shared" si="8"/>
        <v>9.5305199999999992</v>
      </c>
      <c r="N36" s="4">
        <f t="shared" si="9"/>
        <v>1231.83052</v>
      </c>
      <c r="O36" s="39"/>
    </row>
    <row r="37" spans="1:26" x14ac:dyDescent="0.25">
      <c r="A37" s="2">
        <v>32</v>
      </c>
      <c r="B37" s="31">
        <f t="shared" si="10"/>
        <v>1.6</v>
      </c>
      <c r="C37" s="7">
        <f t="shared" si="1"/>
        <v>25.6</v>
      </c>
      <c r="D37" s="4">
        <f t="shared" si="2"/>
        <v>15</v>
      </c>
      <c r="E37" s="7">
        <f t="shared" si="3"/>
        <v>1232</v>
      </c>
      <c r="F37" s="7">
        <f t="shared" si="4"/>
        <v>7.7734400000000026</v>
      </c>
      <c r="G37" s="7">
        <f t="shared" si="0"/>
        <v>1280.3734399999998</v>
      </c>
      <c r="H37" s="39"/>
      <c r="I37" s="28">
        <f t="shared" si="11"/>
        <v>1.2</v>
      </c>
      <c r="J37" s="7">
        <f t="shared" si="5"/>
        <v>28.799999999999997</v>
      </c>
      <c r="K37" s="7">
        <f t="shared" si="6"/>
        <v>0</v>
      </c>
      <c r="L37" s="4">
        <f t="shared" si="7"/>
        <v>1232</v>
      </c>
      <c r="M37" s="4">
        <f t="shared" si="8"/>
        <v>9.3734399999999987</v>
      </c>
      <c r="N37" s="4">
        <f t="shared" si="9"/>
        <v>1270.17344</v>
      </c>
      <c r="O37" s="39"/>
    </row>
    <row r="38" spans="1:26" x14ac:dyDescent="0.25">
      <c r="A38" s="2">
        <v>33</v>
      </c>
      <c r="B38" s="31">
        <f t="shared" si="10"/>
        <v>1.6</v>
      </c>
      <c r="C38" s="7">
        <f t="shared" si="1"/>
        <v>25.6</v>
      </c>
      <c r="D38" s="4">
        <f t="shared" si="2"/>
        <v>15</v>
      </c>
      <c r="E38" s="7">
        <f t="shared" si="3"/>
        <v>1270.5</v>
      </c>
      <c r="F38" s="7">
        <f t="shared" si="4"/>
        <v>7.616360000000002</v>
      </c>
      <c r="G38" s="7">
        <f t="shared" si="0"/>
        <v>1318.7163599999999</v>
      </c>
      <c r="H38" s="39"/>
      <c r="I38" s="28">
        <f t="shared" si="11"/>
        <v>1.2</v>
      </c>
      <c r="J38" s="7">
        <f t="shared" si="5"/>
        <v>28.799999999999997</v>
      </c>
      <c r="K38" s="7">
        <f t="shared" si="6"/>
        <v>0</v>
      </c>
      <c r="L38" s="4">
        <f t="shared" si="7"/>
        <v>1270.5</v>
      </c>
      <c r="M38" s="4">
        <f t="shared" si="8"/>
        <v>9.2163599999999981</v>
      </c>
      <c r="N38" s="4">
        <f t="shared" si="9"/>
        <v>1308.5163599999998</v>
      </c>
      <c r="O38" s="39"/>
    </row>
    <row r="39" spans="1:26" x14ac:dyDescent="0.25">
      <c r="A39" s="2">
        <v>34</v>
      </c>
      <c r="B39" s="32">
        <v>1.7</v>
      </c>
      <c r="C39" s="7">
        <f t="shared" si="1"/>
        <v>27.2</v>
      </c>
      <c r="D39" s="4">
        <f t="shared" si="2"/>
        <v>15</v>
      </c>
      <c r="E39" s="7">
        <f t="shared" ref="E39:E41" si="13">$E$2*A39</f>
        <v>1309</v>
      </c>
      <c r="F39" s="7">
        <f t="shared" si="4"/>
        <v>8.2592800000000004</v>
      </c>
      <c r="G39" s="7">
        <f t="shared" ref="G39:G41" si="14">SUM(C39:F39)</f>
        <v>1359.45928</v>
      </c>
      <c r="H39" s="39"/>
      <c r="I39" s="28">
        <f t="shared" si="11"/>
        <v>1.2</v>
      </c>
      <c r="J39" s="7">
        <f t="shared" si="5"/>
        <v>28.799999999999997</v>
      </c>
      <c r="K39" s="7">
        <f t="shared" si="6"/>
        <v>0</v>
      </c>
      <c r="L39" s="4">
        <f t="shared" si="7"/>
        <v>1309</v>
      </c>
      <c r="M39" s="4">
        <f t="shared" si="8"/>
        <v>9.0592799999999993</v>
      </c>
      <c r="N39" s="4">
        <f t="shared" si="9"/>
        <v>1346.8592799999999</v>
      </c>
      <c r="O39" s="39"/>
    </row>
    <row r="40" spans="1:26" x14ac:dyDescent="0.25">
      <c r="A40" s="2">
        <v>35</v>
      </c>
      <c r="B40" s="32">
        <f t="shared" si="10"/>
        <v>1.7</v>
      </c>
      <c r="C40" s="7">
        <f t="shared" si="1"/>
        <v>27.2</v>
      </c>
      <c r="D40" s="4">
        <f t="shared" si="2"/>
        <v>15</v>
      </c>
      <c r="E40" s="7">
        <f t="shared" si="13"/>
        <v>1347.5</v>
      </c>
      <c r="F40" s="7">
        <f t="shared" si="4"/>
        <v>8.1022000000000016</v>
      </c>
      <c r="G40" s="7">
        <f t="shared" si="14"/>
        <v>1397.8022000000001</v>
      </c>
      <c r="H40" s="39"/>
      <c r="I40" s="28">
        <f t="shared" si="11"/>
        <v>1.2</v>
      </c>
      <c r="J40" s="7">
        <f t="shared" si="5"/>
        <v>28.799999999999997</v>
      </c>
      <c r="K40" s="7">
        <f t="shared" si="6"/>
        <v>0</v>
      </c>
      <c r="L40" s="4">
        <f t="shared" si="7"/>
        <v>1347.5</v>
      </c>
      <c r="M40" s="4">
        <f t="shared" si="8"/>
        <v>8.9022000000000006</v>
      </c>
      <c r="N40" s="4">
        <f t="shared" si="9"/>
        <v>1385.2021999999999</v>
      </c>
      <c r="O40" s="39"/>
    </row>
    <row r="41" spans="1:26" ht="15.75" thickBot="1" x14ac:dyDescent="0.3">
      <c r="A41" s="2">
        <v>36</v>
      </c>
      <c r="B41" s="32">
        <f t="shared" si="10"/>
        <v>1.7</v>
      </c>
      <c r="C41" s="7">
        <f t="shared" si="1"/>
        <v>27.2</v>
      </c>
      <c r="D41" s="4">
        <f t="shared" si="2"/>
        <v>15</v>
      </c>
      <c r="E41" s="7">
        <f t="shared" si="13"/>
        <v>1386</v>
      </c>
      <c r="F41" s="7">
        <f t="shared" si="4"/>
        <v>7.9451200000000011</v>
      </c>
      <c r="G41" s="7">
        <f t="shared" si="14"/>
        <v>1436.1451200000001</v>
      </c>
      <c r="H41" s="39"/>
      <c r="I41" s="29">
        <v>1.3</v>
      </c>
      <c r="J41" s="7">
        <f t="shared" si="5"/>
        <v>31.200000000000003</v>
      </c>
      <c r="K41" s="7">
        <f t="shared" si="6"/>
        <v>0</v>
      </c>
      <c r="L41" s="4">
        <f t="shared" si="7"/>
        <v>1386</v>
      </c>
      <c r="M41" s="4">
        <f t="shared" si="8"/>
        <v>9.9451200000000011</v>
      </c>
      <c r="N41" s="4">
        <f t="shared" si="9"/>
        <v>1427.1451200000001</v>
      </c>
      <c r="O41" s="39"/>
    </row>
    <row r="42" spans="1:26" ht="9.9499999999999993" customHeight="1" thickTop="1" thickBot="1" x14ac:dyDescent="0.3">
      <c r="A42" s="67"/>
      <c r="B42" s="68"/>
      <c r="C42" s="67"/>
      <c r="D42" s="67"/>
      <c r="E42" s="67"/>
      <c r="F42" s="67"/>
      <c r="G42" s="67"/>
      <c r="H42" s="69"/>
      <c r="I42" s="68"/>
      <c r="J42" s="67"/>
      <c r="K42" s="67"/>
      <c r="L42" s="67"/>
      <c r="M42" s="67"/>
      <c r="N42" s="67"/>
      <c r="O42" s="70"/>
    </row>
    <row r="43" spans="1:26" ht="15.75" thickTop="1" x14ac:dyDescent="0.25">
      <c r="B43" s="32"/>
      <c r="H43" s="39"/>
      <c r="I43" s="29"/>
      <c r="O43" s="39"/>
    </row>
    <row r="44" spans="1:26" x14ac:dyDescent="0.25">
      <c r="A44" s="3" t="s">
        <v>64</v>
      </c>
      <c r="B44" s="58" t="s">
        <v>65</v>
      </c>
      <c r="C44" s="59"/>
      <c r="D44" s="60"/>
      <c r="H44" s="40"/>
      <c r="I44" s="29"/>
      <c r="O44" s="40"/>
    </row>
    <row r="45" spans="1:26" x14ac:dyDescent="0.25">
      <c r="A45" s="3" t="s">
        <v>12</v>
      </c>
      <c r="B45" s="30" t="s">
        <v>10</v>
      </c>
      <c r="C45" s="9">
        <f>C2</f>
        <v>40</v>
      </c>
      <c r="E45" s="24">
        <f>E2</f>
        <v>38.5</v>
      </c>
      <c r="F45" s="9">
        <f>F2</f>
        <v>20</v>
      </c>
      <c r="H45" s="40"/>
      <c r="I45" s="29"/>
      <c r="O45" s="40"/>
    </row>
    <row r="46" spans="1:26" x14ac:dyDescent="0.25">
      <c r="B46" s="27"/>
      <c r="C46" s="8" t="s">
        <v>2</v>
      </c>
      <c r="D46" s="2" t="s">
        <v>3</v>
      </c>
      <c r="E46" s="2" t="s">
        <v>1</v>
      </c>
      <c r="F46" s="2" t="s">
        <v>5</v>
      </c>
      <c r="G46" s="287" t="s">
        <v>6</v>
      </c>
      <c r="H46" s="39"/>
      <c r="I46" s="27"/>
      <c r="J46" s="8" t="s">
        <v>2</v>
      </c>
      <c r="K46" s="2" t="s">
        <v>3</v>
      </c>
      <c r="L46" s="2" t="s">
        <v>1</v>
      </c>
      <c r="M46" s="2" t="s">
        <v>5</v>
      </c>
      <c r="N46" s="287" t="s">
        <v>6</v>
      </c>
      <c r="O46" s="39"/>
    </row>
    <row r="47" spans="1:26" x14ac:dyDescent="0.25">
      <c r="A47" s="1" t="s">
        <v>8</v>
      </c>
      <c r="B47" s="27" t="s">
        <v>7</v>
      </c>
      <c r="C47" s="8" t="s">
        <v>37</v>
      </c>
      <c r="D47" s="61" t="s">
        <v>68</v>
      </c>
      <c r="E47" s="2" t="s">
        <v>4</v>
      </c>
      <c r="F47" s="2" t="s">
        <v>9</v>
      </c>
      <c r="G47" s="287"/>
      <c r="H47" s="39"/>
      <c r="I47" s="27" t="s">
        <v>7</v>
      </c>
      <c r="J47" s="8" t="s">
        <v>36</v>
      </c>
      <c r="K47" s="61" t="str">
        <f>D47</f>
        <v>over 0.9m</v>
      </c>
      <c r="L47" s="2" t="s">
        <v>4</v>
      </c>
      <c r="M47" s="2" t="s">
        <v>9</v>
      </c>
      <c r="N47" s="287"/>
      <c r="O47" s="39"/>
    </row>
    <row r="48" spans="1:26" x14ac:dyDescent="0.25">
      <c r="B48" s="27"/>
      <c r="C48" s="20">
        <v>0.6</v>
      </c>
      <c r="D48" s="20">
        <v>0.9</v>
      </c>
      <c r="E48" s="20">
        <v>0.1</v>
      </c>
      <c r="H48" s="39"/>
      <c r="I48" s="26"/>
      <c r="J48" s="20">
        <v>0.8</v>
      </c>
      <c r="O48" s="39"/>
    </row>
    <row r="49" spans="1:26" x14ac:dyDescent="0.25">
      <c r="A49" s="2">
        <v>1</v>
      </c>
      <c r="B49" s="31">
        <v>0.6</v>
      </c>
      <c r="C49" s="4">
        <f>$C45*C48*B49</f>
        <v>14.399999999999999</v>
      </c>
      <c r="D49" s="4">
        <f>IF(B49&gt;D$48,D$2,0)</f>
        <v>0</v>
      </c>
      <c r="E49" s="4">
        <f>$E45*$A49</f>
        <v>38.5</v>
      </c>
      <c r="F49" s="4">
        <f>(($C48*B49)-(3.1416*($E48/2)*($E48/2)*$A49))*$F45</f>
        <v>7.0429199999999987</v>
      </c>
      <c r="G49" s="4">
        <f>SUM(C49:F49)</f>
        <v>59.942920000000001</v>
      </c>
      <c r="H49" s="39"/>
      <c r="I49" s="28">
        <v>0.6</v>
      </c>
      <c r="J49" s="7">
        <f>$C45*J48*I49</f>
        <v>19.2</v>
      </c>
      <c r="K49" s="7">
        <f>IF(I49&gt;D$48,D$2,0)</f>
        <v>0</v>
      </c>
      <c r="L49" s="7">
        <f>$E45*$A49</f>
        <v>38.5</v>
      </c>
      <c r="M49" s="7">
        <f>(($J48*I49)-(3.1416*($E48/2)*($E48/2)*$A49))*$F45</f>
        <v>9.4429199999999991</v>
      </c>
      <c r="N49" s="7">
        <f>SUM(J49:M49)</f>
        <v>67.142920000000004</v>
      </c>
      <c r="O49" s="39"/>
    </row>
    <row r="50" spans="1:26" x14ac:dyDescent="0.25">
      <c r="A50" s="2">
        <v>2</v>
      </c>
      <c r="B50" s="31">
        <f>B49</f>
        <v>0.6</v>
      </c>
      <c r="C50" s="4">
        <f t="shared" ref="C50:C84" si="15">$C$45*C$48*B50</f>
        <v>14.399999999999999</v>
      </c>
      <c r="D50" s="4">
        <f t="shared" ref="D50:D84" si="16">IF(B50&gt;D$48,D$2,0)</f>
        <v>0</v>
      </c>
      <c r="E50" s="4">
        <f t="shared" ref="E50:E84" si="17">$E$45*$A50</f>
        <v>77</v>
      </c>
      <c r="F50" s="4">
        <f t="shared" ref="F50:F84" si="18">(($C$48*B50)-(3.1416*($E$48/2)*($E$48/2)*$A50))*$F$45</f>
        <v>6.88584</v>
      </c>
      <c r="G50" s="4">
        <f t="shared" ref="G50:G81" si="19">SUM(C50:F50)</f>
        <v>98.285840000000007</v>
      </c>
      <c r="H50" s="39"/>
      <c r="I50" s="28">
        <f>I49</f>
        <v>0.6</v>
      </c>
      <c r="J50" s="7">
        <f t="shared" ref="J50:J84" si="20">$C$45*J$48*I50</f>
        <v>19.2</v>
      </c>
      <c r="K50" s="7">
        <f t="shared" ref="K50:K84" si="21">IF(I50&gt;D$48,D$2,0)</f>
        <v>0</v>
      </c>
      <c r="L50" s="7">
        <f t="shared" ref="L50:L84" si="22">$E$45*$A50</f>
        <v>77</v>
      </c>
      <c r="M50" s="7">
        <f t="shared" ref="M50:M84" si="23">(($J$48*I50)-(3.1416*($E$48/2)*($E$48/2)*$A50))*$F$45</f>
        <v>9.2858400000000003</v>
      </c>
      <c r="N50" s="7">
        <f t="shared" ref="N50:N84" si="24">SUM(J50:M50)</f>
        <v>105.48584</v>
      </c>
      <c r="O50" s="39"/>
    </row>
    <row r="51" spans="1:26" x14ac:dyDescent="0.25">
      <c r="A51" s="2">
        <v>3</v>
      </c>
      <c r="B51" s="31">
        <f t="shared" ref="B51:B84" si="25">B50</f>
        <v>0.6</v>
      </c>
      <c r="C51" s="4">
        <f t="shared" si="15"/>
        <v>14.399999999999999</v>
      </c>
      <c r="D51" s="4">
        <f t="shared" si="16"/>
        <v>0</v>
      </c>
      <c r="E51" s="4">
        <f t="shared" si="17"/>
        <v>115.5</v>
      </c>
      <c r="F51" s="4">
        <f t="shared" si="18"/>
        <v>6.7287600000000003</v>
      </c>
      <c r="G51" s="4">
        <f t="shared" si="19"/>
        <v>136.62876</v>
      </c>
      <c r="H51" s="39"/>
      <c r="I51" s="28">
        <f t="shared" ref="I51:I84" si="26">I50</f>
        <v>0.6</v>
      </c>
      <c r="J51" s="7">
        <f t="shared" si="20"/>
        <v>19.2</v>
      </c>
      <c r="K51" s="7">
        <f t="shared" si="21"/>
        <v>0</v>
      </c>
      <c r="L51" s="7">
        <f t="shared" si="22"/>
        <v>115.5</v>
      </c>
      <c r="M51" s="7">
        <f t="shared" si="23"/>
        <v>9.1287599999999998</v>
      </c>
      <c r="N51" s="7">
        <f t="shared" si="24"/>
        <v>143.82875999999999</v>
      </c>
      <c r="O51" s="39"/>
      <c r="Z51" s="6"/>
    </row>
    <row r="52" spans="1:26" x14ac:dyDescent="0.25">
      <c r="A52" s="2">
        <v>4</v>
      </c>
      <c r="B52" s="31">
        <f t="shared" si="25"/>
        <v>0.6</v>
      </c>
      <c r="C52" s="4">
        <f t="shared" si="15"/>
        <v>14.399999999999999</v>
      </c>
      <c r="D52" s="4">
        <f t="shared" si="16"/>
        <v>0</v>
      </c>
      <c r="E52" s="4">
        <f t="shared" si="17"/>
        <v>154</v>
      </c>
      <c r="F52" s="4">
        <f t="shared" si="18"/>
        <v>6.5716799999999997</v>
      </c>
      <c r="G52" s="4">
        <f t="shared" si="19"/>
        <v>174.97167999999999</v>
      </c>
      <c r="H52" s="39"/>
      <c r="I52" s="28">
        <f t="shared" si="26"/>
        <v>0.6</v>
      </c>
      <c r="J52" s="7">
        <f t="shared" si="20"/>
        <v>19.2</v>
      </c>
      <c r="K52" s="7">
        <f t="shared" si="21"/>
        <v>0</v>
      </c>
      <c r="L52" s="7">
        <f t="shared" si="22"/>
        <v>154</v>
      </c>
      <c r="M52" s="7">
        <f t="shared" si="23"/>
        <v>8.9716799999999992</v>
      </c>
      <c r="N52" s="7">
        <f t="shared" si="24"/>
        <v>182.17167999999998</v>
      </c>
      <c r="O52" s="39"/>
    </row>
    <row r="53" spans="1:26" x14ac:dyDescent="0.25">
      <c r="A53" s="2">
        <v>5</v>
      </c>
      <c r="B53" s="31">
        <f t="shared" si="25"/>
        <v>0.6</v>
      </c>
      <c r="C53" s="4">
        <f t="shared" si="15"/>
        <v>14.399999999999999</v>
      </c>
      <c r="D53" s="4">
        <f t="shared" si="16"/>
        <v>0</v>
      </c>
      <c r="E53" s="4">
        <f t="shared" si="17"/>
        <v>192.5</v>
      </c>
      <c r="F53" s="4">
        <f t="shared" si="18"/>
        <v>6.4145999999999992</v>
      </c>
      <c r="G53" s="4">
        <f t="shared" si="19"/>
        <v>213.31460000000001</v>
      </c>
      <c r="H53" s="39"/>
      <c r="I53" s="28">
        <f t="shared" si="26"/>
        <v>0.6</v>
      </c>
      <c r="J53" s="7">
        <f t="shared" si="20"/>
        <v>19.2</v>
      </c>
      <c r="K53" s="7">
        <f t="shared" si="21"/>
        <v>0</v>
      </c>
      <c r="L53" s="7">
        <f t="shared" si="22"/>
        <v>192.5</v>
      </c>
      <c r="M53" s="7">
        <f t="shared" si="23"/>
        <v>8.8145999999999987</v>
      </c>
      <c r="N53" s="7">
        <f t="shared" si="24"/>
        <v>220.51459999999997</v>
      </c>
      <c r="O53" s="39"/>
      <c r="R53" s="256" t="s">
        <v>168</v>
      </c>
    </row>
    <row r="54" spans="1:26" x14ac:dyDescent="0.25">
      <c r="A54" s="2">
        <v>6</v>
      </c>
      <c r="B54" s="32">
        <v>0.7</v>
      </c>
      <c r="C54" s="4">
        <f t="shared" si="15"/>
        <v>16.799999999999997</v>
      </c>
      <c r="D54" s="4">
        <f t="shared" si="16"/>
        <v>0</v>
      </c>
      <c r="E54" s="4">
        <f t="shared" si="17"/>
        <v>231</v>
      </c>
      <c r="F54" s="4">
        <f t="shared" si="18"/>
        <v>7.4575199999999997</v>
      </c>
      <c r="G54" s="4">
        <f t="shared" si="19"/>
        <v>255.25752</v>
      </c>
      <c r="H54" s="39"/>
      <c r="I54" s="28">
        <f t="shared" si="26"/>
        <v>0.6</v>
      </c>
      <c r="J54" s="7">
        <f t="shared" si="20"/>
        <v>19.2</v>
      </c>
      <c r="K54" s="7">
        <f t="shared" si="21"/>
        <v>0</v>
      </c>
      <c r="L54" s="7">
        <f t="shared" si="22"/>
        <v>231</v>
      </c>
      <c r="M54" s="7">
        <f t="shared" si="23"/>
        <v>8.6575199999999999</v>
      </c>
      <c r="N54" s="7">
        <f t="shared" si="24"/>
        <v>258.85751999999997</v>
      </c>
      <c r="O54" s="39"/>
    </row>
    <row r="55" spans="1:26" x14ac:dyDescent="0.25">
      <c r="A55" s="2">
        <v>7</v>
      </c>
      <c r="B55" s="32">
        <f t="shared" si="25"/>
        <v>0.7</v>
      </c>
      <c r="C55" s="4">
        <f t="shared" si="15"/>
        <v>16.799999999999997</v>
      </c>
      <c r="D55" s="4">
        <f t="shared" si="16"/>
        <v>0</v>
      </c>
      <c r="E55" s="4">
        <f t="shared" si="17"/>
        <v>269.5</v>
      </c>
      <c r="F55" s="4">
        <f t="shared" si="18"/>
        <v>7.3004399999999992</v>
      </c>
      <c r="G55" s="4">
        <f t="shared" si="19"/>
        <v>293.60043999999999</v>
      </c>
      <c r="H55" s="39"/>
      <c r="I55" s="28">
        <f t="shared" si="26"/>
        <v>0.6</v>
      </c>
      <c r="J55" s="7">
        <f t="shared" si="20"/>
        <v>19.2</v>
      </c>
      <c r="K55" s="7">
        <f t="shared" si="21"/>
        <v>0</v>
      </c>
      <c r="L55" s="7">
        <f t="shared" si="22"/>
        <v>269.5</v>
      </c>
      <c r="M55" s="7">
        <f t="shared" si="23"/>
        <v>8.5004400000000011</v>
      </c>
      <c r="N55" s="7">
        <f t="shared" si="24"/>
        <v>297.20044000000001</v>
      </c>
      <c r="O55" s="39"/>
      <c r="S55" t="s">
        <v>167</v>
      </c>
    </row>
    <row r="56" spans="1:26" x14ac:dyDescent="0.25">
      <c r="A56" s="2">
        <v>8</v>
      </c>
      <c r="B56" s="32">
        <f t="shared" si="25"/>
        <v>0.7</v>
      </c>
      <c r="C56" s="4">
        <f t="shared" si="15"/>
        <v>16.799999999999997</v>
      </c>
      <c r="D56" s="4">
        <f t="shared" si="16"/>
        <v>0</v>
      </c>
      <c r="E56" s="4">
        <f t="shared" si="17"/>
        <v>308</v>
      </c>
      <c r="F56" s="4">
        <f t="shared" si="18"/>
        <v>7.1433599999999995</v>
      </c>
      <c r="G56" s="4">
        <f t="shared" si="19"/>
        <v>331.94335999999998</v>
      </c>
      <c r="H56" s="39"/>
      <c r="I56" s="29">
        <v>0.7</v>
      </c>
      <c r="J56" s="7">
        <f t="shared" si="20"/>
        <v>22.4</v>
      </c>
      <c r="K56" s="7">
        <f t="shared" si="21"/>
        <v>0</v>
      </c>
      <c r="L56" s="7">
        <f t="shared" si="22"/>
        <v>308</v>
      </c>
      <c r="M56" s="7">
        <f t="shared" si="23"/>
        <v>9.9433599999999984</v>
      </c>
      <c r="N56" s="7">
        <f t="shared" si="24"/>
        <v>340.34335999999996</v>
      </c>
      <c r="O56" s="39"/>
      <c r="R56" s="1" t="s">
        <v>173</v>
      </c>
      <c r="S56" t="s">
        <v>169</v>
      </c>
      <c r="T56" s="21">
        <f>48/0.4</f>
        <v>120</v>
      </c>
      <c r="U56" t="s">
        <v>170</v>
      </c>
    </row>
    <row r="57" spans="1:26" x14ac:dyDescent="0.25">
      <c r="A57" s="2">
        <v>9</v>
      </c>
      <c r="B57" s="32">
        <f t="shared" si="25"/>
        <v>0.7</v>
      </c>
      <c r="C57" s="4">
        <f t="shared" si="15"/>
        <v>16.799999999999997</v>
      </c>
      <c r="D57" s="4">
        <f t="shared" si="16"/>
        <v>0</v>
      </c>
      <c r="E57" s="4">
        <f t="shared" si="17"/>
        <v>346.5</v>
      </c>
      <c r="F57" s="4">
        <f t="shared" si="18"/>
        <v>6.9862800000000007</v>
      </c>
      <c r="G57" s="4">
        <f t="shared" si="19"/>
        <v>370.28628000000003</v>
      </c>
      <c r="H57" s="39"/>
      <c r="I57" s="29">
        <f t="shared" si="26"/>
        <v>0.7</v>
      </c>
      <c r="J57" s="7">
        <f t="shared" si="20"/>
        <v>22.4</v>
      </c>
      <c r="K57" s="7">
        <f t="shared" si="21"/>
        <v>0</v>
      </c>
      <c r="L57" s="7">
        <f t="shared" si="22"/>
        <v>346.5</v>
      </c>
      <c r="M57" s="7">
        <f t="shared" si="23"/>
        <v>9.7862799999999979</v>
      </c>
      <c r="N57" s="7">
        <f t="shared" si="24"/>
        <v>378.68627999999995</v>
      </c>
      <c r="O57" s="39"/>
    </row>
    <row r="58" spans="1:26" x14ac:dyDescent="0.25">
      <c r="A58" s="2">
        <v>10</v>
      </c>
      <c r="B58" s="32">
        <f t="shared" si="25"/>
        <v>0.7</v>
      </c>
      <c r="C58" s="4">
        <f t="shared" si="15"/>
        <v>16.799999999999997</v>
      </c>
      <c r="D58" s="4">
        <f t="shared" si="16"/>
        <v>0</v>
      </c>
      <c r="E58" s="4">
        <f t="shared" si="17"/>
        <v>385</v>
      </c>
      <c r="F58" s="4">
        <f t="shared" si="18"/>
        <v>6.8292000000000002</v>
      </c>
      <c r="G58" s="4">
        <f t="shared" si="19"/>
        <v>408.62920000000003</v>
      </c>
      <c r="H58" s="39"/>
      <c r="I58" s="29">
        <f t="shared" si="26"/>
        <v>0.7</v>
      </c>
      <c r="J58" s="7">
        <f t="shared" si="20"/>
        <v>22.4</v>
      </c>
      <c r="K58" s="7">
        <f t="shared" si="21"/>
        <v>0</v>
      </c>
      <c r="L58" s="7">
        <f t="shared" si="22"/>
        <v>385</v>
      </c>
      <c r="M58" s="7">
        <f t="shared" si="23"/>
        <v>9.6291999999999991</v>
      </c>
      <c r="N58" s="7">
        <f t="shared" si="24"/>
        <v>417.0292</v>
      </c>
      <c r="O58" s="39"/>
      <c r="S58" t="s">
        <v>171</v>
      </c>
    </row>
    <row r="59" spans="1:26" x14ac:dyDescent="0.25">
      <c r="A59" s="2">
        <v>11</v>
      </c>
      <c r="B59" s="31">
        <v>0.8</v>
      </c>
      <c r="C59" s="4">
        <f t="shared" si="15"/>
        <v>19.200000000000003</v>
      </c>
      <c r="D59" s="4">
        <f t="shared" si="16"/>
        <v>0</v>
      </c>
      <c r="E59" s="4">
        <f t="shared" si="17"/>
        <v>423.5</v>
      </c>
      <c r="F59" s="4">
        <f t="shared" si="18"/>
        <v>7.8721200000000007</v>
      </c>
      <c r="G59" s="4">
        <f t="shared" si="19"/>
        <v>450.57211999999998</v>
      </c>
      <c r="H59" s="39"/>
      <c r="I59" s="29">
        <f t="shared" si="26"/>
        <v>0.7</v>
      </c>
      <c r="J59" s="7">
        <f t="shared" si="20"/>
        <v>22.4</v>
      </c>
      <c r="K59" s="7">
        <f t="shared" si="21"/>
        <v>0</v>
      </c>
      <c r="L59" s="7">
        <f t="shared" si="22"/>
        <v>423.5</v>
      </c>
      <c r="M59" s="7">
        <f t="shared" si="23"/>
        <v>9.4721200000000003</v>
      </c>
      <c r="N59" s="7">
        <f t="shared" si="24"/>
        <v>455.37212</v>
      </c>
      <c r="O59" s="39"/>
      <c r="S59" t="s">
        <v>172</v>
      </c>
    </row>
    <row r="60" spans="1:26" x14ac:dyDescent="0.25">
      <c r="A60" s="2">
        <v>12</v>
      </c>
      <c r="B60" s="31">
        <f t="shared" si="25"/>
        <v>0.8</v>
      </c>
      <c r="C60" s="4">
        <f t="shared" si="15"/>
        <v>19.200000000000003</v>
      </c>
      <c r="D60" s="4">
        <f t="shared" si="16"/>
        <v>0</v>
      </c>
      <c r="E60" s="4">
        <f t="shared" si="17"/>
        <v>462</v>
      </c>
      <c r="F60" s="4">
        <f t="shared" si="18"/>
        <v>7.7150400000000001</v>
      </c>
      <c r="G60" s="4">
        <f t="shared" si="19"/>
        <v>488.91503999999998</v>
      </c>
      <c r="H60" s="39"/>
      <c r="I60" s="29">
        <f t="shared" si="26"/>
        <v>0.7</v>
      </c>
      <c r="J60" s="7">
        <f t="shared" si="20"/>
        <v>22.4</v>
      </c>
      <c r="K60" s="7">
        <f t="shared" si="21"/>
        <v>0</v>
      </c>
      <c r="L60" s="7">
        <f t="shared" si="22"/>
        <v>462</v>
      </c>
      <c r="M60" s="7">
        <f t="shared" si="23"/>
        <v>9.3150399999999998</v>
      </c>
      <c r="N60" s="7">
        <f t="shared" si="24"/>
        <v>493.71503999999999</v>
      </c>
      <c r="O60" s="39"/>
      <c r="S60" s="131">
        <v>160</v>
      </c>
    </row>
    <row r="61" spans="1:26" x14ac:dyDescent="0.25">
      <c r="A61" s="2">
        <v>13</v>
      </c>
      <c r="B61" s="31">
        <f t="shared" si="25"/>
        <v>0.8</v>
      </c>
      <c r="C61" s="4">
        <f t="shared" si="15"/>
        <v>19.200000000000003</v>
      </c>
      <c r="D61" s="4">
        <f t="shared" si="16"/>
        <v>0</v>
      </c>
      <c r="E61" s="4">
        <f t="shared" si="17"/>
        <v>500.5</v>
      </c>
      <c r="F61" s="4">
        <f t="shared" si="18"/>
        <v>7.5579599999999996</v>
      </c>
      <c r="G61" s="4">
        <f t="shared" si="19"/>
        <v>527.25796000000003</v>
      </c>
      <c r="H61" s="39"/>
      <c r="I61" s="29">
        <f t="shared" si="26"/>
        <v>0.7</v>
      </c>
      <c r="J61" s="7">
        <f t="shared" si="20"/>
        <v>22.4</v>
      </c>
      <c r="K61" s="7">
        <f t="shared" si="21"/>
        <v>0</v>
      </c>
      <c r="L61" s="7">
        <f t="shared" si="22"/>
        <v>500.5</v>
      </c>
      <c r="M61" s="7">
        <f t="shared" si="23"/>
        <v>9.1579599999999992</v>
      </c>
      <c r="N61" s="7">
        <f t="shared" si="24"/>
        <v>532.05795999999998</v>
      </c>
      <c r="O61" s="39"/>
      <c r="Y61" s="6"/>
    </row>
    <row r="62" spans="1:26" x14ac:dyDescent="0.25">
      <c r="A62" s="2">
        <v>14</v>
      </c>
      <c r="B62" s="31">
        <f t="shared" si="25"/>
        <v>0.8</v>
      </c>
      <c r="C62" s="4">
        <f t="shared" si="15"/>
        <v>19.200000000000003</v>
      </c>
      <c r="D62" s="4">
        <f t="shared" si="16"/>
        <v>0</v>
      </c>
      <c r="E62" s="4">
        <f t="shared" si="17"/>
        <v>539</v>
      </c>
      <c r="F62" s="4">
        <f t="shared" si="18"/>
        <v>7.4008799999999999</v>
      </c>
      <c r="G62" s="4">
        <f t="shared" si="19"/>
        <v>565.60088000000007</v>
      </c>
      <c r="H62" s="39"/>
      <c r="I62" s="29">
        <f t="shared" si="26"/>
        <v>0.7</v>
      </c>
      <c r="J62" s="7">
        <f t="shared" si="20"/>
        <v>22.4</v>
      </c>
      <c r="K62" s="7">
        <f t="shared" si="21"/>
        <v>0</v>
      </c>
      <c r="L62" s="7">
        <f t="shared" si="22"/>
        <v>539</v>
      </c>
      <c r="M62" s="7">
        <f t="shared" si="23"/>
        <v>9.0008799999999987</v>
      </c>
      <c r="N62" s="7">
        <f t="shared" si="24"/>
        <v>570.40088000000003</v>
      </c>
      <c r="O62" s="39"/>
      <c r="S62" s="133">
        <f>F88</f>
        <v>40</v>
      </c>
      <c r="T62" t="s">
        <v>174</v>
      </c>
    </row>
    <row r="63" spans="1:26" x14ac:dyDescent="0.25">
      <c r="A63" s="2">
        <v>15</v>
      </c>
      <c r="B63" s="31">
        <f t="shared" si="25"/>
        <v>0.8</v>
      </c>
      <c r="C63" s="4">
        <f t="shared" si="15"/>
        <v>19.200000000000003</v>
      </c>
      <c r="D63" s="4">
        <f t="shared" si="16"/>
        <v>0</v>
      </c>
      <c r="E63" s="4">
        <f t="shared" si="17"/>
        <v>577.5</v>
      </c>
      <c r="F63" s="4">
        <f t="shared" si="18"/>
        <v>7.2438000000000002</v>
      </c>
      <c r="G63" s="4">
        <f t="shared" si="19"/>
        <v>603.94380000000001</v>
      </c>
      <c r="H63" s="39"/>
      <c r="I63" s="28">
        <v>0.8</v>
      </c>
      <c r="J63" s="7">
        <f t="shared" si="20"/>
        <v>25.6</v>
      </c>
      <c r="K63" s="7">
        <f t="shared" si="21"/>
        <v>0</v>
      </c>
      <c r="L63" s="7">
        <f t="shared" si="22"/>
        <v>577.5</v>
      </c>
      <c r="M63" s="7">
        <f t="shared" si="23"/>
        <v>10.443800000000003</v>
      </c>
      <c r="N63" s="7">
        <f t="shared" si="24"/>
        <v>613.54380000000003</v>
      </c>
      <c r="O63" s="39"/>
    </row>
    <row r="64" spans="1:26" x14ac:dyDescent="0.25">
      <c r="A64" s="2">
        <v>16</v>
      </c>
      <c r="B64" s="32">
        <v>0.9</v>
      </c>
      <c r="C64" s="4">
        <f t="shared" si="15"/>
        <v>21.6</v>
      </c>
      <c r="D64" s="4">
        <f t="shared" si="16"/>
        <v>0</v>
      </c>
      <c r="E64" s="4">
        <f t="shared" si="17"/>
        <v>616</v>
      </c>
      <c r="F64" s="4">
        <f t="shared" si="18"/>
        <v>8.2867200000000008</v>
      </c>
      <c r="G64" s="4">
        <f t="shared" si="19"/>
        <v>645.88671999999997</v>
      </c>
      <c r="H64" s="39"/>
      <c r="I64" s="28">
        <f t="shared" si="26"/>
        <v>0.8</v>
      </c>
      <c r="J64" s="7">
        <f t="shared" si="20"/>
        <v>25.6</v>
      </c>
      <c r="K64" s="7">
        <f t="shared" si="21"/>
        <v>0</v>
      </c>
      <c r="L64" s="7">
        <f t="shared" si="22"/>
        <v>616</v>
      </c>
      <c r="M64" s="7">
        <f t="shared" si="23"/>
        <v>10.286720000000003</v>
      </c>
      <c r="N64" s="7">
        <f t="shared" si="24"/>
        <v>651.88671999999997</v>
      </c>
      <c r="O64" s="39"/>
      <c r="S64" s="134">
        <v>15</v>
      </c>
      <c r="T64" s="288" t="s">
        <v>280</v>
      </c>
      <c r="U64" s="288"/>
      <c r="V64" s="288"/>
      <c r="W64" s="288"/>
      <c r="X64" s="288"/>
      <c r="Y64" s="288"/>
      <c r="Z64" s="288"/>
    </row>
    <row r="65" spans="1:26" x14ac:dyDescent="0.25">
      <c r="A65" s="2">
        <v>17</v>
      </c>
      <c r="B65" s="32">
        <f t="shared" si="25"/>
        <v>0.9</v>
      </c>
      <c r="C65" s="4">
        <f t="shared" si="15"/>
        <v>21.6</v>
      </c>
      <c r="D65" s="4">
        <f t="shared" si="16"/>
        <v>0</v>
      </c>
      <c r="E65" s="4">
        <f t="shared" si="17"/>
        <v>654.5</v>
      </c>
      <c r="F65" s="4">
        <f t="shared" si="18"/>
        <v>8.1296400000000002</v>
      </c>
      <c r="G65" s="4">
        <f t="shared" si="19"/>
        <v>684.22964000000002</v>
      </c>
      <c r="H65" s="39"/>
      <c r="I65" s="28">
        <f t="shared" si="26"/>
        <v>0.8</v>
      </c>
      <c r="J65" s="7">
        <f t="shared" si="20"/>
        <v>25.6</v>
      </c>
      <c r="K65" s="7">
        <f t="shared" si="21"/>
        <v>0</v>
      </c>
      <c r="L65" s="7">
        <f t="shared" si="22"/>
        <v>654.5</v>
      </c>
      <c r="M65" s="7">
        <f t="shared" si="23"/>
        <v>10.129640000000002</v>
      </c>
      <c r="N65" s="7">
        <f t="shared" si="24"/>
        <v>690.22964000000002</v>
      </c>
      <c r="O65" s="39"/>
      <c r="T65" s="288"/>
      <c r="U65" s="288"/>
      <c r="V65" s="288"/>
      <c r="W65" s="288"/>
      <c r="X65" s="288"/>
      <c r="Y65" s="288"/>
      <c r="Z65" s="288"/>
    </row>
    <row r="66" spans="1:26" x14ac:dyDescent="0.25">
      <c r="A66" s="2">
        <v>18</v>
      </c>
      <c r="B66" s="32">
        <f t="shared" si="25"/>
        <v>0.9</v>
      </c>
      <c r="C66" s="4">
        <f t="shared" si="15"/>
        <v>21.6</v>
      </c>
      <c r="D66" s="4">
        <f t="shared" si="16"/>
        <v>0</v>
      </c>
      <c r="E66" s="4">
        <f t="shared" si="17"/>
        <v>693</v>
      </c>
      <c r="F66" s="4">
        <f t="shared" si="18"/>
        <v>7.9725600000000005</v>
      </c>
      <c r="G66" s="4">
        <f t="shared" si="19"/>
        <v>722.57256000000007</v>
      </c>
      <c r="H66" s="39"/>
      <c r="I66" s="28">
        <f t="shared" si="26"/>
        <v>0.8</v>
      </c>
      <c r="J66" s="7">
        <f t="shared" si="20"/>
        <v>25.6</v>
      </c>
      <c r="K66" s="7">
        <f t="shared" si="21"/>
        <v>0</v>
      </c>
      <c r="L66" s="7">
        <f t="shared" si="22"/>
        <v>693</v>
      </c>
      <c r="M66" s="7">
        <f t="shared" si="23"/>
        <v>9.9725600000000032</v>
      </c>
      <c r="N66" s="7">
        <f t="shared" si="24"/>
        <v>728.57256000000007</v>
      </c>
      <c r="O66" s="39"/>
    </row>
    <row r="67" spans="1:26" x14ac:dyDescent="0.25">
      <c r="A67" s="2">
        <v>19</v>
      </c>
      <c r="B67" s="32">
        <f t="shared" si="25"/>
        <v>0.9</v>
      </c>
      <c r="C67" s="4">
        <f t="shared" si="15"/>
        <v>21.6</v>
      </c>
      <c r="D67" s="4">
        <f t="shared" si="16"/>
        <v>0</v>
      </c>
      <c r="E67" s="4">
        <f t="shared" si="17"/>
        <v>731.5</v>
      </c>
      <c r="F67" s="4">
        <f t="shared" si="18"/>
        <v>7.8154800000000009</v>
      </c>
      <c r="G67" s="4">
        <f t="shared" si="19"/>
        <v>760.91548</v>
      </c>
      <c r="H67" s="39"/>
      <c r="I67" s="28">
        <f t="shared" si="26"/>
        <v>0.8</v>
      </c>
      <c r="J67" s="7">
        <f t="shared" si="20"/>
        <v>25.6</v>
      </c>
      <c r="K67" s="7">
        <f t="shared" si="21"/>
        <v>0</v>
      </c>
      <c r="L67" s="7">
        <f t="shared" si="22"/>
        <v>731.5</v>
      </c>
      <c r="M67" s="7">
        <f t="shared" si="23"/>
        <v>9.8154800000000026</v>
      </c>
      <c r="N67" s="7">
        <f t="shared" si="24"/>
        <v>766.91548</v>
      </c>
      <c r="O67" s="39"/>
    </row>
    <row r="68" spans="1:26" x14ac:dyDescent="0.25">
      <c r="A68" s="2">
        <v>20</v>
      </c>
      <c r="B68" s="32">
        <f t="shared" si="25"/>
        <v>0.9</v>
      </c>
      <c r="C68" s="4">
        <f t="shared" si="15"/>
        <v>21.6</v>
      </c>
      <c r="D68" s="4">
        <f t="shared" si="16"/>
        <v>0</v>
      </c>
      <c r="E68" s="4">
        <f t="shared" si="17"/>
        <v>770</v>
      </c>
      <c r="F68" s="4">
        <f t="shared" si="18"/>
        <v>7.6584000000000003</v>
      </c>
      <c r="G68" s="4">
        <f t="shared" si="19"/>
        <v>799.25840000000005</v>
      </c>
      <c r="H68" s="39"/>
      <c r="I68" s="28">
        <f t="shared" si="26"/>
        <v>0.8</v>
      </c>
      <c r="J68" s="7">
        <f t="shared" si="20"/>
        <v>25.6</v>
      </c>
      <c r="K68" s="7">
        <f t="shared" si="21"/>
        <v>0</v>
      </c>
      <c r="L68" s="7">
        <f t="shared" si="22"/>
        <v>770</v>
      </c>
      <c r="M68" s="7">
        <f t="shared" si="23"/>
        <v>9.6584000000000021</v>
      </c>
      <c r="N68" s="7">
        <f t="shared" si="24"/>
        <v>805.25840000000005</v>
      </c>
      <c r="O68" s="39"/>
    </row>
    <row r="69" spans="1:26" x14ac:dyDescent="0.25">
      <c r="A69" s="2">
        <v>21</v>
      </c>
      <c r="B69" s="31">
        <v>1</v>
      </c>
      <c r="C69" s="4">
        <f t="shared" si="15"/>
        <v>24</v>
      </c>
      <c r="D69" s="4">
        <f t="shared" si="16"/>
        <v>15</v>
      </c>
      <c r="E69" s="4">
        <f t="shared" si="17"/>
        <v>808.5</v>
      </c>
      <c r="F69" s="4">
        <f t="shared" si="18"/>
        <v>8.7013199999999991</v>
      </c>
      <c r="G69" s="4">
        <f t="shared" si="19"/>
        <v>856.20132000000001</v>
      </c>
      <c r="H69" s="39"/>
      <c r="I69" s="28">
        <f t="shared" si="26"/>
        <v>0.8</v>
      </c>
      <c r="J69" s="7">
        <f t="shared" si="20"/>
        <v>25.6</v>
      </c>
      <c r="K69" s="7">
        <f t="shared" si="21"/>
        <v>0</v>
      </c>
      <c r="L69" s="7">
        <f t="shared" si="22"/>
        <v>808.5</v>
      </c>
      <c r="M69" s="7">
        <f t="shared" si="23"/>
        <v>9.5013200000000015</v>
      </c>
      <c r="N69" s="7">
        <f t="shared" si="24"/>
        <v>843.60131999999999</v>
      </c>
      <c r="O69" s="39"/>
    </row>
    <row r="70" spans="1:26" x14ac:dyDescent="0.25">
      <c r="A70" s="2">
        <v>22</v>
      </c>
      <c r="B70" s="31">
        <f t="shared" si="25"/>
        <v>1</v>
      </c>
      <c r="C70" s="4">
        <f t="shared" si="15"/>
        <v>24</v>
      </c>
      <c r="D70" s="4">
        <f t="shared" si="16"/>
        <v>15</v>
      </c>
      <c r="E70" s="4">
        <f t="shared" si="17"/>
        <v>847</v>
      </c>
      <c r="F70" s="4">
        <f t="shared" si="18"/>
        <v>8.5442400000000003</v>
      </c>
      <c r="G70" s="4">
        <f t="shared" si="19"/>
        <v>894.54423999999995</v>
      </c>
      <c r="H70" s="39"/>
      <c r="I70" s="29">
        <v>0.9</v>
      </c>
      <c r="J70" s="7">
        <f t="shared" si="20"/>
        <v>28.8</v>
      </c>
      <c r="K70" s="7">
        <f t="shared" si="21"/>
        <v>0</v>
      </c>
      <c r="L70" s="7">
        <f t="shared" si="22"/>
        <v>847</v>
      </c>
      <c r="M70" s="7">
        <f t="shared" si="23"/>
        <v>10.944240000000001</v>
      </c>
      <c r="N70" s="7">
        <f t="shared" si="24"/>
        <v>886.74423999999999</v>
      </c>
      <c r="O70" s="39"/>
    </row>
    <row r="71" spans="1:26" x14ac:dyDescent="0.25">
      <c r="A71" s="2">
        <v>23</v>
      </c>
      <c r="B71" s="31">
        <f t="shared" si="25"/>
        <v>1</v>
      </c>
      <c r="C71" s="4">
        <f t="shared" si="15"/>
        <v>24</v>
      </c>
      <c r="D71" s="4">
        <f t="shared" si="16"/>
        <v>15</v>
      </c>
      <c r="E71" s="4">
        <f t="shared" si="17"/>
        <v>885.5</v>
      </c>
      <c r="F71" s="4">
        <f t="shared" si="18"/>
        <v>8.3871599999999997</v>
      </c>
      <c r="G71" s="4">
        <f t="shared" si="19"/>
        <v>932.88715999999999</v>
      </c>
      <c r="H71" s="39"/>
      <c r="I71" s="29">
        <f t="shared" si="26"/>
        <v>0.9</v>
      </c>
      <c r="J71" s="7">
        <f t="shared" si="20"/>
        <v>28.8</v>
      </c>
      <c r="K71" s="7">
        <f t="shared" si="21"/>
        <v>0</v>
      </c>
      <c r="L71" s="7">
        <f t="shared" si="22"/>
        <v>885.5</v>
      </c>
      <c r="M71" s="7">
        <f t="shared" si="23"/>
        <v>10.787160000000002</v>
      </c>
      <c r="N71" s="7">
        <f t="shared" si="24"/>
        <v>925.08715999999993</v>
      </c>
      <c r="O71" s="39"/>
    </row>
    <row r="72" spans="1:26" x14ac:dyDescent="0.25">
      <c r="A72" s="2">
        <v>24</v>
      </c>
      <c r="B72" s="31">
        <f t="shared" si="25"/>
        <v>1</v>
      </c>
      <c r="C72" s="4">
        <f t="shared" si="15"/>
        <v>24</v>
      </c>
      <c r="D72" s="4">
        <f t="shared" si="16"/>
        <v>15</v>
      </c>
      <c r="E72" s="4">
        <f t="shared" si="17"/>
        <v>924</v>
      </c>
      <c r="F72" s="4">
        <f t="shared" si="18"/>
        <v>8.2300799999999992</v>
      </c>
      <c r="G72" s="4">
        <f t="shared" si="19"/>
        <v>971.23008000000004</v>
      </c>
      <c r="H72" s="39"/>
      <c r="I72" s="29">
        <f t="shared" si="26"/>
        <v>0.9</v>
      </c>
      <c r="J72" s="7">
        <f t="shared" si="20"/>
        <v>28.8</v>
      </c>
      <c r="K72" s="7">
        <f t="shared" si="21"/>
        <v>0</v>
      </c>
      <c r="L72" s="7">
        <f t="shared" si="22"/>
        <v>924</v>
      </c>
      <c r="M72" s="7">
        <f t="shared" si="23"/>
        <v>10.630080000000001</v>
      </c>
      <c r="N72" s="7">
        <f t="shared" si="24"/>
        <v>963.43007999999998</v>
      </c>
      <c r="O72" s="39"/>
    </row>
    <row r="73" spans="1:26" x14ac:dyDescent="0.25">
      <c r="A73" s="2">
        <v>25</v>
      </c>
      <c r="B73" s="31">
        <f t="shared" si="25"/>
        <v>1</v>
      </c>
      <c r="C73" s="4">
        <f t="shared" si="15"/>
        <v>24</v>
      </c>
      <c r="D73" s="4">
        <f t="shared" si="16"/>
        <v>15</v>
      </c>
      <c r="E73" s="4">
        <f t="shared" si="17"/>
        <v>962.5</v>
      </c>
      <c r="F73" s="4">
        <f t="shared" si="18"/>
        <v>8.0729999999999986</v>
      </c>
      <c r="G73" s="4">
        <f t="shared" si="19"/>
        <v>1009.573</v>
      </c>
      <c r="H73" s="39"/>
      <c r="I73" s="29">
        <f t="shared" si="26"/>
        <v>0.9</v>
      </c>
      <c r="J73" s="7">
        <f t="shared" si="20"/>
        <v>28.8</v>
      </c>
      <c r="K73" s="7">
        <f t="shared" si="21"/>
        <v>0</v>
      </c>
      <c r="L73" s="7">
        <f t="shared" si="22"/>
        <v>962.5</v>
      </c>
      <c r="M73" s="7">
        <f t="shared" si="23"/>
        <v>10.473000000000001</v>
      </c>
      <c r="N73" s="7">
        <f t="shared" si="24"/>
        <v>1001.7729999999999</v>
      </c>
      <c r="O73" s="39"/>
    </row>
    <row r="74" spans="1:26" x14ac:dyDescent="0.25">
      <c r="A74" s="2">
        <v>26</v>
      </c>
      <c r="B74" s="32">
        <v>1.1000000000000001</v>
      </c>
      <c r="C74" s="4">
        <f t="shared" si="15"/>
        <v>26.400000000000002</v>
      </c>
      <c r="D74" s="4">
        <f t="shared" si="16"/>
        <v>15</v>
      </c>
      <c r="E74" s="4">
        <f t="shared" si="17"/>
        <v>1001</v>
      </c>
      <c r="F74" s="4">
        <f t="shared" si="18"/>
        <v>9.1159200000000009</v>
      </c>
      <c r="G74" s="4">
        <f t="shared" si="19"/>
        <v>1051.5159200000001</v>
      </c>
      <c r="H74" s="39"/>
      <c r="I74" s="29">
        <f t="shared" si="26"/>
        <v>0.9</v>
      </c>
      <c r="J74" s="7">
        <f t="shared" si="20"/>
        <v>28.8</v>
      </c>
      <c r="K74" s="7">
        <f t="shared" si="21"/>
        <v>0</v>
      </c>
      <c r="L74" s="7">
        <f t="shared" si="22"/>
        <v>1001</v>
      </c>
      <c r="M74" s="7">
        <f t="shared" si="23"/>
        <v>10.315920000000002</v>
      </c>
      <c r="N74" s="7">
        <f t="shared" si="24"/>
        <v>1040.11592</v>
      </c>
      <c r="O74" s="39"/>
    </row>
    <row r="75" spans="1:26" x14ac:dyDescent="0.25">
      <c r="A75" s="2">
        <v>27</v>
      </c>
      <c r="B75" s="32">
        <f t="shared" si="25"/>
        <v>1.1000000000000001</v>
      </c>
      <c r="C75" s="4">
        <f t="shared" si="15"/>
        <v>26.400000000000002</v>
      </c>
      <c r="D75" s="4">
        <f t="shared" si="16"/>
        <v>15</v>
      </c>
      <c r="E75" s="4">
        <f t="shared" si="17"/>
        <v>1039.5</v>
      </c>
      <c r="F75" s="4">
        <f t="shared" si="18"/>
        <v>8.9588400000000021</v>
      </c>
      <c r="G75" s="4">
        <f t="shared" si="19"/>
        <v>1089.8588400000001</v>
      </c>
      <c r="H75" s="39"/>
      <c r="I75" s="29">
        <f t="shared" si="26"/>
        <v>0.9</v>
      </c>
      <c r="J75" s="7">
        <f t="shared" si="20"/>
        <v>28.8</v>
      </c>
      <c r="K75" s="7">
        <f t="shared" si="21"/>
        <v>0</v>
      </c>
      <c r="L75" s="7">
        <f t="shared" si="22"/>
        <v>1039.5</v>
      </c>
      <c r="M75" s="7">
        <f t="shared" si="23"/>
        <v>10.158840000000001</v>
      </c>
      <c r="N75" s="7">
        <f t="shared" si="24"/>
        <v>1078.45884</v>
      </c>
      <c r="O75" s="39"/>
    </row>
    <row r="76" spans="1:26" x14ac:dyDescent="0.25">
      <c r="A76" s="2">
        <v>28</v>
      </c>
      <c r="B76" s="32">
        <f t="shared" si="25"/>
        <v>1.1000000000000001</v>
      </c>
      <c r="C76" s="4">
        <f t="shared" si="15"/>
        <v>26.400000000000002</v>
      </c>
      <c r="D76" s="4">
        <f t="shared" si="16"/>
        <v>15</v>
      </c>
      <c r="E76" s="4">
        <f t="shared" si="17"/>
        <v>1078</v>
      </c>
      <c r="F76" s="4">
        <f t="shared" si="18"/>
        <v>8.8017600000000016</v>
      </c>
      <c r="G76" s="7">
        <f t="shared" si="19"/>
        <v>1128.2017600000001</v>
      </c>
      <c r="H76" s="39"/>
      <c r="I76" s="29">
        <f t="shared" si="26"/>
        <v>0.9</v>
      </c>
      <c r="J76" s="7">
        <f t="shared" si="20"/>
        <v>28.8</v>
      </c>
      <c r="K76" s="7">
        <f t="shared" si="21"/>
        <v>0</v>
      </c>
      <c r="L76" s="7">
        <f t="shared" si="22"/>
        <v>1078</v>
      </c>
      <c r="M76" s="7">
        <f t="shared" si="23"/>
        <v>10.001760000000001</v>
      </c>
      <c r="N76" s="7">
        <f t="shared" si="24"/>
        <v>1116.8017600000001</v>
      </c>
      <c r="O76" s="39"/>
    </row>
    <row r="77" spans="1:26" x14ac:dyDescent="0.25">
      <c r="A77" s="2">
        <v>29</v>
      </c>
      <c r="B77" s="32">
        <f t="shared" si="25"/>
        <v>1.1000000000000001</v>
      </c>
      <c r="C77" s="4">
        <f t="shared" si="15"/>
        <v>26.400000000000002</v>
      </c>
      <c r="D77" s="4">
        <f t="shared" si="16"/>
        <v>15</v>
      </c>
      <c r="E77" s="4">
        <f t="shared" si="17"/>
        <v>1116.5</v>
      </c>
      <c r="F77" s="4">
        <f t="shared" si="18"/>
        <v>8.644680000000001</v>
      </c>
      <c r="G77" s="7">
        <f t="shared" si="19"/>
        <v>1166.5446800000002</v>
      </c>
      <c r="H77" s="39"/>
      <c r="I77" s="28">
        <v>1</v>
      </c>
      <c r="J77" s="7">
        <f t="shared" si="20"/>
        <v>32</v>
      </c>
      <c r="K77" s="7">
        <f t="shared" si="21"/>
        <v>15</v>
      </c>
      <c r="L77" s="7">
        <f t="shared" si="22"/>
        <v>1116.5</v>
      </c>
      <c r="M77" s="7">
        <f t="shared" si="23"/>
        <v>11.44468</v>
      </c>
      <c r="N77" s="4">
        <f t="shared" si="24"/>
        <v>1174.9446800000001</v>
      </c>
      <c r="O77" s="39"/>
    </row>
    <row r="78" spans="1:26" x14ac:dyDescent="0.25">
      <c r="A78" s="2">
        <v>30</v>
      </c>
      <c r="B78" s="32">
        <f t="shared" si="25"/>
        <v>1.1000000000000001</v>
      </c>
      <c r="C78" s="4">
        <f t="shared" si="15"/>
        <v>26.400000000000002</v>
      </c>
      <c r="D78" s="4">
        <f t="shared" si="16"/>
        <v>15</v>
      </c>
      <c r="E78" s="4">
        <f t="shared" si="17"/>
        <v>1155</v>
      </c>
      <c r="F78" s="4">
        <f t="shared" si="18"/>
        <v>8.4876000000000005</v>
      </c>
      <c r="G78" s="7">
        <f t="shared" si="19"/>
        <v>1204.8876</v>
      </c>
      <c r="H78" s="39"/>
      <c r="I78" s="28">
        <f t="shared" si="26"/>
        <v>1</v>
      </c>
      <c r="J78" s="7">
        <f t="shared" si="20"/>
        <v>32</v>
      </c>
      <c r="K78" s="7">
        <f t="shared" si="21"/>
        <v>15</v>
      </c>
      <c r="L78" s="7">
        <f t="shared" si="22"/>
        <v>1155</v>
      </c>
      <c r="M78" s="7">
        <f t="shared" si="23"/>
        <v>11.287600000000001</v>
      </c>
      <c r="N78" s="4">
        <f t="shared" si="24"/>
        <v>1213.2876000000001</v>
      </c>
      <c r="O78" s="39"/>
    </row>
    <row r="79" spans="1:26" x14ac:dyDescent="0.25">
      <c r="A79" s="2">
        <v>31</v>
      </c>
      <c r="B79" s="31">
        <v>1.2</v>
      </c>
      <c r="C79" s="4">
        <f t="shared" si="15"/>
        <v>28.799999999999997</v>
      </c>
      <c r="D79" s="4">
        <f t="shared" si="16"/>
        <v>15</v>
      </c>
      <c r="E79" s="4">
        <f t="shared" si="17"/>
        <v>1193.5</v>
      </c>
      <c r="F79" s="4">
        <f t="shared" si="18"/>
        <v>9.5305199999999992</v>
      </c>
      <c r="G79" s="7">
        <f t="shared" si="19"/>
        <v>1246.83052</v>
      </c>
      <c r="H79" s="39"/>
      <c r="I79" s="28">
        <f t="shared" si="26"/>
        <v>1</v>
      </c>
      <c r="J79" s="7">
        <f t="shared" si="20"/>
        <v>32</v>
      </c>
      <c r="K79" s="7">
        <f t="shared" si="21"/>
        <v>15</v>
      </c>
      <c r="L79" s="7">
        <f t="shared" si="22"/>
        <v>1193.5</v>
      </c>
      <c r="M79" s="7">
        <f t="shared" si="23"/>
        <v>11.130520000000001</v>
      </c>
      <c r="N79" s="4">
        <f t="shared" si="24"/>
        <v>1251.6305199999999</v>
      </c>
      <c r="O79" s="39"/>
    </row>
    <row r="80" spans="1:26" x14ac:dyDescent="0.25">
      <c r="A80" s="2">
        <v>32</v>
      </c>
      <c r="B80" s="31">
        <f t="shared" si="25"/>
        <v>1.2</v>
      </c>
      <c r="C80" s="4">
        <f t="shared" si="15"/>
        <v>28.799999999999997</v>
      </c>
      <c r="D80" s="4">
        <f t="shared" si="16"/>
        <v>15</v>
      </c>
      <c r="E80" s="4">
        <f t="shared" si="17"/>
        <v>1232</v>
      </c>
      <c r="F80" s="4">
        <f t="shared" si="18"/>
        <v>9.3734399999999987</v>
      </c>
      <c r="G80" s="7">
        <f t="shared" si="19"/>
        <v>1285.17344</v>
      </c>
      <c r="H80" s="39"/>
      <c r="I80" s="28">
        <f t="shared" si="26"/>
        <v>1</v>
      </c>
      <c r="J80" s="7">
        <f t="shared" si="20"/>
        <v>32</v>
      </c>
      <c r="K80" s="7">
        <f t="shared" si="21"/>
        <v>15</v>
      </c>
      <c r="L80" s="7">
        <f t="shared" si="22"/>
        <v>1232</v>
      </c>
      <c r="M80" s="7">
        <f t="shared" si="23"/>
        <v>10.97344</v>
      </c>
      <c r="N80" s="4">
        <f t="shared" si="24"/>
        <v>1289.97344</v>
      </c>
      <c r="O80" s="39"/>
    </row>
    <row r="81" spans="1:15" x14ac:dyDescent="0.25">
      <c r="A81" s="2">
        <v>33</v>
      </c>
      <c r="B81" s="31">
        <f t="shared" si="25"/>
        <v>1.2</v>
      </c>
      <c r="C81" s="4">
        <f t="shared" si="15"/>
        <v>28.799999999999997</v>
      </c>
      <c r="D81" s="4">
        <f t="shared" si="16"/>
        <v>15</v>
      </c>
      <c r="E81" s="4">
        <f t="shared" si="17"/>
        <v>1270.5</v>
      </c>
      <c r="F81" s="4">
        <f t="shared" si="18"/>
        <v>9.2163599999999981</v>
      </c>
      <c r="G81" s="7">
        <f t="shared" si="19"/>
        <v>1323.5163599999998</v>
      </c>
      <c r="H81" s="39"/>
      <c r="I81" s="28">
        <f t="shared" si="26"/>
        <v>1</v>
      </c>
      <c r="J81" s="7">
        <f t="shared" si="20"/>
        <v>32</v>
      </c>
      <c r="K81" s="7">
        <f t="shared" si="21"/>
        <v>15</v>
      </c>
      <c r="L81" s="7">
        <f t="shared" si="22"/>
        <v>1270.5</v>
      </c>
      <c r="M81" s="7">
        <f t="shared" si="23"/>
        <v>10.81636</v>
      </c>
      <c r="N81" s="4">
        <f t="shared" si="24"/>
        <v>1328.31636</v>
      </c>
      <c r="O81" s="39"/>
    </row>
    <row r="82" spans="1:15" x14ac:dyDescent="0.25">
      <c r="A82" s="2">
        <v>34</v>
      </c>
      <c r="B82" s="31">
        <f t="shared" si="25"/>
        <v>1.2</v>
      </c>
      <c r="C82" s="4">
        <f t="shared" si="15"/>
        <v>28.799999999999997</v>
      </c>
      <c r="D82" s="4">
        <f t="shared" si="16"/>
        <v>15</v>
      </c>
      <c r="E82" s="4">
        <f t="shared" si="17"/>
        <v>1309</v>
      </c>
      <c r="F82" s="4">
        <f t="shared" si="18"/>
        <v>9.0592799999999993</v>
      </c>
      <c r="G82" s="7">
        <f t="shared" ref="G82:G84" si="27">SUM(C82:F82)</f>
        <v>1361.8592799999999</v>
      </c>
      <c r="H82" s="39"/>
      <c r="I82" s="28">
        <f t="shared" si="26"/>
        <v>1</v>
      </c>
      <c r="J82" s="7">
        <f t="shared" si="20"/>
        <v>32</v>
      </c>
      <c r="K82" s="7">
        <f t="shared" si="21"/>
        <v>15</v>
      </c>
      <c r="L82" s="7">
        <f t="shared" si="22"/>
        <v>1309</v>
      </c>
      <c r="M82" s="7">
        <f t="shared" si="23"/>
        <v>10.659279999999999</v>
      </c>
      <c r="N82" s="4">
        <f t="shared" si="24"/>
        <v>1366.6592800000001</v>
      </c>
      <c r="O82" s="39"/>
    </row>
    <row r="83" spans="1:15" x14ac:dyDescent="0.25">
      <c r="A83" s="2">
        <v>35</v>
      </c>
      <c r="B83" s="31">
        <f t="shared" si="25"/>
        <v>1.2</v>
      </c>
      <c r="C83" s="4">
        <f t="shared" si="15"/>
        <v>28.799999999999997</v>
      </c>
      <c r="D83" s="4">
        <f t="shared" si="16"/>
        <v>15</v>
      </c>
      <c r="E83" s="4">
        <f t="shared" si="17"/>
        <v>1347.5</v>
      </c>
      <c r="F83" s="4">
        <f t="shared" si="18"/>
        <v>8.9022000000000006</v>
      </c>
      <c r="G83" s="7">
        <f t="shared" si="27"/>
        <v>1400.2021999999999</v>
      </c>
      <c r="H83" s="39"/>
      <c r="I83" s="28">
        <f t="shared" si="26"/>
        <v>1</v>
      </c>
      <c r="J83" s="7">
        <f t="shared" si="20"/>
        <v>32</v>
      </c>
      <c r="K83" s="7">
        <f t="shared" si="21"/>
        <v>15</v>
      </c>
      <c r="L83" s="7">
        <f t="shared" si="22"/>
        <v>1347.5</v>
      </c>
      <c r="M83" s="7">
        <f t="shared" si="23"/>
        <v>10.502200000000002</v>
      </c>
      <c r="N83" s="4">
        <f t="shared" si="24"/>
        <v>1405.0021999999999</v>
      </c>
      <c r="O83" s="39"/>
    </row>
    <row r="84" spans="1:15" ht="15.75" thickBot="1" x14ac:dyDescent="0.3">
      <c r="A84" s="2">
        <v>36</v>
      </c>
      <c r="B84" s="31">
        <f t="shared" si="25"/>
        <v>1.2</v>
      </c>
      <c r="C84" s="4">
        <f t="shared" si="15"/>
        <v>28.799999999999997</v>
      </c>
      <c r="D84" s="4">
        <f t="shared" si="16"/>
        <v>15</v>
      </c>
      <c r="E84" s="4">
        <f t="shared" si="17"/>
        <v>1386</v>
      </c>
      <c r="F84" s="4">
        <f t="shared" si="18"/>
        <v>8.74512</v>
      </c>
      <c r="G84" s="7">
        <f t="shared" si="27"/>
        <v>1438.54512</v>
      </c>
      <c r="H84" s="39"/>
      <c r="I84" s="28">
        <f t="shared" si="26"/>
        <v>1</v>
      </c>
      <c r="J84" s="7">
        <f t="shared" si="20"/>
        <v>32</v>
      </c>
      <c r="K84" s="7">
        <f t="shared" si="21"/>
        <v>15</v>
      </c>
      <c r="L84" s="7">
        <f t="shared" si="22"/>
        <v>1386</v>
      </c>
      <c r="M84" s="7">
        <f t="shared" si="23"/>
        <v>10.345120000000001</v>
      </c>
      <c r="N84" s="4">
        <f t="shared" si="24"/>
        <v>1443.34512</v>
      </c>
      <c r="O84" s="39"/>
    </row>
    <row r="85" spans="1:15" ht="9.9499999999999993" customHeight="1" thickTop="1" thickBot="1" x14ac:dyDescent="0.3">
      <c r="A85" s="67"/>
      <c r="B85" s="68"/>
      <c r="C85" s="67"/>
      <c r="D85" s="67"/>
      <c r="E85" s="67"/>
      <c r="F85" s="67"/>
      <c r="G85" s="67"/>
      <c r="H85" s="69"/>
      <c r="I85" s="68"/>
      <c r="J85" s="67"/>
      <c r="K85" s="67"/>
      <c r="L85" s="67"/>
      <c r="M85" s="67"/>
      <c r="N85" s="67"/>
      <c r="O85" s="70"/>
    </row>
    <row r="86" spans="1:15" ht="15.75" thickTop="1" x14ac:dyDescent="0.25">
      <c r="B86" s="32"/>
      <c r="H86" s="39"/>
      <c r="I86" s="29"/>
      <c r="O86" s="39"/>
    </row>
    <row r="87" spans="1:15" x14ac:dyDescent="0.25">
      <c r="A87" s="3" t="s">
        <v>64</v>
      </c>
      <c r="B87" s="72" t="s">
        <v>69</v>
      </c>
      <c r="C87" s="73"/>
      <c r="D87" s="74"/>
      <c r="H87" s="40"/>
      <c r="I87" s="29"/>
      <c r="O87" s="40"/>
    </row>
    <row r="88" spans="1:15" x14ac:dyDescent="0.25">
      <c r="A88" s="3" t="s">
        <v>12</v>
      </c>
      <c r="B88" s="30" t="s">
        <v>10</v>
      </c>
      <c r="C88" s="132">
        <v>160</v>
      </c>
      <c r="E88" s="24">
        <f>E2</f>
        <v>38.5</v>
      </c>
      <c r="F88" s="79">
        <v>40</v>
      </c>
      <c r="H88" s="40"/>
      <c r="I88" s="29"/>
      <c r="O88" s="40"/>
    </row>
    <row r="89" spans="1:15" x14ac:dyDescent="0.25">
      <c r="B89" s="27"/>
      <c r="C89" s="8" t="s">
        <v>2</v>
      </c>
      <c r="D89" s="2" t="s">
        <v>3</v>
      </c>
      <c r="E89" s="2" t="s">
        <v>1</v>
      </c>
      <c r="F89" s="2" t="s">
        <v>5</v>
      </c>
      <c r="G89" s="287" t="s">
        <v>6</v>
      </c>
      <c r="H89" s="39"/>
      <c r="I89" s="27"/>
      <c r="J89" s="8" t="s">
        <v>2</v>
      </c>
      <c r="K89" s="2" t="s">
        <v>3</v>
      </c>
      <c r="L89" s="2" t="s">
        <v>1</v>
      </c>
      <c r="M89" s="2" t="s">
        <v>5</v>
      </c>
      <c r="N89" s="287" t="s">
        <v>6</v>
      </c>
      <c r="O89" s="39"/>
    </row>
    <row r="90" spans="1:15" x14ac:dyDescent="0.25">
      <c r="A90" s="1" t="s">
        <v>8</v>
      </c>
      <c r="B90" s="27" t="s">
        <v>7</v>
      </c>
      <c r="C90" s="8" t="s">
        <v>37</v>
      </c>
      <c r="D90" s="61" t="s">
        <v>38</v>
      </c>
      <c r="E90" s="2" t="s">
        <v>4</v>
      </c>
      <c r="F90" s="2" t="s">
        <v>9</v>
      </c>
      <c r="G90" s="287"/>
      <c r="H90" s="39"/>
      <c r="I90" s="27" t="s">
        <v>7</v>
      </c>
      <c r="J90" s="8" t="s">
        <v>36</v>
      </c>
      <c r="K90" s="61" t="str">
        <f>D90</f>
        <v>over 1.4m</v>
      </c>
      <c r="L90" s="2" t="s">
        <v>4</v>
      </c>
      <c r="M90" s="2" t="s">
        <v>9</v>
      </c>
      <c r="N90" s="287"/>
      <c r="O90" s="39"/>
    </row>
    <row r="91" spans="1:15" x14ac:dyDescent="0.25">
      <c r="B91" s="27"/>
      <c r="C91" s="20">
        <v>0.4</v>
      </c>
      <c r="D91" s="20">
        <v>1.4</v>
      </c>
      <c r="E91" s="20">
        <v>0.1</v>
      </c>
      <c r="H91" s="39"/>
      <c r="I91" s="26"/>
      <c r="J91" s="20">
        <v>0.6</v>
      </c>
      <c r="O91" s="39"/>
    </row>
    <row r="92" spans="1:15" x14ac:dyDescent="0.25">
      <c r="A92" s="2">
        <v>1</v>
      </c>
      <c r="B92" s="31">
        <v>0.6</v>
      </c>
      <c r="C92" s="4">
        <f>$C88*C91*B92</f>
        <v>38.4</v>
      </c>
      <c r="D92" s="4">
        <f>IF(B92&gt;D$91,D$2,0)</f>
        <v>0</v>
      </c>
      <c r="E92" s="4">
        <f>$E88*$A92</f>
        <v>38.5</v>
      </c>
      <c r="F92" s="4">
        <f>(($C91*B92)-(3.1416*($E91/2)*($E91/2)*$A92))*$F88</f>
        <v>9.2858400000000003</v>
      </c>
      <c r="G92" s="4">
        <f>SUM(C92:F92)</f>
        <v>86.185840000000013</v>
      </c>
      <c r="H92" s="39"/>
      <c r="I92" s="28">
        <v>0.6</v>
      </c>
      <c r="J92" s="7">
        <f>$C88*J91*I92</f>
        <v>57.599999999999994</v>
      </c>
      <c r="K92" s="7">
        <f>IF(I92&gt;D$91,D$2,0)</f>
        <v>0</v>
      </c>
      <c r="L92" s="7">
        <f>$E88*$A92</f>
        <v>38.5</v>
      </c>
      <c r="M92" s="7">
        <f>(($J91*I92)-(3.1416*($E91/2)*($E91/2)*$A92))*$F88</f>
        <v>14.085839999999997</v>
      </c>
      <c r="N92" s="7">
        <f>SUM(J92:M92)</f>
        <v>110.18583999999998</v>
      </c>
      <c r="O92" s="39"/>
    </row>
    <row r="93" spans="1:15" x14ac:dyDescent="0.25">
      <c r="A93" s="2">
        <v>2</v>
      </c>
      <c r="B93" s="31">
        <f>B92</f>
        <v>0.6</v>
      </c>
      <c r="C93" s="4">
        <f>$C$88*C$91*B93</f>
        <v>38.4</v>
      </c>
      <c r="D93" s="4">
        <f t="shared" ref="D93:D127" si="28">IF(B93&gt;D$91,D$2,0)</f>
        <v>0</v>
      </c>
      <c r="E93" s="4">
        <f>$E$88*$A93</f>
        <v>77</v>
      </c>
      <c r="F93" s="4">
        <f>(($C$91*B93)-(3.1416*($E$91/2)*($E$91/2)*$A93))*$F$88</f>
        <v>8.9716799999999992</v>
      </c>
      <c r="G93" s="4">
        <f t="shared" ref="G93" si="29">SUM(C93:F93)</f>
        <v>124.37168</v>
      </c>
      <c r="H93" s="39"/>
      <c r="I93" s="28">
        <f>I92</f>
        <v>0.6</v>
      </c>
      <c r="J93" s="7">
        <f>$C$88*J$91*I93</f>
        <v>57.599999999999994</v>
      </c>
      <c r="K93" s="7">
        <f t="shared" ref="K93:K127" si="30">IF(I93&gt;D$91,D$2,0)</f>
        <v>0</v>
      </c>
      <c r="L93" s="7">
        <f>$E$88*$A93</f>
        <v>77</v>
      </c>
      <c r="M93" s="7">
        <f>(($J$91*I93)-(3.1416*($E$91/2)*($E$91/2)*$A93))*$F$88</f>
        <v>13.77168</v>
      </c>
      <c r="N93" s="7">
        <f t="shared" ref="N93" si="31">SUM(J93:M93)</f>
        <v>148.37168</v>
      </c>
      <c r="O93" s="39"/>
    </row>
    <row r="94" spans="1:15" x14ac:dyDescent="0.25">
      <c r="A94" s="2">
        <v>3</v>
      </c>
      <c r="B94" s="31">
        <f t="shared" ref="B94:B127" si="32">B93</f>
        <v>0.6</v>
      </c>
      <c r="C94" s="4">
        <f t="shared" ref="C94:C127" si="33">$C$88*C$91*B94</f>
        <v>38.4</v>
      </c>
      <c r="D94" s="4">
        <f t="shared" si="28"/>
        <v>0</v>
      </c>
      <c r="E94" s="4">
        <f t="shared" ref="E94:E127" si="34">$E$88*$A94</f>
        <v>115.5</v>
      </c>
      <c r="F94" s="4">
        <f t="shared" ref="F94:F127" si="35">(($C$91*B94)-(3.1416*($E$91/2)*($E$91/2)*$A94))*$F$88</f>
        <v>8.6575199999999999</v>
      </c>
      <c r="G94" s="4">
        <f t="shared" ref="G94:G127" si="36">SUM(C94:F94)</f>
        <v>162.55752000000001</v>
      </c>
      <c r="H94" s="39"/>
      <c r="I94" s="28">
        <f t="shared" ref="I94:I126" si="37">I93</f>
        <v>0.6</v>
      </c>
      <c r="J94" s="7">
        <f t="shared" ref="J94:J127" si="38">$C$88*J$91*I94</f>
        <v>57.599999999999994</v>
      </c>
      <c r="K94" s="7">
        <f t="shared" si="30"/>
        <v>0</v>
      </c>
      <c r="L94" s="7">
        <f t="shared" ref="L94:L127" si="39">$E$88*$A94</f>
        <v>115.5</v>
      </c>
      <c r="M94" s="7">
        <f t="shared" ref="M94:M127" si="40">(($J$91*I94)-(3.1416*($E$91/2)*($E$91/2)*$A94))*$F$88</f>
        <v>13.457520000000001</v>
      </c>
      <c r="N94" s="7">
        <f t="shared" ref="N94:N127" si="41">SUM(J94:M94)</f>
        <v>186.55751999999998</v>
      </c>
      <c r="O94" s="39"/>
    </row>
    <row r="95" spans="1:15" x14ac:dyDescent="0.25">
      <c r="A95" s="2">
        <v>4</v>
      </c>
      <c r="B95" s="32">
        <v>0.7</v>
      </c>
      <c r="C95" s="4">
        <f t="shared" si="33"/>
        <v>44.8</v>
      </c>
      <c r="D95" s="4">
        <f t="shared" si="28"/>
        <v>0</v>
      </c>
      <c r="E95" s="4">
        <f t="shared" si="34"/>
        <v>154</v>
      </c>
      <c r="F95" s="4">
        <f t="shared" si="35"/>
        <v>9.9433599999999984</v>
      </c>
      <c r="G95" s="4">
        <f t="shared" si="36"/>
        <v>208.74336</v>
      </c>
      <c r="H95" s="39"/>
      <c r="I95" s="28">
        <f t="shared" si="37"/>
        <v>0.6</v>
      </c>
      <c r="J95" s="7">
        <f t="shared" si="38"/>
        <v>57.599999999999994</v>
      </c>
      <c r="K95" s="7">
        <f t="shared" si="30"/>
        <v>0</v>
      </c>
      <c r="L95" s="7">
        <f t="shared" si="39"/>
        <v>154</v>
      </c>
      <c r="M95" s="7">
        <f t="shared" si="40"/>
        <v>13.143359999999999</v>
      </c>
      <c r="N95" s="7">
        <f t="shared" si="41"/>
        <v>224.74336</v>
      </c>
      <c r="O95" s="39"/>
    </row>
    <row r="96" spans="1:15" x14ac:dyDescent="0.25">
      <c r="A96" s="2">
        <v>5</v>
      </c>
      <c r="B96" s="32">
        <f t="shared" si="32"/>
        <v>0.7</v>
      </c>
      <c r="C96" s="4">
        <f t="shared" si="33"/>
        <v>44.8</v>
      </c>
      <c r="D96" s="4">
        <f t="shared" si="28"/>
        <v>0</v>
      </c>
      <c r="E96" s="4">
        <f t="shared" si="34"/>
        <v>192.5</v>
      </c>
      <c r="F96" s="4">
        <f t="shared" si="35"/>
        <v>9.6291999999999991</v>
      </c>
      <c r="G96" s="4">
        <f t="shared" si="36"/>
        <v>246.92920000000001</v>
      </c>
      <c r="H96" s="39"/>
      <c r="I96" s="28">
        <f t="shared" si="37"/>
        <v>0.6</v>
      </c>
      <c r="J96" s="7">
        <f t="shared" si="38"/>
        <v>57.599999999999994</v>
      </c>
      <c r="K96" s="7">
        <f t="shared" si="30"/>
        <v>0</v>
      </c>
      <c r="L96" s="7">
        <f t="shared" si="39"/>
        <v>192.5</v>
      </c>
      <c r="M96" s="7">
        <f t="shared" si="40"/>
        <v>12.829199999999998</v>
      </c>
      <c r="N96" s="7">
        <f t="shared" si="41"/>
        <v>262.92919999999998</v>
      </c>
      <c r="O96" s="39"/>
    </row>
    <row r="97" spans="1:15" x14ac:dyDescent="0.25">
      <c r="A97" s="2">
        <v>6</v>
      </c>
      <c r="B97" s="32">
        <f t="shared" si="32"/>
        <v>0.7</v>
      </c>
      <c r="C97" s="4">
        <f t="shared" si="33"/>
        <v>44.8</v>
      </c>
      <c r="D97" s="4">
        <f t="shared" si="28"/>
        <v>0</v>
      </c>
      <c r="E97" s="4">
        <f t="shared" si="34"/>
        <v>231</v>
      </c>
      <c r="F97" s="4">
        <f t="shared" si="35"/>
        <v>9.3150399999999998</v>
      </c>
      <c r="G97" s="4">
        <f t="shared" si="36"/>
        <v>285.11504000000002</v>
      </c>
      <c r="H97" s="39"/>
      <c r="I97" s="29">
        <v>0.7</v>
      </c>
      <c r="J97" s="7">
        <f t="shared" si="38"/>
        <v>67.199999999999989</v>
      </c>
      <c r="K97" s="7">
        <f t="shared" si="30"/>
        <v>0</v>
      </c>
      <c r="L97" s="7">
        <f t="shared" si="39"/>
        <v>231</v>
      </c>
      <c r="M97" s="7">
        <f t="shared" si="40"/>
        <v>14.915039999999999</v>
      </c>
      <c r="N97" s="7">
        <f t="shared" si="41"/>
        <v>313.11503999999996</v>
      </c>
      <c r="O97" s="39"/>
    </row>
    <row r="98" spans="1:15" x14ac:dyDescent="0.25">
      <c r="A98" s="2">
        <v>7</v>
      </c>
      <c r="B98" s="31">
        <v>0.8</v>
      </c>
      <c r="C98" s="4">
        <f t="shared" si="33"/>
        <v>51.2</v>
      </c>
      <c r="D98" s="4">
        <f t="shared" si="28"/>
        <v>0</v>
      </c>
      <c r="E98" s="4">
        <f t="shared" si="34"/>
        <v>269.5</v>
      </c>
      <c r="F98" s="4">
        <f t="shared" si="35"/>
        <v>10.600880000000004</v>
      </c>
      <c r="G98" s="4">
        <f t="shared" si="36"/>
        <v>331.30088000000001</v>
      </c>
      <c r="H98" s="39"/>
      <c r="I98" s="29">
        <f t="shared" si="37"/>
        <v>0.7</v>
      </c>
      <c r="J98" s="7">
        <f t="shared" si="38"/>
        <v>67.199999999999989</v>
      </c>
      <c r="K98" s="7">
        <f t="shared" si="30"/>
        <v>0</v>
      </c>
      <c r="L98" s="7">
        <f t="shared" si="39"/>
        <v>269.5</v>
      </c>
      <c r="M98" s="7">
        <f t="shared" si="40"/>
        <v>14.600879999999998</v>
      </c>
      <c r="N98" s="7">
        <f t="shared" si="41"/>
        <v>351.30088000000001</v>
      </c>
      <c r="O98" s="39"/>
    </row>
    <row r="99" spans="1:15" x14ac:dyDescent="0.25">
      <c r="A99" s="2">
        <v>8</v>
      </c>
      <c r="B99" s="31">
        <f t="shared" si="32"/>
        <v>0.8</v>
      </c>
      <c r="C99" s="4">
        <f t="shared" si="33"/>
        <v>51.2</v>
      </c>
      <c r="D99" s="4">
        <f t="shared" si="28"/>
        <v>0</v>
      </c>
      <c r="E99" s="4">
        <f t="shared" si="34"/>
        <v>308</v>
      </c>
      <c r="F99" s="4">
        <f t="shared" si="35"/>
        <v>10.286720000000003</v>
      </c>
      <c r="G99" s="4">
        <f t="shared" si="36"/>
        <v>369.48671999999999</v>
      </c>
      <c r="H99" s="39"/>
      <c r="I99" s="29">
        <f t="shared" si="37"/>
        <v>0.7</v>
      </c>
      <c r="J99" s="7">
        <f t="shared" si="38"/>
        <v>67.199999999999989</v>
      </c>
      <c r="K99" s="7">
        <f t="shared" si="30"/>
        <v>0</v>
      </c>
      <c r="L99" s="7">
        <f t="shared" si="39"/>
        <v>308</v>
      </c>
      <c r="M99" s="7">
        <f t="shared" si="40"/>
        <v>14.286719999999999</v>
      </c>
      <c r="N99" s="7">
        <f t="shared" si="41"/>
        <v>389.48671999999999</v>
      </c>
      <c r="O99" s="39"/>
    </row>
    <row r="100" spans="1:15" x14ac:dyDescent="0.25">
      <c r="A100" s="2">
        <v>9</v>
      </c>
      <c r="B100" s="31">
        <f t="shared" si="32"/>
        <v>0.8</v>
      </c>
      <c r="C100" s="4">
        <f t="shared" si="33"/>
        <v>51.2</v>
      </c>
      <c r="D100" s="4">
        <f t="shared" si="28"/>
        <v>0</v>
      </c>
      <c r="E100" s="4">
        <f t="shared" si="34"/>
        <v>346.5</v>
      </c>
      <c r="F100" s="4">
        <f t="shared" si="35"/>
        <v>9.9725600000000032</v>
      </c>
      <c r="G100" s="4">
        <f t="shared" si="36"/>
        <v>407.67255999999998</v>
      </c>
      <c r="H100" s="39"/>
      <c r="I100" s="29">
        <f t="shared" si="37"/>
        <v>0.7</v>
      </c>
      <c r="J100" s="7">
        <f t="shared" si="38"/>
        <v>67.199999999999989</v>
      </c>
      <c r="K100" s="7">
        <f t="shared" si="30"/>
        <v>0</v>
      </c>
      <c r="L100" s="7">
        <f t="shared" si="39"/>
        <v>346.5</v>
      </c>
      <c r="M100" s="7">
        <f t="shared" si="40"/>
        <v>13.972560000000001</v>
      </c>
      <c r="N100" s="7">
        <f t="shared" si="41"/>
        <v>427.67255999999998</v>
      </c>
      <c r="O100" s="39"/>
    </row>
    <row r="101" spans="1:15" x14ac:dyDescent="0.25">
      <c r="A101" s="2">
        <v>10</v>
      </c>
      <c r="B101" s="32">
        <v>0.9</v>
      </c>
      <c r="C101" s="4">
        <f t="shared" si="33"/>
        <v>57.6</v>
      </c>
      <c r="D101" s="4">
        <f t="shared" si="28"/>
        <v>0</v>
      </c>
      <c r="E101" s="4">
        <f t="shared" si="34"/>
        <v>385</v>
      </c>
      <c r="F101" s="4">
        <f t="shared" si="35"/>
        <v>11.258400000000002</v>
      </c>
      <c r="G101" s="4">
        <f t="shared" si="36"/>
        <v>453.85840000000002</v>
      </c>
      <c r="H101" s="39"/>
      <c r="I101" s="29">
        <f t="shared" si="37"/>
        <v>0.7</v>
      </c>
      <c r="J101" s="7">
        <f t="shared" si="38"/>
        <v>67.199999999999989</v>
      </c>
      <c r="K101" s="7">
        <f t="shared" si="30"/>
        <v>0</v>
      </c>
      <c r="L101" s="7">
        <f t="shared" si="39"/>
        <v>385</v>
      </c>
      <c r="M101" s="7">
        <f t="shared" si="40"/>
        <v>13.6584</v>
      </c>
      <c r="N101" s="7">
        <f t="shared" si="41"/>
        <v>465.85839999999996</v>
      </c>
      <c r="O101" s="39"/>
    </row>
    <row r="102" spans="1:15" x14ac:dyDescent="0.25">
      <c r="A102" s="2">
        <v>11</v>
      </c>
      <c r="B102" s="32">
        <f t="shared" si="32"/>
        <v>0.9</v>
      </c>
      <c r="C102" s="4">
        <f t="shared" si="33"/>
        <v>57.6</v>
      </c>
      <c r="D102" s="4">
        <f t="shared" si="28"/>
        <v>0</v>
      </c>
      <c r="E102" s="4">
        <f t="shared" si="34"/>
        <v>423.5</v>
      </c>
      <c r="F102" s="4">
        <f t="shared" si="35"/>
        <v>10.944240000000001</v>
      </c>
      <c r="G102" s="4">
        <f t="shared" si="36"/>
        <v>492.04424</v>
      </c>
      <c r="H102" s="39"/>
      <c r="I102" s="28">
        <v>0.8</v>
      </c>
      <c r="J102" s="7">
        <f t="shared" si="38"/>
        <v>76.800000000000011</v>
      </c>
      <c r="K102" s="7">
        <f t="shared" si="30"/>
        <v>0</v>
      </c>
      <c r="L102" s="7">
        <f t="shared" si="39"/>
        <v>423.5</v>
      </c>
      <c r="M102" s="7">
        <f t="shared" si="40"/>
        <v>15.744240000000001</v>
      </c>
      <c r="N102" s="7">
        <f t="shared" si="41"/>
        <v>516.04424000000006</v>
      </c>
      <c r="O102" s="39"/>
    </row>
    <row r="103" spans="1:15" x14ac:dyDescent="0.25">
      <c r="A103" s="2">
        <v>12</v>
      </c>
      <c r="B103" s="32">
        <f t="shared" si="32"/>
        <v>0.9</v>
      </c>
      <c r="C103" s="4">
        <f t="shared" si="33"/>
        <v>57.6</v>
      </c>
      <c r="D103" s="4">
        <f t="shared" si="28"/>
        <v>0</v>
      </c>
      <c r="E103" s="4">
        <f t="shared" si="34"/>
        <v>462</v>
      </c>
      <c r="F103" s="4">
        <f t="shared" si="35"/>
        <v>10.630080000000001</v>
      </c>
      <c r="G103" s="4">
        <f t="shared" si="36"/>
        <v>530.23008000000004</v>
      </c>
      <c r="H103" s="39"/>
      <c r="I103" s="28">
        <f t="shared" si="37"/>
        <v>0.8</v>
      </c>
      <c r="J103" s="7">
        <f t="shared" si="38"/>
        <v>76.800000000000011</v>
      </c>
      <c r="K103" s="7">
        <f t="shared" si="30"/>
        <v>0</v>
      </c>
      <c r="L103" s="7">
        <f t="shared" si="39"/>
        <v>462</v>
      </c>
      <c r="M103" s="7">
        <f t="shared" si="40"/>
        <v>15.43008</v>
      </c>
      <c r="N103" s="7">
        <f t="shared" si="41"/>
        <v>554.23007999999993</v>
      </c>
      <c r="O103" s="39"/>
    </row>
    <row r="104" spans="1:15" x14ac:dyDescent="0.25">
      <c r="A104" s="2">
        <v>13</v>
      </c>
      <c r="B104" s="31">
        <v>1</v>
      </c>
      <c r="C104" s="4">
        <f t="shared" si="33"/>
        <v>64</v>
      </c>
      <c r="D104" s="4">
        <f t="shared" si="28"/>
        <v>0</v>
      </c>
      <c r="E104" s="4">
        <f t="shared" si="34"/>
        <v>500.5</v>
      </c>
      <c r="F104" s="4">
        <f t="shared" si="35"/>
        <v>11.91592</v>
      </c>
      <c r="G104" s="4">
        <f t="shared" si="36"/>
        <v>576.41592000000003</v>
      </c>
      <c r="H104" s="39"/>
      <c r="I104" s="28">
        <f t="shared" si="37"/>
        <v>0.8</v>
      </c>
      <c r="J104" s="7">
        <f t="shared" si="38"/>
        <v>76.800000000000011</v>
      </c>
      <c r="K104" s="7">
        <f t="shared" si="30"/>
        <v>0</v>
      </c>
      <c r="L104" s="7">
        <f t="shared" si="39"/>
        <v>500.5</v>
      </c>
      <c r="M104" s="7">
        <f t="shared" si="40"/>
        <v>15.115919999999999</v>
      </c>
      <c r="N104" s="7">
        <f t="shared" si="41"/>
        <v>592.41591999999991</v>
      </c>
      <c r="O104" s="39"/>
    </row>
    <row r="105" spans="1:15" x14ac:dyDescent="0.25">
      <c r="A105" s="2">
        <v>14</v>
      </c>
      <c r="B105" s="31">
        <f t="shared" si="32"/>
        <v>1</v>
      </c>
      <c r="C105" s="4">
        <f t="shared" si="33"/>
        <v>64</v>
      </c>
      <c r="D105" s="4">
        <f t="shared" si="28"/>
        <v>0</v>
      </c>
      <c r="E105" s="4">
        <f t="shared" si="34"/>
        <v>539</v>
      </c>
      <c r="F105" s="4">
        <f t="shared" si="35"/>
        <v>11.601760000000001</v>
      </c>
      <c r="G105" s="4">
        <f t="shared" si="36"/>
        <v>614.60176000000001</v>
      </c>
      <c r="H105" s="39"/>
      <c r="I105" s="28">
        <f t="shared" si="37"/>
        <v>0.8</v>
      </c>
      <c r="J105" s="7">
        <f t="shared" si="38"/>
        <v>76.800000000000011</v>
      </c>
      <c r="K105" s="7">
        <f t="shared" si="30"/>
        <v>0</v>
      </c>
      <c r="L105" s="7">
        <f t="shared" si="39"/>
        <v>539</v>
      </c>
      <c r="M105" s="7">
        <f t="shared" si="40"/>
        <v>14.80176</v>
      </c>
      <c r="N105" s="7">
        <f t="shared" si="41"/>
        <v>630.6017599999999</v>
      </c>
      <c r="O105" s="39"/>
    </row>
    <row r="106" spans="1:15" x14ac:dyDescent="0.25">
      <c r="A106" s="2">
        <v>15</v>
      </c>
      <c r="B106" s="31">
        <f t="shared" si="32"/>
        <v>1</v>
      </c>
      <c r="C106" s="4">
        <f t="shared" si="33"/>
        <v>64</v>
      </c>
      <c r="D106" s="4">
        <f t="shared" si="28"/>
        <v>0</v>
      </c>
      <c r="E106" s="4">
        <f t="shared" si="34"/>
        <v>577.5</v>
      </c>
      <c r="F106" s="4">
        <f t="shared" si="35"/>
        <v>11.287600000000001</v>
      </c>
      <c r="G106" s="4">
        <f t="shared" si="36"/>
        <v>652.7876</v>
      </c>
      <c r="H106" s="39"/>
      <c r="I106" s="28">
        <f t="shared" si="37"/>
        <v>0.8</v>
      </c>
      <c r="J106" s="7">
        <f t="shared" si="38"/>
        <v>76.800000000000011</v>
      </c>
      <c r="K106" s="7">
        <f t="shared" si="30"/>
        <v>0</v>
      </c>
      <c r="L106" s="7">
        <f t="shared" si="39"/>
        <v>577.5</v>
      </c>
      <c r="M106" s="7">
        <f t="shared" si="40"/>
        <v>14.4876</v>
      </c>
      <c r="N106" s="7">
        <f t="shared" si="41"/>
        <v>668.7876</v>
      </c>
      <c r="O106" s="39"/>
    </row>
    <row r="107" spans="1:15" x14ac:dyDescent="0.25">
      <c r="A107" s="2">
        <v>16</v>
      </c>
      <c r="B107" s="32">
        <v>1.1000000000000001</v>
      </c>
      <c r="C107" s="4">
        <f t="shared" si="33"/>
        <v>70.400000000000006</v>
      </c>
      <c r="D107" s="4">
        <f t="shared" si="28"/>
        <v>0</v>
      </c>
      <c r="E107" s="4">
        <f t="shared" si="34"/>
        <v>616</v>
      </c>
      <c r="F107" s="4">
        <f t="shared" si="35"/>
        <v>12.573440000000002</v>
      </c>
      <c r="G107" s="4">
        <f t="shared" si="36"/>
        <v>698.97343999999998</v>
      </c>
      <c r="H107" s="39"/>
      <c r="I107" s="29">
        <v>0.9</v>
      </c>
      <c r="J107" s="7">
        <f t="shared" si="38"/>
        <v>86.4</v>
      </c>
      <c r="K107" s="7">
        <f t="shared" si="30"/>
        <v>0</v>
      </c>
      <c r="L107" s="7">
        <f t="shared" si="39"/>
        <v>616</v>
      </c>
      <c r="M107" s="7">
        <f t="shared" si="40"/>
        <v>16.573440000000002</v>
      </c>
      <c r="N107" s="7">
        <f t="shared" si="41"/>
        <v>718.97343999999998</v>
      </c>
      <c r="O107" s="39"/>
    </row>
    <row r="108" spans="1:15" x14ac:dyDescent="0.25">
      <c r="A108" s="2">
        <v>17</v>
      </c>
      <c r="B108" s="32">
        <f t="shared" si="32"/>
        <v>1.1000000000000001</v>
      </c>
      <c r="C108" s="4">
        <f t="shared" si="33"/>
        <v>70.400000000000006</v>
      </c>
      <c r="D108" s="4">
        <f t="shared" si="28"/>
        <v>0</v>
      </c>
      <c r="E108" s="4">
        <f t="shared" si="34"/>
        <v>654.5</v>
      </c>
      <c r="F108" s="4">
        <f t="shared" si="35"/>
        <v>12.25928</v>
      </c>
      <c r="G108" s="4">
        <f t="shared" si="36"/>
        <v>737.15927999999997</v>
      </c>
      <c r="H108" s="39"/>
      <c r="I108" s="29">
        <f t="shared" si="37"/>
        <v>0.9</v>
      </c>
      <c r="J108" s="7">
        <f t="shared" si="38"/>
        <v>86.4</v>
      </c>
      <c r="K108" s="7">
        <f t="shared" si="30"/>
        <v>0</v>
      </c>
      <c r="L108" s="7">
        <f t="shared" si="39"/>
        <v>654.5</v>
      </c>
      <c r="M108" s="7">
        <f t="shared" si="40"/>
        <v>16.25928</v>
      </c>
      <c r="N108" s="7">
        <f t="shared" si="41"/>
        <v>757.15927999999997</v>
      </c>
      <c r="O108" s="39"/>
    </row>
    <row r="109" spans="1:15" x14ac:dyDescent="0.25">
      <c r="A109" s="2">
        <v>18</v>
      </c>
      <c r="B109" s="32">
        <f t="shared" si="32"/>
        <v>1.1000000000000001</v>
      </c>
      <c r="C109" s="4">
        <f t="shared" si="33"/>
        <v>70.400000000000006</v>
      </c>
      <c r="D109" s="4">
        <f t="shared" si="28"/>
        <v>0</v>
      </c>
      <c r="E109" s="4">
        <f t="shared" si="34"/>
        <v>693</v>
      </c>
      <c r="F109" s="4">
        <f t="shared" si="35"/>
        <v>11.945120000000003</v>
      </c>
      <c r="G109" s="4">
        <f t="shared" si="36"/>
        <v>775.34511999999995</v>
      </c>
      <c r="H109" s="39"/>
      <c r="I109" s="29">
        <f t="shared" si="37"/>
        <v>0.9</v>
      </c>
      <c r="J109" s="7">
        <f t="shared" si="38"/>
        <v>86.4</v>
      </c>
      <c r="K109" s="7">
        <f t="shared" si="30"/>
        <v>0</v>
      </c>
      <c r="L109" s="7">
        <f t="shared" si="39"/>
        <v>693</v>
      </c>
      <c r="M109" s="7">
        <f t="shared" si="40"/>
        <v>15.945120000000001</v>
      </c>
      <c r="N109" s="7">
        <f t="shared" si="41"/>
        <v>795.34511999999995</v>
      </c>
      <c r="O109" s="39"/>
    </row>
    <row r="110" spans="1:15" x14ac:dyDescent="0.25">
      <c r="A110" s="2">
        <v>19</v>
      </c>
      <c r="B110" s="31">
        <v>1.2</v>
      </c>
      <c r="C110" s="4">
        <f t="shared" si="33"/>
        <v>76.8</v>
      </c>
      <c r="D110" s="4">
        <f t="shared" si="28"/>
        <v>0</v>
      </c>
      <c r="E110" s="4">
        <f t="shared" si="34"/>
        <v>731.5</v>
      </c>
      <c r="F110" s="4">
        <f t="shared" si="35"/>
        <v>13.23096</v>
      </c>
      <c r="G110" s="4">
        <f t="shared" si="36"/>
        <v>821.53095999999994</v>
      </c>
      <c r="H110" s="39"/>
      <c r="I110" s="29">
        <f t="shared" si="37"/>
        <v>0.9</v>
      </c>
      <c r="J110" s="7">
        <f t="shared" si="38"/>
        <v>86.4</v>
      </c>
      <c r="K110" s="7">
        <f t="shared" si="30"/>
        <v>0</v>
      </c>
      <c r="L110" s="7">
        <f t="shared" si="39"/>
        <v>731.5</v>
      </c>
      <c r="M110" s="7">
        <f t="shared" si="40"/>
        <v>15.630960000000002</v>
      </c>
      <c r="N110" s="7">
        <f t="shared" si="41"/>
        <v>833.53095999999994</v>
      </c>
      <c r="O110" s="39"/>
    </row>
    <row r="111" spans="1:15" x14ac:dyDescent="0.25">
      <c r="A111" s="2">
        <v>20</v>
      </c>
      <c r="B111" s="31">
        <f t="shared" si="32"/>
        <v>1.2</v>
      </c>
      <c r="C111" s="4">
        <f t="shared" si="33"/>
        <v>76.8</v>
      </c>
      <c r="D111" s="4">
        <f t="shared" si="28"/>
        <v>0</v>
      </c>
      <c r="E111" s="4">
        <f t="shared" si="34"/>
        <v>770</v>
      </c>
      <c r="F111" s="4">
        <f t="shared" si="35"/>
        <v>12.916799999999999</v>
      </c>
      <c r="G111" s="4">
        <f t="shared" si="36"/>
        <v>859.71679999999992</v>
      </c>
      <c r="H111" s="39"/>
      <c r="I111" s="29">
        <f t="shared" si="37"/>
        <v>0.9</v>
      </c>
      <c r="J111" s="7">
        <f t="shared" si="38"/>
        <v>86.4</v>
      </c>
      <c r="K111" s="7">
        <f t="shared" si="30"/>
        <v>0</v>
      </c>
      <c r="L111" s="7">
        <f t="shared" si="39"/>
        <v>770</v>
      </c>
      <c r="M111" s="7">
        <f t="shared" si="40"/>
        <v>15.316800000000001</v>
      </c>
      <c r="N111" s="7">
        <f t="shared" si="41"/>
        <v>871.71679999999992</v>
      </c>
      <c r="O111" s="39"/>
    </row>
    <row r="112" spans="1:15" x14ac:dyDescent="0.25">
      <c r="A112" s="2">
        <v>21</v>
      </c>
      <c r="B112" s="31">
        <f t="shared" si="32"/>
        <v>1.2</v>
      </c>
      <c r="C112" s="4">
        <f t="shared" si="33"/>
        <v>76.8</v>
      </c>
      <c r="D112" s="4">
        <f t="shared" si="28"/>
        <v>0</v>
      </c>
      <c r="E112" s="4">
        <f t="shared" si="34"/>
        <v>808.5</v>
      </c>
      <c r="F112" s="4">
        <f t="shared" si="35"/>
        <v>12.602639999999997</v>
      </c>
      <c r="G112" s="4">
        <f t="shared" si="36"/>
        <v>897.90263999999991</v>
      </c>
      <c r="H112" s="39"/>
      <c r="I112" s="28">
        <v>1</v>
      </c>
      <c r="J112" s="7">
        <f t="shared" si="38"/>
        <v>96</v>
      </c>
      <c r="K112" s="7">
        <f t="shared" si="30"/>
        <v>0</v>
      </c>
      <c r="L112" s="7">
        <f t="shared" si="39"/>
        <v>808.5</v>
      </c>
      <c r="M112" s="7">
        <f t="shared" si="40"/>
        <v>17.402639999999998</v>
      </c>
      <c r="N112" s="7">
        <f t="shared" si="41"/>
        <v>921.90264000000002</v>
      </c>
      <c r="O112" s="39"/>
    </row>
    <row r="113" spans="1:15" x14ac:dyDescent="0.25">
      <c r="A113" s="2">
        <v>22</v>
      </c>
      <c r="B113" s="32">
        <v>1.3</v>
      </c>
      <c r="C113" s="4">
        <f t="shared" si="33"/>
        <v>83.2</v>
      </c>
      <c r="D113" s="4">
        <f t="shared" si="28"/>
        <v>0</v>
      </c>
      <c r="E113" s="4">
        <f t="shared" si="34"/>
        <v>847</v>
      </c>
      <c r="F113" s="4">
        <f t="shared" si="35"/>
        <v>13.888480000000001</v>
      </c>
      <c r="G113" s="4">
        <f t="shared" si="36"/>
        <v>944.08848</v>
      </c>
      <c r="H113" s="39"/>
      <c r="I113" s="28">
        <f t="shared" si="37"/>
        <v>1</v>
      </c>
      <c r="J113" s="7">
        <f t="shared" si="38"/>
        <v>96</v>
      </c>
      <c r="K113" s="7">
        <f t="shared" si="30"/>
        <v>0</v>
      </c>
      <c r="L113" s="7">
        <f t="shared" si="39"/>
        <v>847</v>
      </c>
      <c r="M113" s="7">
        <f t="shared" si="40"/>
        <v>17.088480000000001</v>
      </c>
      <c r="N113" s="7">
        <f t="shared" si="41"/>
        <v>960.08848</v>
      </c>
      <c r="O113" s="39"/>
    </row>
    <row r="114" spans="1:15" x14ac:dyDescent="0.25">
      <c r="A114" s="2">
        <v>23</v>
      </c>
      <c r="B114" s="32">
        <f t="shared" si="32"/>
        <v>1.3</v>
      </c>
      <c r="C114" s="4">
        <f t="shared" si="33"/>
        <v>83.2</v>
      </c>
      <c r="D114" s="4">
        <f t="shared" si="28"/>
        <v>0</v>
      </c>
      <c r="E114" s="4">
        <f t="shared" si="34"/>
        <v>885.5</v>
      </c>
      <c r="F114" s="4">
        <f t="shared" si="35"/>
        <v>13.574320000000002</v>
      </c>
      <c r="G114" s="4">
        <f t="shared" si="36"/>
        <v>982.2743200000001</v>
      </c>
      <c r="H114" s="39"/>
      <c r="I114" s="28">
        <f t="shared" si="37"/>
        <v>1</v>
      </c>
      <c r="J114" s="7">
        <f t="shared" si="38"/>
        <v>96</v>
      </c>
      <c r="K114" s="7">
        <f t="shared" si="30"/>
        <v>0</v>
      </c>
      <c r="L114" s="7">
        <f t="shared" si="39"/>
        <v>885.5</v>
      </c>
      <c r="M114" s="7">
        <f t="shared" si="40"/>
        <v>16.774319999999999</v>
      </c>
      <c r="N114" s="7">
        <f t="shared" si="41"/>
        <v>998.27431999999999</v>
      </c>
      <c r="O114" s="39"/>
    </row>
    <row r="115" spans="1:15" x14ac:dyDescent="0.25">
      <c r="A115" s="2">
        <v>24</v>
      </c>
      <c r="B115" s="32">
        <f t="shared" si="32"/>
        <v>1.3</v>
      </c>
      <c r="C115" s="4">
        <f t="shared" si="33"/>
        <v>83.2</v>
      </c>
      <c r="D115" s="4">
        <f t="shared" si="28"/>
        <v>0</v>
      </c>
      <c r="E115" s="4">
        <f t="shared" si="34"/>
        <v>924</v>
      </c>
      <c r="F115" s="4">
        <f t="shared" si="35"/>
        <v>13.260160000000001</v>
      </c>
      <c r="G115" s="4">
        <f t="shared" si="36"/>
        <v>1020.4601600000001</v>
      </c>
      <c r="H115" s="39"/>
      <c r="I115" s="28">
        <f t="shared" si="37"/>
        <v>1</v>
      </c>
      <c r="J115" s="7">
        <f t="shared" si="38"/>
        <v>96</v>
      </c>
      <c r="K115" s="7">
        <f t="shared" si="30"/>
        <v>0</v>
      </c>
      <c r="L115" s="7">
        <f t="shared" si="39"/>
        <v>924</v>
      </c>
      <c r="M115" s="7">
        <f t="shared" si="40"/>
        <v>16.460159999999998</v>
      </c>
      <c r="N115" s="7">
        <f t="shared" si="41"/>
        <v>1036.4601600000001</v>
      </c>
      <c r="O115" s="39"/>
    </row>
    <row r="116" spans="1:15" x14ac:dyDescent="0.25">
      <c r="A116" s="2">
        <v>25</v>
      </c>
      <c r="B116" s="31">
        <v>1.4</v>
      </c>
      <c r="C116" s="4">
        <f t="shared" si="33"/>
        <v>89.6</v>
      </c>
      <c r="D116" s="4">
        <f t="shared" si="28"/>
        <v>0</v>
      </c>
      <c r="E116" s="4">
        <f t="shared" si="34"/>
        <v>962.5</v>
      </c>
      <c r="F116" s="4">
        <f t="shared" si="35"/>
        <v>14.545999999999996</v>
      </c>
      <c r="G116" s="4">
        <f t="shared" si="36"/>
        <v>1066.646</v>
      </c>
      <c r="H116" s="39"/>
      <c r="I116" s="28">
        <f t="shared" si="37"/>
        <v>1</v>
      </c>
      <c r="J116" s="7">
        <f t="shared" si="38"/>
        <v>96</v>
      </c>
      <c r="K116" s="7">
        <f t="shared" si="30"/>
        <v>0</v>
      </c>
      <c r="L116" s="7">
        <f t="shared" si="39"/>
        <v>962.5</v>
      </c>
      <c r="M116" s="7">
        <f t="shared" si="40"/>
        <v>16.145999999999997</v>
      </c>
      <c r="N116" s="7">
        <f t="shared" si="41"/>
        <v>1074.646</v>
      </c>
      <c r="O116" s="39"/>
    </row>
    <row r="117" spans="1:15" x14ac:dyDescent="0.25">
      <c r="A117" s="2">
        <v>26</v>
      </c>
      <c r="B117" s="31">
        <f t="shared" si="32"/>
        <v>1.4</v>
      </c>
      <c r="C117" s="4">
        <f t="shared" si="33"/>
        <v>89.6</v>
      </c>
      <c r="D117" s="4">
        <f t="shared" si="28"/>
        <v>0</v>
      </c>
      <c r="E117" s="4">
        <f t="shared" si="34"/>
        <v>1001</v>
      </c>
      <c r="F117" s="4">
        <f t="shared" si="35"/>
        <v>14.231839999999998</v>
      </c>
      <c r="G117" s="4">
        <f t="shared" si="36"/>
        <v>1104.8318399999998</v>
      </c>
      <c r="H117" s="39"/>
      <c r="I117" s="29">
        <v>1.1000000000000001</v>
      </c>
      <c r="J117" s="7">
        <f t="shared" si="38"/>
        <v>105.60000000000001</v>
      </c>
      <c r="K117" s="7">
        <f t="shared" si="30"/>
        <v>0</v>
      </c>
      <c r="L117" s="7">
        <f t="shared" si="39"/>
        <v>1001</v>
      </c>
      <c r="M117" s="7">
        <f t="shared" si="40"/>
        <v>18.231840000000002</v>
      </c>
      <c r="N117" s="7">
        <f t="shared" si="41"/>
        <v>1124.8318399999998</v>
      </c>
      <c r="O117" s="39"/>
    </row>
    <row r="118" spans="1:15" x14ac:dyDescent="0.25">
      <c r="A118" s="2">
        <v>27</v>
      </c>
      <c r="B118" s="31">
        <f t="shared" si="32"/>
        <v>1.4</v>
      </c>
      <c r="C118" s="4">
        <f t="shared" si="33"/>
        <v>89.6</v>
      </c>
      <c r="D118" s="4">
        <f t="shared" si="28"/>
        <v>0</v>
      </c>
      <c r="E118" s="4">
        <f t="shared" si="34"/>
        <v>1039.5</v>
      </c>
      <c r="F118" s="4">
        <f t="shared" si="35"/>
        <v>13.917679999999999</v>
      </c>
      <c r="G118" s="4">
        <f t="shared" si="36"/>
        <v>1143.0176799999999</v>
      </c>
      <c r="H118" s="39"/>
      <c r="I118" s="29">
        <f t="shared" si="37"/>
        <v>1.1000000000000001</v>
      </c>
      <c r="J118" s="7">
        <f t="shared" si="38"/>
        <v>105.60000000000001</v>
      </c>
      <c r="K118" s="7">
        <f t="shared" si="30"/>
        <v>0</v>
      </c>
      <c r="L118" s="7">
        <f t="shared" si="39"/>
        <v>1039.5</v>
      </c>
      <c r="M118" s="7">
        <f t="shared" si="40"/>
        <v>17.917680000000004</v>
      </c>
      <c r="N118" s="7">
        <f t="shared" si="41"/>
        <v>1163.0176799999999</v>
      </c>
      <c r="O118" s="39"/>
    </row>
    <row r="119" spans="1:15" x14ac:dyDescent="0.25">
      <c r="A119" s="2">
        <v>28</v>
      </c>
      <c r="B119" s="32">
        <v>1.5</v>
      </c>
      <c r="C119" s="4">
        <f t="shared" si="33"/>
        <v>96</v>
      </c>
      <c r="D119" s="4">
        <f t="shared" si="28"/>
        <v>15</v>
      </c>
      <c r="E119" s="4">
        <f t="shared" si="34"/>
        <v>1078</v>
      </c>
      <c r="F119" s="4">
        <f t="shared" si="35"/>
        <v>15.203520000000005</v>
      </c>
      <c r="G119" s="4">
        <f t="shared" si="36"/>
        <v>1204.20352</v>
      </c>
      <c r="H119" s="39"/>
      <c r="I119" s="29">
        <f t="shared" si="37"/>
        <v>1.1000000000000001</v>
      </c>
      <c r="J119" s="7">
        <f t="shared" si="38"/>
        <v>105.60000000000001</v>
      </c>
      <c r="K119" s="7">
        <f t="shared" si="30"/>
        <v>0</v>
      </c>
      <c r="L119" s="7">
        <f t="shared" si="39"/>
        <v>1078</v>
      </c>
      <c r="M119" s="7">
        <f t="shared" si="40"/>
        <v>17.603520000000003</v>
      </c>
      <c r="N119" s="7">
        <f t="shared" si="41"/>
        <v>1201.20352</v>
      </c>
      <c r="O119" s="39"/>
    </row>
    <row r="120" spans="1:15" x14ac:dyDescent="0.25">
      <c r="A120" s="2">
        <v>29</v>
      </c>
      <c r="B120" s="32">
        <f t="shared" si="32"/>
        <v>1.5</v>
      </c>
      <c r="C120" s="4">
        <f t="shared" si="33"/>
        <v>96</v>
      </c>
      <c r="D120" s="4">
        <f t="shared" si="28"/>
        <v>15</v>
      </c>
      <c r="E120" s="4">
        <f t="shared" si="34"/>
        <v>1116.5</v>
      </c>
      <c r="F120" s="4">
        <f t="shared" si="35"/>
        <v>14.889360000000003</v>
      </c>
      <c r="G120" s="4">
        <f t="shared" si="36"/>
        <v>1242.3893599999999</v>
      </c>
      <c r="H120" s="39"/>
      <c r="I120" s="29">
        <f t="shared" si="37"/>
        <v>1.1000000000000001</v>
      </c>
      <c r="J120" s="7">
        <f t="shared" si="38"/>
        <v>105.60000000000001</v>
      </c>
      <c r="K120" s="7">
        <f t="shared" si="30"/>
        <v>0</v>
      </c>
      <c r="L120" s="7">
        <f t="shared" si="39"/>
        <v>1116.5</v>
      </c>
      <c r="M120" s="7">
        <f t="shared" si="40"/>
        <v>17.289360000000002</v>
      </c>
      <c r="N120" s="7">
        <f t="shared" si="41"/>
        <v>1239.3893599999999</v>
      </c>
      <c r="O120" s="39"/>
    </row>
    <row r="121" spans="1:15" x14ac:dyDescent="0.25">
      <c r="A121" s="2">
        <v>30</v>
      </c>
      <c r="B121" s="32">
        <f t="shared" si="32"/>
        <v>1.5</v>
      </c>
      <c r="C121" s="4">
        <f t="shared" si="33"/>
        <v>96</v>
      </c>
      <c r="D121" s="4">
        <f t="shared" si="28"/>
        <v>15</v>
      </c>
      <c r="E121" s="4">
        <f t="shared" si="34"/>
        <v>1155</v>
      </c>
      <c r="F121" s="4">
        <f t="shared" si="35"/>
        <v>14.575200000000004</v>
      </c>
      <c r="G121" s="4">
        <f t="shared" si="36"/>
        <v>1280.5752</v>
      </c>
      <c r="H121" s="39"/>
      <c r="I121" s="29">
        <f t="shared" si="37"/>
        <v>1.1000000000000001</v>
      </c>
      <c r="J121" s="7">
        <f t="shared" si="38"/>
        <v>105.60000000000001</v>
      </c>
      <c r="K121" s="7">
        <f t="shared" si="30"/>
        <v>0</v>
      </c>
      <c r="L121" s="7">
        <f t="shared" si="39"/>
        <v>1155</v>
      </c>
      <c r="M121" s="7">
        <f t="shared" si="40"/>
        <v>16.975200000000001</v>
      </c>
      <c r="N121" s="7">
        <f t="shared" si="41"/>
        <v>1277.5752</v>
      </c>
      <c r="O121" s="39"/>
    </row>
    <row r="122" spans="1:15" x14ac:dyDescent="0.25">
      <c r="A122" s="2">
        <v>31</v>
      </c>
      <c r="B122" s="31">
        <v>1.6</v>
      </c>
      <c r="C122" s="4">
        <f t="shared" si="33"/>
        <v>102.4</v>
      </c>
      <c r="D122" s="4">
        <f t="shared" si="28"/>
        <v>15</v>
      </c>
      <c r="E122" s="4">
        <f t="shared" si="34"/>
        <v>1193.5</v>
      </c>
      <c r="F122" s="4">
        <f t="shared" si="35"/>
        <v>15.861040000000006</v>
      </c>
      <c r="G122" s="4">
        <f t="shared" si="36"/>
        <v>1326.7610400000001</v>
      </c>
      <c r="H122" s="39"/>
      <c r="I122" s="28">
        <v>1.2</v>
      </c>
      <c r="J122" s="7">
        <f t="shared" si="38"/>
        <v>115.19999999999999</v>
      </c>
      <c r="K122" s="7">
        <f t="shared" si="30"/>
        <v>0</v>
      </c>
      <c r="L122" s="7">
        <f t="shared" si="39"/>
        <v>1193.5</v>
      </c>
      <c r="M122" s="7">
        <f t="shared" si="40"/>
        <v>19.061039999999998</v>
      </c>
      <c r="N122" s="7">
        <f t="shared" si="41"/>
        <v>1327.7610400000001</v>
      </c>
      <c r="O122" s="39"/>
    </row>
    <row r="123" spans="1:15" x14ac:dyDescent="0.25">
      <c r="A123" s="2">
        <v>32</v>
      </c>
      <c r="B123" s="31">
        <f t="shared" si="32"/>
        <v>1.6</v>
      </c>
      <c r="C123" s="4">
        <f t="shared" si="33"/>
        <v>102.4</v>
      </c>
      <c r="D123" s="4">
        <f t="shared" si="28"/>
        <v>15</v>
      </c>
      <c r="E123" s="4">
        <f t="shared" si="34"/>
        <v>1232</v>
      </c>
      <c r="F123" s="4">
        <f t="shared" si="35"/>
        <v>15.546880000000005</v>
      </c>
      <c r="G123" s="4">
        <f t="shared" si="36"/>
        <v>1364.9468800000002</v>
      </c>
      <c r="H123" s="39"/>
      <c r="I123" s="28">
        <f t="shared" si="37"/>
        <v>1.2</v>
      </c>
      <c r="J123" s="7">
        <f t="shared" si="38"/>
        <v>115.19999999999999</v>
      </c>
      <c r="K123" s="7">
        <f t="shared" si="30"/>
        <v>0</v>
      </c>
      <c r="L123" s="7">
        <f t="shared" si="39"/>
        <v>1232</v>
      </c>
      <c r="M123" s="7">
        <f t="shared" si="40"/>
        <v>18.746879999999997</v>
      </c>
      <c r="N123" s="7">
        <f t="shared" si="41"/>
        <v>1365.94688</v>
      </c>
      <c r="O123" s="39"/>
    </row>
    <row r="124" spans="1:15" x14ac:dyDescent="0.25">
      <c r="A124" s="2">
        <v>33</v>
      </c>
      <c r="B124" s="31">
        <f t="shared" si="32"/>
        <v>1.6</v>
      </c>
      <c r="C124" s="4">
        <f t="shared" si="33"/>
        <v>102.4</v>
      </c>
      <c r="D124" s="4">
        <f t="shared" si="28"/>
        <v>15</v>
      </c>
      <c r="E124" s="4">
        <f t="shared" si="34"/>
        <v>1270.5</v>
      </c>
      <c r="F124" s="4">
        <f t="shared" si="35"/>
        <v>15.232720000000004</v>
      </c>
      <c r="G124" s="4">
        <f t="shared" si="36"/>
        <v>1403.1327200000001</v>
      </c>
      <c r="H124" s="39"/>
      <c r="I124" s="28">
        <f t="shared" si="37"/>
        <v>1.2</v>
      </c>
      <c r="J124" s="7">
        <f t="shared" si="38"/>
        <v>115.19999999999999</v>
      </c>
      <c r="K124" s="7">
        <f t="shared" si="30"/>
        <v>0</v>
      </c>
      <c r="L124" s="7">
        <f t="shared" si="39"/>
        <v>1270.5</v>
      </c>
      <c r="M124" s="7">
        <f t="shared" si="40"/>
        <v>18.432719999999996</v>
      </c>
      <c r="N124" s="7">
        <f t="shared" si="41"/>
        <v>1404.1327200000001</v>
      </c>
      <c r="O124" s="39"/>
    </row>
    <row r="125" spans="1:15" x14ac:dyDescent="0.25">
      <c r="A125" s="2">
        <v>34</v>
      </c>
      <c r="B125" s="32">
        <v>1.7</v>
      </c>
      <c r="C125" s="4">
        <f t="shared" si="33"/>
        <v>108.8</v>
      </c>
      <c r="D125" s="4">
        <f t="shared" si="28"/>
        <v>15</v>
      </c>
      <c r="E125" s="4">
        <f t="shared" si="34"/>
        <v>1309</v>
      </c>
      <c r="F125" s="4">
        <f t="shared" si="35"/>
        <v>16.518560000000001</v>
      </c>
      <c r="G125" s="4">
        <f t="shared" si="36"/>
        <v>1449.3185599999999</v>
      </c>
      <c r="H125" s="39"/>
      <c r="I125" s="28">
        <f t="shared" si="37"/>
        <v>1.2</v>
      </c>
      <c r="J125" s="7">
        <f t="shared" si="38"/>
        <v>115.19999999999999</v>
      </c>
      <c r="K125" s="7">
        <f t="shared" si="30"/>
        <v>0</v>
      </c>
      <c r="L125" s="7">
        <f t="shared" si="39"/>
        <v>1309</v>
      </c>
      <c r="M125" s="7">
        <f t="shared" si="40"/>
        <v>18.118559999999999</v>
      </c>
      <c r="N125" s="7">
        <f t="shared" si="41"/>
        <v>1442.3185599999999</v>
      </c>
      <c r="O125" s="39"/>
    </row>
    <row r="126" spans="1:15" x14ac:dyDescent="0.25">
      <c r="A126" s="2">
        <v>35</v>
      </c>
      <c r="B126" s="32">
        <f t="shared" si="32"/>
        <v>1.7</v>
      </c>
      <c r="C126" s="4">
        <f t="shared" si="33"/>
        <v>108.8</v>
      </c>
      <c r="D126" s="4">
        <f t="shared" si="28"/>
        <v>15</v>
      </c>
      <c r="E126" s="4">
        <f t="shared" si="34"/>
        <v>1347.5</v>
      </c>
      <c r="F126" s="4">
        <f t="shared" si="35"/>
        <v>16.204400000000003</v>
      </c>
      <c r="G126" s="4">
        <f t="shared" si="36"/>
        <v>1487.5044</v>
      </c>
      <c r="H126" s="39"/>
      <c r="I126" s="28">
        <f t="shared" si="37"/>
        <v>1.2</v>
      </c>
      <c r="J126" s="7">
        <f t="shared" si="38"/>
        <v>115.19999999999999</v>
      </c>
      <c r="K126" s="7">
        <f t="shared" si="30"/>
        <v>0</v>
      </c>
      <c r="L126" s="7">
        <f t="shared" si="39"/>
        <v>1347.5</v>
      </c>
      <c r="M126" s="7">
        <f t="shared" si="40"/>
        <v>17.804400000000001</v>
      </c>
      <c r="N126" s="7">
        <f t="shared" si="41"/>
        <v>1480.5044</v>
      </c>
      <c r="O126" s="39"/>
    </row>
    <row r="127" spans="1:15" x14ac:dyDescent="0.25">
      <c r="A127" s="2">
        <v>36</v>
      </c>
      <c r="B127" s="32">
        <f t="shared" si="32"/>
        <v>1.7</v>
      </c>
      <c r="C127" s="4">
        <f t="shared" si="33"/>
        <v>108.8</v>
      </c>
      <c r="D127" s="4">
        <f t="shared" si="28"/>
        <v>15</v>
      </c>
      <c r="E127" s="4">
        <f t="shared" si="34"/>
        <v>1386</v>
      </c>
      <c r="F127" s="4">
        <f t="shared" si="35"/>
        <v>15.890240000000002</v>
      </c>
      <c r="G127" s="4">
        <f t="shared" si="36"/>
        <v>1525.6902399999999</v>
      </c>
      <c r="H127" s="39"/>
      <c r="I127" s="29">
        <v>1.3</v>
      </c>
      <c r="J127" s="7">
        <f t="shared" si="38"/>
        <v>124.80000000000001</v>
      </c>
      <c r="K127" s="7">
        <f t="shared" si="30"/>
        <v>0</v>
      </c>
      <c r="L127" s="7">
        <f t="shared" si="39"/>
        <v>1386</v>
      </c>
      <c r="M127" s="7">
        <f t="shared" si="40"/>
        <v>19.890240000000002</v>
      </c>
      <c r="N127" s="7">
        <f t="shared" si="41"/>
        <v>1530.6902399999999</v>
      </c>
      <c r="O127" s="39"/>
    </row>
  </sheetData>
  <mergeCells count="7">
    <mergeCell ref="G89:G90"/>
    <mergeCell ref="N89:N90"/>
    <mergeCell ref="T64:Z65"/>
    <mergeCell ref="N3:N4"/>
    <mergeCell ref="G3:G4"/>
    <mergeCell ref="G46:G47"/>
    <mergeCell ref="N46:N4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1"/>
  <sheetViews>
    <sheetView zoomScale="90" zoomScaleNormal="90" workbookViewId="0">
      <pane xSplit="17" ySplit="2" topLeftCell="R3" activePane="bottomRight" state="frozen"/>
      <selection pane="topRight" activeCell="R1" sqref="R1"/>
      <selection pane="bottomLeft" activeCell="A3" sqref="A3"/>
      <selection pane="bottomRight" activeCell="V6" sqref="V6"/>
    </sheetView>
  </sheetViews>
  <sheetFormatPr defaultRowHeight="15" x14ac:dyDescent="0.25"/>
  <cols>
    <col min="1" max="1" width="13.7109375" customWidth="1"/>
    <col min="2" max="8" width="11.7109375" customWidth="1"/>
    <col min="9" max="9" width="1.7109375" customWidth="1"/>
    <col min="10" max="10" width="11.7109375" style="6" customWidth="1"/>
    <col min="11" max="16" width="11.7109375" customWidth="1"/>
    <col min="17" max="17" width="1.7109375" customWidth="1"/>
    <col min="18" max="18" width="12.7109375" customWidth="1"/>
    <col min="19" max="54" width="9.7109375" customWidth="1"/>
  </cols>
  <sheetData>
    <row r="1" spans="1:54" s="4" customFormat="1" x14ac:dyDescent="0.25">
      <c r="A1" s="45" t="s">
        <v>11</v>
      </c>
      <c r="B1" s="46"/>
      <c r="C1" s="47"/>
      <c r="D1" s="46"/>
      <c r="E1" s="46"/>
      <c r="F1" s="46"/>
      <c r="G1" s="46"/>
      <c r="H1" s="46"/>
      <c r="I1" s="48"/>
      <c r="J1" s="49"/>
      <c r="K1" s="46"/>
      <c r="L1" s="46"/>
      <c r="M1" s="46"/>
      <c r="N1" s="46"/>
      <c r="O1" s="46"/>
      <c r="P1" s="46"/>
      <c r="Q1" s="40"/>
      <c r="R1" s="44" t="s">
        <v>58</v>
      </c>
      <c r="S1" s="43">
        <f>H6</f>
        <v>95.936759999999992</v>
      </c>
      <c r="T1" s="43">
        <f>H7</f>
        <v>127.87352</v>
      </c>
      <c r="U1" s="43">
        <f>H8</f>
        <v>159.81027999999998</v>
      </c>
      <c r="V1" s="43">
        <f>H9</f>
        <v>191.74704</v>
      </c>
      <c r="W1" s="43">
        <f>H10</f>
        <v>223.68380000000002</v>
      </c>
      <c r="X1" s="43">
        <f>H11</f>
        <v>255.62056000000001</v>
      </c>
      <c r="Y1" s="43">
        <f>H12</f>
        <v>287.55732</v>
      </c>
      <c r="Z1" s="43">
        <f>H13</f>
        <v>321.49408</v>
      </c>
      <c r="AA1" s="43">
        <f>H14</f>
        <v>353.43083999999999</v>
      </c>
      <c r="AB1" s="43">
        <f>H15</f>
        <v>385.36760000000004</v>
      </c>
      <c r="AC1" s="43">
        <f>H16</f>
        <v>417.30435999999997</v>
      </c>
      <c r="AD1" s="43">
        <f>H17</f>
        <v>449.24111999999997</v>
      </c>
      <c r="AE1" s="43">
        <f>H18</f>
        <v>481.17788000000002</v>
      </c>
      <c r="AF1" s="43">
        <f>H19</f>
        <v>515.11464000000001</v>
      </c>
      <c r="AG1" s="43">
        <f>H20</f>
        <v>547.05140000000006</v>
      </c>
      <c r="AH1" s="43">
        <f>H21</f>
        <v>578.98816000000011</v>
      </c>
      <c r="AI1" s="43">
        <f>H22</f>
        <v>610.92492000000004</v>
      </c>
      <c r="AJ1" s="43">
        <f>H23</f>
        <v>642.86168000000009</v>
      </c>
      <c r="AK1" s="43">
        <f>H24</f>
        <v>674.79844000000014</v>
      </c>
      <c r="AL1" s="43">
        <f>H25</f>
        <v>706.73520000000008</v>
      </c>
      <c r="AM1" s="43">
        <f>H26</f>
        <v>740.67196000000001</v>
      </c>
      <c r="AN1" s="43">
        <f>H27</f>
        <v>772.60871999999995</v>
      </c>
      <c r="AO1" s="43">
        <f>H28</f>
        <v>804.54548</v>
      </c>
      <c r="AP1" s="43">
        <f>H29</f>
        <v>836.48224000000005</v>
      </c>
      <c r="AQ1" s="43">
        <f>H30</f>
        <v>868.4190000000001</v>
      </c>
      <c r="AR1" s="43">
        <f>H31</f>
        <v>900.35576000000003</v>
      </c>
      <c r="AS1" s="43">
        <f>H32</f>
        <v>934.29252000000008</v>
      </c>
      <c r="AT1" s="43">
        <f>H33</f>
        <v>966.2292799999999</v>
      </c>
      <c r="AU1" s="43">
        <f>H34</f>
        <v>998.16603999999995</v>
      </c>
      <c r="AV1" s="43">
        <f>H35</f>
        <v>1030.1028000000001</v>
      </c>
      <c r="AW1" s="43">
        <f>H36</f>
        <v>1062.0395599999999</v>
      </c>
      <c r="AX1" s="43">
        <f>H37</f>
        <v>1093.97632</v>
      </c>
      <c r="AY1" s="43">
        <f>H38</f>
        <v>1125.9130799999998</v>
      </c>
      <c r="AZ1" s="43">
        <f>H39</f>
        <v>1159.8498400000001</v>
      </c>
      <c r="BA1" s="43">
        <f>H40</f>
        <v>1191.7865999999999</v>
      </c>
      <c r="BB1" s="43">
        <f>H41</f>
        <v>1223.72336</v>
      </c>
    </row>
    <row r="2" spans="1:54" s="4" customFormat="1" ht="18.75" customHeight="1" x14ac:dyDescent="0.25">
      <c r="A2" s="45" t="s">
        <v>12</v>
      </c>
      <c r="B2" s="50" t="s">
        <v>10</v>
      </c>
      <c r="C2" s="41">
        <v>40</v>
      </c>
      <c r="D2" s="134">
        <v>15</v>
      </c>
      <c r="E2" s="105">
        <f>V10</f>
        <v>32.408000000000001</v>
      </c>
      <c r="F2" s="42">
        <v>60</v>
      </c>
      <c r="G2" s="50"/>
      <c r="H2" s="46"/>
      <c r="I2" s="48"/>
      <c r="J2" s="51"/>
      <c r="K2" s="46"/>
      <c r="L2" s="46"/>
      <c r="M2" s="46"/>
      <c r="N2" s="46"/>
      <c r="O2" s="46"/>
      <c r="P2" s="46"/>
      <c r="Q2" s="40"/>
      <c r="R2" s="44" t="s">
        <v>59</v>
      </c>
      <c r="S2" s="43">
        <f>P6</f>
        <v>127.93675999999999</v>
      </c>
      <c r="T2" s="43">
        <f>P7</f>
        <v>159.87352000000001</v>
      </c>
      <c r="U2" s="43">
        <f>P8</f>
        <v>191.81028000000001</v>
      </c>
      <c r="V2" s="43">
        <f>P9</f>
        <v>223.74704</v>
      </c>
      <c r="W2" s="43">
        <f>P10</f>
        <v>255.68380000000002</v>
      </c>
      <c r="X2" s="43">
        <f>P11</f>
        <v>287.62056000000001</v>
      </c>
      <c r="Y2" s="43">
        <f>P12</f>
        <v>319.55732</v>
      </c>
      <c r="Z2" s="43">
        <f>P13</f>
        <v>351.49408</v>
      </c>
      <c r="AA2" s="43">
        <f>P14</f>
        <v>383.43083999999999</v>
      </c>
      <c r="AB2" s="43">
        <f>P15</f>
        <v>415.36760000000004</v>
      </c>
      <c r="AC2" s="43">
        <f>P16</f>
        <v>447.30435999999997</v>
      </c>
      <c r="AD2" s="43">
        <f>P17</f>
        <v>482.24112000000002</v>
      </c>
      <c r="AE2" s="43">
        <f>P18</f>
        <v>514.17788000000007</v>
      </c>
      <c r="AF2" s="43">
        <f>P19</f>
        <v>546.11464000000001</v>
      </c>
      <c r="AG2" s="43">
        <f>P20</f>
        <v>578.05140000000006</v>
      </c>
      <c r="AH2" s="43">
        <f>P21</f>
        <v>609.98815999999999</v>
      </c>
      <c r="AI2" s="43">
        <f>P22</f>
        <v>641.92492000000004</v>
      </c>
      <c r="AJ2" s="43">
        <f>P23</f>
        <v>673.86168000000009</v>
      </c>
      <c r="AK2" s="43">
        <f>P24</f>
        <v>705.79844000000014</v>
      </c>
      <c r="AL2" s="43">
        <f>P25</f>
        <v>737.73520000000008</v>
      </c>
      <c r="AM2" s="43">
        <f>P26</f>
        <v>769.67196000000001</v>
      </c>
      <c r="AN2" s="43">
        <f>P27</f>
        <v>804.60871999999995</v>
      </c>
      <c r="AO2" s="43">
        <f>P28</f>
        <v>836.54548</v>
      </c>
      <c r="AP2" s="43">
        <f>P29</f>
        <v>868.48223999999993</v>
      </c>
      <c r="AQ2" s="43">
        <f>P30</f>
        <v>900.41899999999998</v>
      </c>
      <c r="AR2" s="43">
        <f>P31</f>
        <v>932.35576000000003</v>
      </c>
      <c r="AS2" s="43">
        <f>P32</f>
        <v>964.29252000000008</v>
      </c>
      <c r="AT2" s="43">
        <f>P33</f>
        <v>996.2292799999999</v>
      </c>
      <c r="AU2" s="43">
        <f>P34</f>
        <v>1028.1660400000001</v>
      </c>
      <c r="AV2" s="43">
        <f>P35</f>
        <v>1060.1028000000001</v>
      </c>
      <c r="AW2" s="43">
        <f>P36</f>
        <v>1092.0395599999999</v>
      </c>
      <c r="AX2" s="43">
        <f>P37</f>
        <v>1123.97632</v>
      </c>
      <c r="AY2" s="43">
        <f>P38</f>
        <v>1158.91308</v>
      </c>
      <c r="AZ2" s="43">
        <f>P39</f>
        <v>1190.8498400000001</v>
      </c>
      <c r="BA2" s="43">
        <f>P40</f>
        <v>1222.7865999999999</v>
      </c>
      <c r="BB2" s="43">
        <f>P41</f>
        <v>1254.7233600000002</v>
      </c>
    </row>
    <row r="3" spans="1:54" x14ac:dyDescent="0.25">
      <c r="B3" s="27"/>
      <c r="C3" s="5" t="s">
        <v>2</v>
      </c>
      <c r="D3" s="2" t="s">
        <v>3</v>
      </c>
      <c r="E3" s="2" t="s">
        <v>1</v>
      </c>
      <c r="F3" s="2" t="s">
        <v>5</v>
      </c>
      <c r="G3" s="2" t="s">
        <v>46</v>
      </c>
      <c r="H3" s="287" t="s">
        <v>6</v>
      </c>
      <c r="I3" s="39"/>
      <c r="J3" s="34"/>
      <c r="K3" s="8" t="s">
        <v>2</v>
      </c>
      <c r="L3" s="2" t="s">
        <v>3</v>
      </c>
      <c r="M3" s="2" t="s">
        <v>1</v>
      </c>
      <c r="N3" s="2" t="s">
        <v>5</v>
      </c>
      <c r="O3" s="2" t="s">
        <v>46</v>
      </c>
      <c r="P3" s="287" t="s">
        <v>6</v>
      </c>
      <c r="Q3" s="39"/>
      <c r="W3" s="35"/>
    </row>
    <row r="4" spans="1:54" x14ac:dyDescent="0.25">
      <c r="A4" s="1" t="s">
        <v>8</v>
      </c>
      <c r="B4" s="27" t="s">
        <v>7</v>
      </c>
      <c r="C4" s="5" t="s">
        <v>37</v>
      </c>
      <c r="D4" s="61" t="s">
        <v>38</v>
      </c>
      <c r="E4" s="2" t="s">
        <v>4</v>
      </c>
      <c r="F4" s="2" t="s">
        <v>52</v>
      </c>
      <c r="G4" s="2" t="s">
        <v>47</v>
      </c>
      <c r="H4" s="287"/>
      <c r="I4" s="39"/>
      <c r="J4" s="27" t="s">
        <v>7</v>
      </c>
      <c r="K4" s="8" t="s">
        <v>36</v>
      </c>
      <c r="L4" s="61" t="s">
        <v>38</v>
      </c>
      <c r="M4" s="2" t="s">
        <v>4</v>
      </c>
      <c r="N4" s="2" t="s">
        <v>52</v>
      </c>
      <c r="O4" s="2" t="s">
        <v>47</v>
      </c>
      <c r="P4" s="287"/>
      <c r="Q4" s="39"/>
      <c r="W4" s="35"/>
    </row>
    <row r="5" spans="1:54" x14ac:dyDescent="0.25">
      <c r="B5" s="27"/>
      <c r="C5" s="20">
        <v>0.4</v>
      </c>
      <c r="E5" s="20">
        <v>0.1</v>
      </c>
      <c r="I5" s="39"/>
      <c r="J5" s="26"/>
      <c r="K5" s="20">
        <v>0.6</v>
      </c>
      <c r="Q5" s="39"/>
      <c r="V5" s="22" t="s">
        <v>41</v>
      </c>
    </row>
    <row r="6" spans="1:54" x14ac:dyDescent="0.25">
      <c r="A6" s="2">
        <v>1</v>
      </c>
      <c r="B6" s="31">
        <v>0.6</v>
      </c>
      <c r="C6" s="4">
        <f>$C$2*C$5*B6</f>
        <v>9.6</v>
      </c>
      <c r="D6" s="4">
        <f>IF(B6&gt;1.4,D$2,0)</f>
        <v>0</v>
      </c>
      <c r="E6" s="4">
        <f>$E$2*$A6</f>
        <v>32.408000000000001</v>
      </c>
      <c r="F6" s="4">
        <f>(($C$5*B6)-(3.1416*($E$5/2)*($E$5/2)*$A6))*$F$2</f>
        <v>13.928759999999999</v>
      </c>
      <c r="G6" s="25">
        <v>40</v>
      </c>
      <c r="H6" s="4">
        <f>SUM(C6:G6)</f>
        <v>95.936759999999992</v>
      </c>
      <c r="I6" s="39"/>
      <c r="J6" s="28">
        <v>0.6</v>
      </c>
      <c r="K6" s="7">
        <f>$C$2*K$5*J6</f>
        <v>14.399999999999999</v>
      </c>
      <c r="L6" s="7">
        <f>IF(J6&gt;1.4,D$2,0)</f>
        <v>0</v>
      </c>
      <c r="M6" s="7">
        <f>$E$2*$A6</f>
        <v>32.408000000000001</v>
      </c>
      <c r="N6" s="4">
        <f>(($K$5*J6)-(3.1416*($E$5/2)*($E$5/2)*$A6))*$F$2</f>
        <v>21.128759999999996</v>
      </c>
      <c r="O6" s="25">
        <v>60</v>
      </c>
      <c r="P6" s="7">
        <f>SUM(K6:O6)</f>
        <v>127.93675999999999</v>
      </c>
      <c r="Q6" s="39"/>
      <c r="U6" s="1" t="s">
        <v>142</v>
      </c>
      <c r="V6" s="21">
        <f>37/6</f>
        <v>6.166666666666667</v>
      </c>
      <c r="W6" t="s">
        <v>143</v>
      </c>
    </row>
    <row r="7" spans="1:54" x14ac:dyDescent="0.25">
      <c r="A7" s="2">
        <v>2</v>
      </c>
      <c r="B7" s="31">
        <f>B6</f>
        <v>0.6</v>
      </c>
      <c r="C7" s="4">
        <f t="shared" ref="C7:C41" si="0">$C$2*C$5*B7</f>
        <v>9.6</v>
      </c>
      <c r="D7" s="4">
        <f t="shared" ref="D7:D41" si="1">IF(B7&gt;1.4,D$2,0)</f>
        <v>0</v>
      </c>
      <c r="E7" s="4">
        <f t="shared" ref="E7:E41" si="2">$E$2*A7</f>
        <v>64.816000000000003</v>
      </c>
      <c r="F7" s="4">
        <f t="shared" ref="F7:F41" si="3">(($C$5*B7)-(3.1416*($E$5/2)*($E$5/2)*$A7))*$F$2</f>
        <v>13.457519999999999</v>
      </c>
      <c r="G7" s="4">
        <f>G6</f>
        <v>40</v>
      </c>
      <c r="H7" s="4">
        <f t="shared" ref="H7:H41" si="4">SUM(C7:G7)</f>
        <v>127.87352</v>
      </c>
      <c r="I7" s="39"/>
      <c r="J7" s="28">
        <f>J6</f>
        <v>0.6</v>
      </c>
      <c r="K7" s="7">
        <f t="shared" ref="K7:K41" si="5">$C$2*K$5*J7</f>
        <v>14.399999999999999</v>
      </c>
      <c r="L7" s="7">
        <f t="shared" ref="L7:L41" si="6">IF(J7&gt;1.4,D$2,0)</f>
        <v>0</v>
      </c>
      <c r="M7" s="7">
        <f t="shared" ref="M7:M41" si="7">$E$2*$A7</f>
        <v>64.816000000000003</v>
      </c>
      <c r="N7" s="4">
        <f t="shared" ref="N7:N41" si="8">(($K$5*J7)-(3.1416*($E$5/2)*($E$5/2)*$A7))*$F$2</f>
        <v>20.657519999999998</v>
      </c>
      <c r="O7" s="4">
        <f>O6</f>
        <v>60</v>
      </c>
      <c r="P7" s="7">
        <f t="shared" ref="P7:P41" si="9">SUM(K7:O7)</f>
        <v>159.87352000000001</v>
      </c>
      <c r="Q7" s="39"/>
      <c r="U7" s="1" t="s">
        <v>43</v>
      </c>
      <c r="V7" s="21">
        <v>8.3000000000000007</v>
      </c>
    </row>
    <row r="8" spans="1:54" x14ac:dyDescent="0.25">
      <c r="A8" s="2">
        <v>3</v>
      </c>
      <c r="B8" s="31">
        <f t="shared" ref="B8:B41" si="10">B7</f>
        <v>0.6</v>
      </c>
      <c r="C8" s="4">
        <f t="shared" si="0"/>
        <v>9.6</v>
      </c>
      <c r="D8" s="4">
        <f t="shared" si="1"/>
        <v>0</v>
      </c>
      <c r="E8" s="4">
        <f t="shared" si="2"/>
        <v>97.224000000000004</v>
      </c>
      <c r="F8" s="4">
        <f t="shared" si="3"/>
        <v>12.986279999999999</v>
      </c>
      <c r="G8" s="4">
        <f t="shared" ref="G8:G41" si="11">G7</f>
        <v>40</v>
      </c>
      <c r="H8" s="4">
        <f t="shared" si="4"/>
        <v>159.81027999999998</v>
      </c>
      <c r="I8" s="39"/>
      <c r="J8" s="28">
        <f t="shared" ref="J8:J16" si="12">J7</f>
        <v>0.6</v>
      </c>
      <c r="K8" s="7">
        <f t="shared" si="5"/>
        <v>14.399999999999999</v>
      </c>
      <c r="L8" s="7">
        <f t="shared" si="6"/>
        <v>0</v>
      </c>
      <c r="M8" s="7">
        <f t="shared" si="7"/>
        <v>97.224000000000004</v>
      </c>
      <c r="N8" s="4">
        <f t="shared" si="8"/>
        <v>20.18628</v>
      </c>
      <c r="O8" s="4">
        <f t="shared" ref="O8:O41" si="13">O7</f>
        <v>60</v>
      </c>
      <c r="P8" s="7">
        <f t="shared" si="9"/>
        <v>191.81028000000001</v>
      </c>
      <c r="Q8" s="39"/>
      <c r="U8" s="1" t="s">
        <v>62</v>
      </c>
      <c r="V8" s="21">
        <f>57*0.22</f>
        <v>12.540000000000001</v>
      </c>
    </row>
    <row r="9" spans="1:54" x14ac:dyDescent="0.25">
      <c r="A9" s="2">
        <v>4</v>
      </c>
      <c r="B9" s="31">
        <f t="shared" si="10"/>
        <v>0.6</v>
      </c>
      <c r="C9" s="4">
        <f t="shared" si="0"/>
        <v>9.6</v>
      </c>
      <c r="D9" s="4">
        <f t="shared" si="1"/>
        <v>0</v>
      </c>
      <c r="E9" s="4">
        <f t="shared" si="2"/>
        <v>129.63200000000001</v>
      </c>
      <c r="F9" s="4">
        <f t="shared" si="3"/>
        <v>12.515039999999999</v>
      </c>
      <c r="G9" s="4">
        <f t="shared" si="11"/>
        <v>40</v>
      </c>
      <c r="H9" s="4">
        <f t="shared" si="4"/>
        <v>191.74704</v>
      </c>
      <c r="I9" s="39"/>
      <c r="J9" s="28">
        <f t="shared" si="12"/>
        <v>0.6</v>
      </c>
      <c r="K9" s="7">
        <f t="shared" si="5"/>
        <v>14.399999999999999</v>
      </c>
      <c r="L9" s="7">
        <f t="shared" si="6"/>
        <v>0</v>
      </c>
      <c r="M9" s="7">
        <f t="shared" si="7"/>
        <v>129.63200000000001</v>
      </c>
      <c r="N9" s="4">
        <f t="shared" si="8"/>
        <v>19.715039999999998</v>
      </c>
      <c r="O9" s="4">
        <f t="shared" si="13"/>
        <v>60</v>
      </c>
      <c r="P9" s="7">
        <f t="shared" si="9"/>
        <v>223.74704</v>
      </c>
      <c r="Q9" s="39"/>
      <c r="U9" s="1" t="s">
        <v>44</v>
      </c>
      <c r="V9" s="62">
        <f>SUM(V6:V8)</f>
        <v>27.006666666666668</v>
      </c>
    </row>
    <row r="10" spans="1:54" x14ac:dyDescent="0.25">
      <c r="A10" s="2">
        <v>5</v>
      </c>
      <c r="B10" s="31">
        <f t="shared" si="10"/>
        <v>0.6</v>
      </c>
      <c r="C10" s="4">
        <f t="shared" si="0"/>
        <v>9.6</v>
      </c>
      <c r="D10" s="4">
        <f t="shared" si="1"/>
        <v>0</v>
      </c>
      <c r="E10" s="4">
        <f t="shared" si="2"/>
        <v>162.04000000000002</v>
      </c>
      <c r="F10" s="4">
        <f t="shared" si="3"/>
        <v>12.043799999999999</v>
      </c>
      <c r="G10" s="4">
        <f t="shared" si="11"/>
        <v>40</v>
      </c>
      <c r="H10" s="4">
        <f t="shared" si="4"/>
        <v>223.68380000000002</v>
      </c>
      <c r="I10" s="39"/>
      <c r="J10" s="28">
        <f t="shared" si="12"/>
        <v>0.6</v>
      </c>
      <c r="K10" s="7">
        <f t="shared" si="5"/>
        <v>14.399999999999999</v>
      </c>
      <c r="L10" s="7">
        <f t="shared" si="6"/>
        <v>0</v>
      </c>
      <c r="M10" s="7">
        <f t="shared" si="7"/>
        <v>162.04000000000002</v>
      </c>
      <c r="N10" s="4">
        <f t="shared" si="8"/>
        <v>19.243799999999997</v>
      </c>
      <c r="O10" s="4">
        <f t="shared" si="13"/>
        <v>60</v>
      </c>
      <c r="P10" s="7">
        <f t="shared" si="9"/>
        <v>255.68380000000002</v>
      </c>
      <c r="Q10" s="39"/>
      <c r="U10" s="1" t="s">
        <v>39</v>
      </c>
      <c r="V10" s="52">
        <f>V9*1.2</f>
        <v>32.408000000000001</v>
      </c>
    </row>
    <row r="11" spans="1:54" x14ac:dyDescent="0.25">
      <c r="A11" s="2">
        <v>6</v>
      </c>
      <c r="B11" s="31">
        <f t="shared" si="10"/>
        <v>0.6</v>
      </c>
      <c r="C11" s="4">
        <f t="shared" si="0"/>
        <v>9.6</v>
      </c>
      <c r="D11" s="4">
        <f t="shared" si="1"/>
        <v>0</v>
      </c>
      <c r="E11" s="4">
        <f t="shared" si="2"/>
        <v>194.44800000000001</v>
      </c>
      <c r="F11" s="4">
        <f t="shared" si="3"/>
        <v>11.572559999999999</v>
      </c>
      <c r="G11" s="4">
        <f t="shared" si="11"/>
        <v>40</v>
      </c>
      <c r="H11" s="4">
        <f t="shared" si="4"/>
        <v>255.62056000000001</v>
      </c>
      <c r="I11" s="39"/>
      <c r="J11" s="28">
        <f t="shared" si="12"/>
        <v>0.6</v>
      </c>
      <c r="K11" s="7">
        <f t="shared" si="5"/>
        <v>14.399999999999999</v>
      </c>
      <c r="L11" s="7">
        <f t="shared" si="6"/>
        <v>0</v>
      </c>
      <c r="M11" s="7">
        <f t="shared" si="7"/>
        <v>194.44800000000001</v>
      </c>
      <c r="N11" s="4">
        <f t="shared" si="8"/>
        <v>18.772559999999999</v>
      </c>
      <c r="O11" s="4">
        <f t="shared" si="13"/>
        <v>60</v>
      </c>
      <c r="P11" s="7">
        <f t="shared" si="9"/>
        <v>287.62056000000001</v>
      </c>
      <c r="Q11" s="39"/>
      <c r="U11" s="1"/>
      <c r="V11" s="21"/>
    </row>
    <row r="12" spans="1:54" x14ac:dyDescent="0.25">
      <c r="A12" s="2">
        <v>7</v>
      </c>
      <c r="B12" s="31">
        <f t="shared" si="10"/>
        <v>0.6</v>
      </c>
      <c r="C12" s="4">
        <f t="shared" si="0"/>
        <v>9.6</v>
      </c>
      <c r="D12" s="4">
        <f t="shared" si="1"/>
        <v>0</v>
      </c>
      <c r="E12" s="4">
        <f t="shared" si="2"/>
        <v>226.85599999999999</v>
      </c>
      <c r="F12" s="4">
        <f t="shared" si="3"/>
        <v>11.101319999999999</v>
      </c>
      <c r="G12" s="4">
        <f t="shared" si="11"/>
        <v>40</v>
      </c>
      <c r="H12" s="4">
        <f t="shared" si="4"/>
        <v>287.55732</v>
      </c>
      <c r="I12" s="39"/>
      <c r="J12" s="28">
        <f t="shared" si="12"/>
        <v>0.6</v>
      </c>
      <c r="K12" s="7">
        <f t="shared" si="5"/>
        <v>14.399999999999999</v>
      </c>
      <c r="L12" s="7">
        <f t="shared" si="6"/>
        <v>0</v>
      </c>
      <c r="M12" s="7">
        <f t="shared" si="7"/>
        <v>226.85599999999999</v>
      </c>
      <c r="N12" s="4">
        <f t="shared" si="8"/>
        <v>18.30132</v>
      </c>
      <c r="O12" s="4">
        <f t="shared" si="13"/>
        <v>60</v>
      </c>
      <c r="P12" s="7">
        <f t="shared" si="9"/>
        <v>319.55732</v>
      </c>
      <c r="Q12" s="39"/>
    </row>
    <row r="13" spans="1:54" x14ac:dyDescent="0.25">
      <c r="A13" s="2">
        <v>8</v>
      </c>
      <c r="B13" s="32">
        <v>0.65</v>
      </c>
      <c r="C13" s="4">
        <f t="shared" si="0"/>
        <v>10.4</v>
      </c>
      <c r="D13" s="4">
        <f t="shared" si="1"/>
        <v>0</v>
      </c>
      <c r="E13" s="4">
        <f t="shared" si="2"/>
        <v>259.26400000000001</v>
      </c>
      <c r="F13" s="4">
        <f t="shared" si="3"/>
        <v>11.830080000000001</v>
      </c>
      <c r="G13" s="4">
        <f t="shared" si="11"/>
        <v>40</v>
      </c>
      <c r="H13" s="4">
        <f t="shared" si="4"/>
        <v>321.49408</v>
      </c>
      <c r="I13" s="39"/>
      <c r="J13" s="28">
        <f t="shared" si="12"/>
        <v>0.6</v>
      </c>
      <c r="K13" s="7">
        <f t="shared" si="5"/>
        <v>14.399999999999999</v>
      </c>
      <c r="L13" s="7">
        <f t="shared" si="6"/>
        <v>0</v>
      </c>
      <c r="M13" s="7">
        <f t="shared" si="7"/>
        <v>259.26400000000001</v>
      </c>
      <c r="N13" s="4">
        <f t="shared" si="8"/>
        <v>17.830079999999999</v>
      </c>
      <c r="O13" s="4">
        <f t="shared" si="13"/>
        <v>60</v>
      </c>
      <c r="P13" s="7">
        <f t="shared" si="9"/>
        <v>351.49408</v>
      </c>
      <c r="Q13" s="39"/>
    </row>
    <row r="14" spans="1:54" x14ac:dyDescent="0.25">
      <c r="A14" s="2">
        <v>9</v>
      </c>
      <c r="B14" s="32">
        <f t="shared" si="10"/>
        <v>0.65</v>
      </c>
      <c r="C14" s="4">
        <f t="shared" si="0"/>
        <v>10.4</v>
      </c>
      <c r="D14" s="4">
        <f t="shared" si="1"/>
        <v>0</v>
      </c>
      <c r="E14" s="4">
        <f t="shared" si="2"/>
        <v>291.67200000000003</v>
      </c>
      <c r="F14" s="4">
        <f t="shared" si="3"/>
        <v>11.358840000000001</v>
      </c>
      <c r="G14" s="4">
        <f t="shared" si="11"/>
        <v>40</v>
      </c>
      <c r="H14" s="4">
        <f t="shared" si="4"/>
        <v>353.43083999999999</v>
      </c>
      <c r="I14" s="39"/>
      <c r="J14" s="28">
        <f t="shared" si="12"/>
        <v>0.6</v>
      </c>
      <c r="K14" s="7">
        <f t="shared" si="5"/>
        <v>14.399999999999999</v>
      </c>
      <c r="L14" s="7">
        <f t="shared" si="6"/>
        <v>0</v>
      </c>
      <c r="M14" s="7">
        <f t="shared" si="7"/>
        <v>291.67200000000003</v>
      </c>
      <c r="N14" s="4">
        <f t="shared" si="8"/>
        <v>17.358839999999997</v>
      </c>
      <c r="O14" s="4">
        <f t="shared" si="13"/>
        <v>60</v>
      </c>
      <c r="P14" s="7">
        <f t="shared" si="9"/>
        <v>383.43083999999999</v>
      </c>
      <c r="Q14" s="39"/>
    </row>
    <row r="15" spans="1:54" x14ac:dyDescent="0.25">
      <c r="A15" s="2">
        <v>10</v>
      </c>
      <c r="B15" s="32">
        <f t="shared" si="10"/>
        <v>0.65</v>
      </c>
      <c r="C15" s="4">
        <f t="shared" si="0"/>
        <v>10.4</v>
      </c>
      <c r="D15" s="4">
        <f t="shared" si="1"/>
        <v>0</v>
      </c>
      <c r="E15" s="4">
        <f t="shared" si="2"/>
        <v>324.08000000000004</v>
      </c>
      <c r="F15" s="4">
        <f t="shared" si="3"/>
        <v>10.887600000000001</v>
      </c>
      <c r="G15" s="4">
        <f t="shared" si="11"/>
        <v>40</v>
      </c>
      <c r="H15" s="4">
        <f t="shared" si="4"/>
        <v>385.36760000000004</v>
      </c>
      <c r="I15" s="39"/>
      <c r="J15" s="28">
        <f t="shared" si="12"/>
        <v>0.6</v>
      </c>
      <c r="K15" s="7">
        <f t="shared" si="5"/>
        <v>14.399999999999999</v>
      </c>
      <c r="L15" s="7">
        <f t="shared" si="6"/>
        <v>0</v>
      </c>
      <c r="M15" s="7">
        <f t="shared" si="7"/>
        <v>324.08000000000004</v>
      </c>
      <c r="N15" s="4">
        <f t="shared" si="8"/>
        <v>16.887599999999999</v>
      </c>
      <c r="O15" s="4">
        <f t="shared" si="13"/>
        <v>60</v>
      </c>
      <c r="P15" s="7">
        <f t="shared" si="9"/>
        <v>415.36760000000004</v>
      </c>
      <c r="Q15" s="39"/>
    </row>
    <row r="16" spans="1:54" x14ac:dyDescent="0.25">
      <c r="A16" s="2">
        <v>11</v>
      </c>
      <c r="B16" s="32">
        <f t="shared" si="10"/>
        <v>0.65</v>
      </c>
      <c r="C16" s="4">
        <f t="shared" si="0"/>
        <v>10.4</v>
      </c>
      <c r="D16" s="4">
        <f t="shared" si="1"/>
        <v>0</v>
      </c>
      <c r="E16" s="4">
        <f t="shared" si="2"/>
        <v>356.488</v>
      </c>
      <c r="F16" s="4">
        <f t="shared" si="3"/>
        <v>10.416360000000001</v>
      </c>
      <c r="G16" s="4">
        <f t="shared" si="11"/>
        <v>40</v>
      </c>
      <c r="H16" s="4">
        <f t="shared" si="4"/>
        <v>417.30435999999997</v>
      </c>
      <c r="I16" s="39"/>
      <c r="J16" s="28">
        <f t="shared" si="12"/>
        <v>0.6</v>
      </c>
      <c r="K16" s="7">
        <f t="shared" si="5"/>
        <v>14.399999999999999</v>
      </c>
      <c r="L16" s="7">
        <f t="shared" si="6"/>
        <v>0</v>
      </c>
      <c r="M16" s="7">
        <f t="shared" si="7"/>
        <v>356.488</v>
      </c>
      <c r="N16" s="4">
        <f t="shared" si="8"/>
        <v>16.416360000000001</v>
      </c>
      <c r="O16" s="4">
        <f t="shared" si="13"/>
        <v>60</v>
      </c>
      <c r="P16" s="7">
        <f t="shared" si="9"/>
        <v>447.30435999999997</v>
      </c>
      <c r="Q16" s="39"/>
    </row>
    <row r="17" spans="1:19" x14ac:dyDescent="0.25">
      <c r="A17" s="2">
        <v>12</v>
      </c>
      <c r="B17" s="32">
        <f t="shared" si="10"/>
        <v>0.65</v>
      </c>
      <c r="C17" s="4">
        <f t="shared" si="0"/>
        <v>10.4</v>
      </c>
      <c r="D17" s="4">
        <f t="shared" si="1"/>
        <v>0</v>
      </c>
      <c r="E17" s="4">
        <f t="shared" si="2"/>
        <v>388.89600000000002</v>
      </c>
      <c r="F17" s="4">
        <f t="shared" si="3"/>
        <v>9.9451200000000011</v>
      </c>
      <c r="G17" s="4">
        <f t="shared" si="11"/>
        <v>40</v>
      </c>
      <c r="H17" s="4">
        <f t="shared" si="4"/>
        <v>449.24111999999997</v>
      </c>
      <c r="I17" s="39"/>
      <c r="J17" s="29">
        <v>0.65</v>
      </c>
      <c r="K17" s="7">
        <f t="shared" si="5"/>
        <v>15.600000000000001</v>
      </c>
      <c r="L17" s="7">
        <f t="shared" si="6"/>
        <v>0</v>
      </c>
      <c r="M17" s="7">
        <f t="shared" si="7"/>
        <v>388.89600000000002</v>
      </c>
      <c r="N17" s="4">
        <f t="shared" si="8"/>
        <v>17.74512</v>
      </c>
      <c r="O17" s="4">
        <f t="shared" si="13"/>
        <v>60</v>
      </c>
      <c r="P17" s="7">
        <f t="shared" si="9"/>
        <v>482.24112000000002</v>
      </c>
      <c r="Q17" s="39"/>
    </row>
    <row r="18" spans="1:19" x14ac:dyDescent="0.25">
      <c r="A18" s="2">
        <v>13</v>
      </c>
      <c r="B18" s="32">
        <f t="shared" si="10"/>
        <v>0.65</v>
      </c>
      <c r="C18" s="4">
        <f t="shared" si="0"/>
        <v>10.4</v>
      </c>
      <c r="D18" s="4">
        <f t="shared" si="1"/>
        <v>0</v>
      </c>
      <c r="E18" s="4">
        <f t="shared" si="2"/>
        <v>421.30400000000003</v>
      </c>
      <c r="F18" s="4">
        <f t="shared" si="3"/>
        <v>9.4738800000000012</v>
      </c>
      <c r="G18" s="4">
        <f t="shared" si="11"/>
        <v>40</v>
      </c>
      <c r="H18" s="4">
        <f t="shared" si="4"/>
        <v>481.17788000000002</v>
      </c>
      <c r="I18" s="39"/>
      <c r="J18" s="29">
        <f>J17</f>
        <v>0.65</v>
      </c>
      <c r="K18" s="7">
        <f t="shared" si="5"/>
        <v>15.600000000000001</v>
      </c>
      <c r="L18" s="7">
        <f t="shared" si="6"/>
        <v>0</v>
      </c>
      <c r="M18" s="7">
        <f t="shared" si="7"/>
        <v>421.30400000000003</v>
      </c>
      <c r="N18" s="4">
        <f t="shared" si="8"/>
        <v>17.273879999999998</v>
      </c>
      <c r="O18" s="4">
        <f t="shared" si="13"/>
        <v>60</v>
      </c>
      <c r="P18" s="7">
        <f t="shared" si="9"/>
        <v>514.17788000000007</v>
      </c>
      <c r="Q18" s="39"/>
    </row>
    <row r="19" spans="1:19" x14ac:dyDescent="0.25">
      <c r="A19" s="2">
        <v>14</v>
      </c>
      <c r="B19" s="31">
        <v>0.7</v>
      </c>
      <c r="C19" s="4">
        <f t="shared" si="0"/>
        <v>11.2</v>
      </c>
      <c r="D19" s="4">
        <f t="shared" si="1"/>
        <v>0</v>
      </c>
      <c r="E19" s="4">
        <f t="shared" si="2"/>
        <v>453.71199999999999</v>
      </c>
      <c r="F19" s="4">
        <f t="shared" si="3"/>
        <v>10.202639999999999</v>
      </c>
      <c r="G19" s="4">
        <f t="shared" si="11"/>
        <v>40</v>
      </c>
      <c r="H19" s="4">
        <f t="shared" si="4"/>
        <v>515.11464000000001</v>
      </c>
      <c r="I19" s="39"/>
      <c r="J19" s="29">
        <f t="shared" ref="J19:J41" si="14">J18</f>
        <v>0.65</v>
      </c>
      <c r="K19" s="7">
        <f t="shared" si="5"/>
        <v>15.600000000000001</v>
      </c>
      <c r="L19" s="7">
        <f t="shared" si="6"/>
        <v>0</v>
      </c>
      <c r="M19" s="7">
        <f t="shared" si="7"/>
        <v>453.71199999999999</v>
      </c>
      <c r="N19" s="4">
        <f t="shared" si="8"/>
        <v>16.80264</v>
      </c>
      <c r="O19" s="4">
        <f t="shared" si="13"/>
        <v>60</v>
      </c>
      <c r="P19" s="7">
        <f t="shared" si="9"/>
        <v>546.11464000000001</v>
      </c>
      <c r="Q19" s="39"/>
    </row>
    <row r="20" spans="1:19" x14ac:dyDescent="0.25">
      <c r="A20" s="2">
        <v>15</v>
      </c>
      <c r="B20" s="31">
        <f t="shared" si="10"/>
        <v>0.7</v>
      </c>
      <c r="C20" s="4">
        <f t="shared" si="0"/>
        <v>11.2</v>
      </c>
      <c r="D20" s="4">
        <f t="shared" si="1"/>
        <v>0</v>
      </c>
      <c r="E20" s="4">
        <f t="shared" si="2"/>
        <v>486.12</v>
      </c>
      <c r="F20" s="4">
        <f t="shared" si="3"/>
        <v>9.7313999999999989</v>
      </c>
      <c r="G20" s="4">
        <f t="shared" si="11"/>
        <v>40</v>
      </c>
      <c r="H20" s="4">
        <f t="shared" si="4"/>
        <v>547.05140000000006</v>
      </c>
      <c r="I20" s="39"/>
      <c r="J20" s="29">
        <f t="shared" si="14"/>
        <v>0.65</v>
      </c>
      <c r="K20" s="7">
        <f t="shared" si="5"/>
        <v>15.600000000000001</v>
      </c>
      <c r="L20" s="7">
        <f t="shared" si="6"/>
        <v>0</v>
      </c>
      <c r="M20" s="7">
        <f t="shared" si="7"/>
        <v>486.12</v>
      </c>
      <c r="N20" s="4">
        <f t="shared" si="8"/>
        <v>16.331400000000002</v>
      </c>
      <c r="O20" s="4">
        <f t="shared" si="13"/>
        <v>60</v>
      </c>
      <c r="P20" s="7">
        <f t="shared" si="9"/>
        <v>578.05140000000006</v>
      </c>
      <c r="Q20" s="39"/>
    </row>
    <row r="21" spans="1:19" x14ac:dyDescent="0.25">
      <c r="A21" s="2">
        <v>16</v>
      </c>
      <c r="B21" s="31">
        <f t="shared" si="10"/>
        <v>0.7</v>
      </c>
      <c r="C21" s="4">
        <f t="shared" si="0"/>
        <v>11.2</v>
      </c>
      <c r="D21" s="4">
        <f t="shared" si="1"/>
        <v>0</v>
      </c>
      <c r="E21" s="4">
        <f t="shared" si="2"/>
        <v>518.52800000000002</v>
      </c>
      <c r="F21" s="4">
        <f t="shared" si="3"/>
        <v>9.2601599999999991</v>
      </c>
      <c r="G21" s="4">
        <f t="shared" si="11"/>
        <v>40</v>
      </c>
      <c r="H21" s="4">
        <f t="shared" si="4"/>
        <v>578.98816000000011</v>
      </c>
      <c r="I21" s="39"/>
      <c r="J21" s="29">
        <f t="shared" si="14"/>
        <v>0.65</v>
      </c>
      <c r="K21" s="7">
        <f t="shared" si="5"/>
        <v>15.600000000000001</v>
      </c>
      <c r="L21" s="7">
        <f t="shared" si="6"/>
        <v>0</v>
      </c>
      <c r="M21" s="7">
        <f t="shared" si="7"/>
        <v>518.52800000000002</v>
      </c>
      <c r="N21" s="4">
        <f t="shared" si="8"/>
        <v>15.86016</v>
      </c>
      <c r="O21" s="4">
        <f t="shared" si="13"/>
        <v>60</v>
      </c>
      <c r="P21" s="7">
        <f t="shared" si="9"/>
        <v>609.98815999999999</v>
      </c>
      <c r="Q21" s="39"/>
    </row>
    <row r="22" spans="1:19" x14ac:dyDescent="0.25">
      <c r="A22" s="2">
        <v>17</v>
      </c>
      <c r="B22" s="31">
        <f t="shared" si="10"/>
        <v>0.7</v>
      </c>
      <c r="C22" s="4">
        <f t="shared" si="0"/>
        <v>11.2</v>
      </c>
      <c r="D22" s="4">
        <f t="shared" si="1"/>
        <v>0</v>
      </c>
      <c r="E22" s="4">
        <f t="shared" si="2"/>
        <v>550.93600000000004</v>
      </c>
      <c r="F22" s="4">
        <f t="shared" si="3"/>
        <v>8.7889199999999992</v>
      </c>
      <c r="G22" s="4">
        <f t="shared" si="11"/>
        <v>40</v>
      </c>
      <c r="H22" s="4">
        <f t="shared" si="4"/>
        <v>610.92492000000004</v>
      </c>
      <c r="I22" s="39"/>
      <c r="J22" s="29">
        <f t="shared" si="14"/>
        <v>0.65</v>
      </c>
      <c r="K22" s="7">
        <f t="shared" si="5"/>
        <v>15.600000000000001</v>
      </c>
      <c r="L22" s="7">
        <f t="shared" si="6"/>
        <v>0</v>
      </c>
      <c r="M22" s="7">
        <f t="shared" si="7"/>
        <v>550.93600000000004</v>
      </c>
      <c r="N22" s="4">
        <f t="shared" si="8"/>
        <v>15.388919999999999</v>
      </c>
      <c r="O22" s="4">
        <f t="shared" si="13"/>
        <v>60</v>
      </c>
      <c r="P22" s="7">
        <f t="shared" si="9"/>
        <v>641.92492000000004</v>
      </c>
      <c r="Q22" s="39"/>
    </row>
    <row r="23" spans="1:19" x14ac:dyDescent="0.25">
      <c r="A23" s="2">
        <v>18</v>
      </c>
      <c r="B23" s="31">
        <f t="shared" si="10"/>
        <v>0.7</v>
      </c>
      <c r="C23" s="4">
        <f t="shared" si="0"/>
        <v>11.2</v>
      </c>
      <c r="D23" s="4">
        <f t="shared" si="1"/>
        <v>0</v>
      </c>
      <c r="E23" s="4">
        <f t="shared" si="2"/>
        <v>583.34400000000005</v>
      </c>
      <c r="F23" s="4">
        <f t="shared" si="3"/>
        <v>8.3176799999999993</v>
      </c>
      <c r="G23" s="4">
        <f t="shared" si="11"/>
        <v>40</v>
      </c>
      <c r="H23" s="4">
        <f t="shared" si="4"/>
        <v>642.86168000000009</v>
      </c>
      <c r="I23" s="39"/>
      <c r="J23" s="29">
        <f t="shared" si="14"/>
        <v>0.65</v>
      </c>
      <c r="K23" s="7">
        <f t="shared" si="5"/>
        <v>15.600000000000001</v>
      </c>
      <c r="L23" s="7">
        <f t="shared" si="6"/>
        <v>0</v>
      </c>
      <c r="M23" s="7">
        <f t="shared" si="7"/>
        <v>583.34400000000005</v>
      </c>
      <c r="N23" s="4">
        <f t="shared" si="8"/>
        <v>14.917680000000001</v>
      </c>
      <c r="O23" s="4">
        <f t="shared" si="13"/>
        <v>60</v>
      </c>
      <c r="P23" s="7">
        <f t="shared" si="9"/>
        <v>673.86168000000009</v>
      </c>
      <c r="Q23" s="39"/>
    </row>
    <row r="24" spans="1:19" x14ac:dyDescent="0.25">
      <c r="A24" s="2">
        <v>19</v>
      </c>
      <c r="B24" s="31">
        <f t="shared" si="10"/>
        <v>0.7</v>
      </c>
      <c r="C24" s="4">
        <f t="shared" si="0"/>
        <v>11.2</v>
      </c>
      <c r="D24" s="4">
        <f t="shared" si="1"/>
        <v>0</v>
      </c>
      <c r="E24" s="4">
        <f t="shared" si="2"/>
        <v>615.75200000000007</v>
      </c>
      <c r="F24" s="4">
        <f t="shared" si="3"/>
        <v>7.8464399999999985</v>
      </c>
      <c r="G24" s="4">
        <f t="shared" si="11"/>
        <v>40</v>
      </c>
      <c r="H24" s="4">
        <f t="shared" si="4"/>
        <v>674.79844000000014</v>
      </c>
      <c r="I24" s="39"/>
      <c r="J24" s="29">
        <f t="shared" si="14"/>
        <v>0.65</v>
      </c>
      <c r="K24" s="7">
        <f t="shared" si="5"/>
        <v>15.600000000000001</v>
      </c>
      <c r="L24" s="7">
        <f t="shared" si="6"/>
        <v>0</v>
      </c>
      <c r="M24" s="7">
        <f t="shared" si="7"/>
        <v>615.75200000000007</v>
      </c>
      <c r="N24" s="4">
        <f t="shared" si="8"/>
        <v>14.446440000000001</v>
      </c>
      <c r="O24" s="4">
        <f t="shared" si="13"/>
        <v>60</v>
      </c>
      <c r="P24" s="7">
        <f t="shared" si="9"/>
        <v>705.79844000000014</v>
      </c>
      <c r="Q24" s="39"/>
    </row>
    <row r="25" spans="1:19" x14ac:dyDescent="0.25">
      <c r="A25" s="2">
        <v>20</v>
      </c>
      <c r="B25" s="31">
        <f t="shared" si="10"/>
        <v>0.7</v>
      </c>
      <c r="C25" s="4">
        <f t="shared" si="0"/>
        <v>11.2</v>
      </c>
      <c r="D25" s="4">
        <f t="shared" si="1"/>
        <v>0</v>
      </c>
      <c r="E25" s="4">
        <f t="shared" si="2"/>
        <v>648.16000000000008</v>
      </c>
      <c r="F25" s="4">
        <f>(($C$5*B25)-(3.1416*($E$5/2)*($E$5/2)*$A25))*$F$2</f>
        <v>7.3751999999999986</v>
      </c>
      <c r="G25" s="4">
        <f t="shared" si="11"/>
        <v>40</v>
      </c>
      <c r="H25" s="4">
        <f t="shared" si="4"/>
        <v>706.73520000000008</v>
      </c>
      <c r="I25" s="39"/>
      <c r="J25" s="29">
        <f t="shared" si="14"/>
        <v>0.65</v>
      </c>
      <c r="K25" s="7">
        <f t="shared" si="5"/>
        <v>15.600000000000001</v>
      </c>
      <c r="L25" s="7">
        <f t="shared" si="6"/>
        <v>0</v>
      </c>
      <c r="M25" s="7">
        <f t="shared" si="7"/>
        <v>648.16000000000008</v>
      </c>
      <c r="N25" s="4">
        <f t="shared" si="8"/>
        <v>13.975200000000001</v>
      </c>
      <c r="O25" s="4">
        <f t="shared" si="13"/>
        <v>60</v>
      </c>
      <c r="P25" s="7">
        <f t="shared" si="9"/>
        <v>737.73520000000008</v>
      </c>
      <c r="Q25" s="39"/>
    </row>
    <row r="26" spans="1:19" x14ac:dyDescent="0.25">
      <c r="A26" s="2">
        <v>21</v>
      </c>
      <c r="B26" s="32">
        <v>0.75</v>
      </c>
      <c r="C26" s="4">
        <f t="shared" si="0"/>
        <v>12</v>
      </c>
      <c r="D26" s="4">
        <f t="shared" si="1"/>
        <v>0</v>
      </c>
      <c r="E26" s="4">
        <f t="shared" si="2"/>
        <v>680.56799999999998</v>
      </c>
      <c r="F26" s="4">
        <f t="shared" si="3"/>
        <v>8.1039600000000025</v>
      </c>
      <c r="G26" s="4">
        <f t="shared" si="11"/>
        <v>40</v>
      </c>
      <c r="H26" s="4">
        <f t="shared" si="4"/>
        <v>740.67196000000001</v>
      </c>
      <c r="I26" s="39"/>
      <c r="J26" s="29">
        <f t="shared" si="14"/>
        <v>0.65</v>
      </c>
      <c r="K26" s="7">
        <f t="shared" si="5"/>
        <v>15.600000000000001</v>
      </c>
      <c r="L26" s="7">
        <f t="shared" si="6"/>
        <v>0</v>
      </c>
      <c r="M26" s="7">
        <f t="shared" si="7"/>
        <v>680.56799999999998</v>
      </c>
      <c r="N26" s="4">
        <f t="shared" si="8"/>
        <v>13.503960000000001</v>
      </c>
      <c r="O26" s="4">
        <f t="shared" si="13"/>
        <v>60</v>
      </c>
      <c r="P26" s="7">
        <f t="shared" si="9"/>
        <v>769.67196000000001</v>
      </c>
      <c r="Q26" s="39"/>
    </row>
    <row r="27" spans="1:19" x14ac:dyDescent="0.25">
      <c r="A27" s="2">
        <v>22</v>
      </c>
      <c r="B27" s="32">
        <f t="shared" si="10"/>
        <v>0.75</v>
      </c>
      <c r="C27" s="4">
        <f t="shared" si="0"/>
        <v>12</v>
      </c>
      <c r="D27" s="4">
        <f t="shared" si="1"/>
        <v>0</v>
      </c>
      <c r="E27" s="4">
        <f t="shared" si="2"/>
        <v>712.976</v>
      </c>
      <c r="F27" s="4">
        <f t="shared" si="3"/>
        <v>7.6327200000000026</v>
      </c>
      <c r="G27" s="4">
        <f t="shared" si="11"/>
        <v>40</v>
      </c>
      <c r="H27" s="4">
        <f t="shared" si="4"/>
        <v>772.60871999999995</v>
      </c>
      <c r="I27" s="39"/>
      <c r="J27" s="28">
        <v>0.7</v>
      </c>
      <c r="K27" s="7">
        <f t="shared" si="5"/>
        <v>16.799999999999997</v>
      </c>
      <c r="L27" s="7">
        <f t="shared" si="6"/>
        <v>0</v>
      </c>
      <c r="M27" s="7">
        <f t="shared" si="7"/>
        <v>712.976</v>
      </c>
      <c r="N27" s="4">
        <f t="shared" si="8"/>
        <v>14.832719999999998</v>
      </c>
      <c r="O27" s="4">
        <f t="shared" si="13"/>
        <v>60</v>
      </c>
      <c r="P27" s="7">
        <f t="shared" si="9"/>
        <v>804.60871999999995</v>
      </c>
      <c r="Q27" s="39"/>
    </row>
    <row r="28" spans="1:19" x14ac:dyDescent="0.25">
      <c r="A28" s="2">
        <v>23</v>
      </c>
      <c r="B28" s="32">
        <f t="shared" si="10"/>
        <v>0.75</v>
      </c>
      <c r="C28" s="4">
        <f t="shared" si="0"/>
        <v>12</v>
      </c>
      <c r="D28" s="4">
        <f t="shared" si="1"/>
        <v>0</v>
      </c>
      <c r="E28" s="4">
        <f t="shared" si="2"/>
        <v>745.38400000000001</v>
      </c>
      <c r="F28" s="4">
        <f t="shared" si="3"/>
        <v>7.1614800000000027</v>
      </c>
      <c r="G28" s="4">
        <f t="shared" si="11"/>
        <v>40</v>
      </c>
      <c r="H28" s="4">
        <f t="shared" si="4"/>
        <v>804.54548</v>
      </c>
      <c r="I28" s="39"/>
      <c r="J28" s="28">
        <f t="shared" si="14"/>
        <v>0.7</v>
      </c>
      <c r="K28" s="7">
        <f t="shared" si="5"/>
        <v>16.799999999999997</v>
      </c>
      <c r="L28" s="7">
        <f t="shared" si="6"/>
        <v>0</v>
      </c>
      <c r="M28" s="7">
        <f t="shared" si="7"/>
        <v>745.38400000000001</v>
      </c>
      <c r="N28" s="4">
        <f t="shared" si="8"/>
        <v>14.361479999999998</v>
      </c>
      <c r="O28" s="4">
        <f t="shared" si="13"/>
        <v>60</v>
      </c>
      <c r="P28" s="7">
        <f t="shared" si="9"/>
        <v>836.54548</v>
      </c>
      <c r="Q28" s="39"/>
    </row>
    <row r="29" spans="1:19" x14ac:dyDescent="0.25">
      <c r="A29" s="2">
        <v>24</v>
      </c>
      <c r="B29" s="32">
        <f t="shared" si="10"/>
        <v>0.75</v>
      </c>
      <c r="C29" s="4">
        <f t="shared" si="0"/>
        <v>12</v>
      </c>
      <c r="D29" s="4">
        <f t="shared" si="1"/>
        <v>0</v>
      </c>
      <c r="E29" s="4">
        <f t="shared" si="2"/>
        <v>777.79200000000003</v>
      </c>
      <c r="F29" s="4">
        <f t="shared" si="3"/>
        <v>6.6902400000000029</v>
      </c>
      <c r="G29" s="4">
        <f t="shared" si="11"/>
        <v>40</v>
      </c>
      <c r="H29" s="4">
        <f t="shared" si="4"/>
        <v>836.48224000000005</v>
      </c>
      <c r="I29" s="39"/>
      <c r="J29" s="28">
        <f t="shared" si="14"/>
        <v>0.7</v>
      </c>
      <c r="K29" s="7">
        <f t="shared" si="5"/>
        <v>16.799999999999997</v>
      </c>
      <c r="L29" s="7">
        <f t="shared" si="6"/>
        <v>0</v>
      </c>
      <c r="M29" s="7">
        <f t="shared" si="7"/>
        <v>777.79200000000003</v>
      </c>
      <c r="N29" s="4">
        <f t="shared" si="8"/>
        <v>13.890239999999999</v>
      </c>
      <c r="O29" s="4">
        <f t="shared" si="13"/>
        <v>60</v>
      </c>
      <c r="P29" s="7">
        <f t="shared" si="9"/>
        <v>868.48223999999993</v>
      </c>
      <c r="Q29" s="39"/>
    </row>
    <row r="30" spans="1:19" x14ac:dyDescent="0.25">
      <c r="A30" s="2">
        <v>25</v>
      </c>
      <c r="B30" s="32">
        <f t="shared" si="10"/>
        <v>0.75</v>
      </c>
      <c r="C30" s="4">
        <f t="shared" si="0"/>
        <v>12</v>
      </c>
      <c r="D30" s="4">
        <f t="shared" si="1"/>
        <v>0</v>
      </c>
      <c r="E30" s="4">
        <f t="shared" si="2"/>
        <v>810.2</v>
      </c>
      <c r="F30" s="4">
        <f t="shared" si="3"/>
        <v>6.219000000000003</v>
      </c>
      <c r="G30" s="4">
        <f t="shared" si="11"/>
        <v>40</v>
      </c>
      <c r="H30" s="4">
        <f t="shared" si="4"/>
        <v>868.4190000000001</v>
      </c>
      <c r="I30" s="39"/>
      <c r="J30" s="28">
        <f t="shared" si="14"/>
        <v>0.7</v>
      </c>
      <c r="K30" s="7">
        <f t="shared" si="5"/>
        <v>16.799999999999997</v>
      </c>
      <c r="L30" s="7">
        <f t="shared" si="6"/>
        <v>0</v>
      </c>
      <c r="M30" s="7">
        <f t="shared" si="7"/>
        <v>810.2</v>
      </c>
      <c r="N30" s="4">
        <f t="shared" si="8"/>
        <v>13.418999999999999</v>
      </c>
      <c r="O30" s="4">
        <f t="shared" si="13"/>
        <v>60</v>
      </c>
      <c r="P30" s="7">
        <f t="shared" si="9"/>
        <v>900.41899999999998</v>
      </c>
      <c r="Q30" s="39"/>
      <c r="R30" s="35"/>
    </row>
    <row r="31" spans="1:19" x14ac:dyDescent="0.25">
      <c r="A31" s="2">
        <v>26</v>
      </c>
      <c r="B31" s="32">
        <f t="shared" si="10"/>
        <v>0.75</v>
      </c>
      <c r="C31" s="4">
        <f t="shared" si="0"/>
        <v>12</v>
      </c>
      <c r="D31" s="4">
        <f t="shared" si="1"/>
        <v>0</v>
      </c>
      <c r="E31" s="4">
        <f t="shared" si="2"/>
        <v>842.60800000000006</v>
      </c>
      <c r="F31" s="4">
        <f t="shared" si="3"/>
        <v>5.7477600000000031</v>
      </c>
      <c r="G31" s="4">
        <f t="shared" si="11"/>
        <v>40</v>
      </c>
      <c r="H31" s="4">
        <f t="shared" si="4"/>
        <v>900.35576000000003</v>
      </c>
      <c r="I31" s="39"/>
      <c r="J31" s="28">
        <f t="shared" si="14"/>
        <v>0.7</v>
      </c>
      <c r="K31" s="7">
        <f t="shared" si="5"/>
        <v>16.799999999999997</v>
      </c>
      <c r="L31" s="7">
        <f t="shared" si="6"/>
        <v>0</v>
      </c>
      <c r="M31" s="7">
        <f t="shared" si="7"/>
        <v>842.60800000000006</v>
      </c>
      <c r="N31" s="4">
        <f>(($K$5*J31)-(3.1416*($E$5/2)*($E$5/2)*$A31))*$F$2</f>
        <v>12.947759999999999</v>
      </c>
      <c r="O31" s="4">
        <f t="shared" si="13"/>
        <v>60</v>
      </c>
      <c r="P31" s="7">
        <f t="shared" si="9"/>
        <v>932.35576000000003</v>
      </c>
      <c r="Q31" s="39"/>
      <c r="R31" s="37"/>
      <c r="S31" s="37"/>
    </row>
    <row r="32" spans="1:19" x14ac:dyDescent="0.25">
      <c r="A32" s="2">
        <v>27</v>
      </c>
      <c r="B32" s="31">
        <v>0.8</v>
      </c>
      <c r="C32" s="4">
        <f t="shared" si="0"/>
        <v>12.8</v>
      </c>
      <c r="D32" s="4">
        <f t="shared" si="1"/>
        <v>0</v>
      </c>
      <c r="E32" s="4">
        <f t="shared" si="2"/>
        <v>875.01600000000008</v>
      </c>
      <c r="F32" s="4">
        <f t="shared" si="3"/>
        <v>6.4765200000000043</v>
      </c>
      <c r="G32" s="4">
        <f t="shared" si="11"/>
        <v>40</v>
      </c>
      <c r="H32" s="4">
        <f t="shared" si="4"/>
        <v>934.29252000000008</v>
      </c>
      <c r="I32" s="39"/>
      <c r="J32" s="28">
        <f t="shared" si="14"/>
        <v>0.7</v>
      </c>
      <c r="K32" s="7">
        <f t="shared" si="5"/>
        <v>16.799999999999997</v>
      </c>
      <c r="L32" s="7">
        <f t="shared" si="6"/>
        <v>0</v>
      </c>
      <c r="M32" s="7">
        <f t="shared" si="7"/>
        <v>875.01600000000008</v>
      </c>
      <c r="N32" s="4">
        <f t="shared" si="8"/>
        <v>12.476519999999999</v>
      </c>
      <c r="O32" s="4">
        <f t="shared" si="13"/>
        <v>60</v>
      </c>
      <c r="P32" s="7">
        <f t="shared" si="9"/>
        <v>964.29252000000008</v>
      </c>
      <c r="Q32" s="39"/>
      <c r="R32" s="36"/>
      <c r="S32" s="36"/>
    </row>
    <row r="33" spans="1:19" x14ac:dyDescent="0.25">
      <c r="A33" s="2">
        <v>28</v>
      </c>
      <c r="B33" s="31">
        <f t="shared" si="10"/>
        <v>0.8</v>
      </c>
      <c r="C33" s="7">
        <f t="shared" si="0"/>
        <v>12.8</v>
      </c>
      <c r="D33" s="4">
        <f t="shared" si="1"/>
        <v>0</v>
      </c>
      <c r="E33" s="7">
        <f t="shared" si="2"/>
        <v>907.42399999999998</v>
      </c>
      <c r="F33" s="4">
        <f>(($C$5*B33)-(3.1416*($E$5/2)*($E$5/2)*$A33))*$F$2</f>
        <v>6.0052800000000044</v>
      </c>
      <c r="G33" s="4">
        <f t="shared" si="11"/>
        <v>40</v>
      </c>
      <c r="H33" s="4">
        <f t="shared" si="4"/>
        <v>966.2292799999999</v>
      </c>
      <c r="I33" s="39"/>
      <c r="J33" s="28">
        <f t="shared" si="14"/>
        <v>0.7</v>
      </c>
      <c r="K33" s="7">
        <f t="shared" si="5"/>
        <v>16.799999999999997</v>
      </c>
      <c r="L33" s="7">
        <f t="shared" si="6"/>
        <v>0</v>
      </c>
      <c r="M33" s="7">
        <f t="shared" si="7"/>
        <v>907.42399999999998</v>
      </c>
      <c r="N33" s="4">
        <f t="shared" si="8"/>
        <v>12.005279999999999</v>
      </c>
      <c r="O33" s="4">
        <f t="shared" si="13"/>
        <v>60</v>
      </c>
      <c r="P33" s="7">
        <f t="shared" si="9"/>
        <v>996.2292799999999</v>
      </c>
      <c r="Q33" s="39"/>
      <c r="R33" s="36"/>
      <c r="S33" s="36"/>
    </row>
    <row r="34" spans="1:19" x14ac:dyDescent="0.25">
      <c r="A34" s="2">
        <v>29</v>
      </c>
      <c r="B34" s="31">
        <f t="shared" si="10"/>
        <v>0.8</v>
      </c>
      <c r="C34" s="7">
        <f t="shared" si="0"/>
        <v>12.8</v>
      </c>
      <c r="D34" s="4">
        <f t="shared" si="1"/>
        <v>0</v>
      </c>
      <c r="E34" s="7">
        <f t="shared" si="2"/>
        <v>939.83199999999999</v>
      </c>
      <c r="F34" s="4">
        <f t="shared" si="3"/>
        <v>5.5340400000000036</v>
      </c>
      <c r="G34" s="4">
        <f t="shared" si="11"/>
        <v>40</v>
      </c>
      <c r="H34" s="4">
        <f t="shared" si="4"/>
        <v>998.16603999999995</v>
      </c>
      <c r="I34" s="39"/>
      <c r="J34" s="28">
        <f t="shared" si="14"/>
        <v>0.7</v>
      </c>
      <c r="K34" s="7">
        <f t="shared" si="5"/>
        <v>16.799999999999997</v>
      </c>
      <c r="L34" s="7">
        <f t="shared" si="6"/>
        <v>0</v>
      </c>
      <c r="M34" s="4">
        <f t="shared" si="7"/>
        <v>939.83199999999999</v>
      </c>
      <c r="N34" s="4">
        <f>(($K$5*J34)-(3.1416*($E$5/2)*($E$5/2)*$A34))*$F$2</f>
        <v>11.534039999999999</v>
      </c>
      <c r="O34" s="4">
        <f t="shared" si="13"/>
        <v>60</v>
      </c>
      <c r="P34" s="7">
        <f t="shared" si="9"/>
        <v>1028.1660400000001</v>
      </c>
      <c r="Q34" s="39"/>
    </row>
    <row r="35" spans="1:19" x14ac:dyDescent="0.25">
      <c r="A35" s="2">
        <v>30</v>
      </c>
      <c r="B35" s="31">
        <f t="shared" si="10"/>
        <v>0.8</v>
      </c>
      <c r="C35" s="7">
        <f t="shared" si="0"/>
        <v>12.8</v>
      </c>
      <c r="D35" s="4">
        <f t="shared" si="1"/>
        <v>0</v>
      </c>
      <c r="E35" s="7">
        <f t="shared" si="2"/>
        <v>972.24</v>
      </c>
      <c r="F35" s="4">
        <f t="shared" si="3"/>
        <v>5.0628000000000037</v>
      </c>
      <c r="G35" s="4">
        <f t="shared" si="11"/>
        <v>40</v>
      </c>
      <c r="H35" s="4">
        <f t="shared" si="4"/>
        <v>1030.1028000000001</v>
      </c>
      <c r="I35" s="39"/>
      <c r="J35" s="28">
        <f t="shared" si="14"/>
        <v>0.7</v>
      </c>
      <c r="K35" s="7">
        <f t="shared" si="5"/>
        <v>16.799999999999997</v>
      </c>
      <c r="L35" s="7">
        <f t="shared" si="6"/>
        <v>0</v>
      </c>
      <c r="M35" s="4">
        <f t="shared" si="7"/>
        <v>972.24</v>
      </c>
      <c r="N35" s="4">
        <f t="shared" si="8"/>
        <v>11.062799999999999</v>
      </c>
      <c r="O35" s="4">
        <f t="shared" si="13"/>
        <v>60</v>
      </c>
      <c r="P35" s="7">
        <f t="shared" si="9"/>
        <v>1060.1028000000001</v>
      </c>
      <c r="Q35" s="39"/>
    </row>
    <row r="36" spans="1:19" x14ac:dyDescent="0.25">
      <c r="A36" s="2">
        <v>31</v>
      </c>
      <c r="B36" s="31">
        <f t="shared" si="10"/>
        <v>0.8</v>
      </c>
      <c r="C36" s="7">
        <f t="shared" si="0"/>
        <v>12.8</v>
      </c>
      <c r="D36" s="4">
        <f t="shared" si="1"/>
        <v>0</v>
      </c>
      <c r="E36" s="7">
        <f t="shared" si="2"/>
        <v>1004.648</v>
      </c>
      <c r="F36" s="4">
        <f t="shared" si="3"/>
        <v>4.5915600000000039</v>
      </c>
      <c r="G36" s="4">
        <f t="shared" si="11"/>
        <v>40</v>
      </c>
      <c r="H36" s="4">
        <f t="shared" si="4"/>
        <v>1062.0395599999999</v>
      </c>
      <c r="I36" s="39"/>
      <c r="J36" s="28">
        <f t="shared" si="14"/>
        <v>0.7</v>
      </c>
      <c r="K36" s="7">
        <f t="shared" si="5"/>
        <v>16.799999999999997</v>
      </c>
      <c r="L36" s="7">
        <f t="shared" si="6"/>
        <v>0</v>
      </c>
      <c r="M36" s="4">
        <f t="shared" si="7"/>
        <v>1004.648</v>
      </c>
      <c r="N36" s="4">
        <f t="shared" si="8"/>
        <v>10.591559999999999</v>
      </c>
      <c r="O36" s="4">
        <f t="shared" si="13"/>
        <v>60</v>
      </c>
      <c r="P36" s="7">
        <f t="shared" si="9"/>
        <v>1092.0395599999999</v>
      </c>
      <c r="Q36" s="39"/>
    </row>
    <row r="37" spans="1:19" x14ac:dyDescent="0.25">
      <c r="A37" s="2">
        <v>32</v>
      </c>
      <c r="B37" s="31">
        <f t="shared" si="10"/>
        <v>0.8</v>
      </c>
      <c r="C37" s="7">
        <f t="shared" si="0"/>
        <v>12.8</v>
      </c>
      <c r="D37" s="4">
        <f t="shared" si="1"/>
        <v>0</v>
      </c>
      <c r="E37" s="7">
        <f t="shared" si="2"/>
        <v>1037.056</v>
      </c>
      <c r="F37" s="4">
        <f t="shared" si="3"/>
        <v>4.120320000000004</v>
      </c>
      <c r="G37" s="4">
        <f t="shared" si="11"/>
        <v>40</v>
      </c>
      <c r="H37" s="4">
        <f t="shared" si="4"/>
        <v>1093.97632</v>
      </c>
      <c r="I37" s="39"/>
      <c r="J37" s="28">
        <f t="shared" si="14"/>
        <v>0.7</v>
      </c>
      <c r="K37" s="7">
        <f t="shared" si="5"/>
        <v>16.799999999999997</v>
      </c>
      <c r="L37" s="7">
        <f t="shared" si="6"/>
        <v>0</v>
      </c>
      <c r="M37" s="4">
        <f t="shared" si="7"/>
        <v>1037.056</v>
      </c>
      <c r="N37" s="4">
        <f t="shared" si="8"/>
        <v>10.12032</v>
      </c>
      <c r="O37" s="4">
        <f t="shared" si="13"/>
        <v>60</v>
      </c>
      <c r="P37" s="7">
        <f t="shared" si="9"/>
        <v>1123.97632</v>
      </c>
      <c r="Q37" s="39"/>
    </row>
    <row r="38" spans="1:19" x14ac:dyDescent="0.25">
      <c r="A38" s="2">
        <v>33</v>
      </c>
      <c r="B38" s="31">
        <f t="shared" si="10"/>
        <v>0.8</v>
      </c>
      <c r="C38" s="7">
        <f t="shared" si="0"/>
        <v>12.8</v>
      </c>
      <c r="D38" s="4">
        <f t="shared" si="1"/>
        <v>0</v>
      </c>
      <c r="E38" s="7">
        <f t="shared" si="2"/>
        <v>1069.4639999999999</v>
      </c>
      <c r="F38" s="4">
        <f t="shared" si="3"/>
        <v>3.6490800000000023</v>
      </c>
      <c r="G38" s="4">
        <f t="shared" si="11"/>
        <v>40</v>
      </c>
      <c r="H38" s="4">
        <f t="shared" si="4"/>
        <v>1125.9130799999998</v>
      </c>
      <c r="I38" s="39"/>
      <c r="J38" s="29">
        <v>0.75</v>
      </c>
      <c r="K38" s="7">
        <f t="shared" si="5"/>
        <v>18</v>
      </c>
      <c r="L38" s="7">
        <f t="shared" si="6"/>
        <v>0</v>
      </c>
      <c r="M38" s="4">
        <f t="shared" si="7"/>
        <v>1069.4639999999999</v>
      </c>
      <c r="N38" s="4">
        <f t="shared" si="8"/>
        <v>11.449079999999995</v>
      </c>
      <c r="O38" s="4">
        <f t="shared" si="13"/>
        <v>60</v>
      </c>
      <c r="P38" s="7">
        <f t="shared" si="9"/>
        <v>1158.91308</v>
      </c>
      <c r="Q38" s="39"/>
    </row>
    <row r="39" spans="1:19" x14ac:dyDescent="0.25">
      <c r="A39" s="2">
        <v>34</v>
      </c>
      <c r="B39" s="32">
        <v>0.85</v>
      </c>
      <c r="C39" s="7">
        <f t="shared" si="0"/>
        <v>13.6</v>
      </c>
      <c r="D39" s="4">
        <f t="shared" si="1"/>
        <v>0</v>
      </c>
      <c r="E39" s="7">
        <f t="shared" si="2"/>
        <v>1101.8720000000001</v>
      </c>
      <c r="F39" s="4">
        <f t="shared" si="3"/>
        <v>4.3778400000000017</v>
      </c>
      <c r="G39" s="4">
        <f t="shared" si="11"/>
        <v>40</v>
      </c>
      <c r="H39" s="4">
        <f t="shared" si="4"/>
        <v>1159.8498400000001</v>
      </c>
      <c r="I39" s="39"/>
      <c r="J39" s="29">
        <f t="shared" si="14"/>
        <v>0.75</v>
      </c>
      <c r="K39" s="7">
        <f t="shared" si="5"/>
        <v>18</v>
      </c>
      <c r="L39" s="7">
        <f t="shared" si="6"/>
        <v>0</v>
      </c>
      <c r="M39" s="4">
        <f t="shared" si="7"/>
        <v>1101.8720000000001</v>
      </c>
      <c r="N39" s="4">
        <f t="shared" si="8"/>
        <v>10.977839999999997</v>
      </c>
      <c r="O39" s="4">
        <f t="shared" si="13"/>
        <v>60</v>
      </c>
      <c r="P39" s="7">
        <f t="shared" si="9"/>
        <v>1190.8498400000001</v>
      </c>
      <c r="Q39" s="39"/>
    </row>
    <row r="40" spans="1:19" x14ac:dyDescent="0.25">
      <c r="A40" s="2">
        <v>35</v>
      </c>
      <c r="B40" s="32">
        <f t="shared" si="10"/>
        <v>0.85</v>
      </c>
      <c r="C40" s="7">
        <f t="shared" si="0"/>
        <v>13.6</v>
      </c>
      <c r="D40" s="4">
        <f t="shared" si="1"/>
        <v>0</v>
      </c>
      <c r="E40" s="7">
        <f t="shared" si="2"/>
        <v>1134.28</v>
      </c>
      <c r="F40" s="4">
        <f t="shared" si="3"/>
        <v>3.9066000000000036</v>
      </c>
      <c r="G40" s="4">
        <f t="shared" si="11"/>
        <v>40</v>
      </c>
      <c r="H40" s="4">
        <f t="shared" si="4"/>
        <v>1191.7865999999999</v>
      </c>
      <c r="I40" s="39"/>
      <c r="J40" s="29">
        <f t="shared" si="14"/>
        <v>0.75</v>
      </c>
      <c r="K40" s="7">
        <f t="shared" si="5"/>
        <v>18</v>
      </c>
      <c r="L40" s="7">
        <f t="shared" si="6"/>
        <v>0</v>
      </c>
      <c r="M40" s="4">
        <f t="shared" si="7"/>
        <v>1134.28</v>
      </c>
      <c r="N40" s="4">
        <f t="shared" si="8"/>
        <v>10.506599999999999</v>
      </c>
      <c r="O40" s="4">
        <f t="shared" si="13"/>
        <v>60</v>
      </c>
      <c r="P40" s="7">
        <f t="shared" si="9"/>
        <v>1222.7865999999999</v>
      </c>
      <c r="Q40" s="39"/>
    </row>
    <row r="41" spans="1:19" x14ac:dyDescent="0.25">
      <c r="A41" s="2">
        <v>36</v>
      </c>
      <c r="B41" s="32">
        <f t="shared" si="10"/>
        <v>0.85</v>
      </c>
      <c r="C41" s="7">
        <f t="shared" si="0"/>
        <v>13.6</v>
      </c>
      <c r="D41" s="4">
        <f t="shared" si="1"/>
        <v>0</v>
      </c>
      <c r="E41" s="7">
        <f t="shared" si="2"/>
        <v>1166.6880000000001</v>
      </c>
      <c r="F41" s="4">
        <f t="shared" si="3"/>
        <v>3.435360000000002</v>
      </c>
      <c r="G41" s="4">
        <f t="shared" si="11"/>
        <v>40</v>
      </c>
      <c r="H41" s="4">
        <f t="shared" si="4"/>
        <v>1223.72336</v>
      </c>
      <c r="I41" s="39"/>
      <c r="J41" s="29">
        <f t="shared" si="14"/>
        <v>0.75</v>
      </c>
      <c r="K41" s="7">
        <f t="shared" si="5"/>
        <v>18</v>
      </c>
      <c r="L41" s="7">
        <f t="shared" si="6"/>
        <v>0</v>
      </c>
      <c r="M41" s="4">
        <f t="shared" si="7"/>
        <v>1166.6880000000001</v>
      </c>
      <c r="N41" s="4">
        <f t="shared" si="8"/>
        <v>10.035359999999997</v>
      </c>
      <c r="O41" s="4">
        <f t="shared" si="13"/>
        <v>60</v>
      </c>
      <c r="P41" s="7">
        <f t="shared" si="9"/>
        <v>1254.7233600000002</v>
      </c>
      <c r="Q41" s="39"/>
    </row>
  </sheetData>
  <mergeCells count="2">
    <mergeCell ref="H3:H4"/>
    <mergeCell ref="P3:P4"/>
  </mergeCells>
  <pageMargins left="0.7" right="0.7" top="0.75" bottom="0.75" header="0.3" footer="0.3"/>
  <pageSetup paperSize="9" orientation="portrait"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54"/>
  <sheetViews>
    <sheetView zoomScale="90" zoomScaleNormal="90" workbookViewId="0">
      <pane xSplit="17" ySplit="2" topLeftCell="R3" activePane="bottomRight" state="frozen"/>
      <selection pane="topRight" activeCell="R1" sqref="R1"/>
      <selection pane="bottomLeft" activeCell="A3" sqref="A3"/>
      <selection pane="bottomRight" activeCell="R3" sqref="R3"/>
    </sheetView>
  </sheetViews>
  <sheetFormatPr defaultRowHeight="15" x14ac:dyDescent="0.25"/>
  <cols>
    <col min="1" max="1" width="13.7109375" customWidth="1"/>
    <col min="2" max="8" width="11.7109375" customWidth="1"/>
    <col min="9" max="9" width="1.7109375" customWidth="1"/>
    <col min="10" max="10" width="11.7109375" style="6" customWidth="1"/>
    <col min="11" max="16" width="11.7109375" customWidth="1"/>
    <col min="17" max="17" width="1.7109375" customWidth="1"/>
    <col min="18" max="18" width="12.7109375" customWidth="1"/>
    <col min="19" max="54" width="9.7109375" customWidth="1"/>
  </cols>
  <sheetData>
    <row r="1" spans="1:54" s="4" customFormat="1" x14ac:dyDescent="0.25">
      <c r="A1" s="45" t="s">
        <v>11</v>
      </c>
      <c r="B1" s="46"/>
      <c r="C1" s="47"/>
      <c r="D1" s="46"/>
      <c r="E1" s="46"/>
      <c r="F1" s="46"/>
      <c r="G1" s="46"/>
      <c r="H1" s="46"/>
      <c r="I1" s="48"/>
      <c r="J1" s="49"/>
      <c r="K1" s="46"/>
      <c r="L1" s="46"/>
      <c r="M1" s="46"/>
      <c r="N1" s="46"/>
      <c r="O1" s="46"/>
      <c r="P1" s="46"/>
      <c r="Q1" s="40"/>
      <c r="R1" s="44" t="s">
        <v>58</v>
      </c>
      <c r="S1" s="43">
        <f>H6</f>
        <v>109.52876000000001</v>
      </c>
      <c r="T1" s="43">
        <f>H7</f>
        <v>151.05752000000001</v>
      </c>
      <c r="U1" s="43">
        <f>H8</f>
        <v>192.58627999999999</v>
      </c>
      <c r="V1" s="43">
        <f>H9</f>
        <v>238.11504000000002</v>
      </c>
      <c r="W1" s="43">
        <f>H10</f>
        <v>279.6438</v>
      </c>
      <c r="X1" s="43">
        <f>H11</f>
        <v>321.17256000000003</v>
      </c>
      <c r="Y1" s="43">
        <f>H12</f>
        <v>366.70131999999995</v>
      </c>
      <c r="Z1" s="43">
        <f>H13</f>
        <v>408.23007999999999</v>
      </c>
      <c r="AA1" s="43">
        <f>H14</f>
        <v>449.75883999999996</v>
      </c>
      <c r="AB1" s="43">
        <f>H15</f>
        <v>495.2876</v>
      </c>
      <c r="AC1" s="43">
        <f>H16</f>
        <v>536.81636000000003</v>
      </c>
      <c r="AD1" s="43">
        <f>H17</f>
        <v>578.34511999999995</v>
      </c>
      <c r="AE1" s="43">
        <f>H18</f>
        <v>623.87387999999999</v>
      </c>
      <c r="AF1" s="43">
        <f>H19</f>
        <v>665.40264000000002</v>
      </c>
      <c r="AG1" s="43">
        <f>H20</f>
        <v>706.93140000000005</v>
      </c>
      <c r="AH1" s="43">
        <f>H21</f>
        <v>752.46016000000009</v>
      </c>
      <c r="AI1" s="43">
        <f>H22</f>
        <v>793.98892000000001</v>
      </c>
      <c r="AJ1" s="43">
        <f>H23</f>
        <v>835.51768000000004</v>
      </c>
      <c r="AK1" s="43">
        <f>H24</f>
        <v>881.04643999999996</v>
      </c>
      <c r="AL1" s="43">
        <f>H25</f>
        <v>922.5752</v>
      </c>
      <c r="AM1" s="43">
        <f>H26</f>
        <v>964.10395999999992</v>
      </c>
      <c r="AN1" s="43">
        <f>H27</f>
        <v>1009.6327199999999</v>
      </c>
      <c r="AO1" s="43">
        <f>H28</f>
        <v>1051.16148</v>
      </c>
      <c r="AP1" s="43">
        <f>H29</f>
        <v>1092.6902400000001</v>
      </c>
      <c r="AQ1" s="43">
        <f>H30</f>
        <v>1153.2190000000001</v>
      </c>
      <c r="AR1" s="43">
        <f>H31</f>
        <v>1194.74776</v>
      </c>
      <c r="AS1" s="43">
        <f>H32</f>
        <v>1236.2765200000001</v>
      </c>
      <c r="AT1" s="43">
        <f>H33</f>
        <v>1281.8052799999998</v>
      </c>
      <c r="AU1" s="43">
        <f>H34</f>
        <v>1323.33404</v>
      </c>
      <c r="AV1" s="43">
        <f>H35</f>
        <v>1364.8627999999999</v>
      </c>
      <c r="AW1" s="43">
        <f>H36</f>
        <v>1410.39156</v>
      </c>
      <c r="AX1" s="43">
        <f>H37</f>
        <v>1451.9203199999999</v>
      </c>
      <c r="AY1" s="43">
        <f>H38</f>
        <v>1493.4490800000001</v>
      </c>
      <c r="AZ1" s="43">
        <f>H39</f>
        <v>1538.97784</v>
      </c>
      <c r="BA1" s="43">
        <f>H40</f>
        <v>1580.5065999999999</v>
      </c>
      <c r="BB1" s="43">
        <f>H41</f>
        <v>1622.0353599999999</v>
      </c>
    </row>
    <row r="2" spans="1:54" s="4" customFormat="1" ht="18.75" customHeight="1" x14ac:dyDescent="0.25">
      <c r="A2" s="45" t="s">
        <v>12</v>
      </c>
      <c r="B2" s="50" t="s">
        <v>10</v>
      </c>
      <c r="C2" s="41">
        <v>40</v>
      </c>
      <c r="D2" s="134">
        <v>15</v>
      </c>
      <c r="E2" s="105">
        <f>V10</f>
        <v>42</v>
      </c>
      <c r="F2" s="42">
        <v>60</v>
      </c>
      <c r="G2" s="50"/>
      <c r="H2" s="46"/>
      <c r="I2" s="48"/>
      <c r="J2" s="51"/>
      <c r="K2" s="46"/>
      <c r="L2" s="46"/>
      <c r="M2" s="46"/>
      <c r="N2" s="46"/>
      <c r="O2" s="46"/>
      <c r="P2" s="46"/>
      <c r="Q2" s="40"/>
      <c r="R2" s="44" t="s">
        <v>59</v>
      </c>
      <c r="S2" s="43">
        <f>P6</f>
        <v>143.52876000000001</v>
      </c>
      <c r="T2" s="43">
        <f>P7</f>
        <v>185.05752000000001</v>
      </c>
      <c r="U2" s="43">
        <f>P8</f>
        <v>226.58628000000002</v>
      </c>
      <c r="V2" s="43">
        <f>P9</f>
        <v>268.11504000000002</v>
      </c>
      <c r="W2" s="43">
        <f>P10</f>
        <v>309.6438</v>
      </c>
      <c r="X2" s="43">
        <f>P11</f>
        <v>357.17255999999998</v>
      </c>
      <c r="Y2" s="43">
        <f>P12</f>
        <v>398.70132000000001</v>
      </c>
      <c r="Z2" s="43">
        <f>P13</f>
        <v>440.23007999999999</v>
      </c>
      <c r="AA2" s="43">
        <f>P14</f>
        <v>481.75883999999996</v>
      </c>
      <c r="AB2" s="43">
        <f>P15</f>
        <v>529.2876</v>
      </c>
      <c r="AC2" s="43">
        <f>P16</f>
        <v>570.81636000000003</v>
      </c>
      <c r="AD2" s="43">
        <f>P17</f>
        <v>612.34512000000007</v>
      </c>
      <c r="AE2" s="43">
        <f>P18</f>
        <v>653.87387999999999</v>
      </c>
      <c r="AF2" s="43">
        <f>P19</f>
        <v>695.40264000000002</v>
      </c>
      <c r="AG2" s="43">
        <f>P20</f>
        <v>742.93139999999994</v>
      </c>
      <c r="AH2" s="43">
        <f>P21</f>
        <v>784.46015999999997</v>
      </c>
      <c r="AI2" s="43">
        <f>P22</f>
        <v>825.98892000000001</v>
      </c>
      <c r="AJ2" s="43">
        <f>P23</f>
        <v>867.51768000000004</v>
      </c>
      <c r="AK2" s="43">
        <f>P24</f>
        <v>915.04643999999996</v>
      </c>
      <c r="AL2" s="43">
        <f>P25</f>
        <v>956.5752</v>
      </c>
      <c r="AM2" s="43">
        <f>P26</f>
        <v>998.10395999999992</v>
      </c>
      <c r="AN2" s="43">
        <f>P27</f>
        <v>1039.6327200000001</v>
      </c>
      <c r="AO2" s="43">
        <f>P28</f>
        <v>1081.16148</v>
      </c>
      <c r="AP2" s="43">
        <f>P29</f>
        <v>1128.6902399999999</v>
      </c>
      <c r="AQ2" s="43">
        <f>P30</f>
        <v>1170.2190000000001</v>
      </c>
      <c r="AR2" s="43">
        <f>P31</f>
        <v>1211.74776</v>
      </c>
      <c r="AS2" s="43">
        <f>P32</f>
        <v>1253.2765199999999</v>
      </c>
      <c r="AT2" s="43">
        <f>P33</f>
        <v>1300.80528</v>
      </c>
      <c r="AU2" s="43">
        <f>P34</f>
        <v>1342.33404</v>
      </c>
      <c r="AV2" s="43">
        <f>P35</f>
        <v>1383.8628000000001</v>
      </c>
      <c r="AW2" s="43">
        <f>P36</f>
        <v>1425.39156</v>
      </c>
      <c r="AX2" s="43">
        <f>P37</f>
        <v>1466.9203199999999</v>
      </c>
      <c r="AY2" s="43">
        <f>P38</f>
        <v>1514.4490799999999</v>
      </c>
      <c r="AZ2" s="43">
        <f>P39</f>
        <v>1555.97784</v>
      </c>
      <c r="BA2" s="43">
        <f>P40</f>
        <v>1597.5065999999999</v>
      </c>
      <c r="BB2" s="43">
        <f>P41</f>
        <v>1639.0353599999999</v>
      </c>
    </row>
    <row r="3" spans="1:54" x14ac:dyDescent="0.25">
      <c r="B3" s="27"/>
      <c r="C3" s="5" t="s">
        <v>2</v>
      </c>
      <c r="D3" s="2" t="s">
        <v>3</v>
      </c>
      <c r="E3" s="2" t="s">
        <v>1</v>
      </c>
      <c r="F3" s="2" t="s">
        <v>5</v>
      </c>
      <c r="G3" s="2" t="s">
        <v>46</v>
      </c>
      <c r="H3" s="287" t="s">
        <v>6</v>
      </c>
      <c r="I3" s="39"/>
      <c r="J3" s="34"/>
      <c r="K3" s="8" t="s">
        <v>2</v>
      </c>
      <c r="L3" s="2" t="s">
        <v>3</v>
      </c>
      <c r="M3" s="2" t="s">
        <v>1</v>
      </c>
      <c r="N3" s="2" t="s">
        <v>5</v>
      </c>
      <c r="O3" s="2" t="s">
        <v>46</v>
      </c>
      <c r="P3" s="287" t="s">
        <v>6</v>
      </c>
      <c r="Q3" s="39"/>
      <c r="W3" s="35"/>
    </row>
    <row r="4" spans="1:54" x14ac:dyDescent="0.25">
      <c r="A4" s="1" t="s">
        <v>8</v>
      </c>
      <c r="B4" s="27" t="s">
        <v>7</v>
      </c>
      <c r="C4" s="5" t="s">
        <v>37</v>
      </c>
      <c r="D4" s="61" t="s">
        <v>38</v>
      </c>
      <c r="E4" s="2" t="s">
        <v>4</v>
      </c>
      <c r="F4" s="2" t="s">
        <v>52</v>
      </c>
      <c r="G4" s="2" t="s">
        <v>47</v>
      </c>
      <c r="H4" s="287"/>
      <c r="I4" s="39"/>
      <c r="J4" s="27" t="s">
        <v>7</v>
      </c>
      <c r="K4" s="8" t="s">
        <v>36</v>
      </c>
      <c r="L4" s="61" t="s">
        <v>38</v>
      </c>
      <c r="M4" s="2" t="s">
        <v>4</v>
      </c>
      <c r="N4" s="2" t="s">
        <v>52</v>
      </c>
      <c r="O4" s="2" t="s">
        <v>47</v>
      </c>
      <c r="P4" s="287"/>
      <c r="Q4" s="39"/>
      <c r="W4" s="35"/>
    </row>
    <row r="5" spans="1:54" x14ac:dyDescent="0.25">
      <c r="B5" s="27"/>
      <c r="C5" s="20">
        <v>0.4</v>
      </c>
      <c r="E5" s="20">
        <v>0.1</v>
      </c>
      <c r="I5" s="39"/>
      <c r="J5" s="26"/>
      <c r="K5" s="20">
        <v>0.6</v>
      </c>
      <c r="Q5" s="39"/>
      <c r="V5" s="22" t="s">
        <v>41</v>
      </c>
    </row>
    <row r="6" spans="1:54" x14ac:dyDescent="0.25">
      <c r="A6" s="2">
        <v>1</v>
      </c>
      <c r="B6" s="31">
        <v>0.7</v>
      </c>
      <c r="C6" s="4">
        <f>$C$2*C$5*B6</f>
        <v>11.2</v>
      </c>
      <c r="D6" s="4">
        <f>IF(B6&gt;1.4,D$2,0)</f>
        <v>0</v>
      </c>
      <c r="E6" s="4">
        <f>$E$2*$A6</f>
        <v>42</v>
      </c>
      <c r="F6" s="4">
        <f>(($C$5*B6)-(3.1416*($E$5/2)*($E$5/2)*$A6))*$F$2</f>
        <v>16.328759999999999</v>
      </c>
      <c r="G6" s="25">
        <v>40</v>
      </c>
      <c r="H6" s="4">
        <f>SUM(C6:G6)</f>
        <v>109.52876000000001</v>
      </c>
      <c r="I6" s="39"/>
      <c r="J6" s="28">
        <v>0.7</v>
      </c>
      <c r="K6" s="7">
        <f>$C$2*K$5*J6</f>
        <v>16.799999999999997</v>
      </c>
      <c r="L6" s="7">
        <f>IF(J6&gt;1.4,D$2,0)</f>
        <v>0</v>
      </c>
      <c r="M6" s="7">
        <f>$E$2*$A6</f>
        <v>42</v>
      </c>
      <c r="N6" s="4">
        <f>(($K$5*J6)-(3.1416*($E$5/2)*($E$5/2)*$A6))*$F$2</f>
        <v>24.728760000000001</v>
      </c>
      <c r="O6" s="25">
        <v>60</v>
      </c>
      <c r="P6" s="7">
        <f>SUM(K6:O6)</f>
        <v>143.52876000000001</v>
      </c>
      <c r="Q6" s="39"/>
      <c r="U6" s="1" t="s">
        <v>42</v>
      </c>
      <c r="V6" s="21">
        <f>56/6</f>
        <v>9.3333333333333339</v>
      </c>
      <c r="W6" t="s">
        <v>45</v>
      </c>
    </row>
    <row r="7" spans="1:54" x14ac:dyDescent="0.25">
      <c r="A7" s="2">
        <v>2</v>
      </c>
      <c r="B7" s="31">
        <f>B6</f>
        <v>0.7</v>
      </c>
      <c r="C7" s="4">
        <f t="shared" ref="C7:C41" si="0">$C$2*C$5*B7</f>
        <v>11.2</v>
      </c>
      <c r="D7" s="4">
        <f t="shared" ref="D7:D41" si="1">IF(B7&gt;1.4,D$2,0)</f>
        <v>0</v>
      </c>
      <c r="E7" s="4">
        <f t="shared" ref="E7:E41" si="2">$E$2*A7</f>
        <v>84</v>
      </c>
      <c r="F7" s="4">
        <f t="shared" ref="F7:F41" si="3">(($C$5*B7)-(3.1416*($E$5/2)*($E$5/2)*$A7))*$F$2</f>
        <v>15.857519999999997</v>
      </c>
      <c r="G7" s="4">
        <f>G6</f>
        <v>40</v>
      </c>
      <c r="H7" s="4">
        <f t="shared" ref="H7:H41" si="4">SUM(C7:G7)</f>
        <v>151.05752000000001</v>
      </c>
      <c r="I7" s="39"/>
      <c r="J7" s="28">
        <f>J6</f>
        <v>0.7</v>
      </c>
      <c r="K7" s="7">
        <f>$C$2*K$5*J7</f>
        <v>16.799999999999997</v>
      </c>
      <c r="L7" s="7">
        <f t="shared" ref="L7:L41" si="5">IF(J7&gt;1.4,D$2,0)</f>
        <v>0</v>
      </c>
      <c r="M7" s="7">
        <f t="shared" ref="M7:M41" si="6">$E$2*$A7</f>
        <v>84</v>
      </c>
      <c r="N7" s="4">
        <f t="shared" ref="N7:N41" si="7">(($K$5*J7)-(3.1416*($E$5/2)*($E$5/2)*$A7))*$F$2</f>
        <v>24.25752</v>
      </c>
      <c r="O7" s="4">
        <f>O6</f>
        <v>60</v>
      </c>
      <c r="P7" s="7">
        <f t="shared" ref="P7:P41" si="8">SUM(K7:O7)</f>
        <v>185.05752000000001</v>
      </c>
      <c r="Q7" s="39"/>
      <c r="U7" s="1" t="s">
        <v>43</v>
      </c>
      <c r="V7" s="21">
        <f>V9-V6-V8</f>
        <v>8.5666666666666664</v>
      </c>
    </row>
    <row r="8" spans="1:54" x14ac:dyDescent="0.25">
      <c r="A8" s="2">
        <v>3</v>
      </c>
      <c r="B8" s="31">
        <f>B7</f>
        <v>0.7</v>
      </c>
      <c r="C8" s="4">
        <f t="shared" si="0"/>
        <v>11.2</v>
      </c>
      <c r="D8" s="4">
        <f t="shared" si="1"/>
        <v>0</v>
      </c>
      <c r="E8" s="4">
        <f t="shared" si="2"/>
        <v>126</v>
      </c>
      <c r="F8" s="4">
        <f t="shared" si="3"/>
        <v>15.386279999999996</v>
      </c>
      <c r="G8" s="4">
        <f t="shared" ref="G8:G41" si="9">G7</f>
        <v>40</v>
      </c>
      <c r="H8" s="4">
        <f t="shared" si="4"/>
        <v>192.58627999999999</v>
      </c>
      <c r="I8" s="39"/>
      <c r="J8" s="28">
        <f>J7</f>
        <v>0.7</v>
      </c>
      <c r="K8" s="7">
        <f t="shared" ref="K8:K41" si="10">$C$2*K$5*J8</f>
        <v>16.799999999999997</v>
      </c>
      <c r="L8" s="7">
        <f t="shared" si="5"/>
        <v>0</v>
      </c>
      <c r="M8" s="7">
        <f t="shared" si="6"/>
        <v>126</v>
      </c>
      <c r="N8" s="4">
        <f t="shared" si="7"/>
        <v>23.786279999999998</v>
      </c>
      <c r="O8" s="4">
        <f t="shared" ref="O8:O41" si="11">O7</f>
        <v>60</v>
      </c>
      <c r="P8" s="7">
        <f t="shared" si="8"/>
        <v>226.58628000000002</v>
      </c>
      <c r="Q8" s="39"/>
      <c r="R8" s="21">
        <f>50+(A8*60)</f>
        <v>230</v>
      </c>
      <c r="U8" s="1" t="s">
        <v>40</v>
      </c>
      <c r="V8" s="21">
        <f>57*0.3</f>
        <v>17.099999999999998</v>
      </c>
    </row>
    <row r="9" spans="1:54" x14ac:dyDescent="0.25">
      <c r="A9" s="2">
        <v>4</v>
      </c>
      <c r="B9" s="31">
        <f>B8+0.1</f>
        <v>0.79999999999999993</v>
      </c>
      <c r="C9" s="4">
        <f t="shared" si="0"/>
        <v>12.799999999999999</v>
      </c>
      <c r="D9" s="4">
        <f t="shared" si="1"/>
        <v>0</v>
      </c>
      <c r="E9" s="4">
        <f t="shared" si="2"/>
        <v>168</v>
      </c>
      <c r="F9" s="4">
        <f t="shared" si="3"/>
        <v>17.31504</v>
      </c>
      <c r="G9" s="4">
        <f t="shared" si="9"/>
        <v>40</v>
      </c>
      <c r="H9" s="4">
        <f t="shared" si="4"/>
        <v>238.11504000000002</v>
      </c>
      <c r="I9" s="39"/>
      <c r="J9" s="28">
        <f>J8</f>
        <v>0.7</v>
      </c>
      <c r="K9" s="7">
        <f t="shared" si="10"/>
        <v>16.799999999999997</v>
      </c>
      <c r="L9" s="7">
        <f t="shared" si="5"/>
        <v>0</v>
      </c>
      <c r="M9" s="7">
        <f t="shared" si="6"/>
        <v>168</v>
      </c>
      <c r="N9" s="4">
        <f t="shared" si="7"/>
        <v>23.31504</v>
      </c>
      <c r="O9" s="4">
        <f t="shared" si="11"/>
        <v>60</v>
      </c>
      <c r="P9" s="7">
        <f t="shared" si="8"/>
        <v>268.11504000000002</v>
      </c>
      <c r="Q9" s="39"/>
      <c r="R9" s="21">
        <f t="shared" ref="R9:R15" si="12">50+(A9*60)</f>
        <v>290</v>
      </c>
      <c r="U9" s="1" t="s">
        <v>44</v>
      </c>
      <c r="V9" s="62">
        <v>35</v>
      </c>
    </row>
    <row r="10" spans="1:54" x14ac:dyDescent="0.25">
      <c r="A10" s="2">
        <v>5</v>
      </c>
      <c r="B10" s="31">
        <f>B9</f>
        <v>0.79999999999999993</v>
      </c>
      <c r="C10" s="4">
        <f t="shared" si="0"/>
        <v>12.799999999999999</v>
      </c>
      <c r="D10" s="4">
        <f t="shared" si="1"/>
        <v>0</v>
      </c>
      <c r="E10" s="4">
        <f t="shared" si="2"/>
        <v>210</v>
      </c>
      <c r="F10" s="4">
        <f t="shared" si="3"/>
        <v>16.843800000000002</v>
      </c>
      <c r="G10" s="4">
        <f t="shared" si="9"/>
        <v>40</v>
      </c>
      <c r="H10" s="4">
        <f t="shared" si="4"/>
        <v>279.6438</v>
      </c>
      <c r="I10" s="39"/>
      <c r="J10" s="28">
        <f>J9</f>
        <v>0.7</v>
      </c>
      <c r="K10" s="7">
        <f t="shared" si="10"/>
        <v>16.799999999999997</v>
      </c>
      <c r="L10" s="7">
        <f t="shared" si="5"/>
        <v>0</v>
      </c>
      <c r="M10" s="7">
        <f t="shared" si="6"/>
        <v>210</v>
      </c>
      <c r="N10" s="4">
        <f t="shared" si="7"/>
        <v>22.843800000000002</v>
      </c>
      <c r="O10" s="4">
        <f t="shared" si="11"/>
        <v>60</v>
      </c>
      <c r="P10" s="7">
        <f t="shared" si="8"/>
        <v>309.6438</v>
      </c>
      <c r="Q10" s="39"/>
      <c r="R10" s="21">
        <f t="shared" si="12"/>
        <v>350</v>
      </c>
      <c r="U10" s="1" t="s">
        <v>39</v>
      </c>
      <c r="V10" s="52">
        <f>V9*1.2</f>
        <v>42</v>
      </c>
      <c r="X10" s="258" t="s">
        <v>288</v>
      </c>
    </row>
    <row r="11" spans="1:54" x14ac:dyDescent="0.25">
      <c r="A11" s="2">
        <v>6</v>
      </c>
      <c r="B11" s="31">
        <f>B10</f>
        <v>0.79999999999999993</v>
      </c>
      <c r="C11" s="4">
        <f t="shared" si="0"/>
        <v>12.799999999999999</v>
      </c>
      <c r="D11" s="4">
        <f t="shared" si="1"/>
        <v>0</v>
      </c>
      <c r="E11" s="4">
        <f t="shared" si="2"/>
        <v>252</v>
      </c>
      <c r="F11" s="4">
        <f t="shared" si="3"/>
        <v>16.37256</v>
      </c>
      <c r="G11" s="4">
        <f t="shared" si="9"/>
        <v>40</v>
      </c>
      <c r="H11" s="4">
        <f t="shared" si="4"/>
        <v>321.17256000000003</v>
      </c>
      <c r="I11" s="39"/>
      <c r="J11" s="29">
        <f>J10+0.1</f>
        <v>0.79999999999999993</v>
      </c>
      <c r="K11" s="7">
        <f t="shared" si="10"/>
        <v>19.2</v>
      </c>
      <c r="L11" s="7">
        <f t="shared" si="5"/>
        <v>0</v>
      </c>
      <c r="M11" s="7">
        <f t="shared" si="6"/>
        <v>252</v>
      </c>
      <c r="N11" s="4">
        <f t="shared" si="7"/>
        <v>25.972559999999994</v>
      </c>
      <c r="O11" s="4">
        <f t="shared" si="11"/>
        <v>60</v>
      </c>
      <c r="P11" s="7">
        <f t="shared" si="8"/>
        <v>357.17255999999998</v>
      </c>
      <c r="Q11" s="39"/>
      <c r="R11" s="21">
        <f t="shared" si="12"/>
        <v>410</v>
      </c>
      <c r="U11" s="1"/>
      <c r="V11" s="21"/>
      <c r="Z11" s="259" t="s">
        <v>56</v>
      </c>
    </row>
    <row r="12" spans="1:54" x14ac:dyDescent="0.25">
      <c r="A12" s="2">
        <v>7</v>
      </c>
      <c r="B12" s="31">
        <f>B11+0.1</f>
        <v>0.89999999999999991</v>
      </c>
      <c r="C12" s="4">
        <f t="shared" si="0"/>
        <v>14.399999999999999</v>
      </c>
      <c r="D12" s="4">
        <f t="shared" si="1"/>
        <v>0</v>
      </c>
      <c r="E12" s="4">
        <f t="shared" si="2"/>
        <v>294</v>
      </c>
      <c r="F12" s="4">
        <f t="shared" si="3"/>
        <v>18.30132</v>
      </c>
      <c r="G12" s="4">
        <f t="shared" si="9"/>
        <v>40</v>
      </c>
      <c r="H12" s="4">
        <f t="shared" si="4"/>
        <v>366.70131999999995</v>
      </c>
      <c r="I12" s="39"/>
      <c r="J12" s="29">
        <f>J11</f>
        <v>0.79999999999999993</v>
      </c>
      <c r="K12" s="7">
        <f t="shared" si="10"/>
        <v>19.2</v>
      </c>
      <c r="L12" s="7">
        <f t="shared" si="5"/>
        <v>0</v>
      </c>
      <c r="M12" s="7">
        <f t="shared" si="6"/>
        <v>294</v>
      </c>
      <c r="N12" s="4">
        <f t="shared" si="7"/>
        <v>25.501319999999993</v>
      </c>
      <c r="O12" s="4">
        <f t="shared" si="11"/>
        <v>60</v>
      </c>
      <c r="P12" s="7">
        <f t="shared" si="8"/>
        <v>398.70132000000001</v>
      </c>
      <c r="Q12" s="39"/>
      <c r="R12" s="21">
        <f t="shared" si="12"/>
        <v>470</v>
      </c>
      <c r="Y12" s="1" t="s">
        <v>289</v>
      </c>
      <c r="Z12" s="23">
        <v>48</v>
      </c>
    </row>
    <row r="13" spans="1:54" x14ac:dyDescent="0.25">
      <c r="A13" s="2">
        <v>8</v>
      </c>
      <c r="B13" s="31">
        <f>B12</f>
        <v>0.89999999999999991</v>
      </c>
      <c r="C13" s="4">
        <f t="shared" si="0"/>
        <v>14.399999999999999</v>
      </c>
      <c r="D13" s="4">
        <f t="shared" si="1"/>
        <v>0</v>
      </c>
      <c r="E13" s="4">
        <f t="shared" si="2"/>
        <v>336</v>
      </c>
      <c r="F13" s="4">
        <f t="shared" si="3"/>
        <v>17.830079999999999</v>
      </c>
      <c r="G13" s="4">
        <f t="shared" si="9"/>
        <v>40</v>
      </c>
      <c r="H13" s="4">
        <f t="shared" si="4"/>
        <v>408.23007999999999</v>
      </c>
      <c r="I13" s="39"/>
      <c r="J13" s="29">
        <f>J12</f>
        <v>0.79999999999999993</v>
      </c>
      <c r="K13" s="7">
        <f t="shared" si="10"/>
        <v>19.2</v>
      </c>
      <c r="L13" s="7">
        <f t="shared" si="5"/>
        <v>0</v>
      </c>
      <c r="M13" s="7">
        <f t="shared" si="6"/>
        <v>336</v>
      </c>
      <c r="N13" s="4">
        <f t="shared" si="7"/>
        <v>25.030079999999995</v>
      </c>
      <c r="O13" s="4">
        <f t="shared" si="11"/>
        <v>60</v>
      </c>
      <c r="P13" s="7">
        <f t="shared" si="8"/>
        <v>440.23007999999999</v>
      </c>
      <c r="Q13" s="39"/>
      <c r="R13" s="21">
        <f t="shared" si="12"/>
        <v>530</v>
      </c>
      <c r="Y13" s="1" t="s">
        <v>290</v>
      </c>
      <c r="Z13" s="23">
        <v>50</v>
      </c>
    </row>
    <row r="14" spans="1:54" x14ac:dyDescent="0.25">
      <c r="A14" s="2">
        <v>9</v>
      </c>
      <c r="B14" s="31">
        <f>B13</f>
        <v>0.89999999999999991</v>
      </c>
      <c r="C14" s="4">
        <f t="shared" si="0"/>
        <v>14.399999999999999</v>
      </c>
      <c r="D14" s="4">
        <f t="shared" si="1"/>
        <v>0</v>
      </c>
      <c r="E14" s="4">
        <f t="shared" si="2"/>
        <v>378</v>
      </c>
      <c r="F14" s="4">
        <f t="shared" si="3"/>
        <v>17.358839999999997</v>
      </c>
      <c r="G14" s="4">
        <f t="shared" si="9"/>
        <v>40</v>
      </c>
      <c r="H14" s="4">
        <f t="shared" si="4"/>
        <v>449.75883999999996</v>
      </c>
      <c r="I14" s="39"/>
      <c r="J14" s="29">
        <f>J13</f>
        <v>0.79999999999999993</v>
      </c>
      <c r="K14" s="7">
        <f t="shared" si="10"/>
        <v>19.2</v>
      </c>
      <c r="L14" s="7">
        <f t="shared" si="5"/>
        <v>0</v>
      </c>
      <c r="M14" s="7">
        <f t="shared" si="6"/>
        <v>378</v>
      </c>
      <c r="N14" s="4">
        <f t="shared" si="7"/>
        <v>24.558839999999996</v>
      </c>
      <c r="O14" s="4">
        <f t="shared" si="11"/>
        <v>60</v>
      </c>
      <c r="P14" s="7">
        <f t="shared" si="8"/>
        <v>481.75883999999996</v>
      </c>
      <c r="Q14" s="39"/>
      <c r="R14" s="21">
        <f t="shared" si="12"/>
        <v>590</v>
      </c>
      <c r="V14" s="22" t="s">
        <v>51</v>
      </c>
      <c r="Z14" s="23">
        <v>0</v>
      </c>
    </row>
    <row r="15" spans="1:54" x14ac:dyDescent="0.25">
      <c r="A15" s="2">
        <v>10</v>
      </c>
      <c r="B15" s="31">
        <f>B14+0.1</f>
        <v>0.99999999999999989</v>
      </c>
      <c r="C15" s="4">
        <f t="shared" si="0"/>
        <v>15.999999999999998</v>
      </c>
      <c r="D15" s="4">
        <f t="shared" si="1"/>
        <v>0</v>
      </c>
      <c r="E15" s="4">
        <f t="shared" si="2"/>
        <v>420</v>
      </c>
      <c r="F15" s="4">
        <f t="shared" si="3"/>
        <v>19.287599999999998</v>
      </c>
      <c r="G15" s="4">
        <f t="shared" si="9"/>
        <v>40</v>
      </c>
      <c r="H15" s="4">
        <f t="shared" si="4"/>
        <v>495.2876</v>
      </c>
      <c r="I15" s="39"/>
      <c r="J15" s="28">
        <f>J14+0.1</f>
        <v>0.89999999999999991</v>
      </c>
      <c r="K15" s="7">
        <f t="shared" si="10"/>
        <v>21.599999999999998</v>
      </c>
      <c r="L15" s="7">
        <f t="shared" si="5"/>
        <v>0</v>
      </c>
      <c r="M15" s="7">
        <f t="shared" si="6"/>
        <v>420</v>
      </c>
      <c r="N15" s="4">
        <f t="shared" si="7"/>
        <v>27.687599999999996</v>
      </c>
      <c r="O15" s="4">
        <f t="shared" si="11"/>
        <v>60</v>
      </c>
      <c r="P15" s="7">
        <f t="shared" si="8"/>
        <v>529.2876</v>
      </c>
      <c r="Q15" s="39"/>
      <c r="R15" s="21">
        <f t="shared" si="12"/>
        <v>650</v>
      </c>
      <c r="U15" s="1" t="s">
        <v>48</v>
      </c>
      <c r="V15" s="23">
        <v>31</v>
      </c>
      <c r="Y15" s="1" t="s">
        <v>57</v>
      </c>
      <c r="Z15" s="23">
        <f>C32+F32</f>
        <v>47.276520000000012</v>
      </c>
    </row>
    <row r="16" spans="1:54" x14ac:dyDescent="0.25">
      <c r="A16" s="2">
        <v>11</v>
      </c>
      <c r="B16" s="31">
        <f>B15</f>
        <v>0.99999999999999989</v>
      </c>
      <c r="C16" s="4">
        <f t="shared" si="0"/>
        <v>15.999999999999998</v>
      </c>
      <c r="D16" s="4">
        <f t="shared" si="1"/>
        <v>0</v>
      </c>
      <c r="E16" s="4">
        <f t="shared" si="2"/>
        <v>462</v>
      </c>
      <c r="F16" s="4">
        <f t="shared" si="3"/>
        <v>18.816359999999996</v>
      </c>
      <c r="G16" s="4">
        <f t="shared" si="9"/>
        <v>40</v>
      </c>
      <c r="H16" s="4">
        <f t="shared" si="4"/>
        <v>536.81636000000003</v>
      </c>
      <c r="I16" s="39"/>
      <c r="J16" s="28">
        <f>J15</f>
        <v>0.89999999999999991</v>
      </c>
      <c r="K16" s="7">
        <f t="shared" si="10"/>
        <v>21.599999999999998</v>
      </c>
      <c r="L16" s="7">
        <f t="shared" si="5"/>
        <v>0</v>
      </c>
      <c r="M16" s="7">
        <f t="shared" si="6"/>
        <v>462</v>
      </c>
      <c r="N16" s="4">
        <f t="shared" si="7"/>
        <v>27.216359999999998</v>
      </c>
      <c r="O16" s="4">
        <f t="shared" si="11"/>
        <v>60</v>
      </c>
      <c r="P16" s="7">
        <f t="shared" si="8"/>
        <v>570.81636000000003</v>
      </c>
      <c r="Q16" s="39"/>
      <c r="U16" s="1" t="s">
        <v>50</v>
      </c>
      <c r="V16" s="23">
        <f>V15*50</f>
        <v>1550</v>
      </c>
    </row>
    <row r="17" spans="1:27" x14ac:dyDescent="0.25">
      <c r="A17" s="2">
        <v>12</v>
      </c>
      <c r="B17" s="31">
        <f>B16</f>
        <v>0.99999999999999989</v>
      </c>
      <c r="C17" s="4">
        <f t="shared" si="0"/>
        <v>15.999999999999998</v>
      </c>
      <c r="D17" s="4">
        <f t="shared" si="1"/>
        <v>0</v>
      </c>
      <c r="E17" s="4">
        <f t="shared" si="2"/>
        <v>504</v>
      </c>
      <c r="F17" s="4">
        <f t="shared" si="3"/>
        <v>18.345119999999998</v>
      </c>
      <c r="G17" s="4">
        <f t="shared" si="9"/>
        <v>40</v>
      </c>
      <c r="H17" s="4">
        <f t="shared" si="4"/>
        <v>578.34511999999995</v>
      </c>
      <c r="I17" s="39"/>
      <c r="J17" s="28">
        <f>J16</f>
        <v>0.89999999999999991</v>
      </c>
      <c r="K17" s="7">
        <f t="shared" si="10"/>
        <v>21.599999999999998</v>
      </c>
      <c r="L17" s="7">
        <f t="shared" si="5"/>
        <v>0</v>
      </c>
      <c r="M17" s="7">
        <f t="shared" si="6"/>
        <v>504</v>
      </c>
      <c r="N17" s="4">
        <f t="shared" si="7"/>
        <v>26.745119999999996</v>
      </c>
      <c r="O17" s="4">
        <f t="shared" si="11"/>
        <v>60</v>
      </c>
      <c r="P17" s="7">
        <f t="shared" si="8"/>
        <v>612.34512000000007</v>
      </c>
      <c r="Q17" s="39"/>
      <c r="U17" s="1" t="s">
        <v>49</v>
      </c>
      <c r="V17" s="23">
        <f>V16/8</f>
        <v>193.75</v>
      </c>
    </row>
    <row r="18" spans="1:27" x14ac:dyDescent="0.25">
      <c r="A18" s="2">
        <v>13</v>
      </c>
      <c r="B18" s="31">
        <f>B17+0.1</f>
        <v>1.0999999999999999</v>
      </c>
      <c r="C18" s="4">
        <f t="shared" si="0"/>
        <v>17.599999999999998</v>
      </c>
      <c r="D18" s="4">
        <f t="shared" si="1"/>
        <v>0</v>
      </c>
      <c r="E18" s="4">
        <f t="shared" si="2"/>
        <v>546</v>
      </c>
      <c r="F18" s="4">
        <f t="shared" si="3"/>
        <v>20.273879999999995</v>
      </c>
      <c r="G18" s="4">
        <f t="shared" si="9"/>
        <v>40</v>
      </c>
      <c r="H18" s="4">
        <f t="shared" si="4"/>
        <v>623.87387999999999</v>
      </c>
      <c r="I18" s="39"/>
      <c r="J18" s="28">
        <f>J17</f>
        <v>0.89999999999999991</v>
      </c>
      <c r="K18" s="7">
        <f t="shared" si="10"/>
        <v>21.599999999999998</v>
      </c>
      <c r="L18" s="7">
        <f t="shared" si="5"/>
        <v>0</v>
      </c>
      <c r="M18" s="7">
        <f t="shared" si="6"/>
        <v>546</v>
      </c>
      <c r="N18" s="4">
        <f t="shared" si="7"/>
        <v>26.273879999999995</v>
      </c>
      <c r="O18" s="4">
        <f t="shared" si="11"/>
        <v>60</v>
      </c>
      <c r="P18" s="7">
        <f t="shared" si="8"/>
        <v>653.87387999999999</v>
      </c>
      <c r="Q18" s="39"/>
    </row>
    <row r="19" spans="1:27" x14ac:dyDescent="0.25">
      <c r="A19" s="2">
        <v>14</v>
      </c>
      <c r="B19" s="31">
        <f>B18</f>
        <v>1.0999999999999999</v>
      </c>
      <c r="C19" s="4">
        <f t="shared" si="0"/>
        <v>17.599999999999998</v>
      </c>
      <c r="D19" s="4">
        <f t="shared" si="1"/>
        <v>0</v>
      </c>
      <c r="E19" s="4">
        <f t="shared" si="2"/>
        <v>588</v>
      </c>
      <c r="F19" s="4">
        <f t="shared" si="3"/>
        <v>19.802639999999997</v>
      </c>
      <c r="G19" s="4">
        <f t="shared" si="9"/>
        <v>40</v>
      </c>
      <c r="H19" s="4">
        <f t="shared" si="4"/>
        <v>665.40264000000002</v>
      </c>
      <c r="I19" s="39"/>
      <c r="J19" s="28">
        <f>J18</f>
        <v>0.89999999999999991</v>
      </c>
      <c r="K19" s="7">
        <f t="shared" si="10"/>
        <v>21.599999999999998</v>
      </c>
      <c r="L19" s="7">
        <f t="shared" si="5"/>
        <v>0</v>
      </c>
      <c r="M19" s="7">
        <f t="shared" si="6"/>
        <v>588</v>
      </c>
      <c r="N19" s="4">
        <f t="shared" si="7"/>
        <v>25.802639999999997</v>
      </c>
      <c r="O19" s="4">
        <f t="shared" si="11"/>
        <v>60</v>
      </c>
      <c r="P19" s="7">
        <f t="shared" si="8"/>
        <v>695.40264000000002</v>
      </c>
      <c r="Q19" s="39"/>
    </row>
    <row r="20" spans="1:27" x14ac:dyDescent="0.25">
      <c r="A20" s="2">
        <v>15</v>
      </c>
      <c r="B20" s="31">
        <f>B19</f>
        <v>1.0999999999999999</v>
      </c>
      <c r="C20" s="4">
        <f t="shared" si="0"/>
        <v>17.599999999999998</v>
      </c>
      <c r="D20" s="4">
        <f t="shared" si="1"/>
        <v>0</v>
      </c>
      <c r="E20" s="4">
        <f t="shared" si="2"/>
        <v>630</v>
      </c>
      <c r="F20" s="4">
        <f t="shared" si="3"/>
        <v>19.331399999999999</v>
      </c>
      <c r="G20" s="4">
        <f t="shared" si="9"/>
        <v>40</v>
      </c>
      <c r="H20" s="4">
        <f t="shared" si="4"/>
        <v>706.93140000000005</v>
      </c>
      <c r="I20" s="39"/>
      <c r="J20" s="29">
        <f>J19+0.1</f>
        <v>0.99999999999999989</v>
      </c>
      <c r="K20" s="7">
        <f t="shared" si="10"/>
        <v>23.999999999999996</v>
      </c>
      <c r="L20" s="7">
        <f t="shared" si="5"/>
        <v>0</v>
      </c>
      <c r="M20" s="7">
        <f t="shared" si="6"/>
        <v>630</v>
      </c>
      <c r="N20" s="4">
        <f t="shared" si="7"/>
        <v>28.931399999999993</v>
      </c>
      <c r="O20" s="4">
        <f t="shared" si="11"/>
        <v>60</v>
      </c>
      <c r="P20" s="7">
        <f t="shared" si="8"/>
        <v>742.93139999999994</v>
      </c>
      <c r="Q20" s="39"/>
      <c r="V20" s="22" t="s">
        <v>55</v>
      </c>
    </row>
    <row r="21" spans="1:27" x14ac:dyDescent="0.25">
      <c r="A21" s="2">
        <v>16</v>
      </c>
      <c r="B21" s="31">
        <f>B20+0.1</f>
        <v>1.2</v>
      </c>
      <c r="C21" s="4">
        <f t="shared" si="0"/>
        <v>19.2</v>
      </c>
      <c r="D21" s="4">
        <f t="shared" si="1"/>
        <v>0</v>
      </c>
      <c r="E21" s="4">
        <f t="shared" si="2"/>
        <v>672</v>
      </c>
      <c r="F21" s="4">
        <f t="shared" si="3"/>
        <v>21.260159999999999</v>
      </c>
      <c r="G21" s="4">
        <f t="shared" si="9"/>
        <v>40</v>
      </c>
      <c r="H21" s="4">
        <f t="shared" si="4"/>
        <v>752.46016000000009</v>
      </c>
      <c r="I21" s="39"/>
      <c r="J21" s="29">
        <f>J20</f>
        <v>0.99999999999999989</v>
      </c>
      <c r="K21" s="7">
        <f t="shared" si="10"/>
        <v>23.999999999999996</v>
      </c>
      <c r="L21" s="7">
        <f t="shared" si="5"/>
        <v>0</v>
      </c>
      <c r="M21" s="7">
        <f t="shared" si="6"/>
        <v>672</v>
      </c>
      <c r="N21" s="4">
        <f t="shared" si="7"/>
        <v>28.460159999999991</v>
      </c>
      <c r="O21" s="4">
        <f t="shared" si="11"/>
        <v>60</v>
      </c>
      <c r="P21" s="7">
        <f t="shared" si="8"/>
        <v>784.46015999999997</v>
      </c>
      <c r="Q21" s="39"/>
      <c r="U21" s="1"/>
      <c r="V21" s="1" t="s">
        <v>56</v>
      </c>
    </row>
    <row r="22" spans="1:27" x14ac:dyDescent="0.25">
      <c r="A22" s="2">
        <v>17</v>
      </c>
      <c r="B22" s="31">
        <f>B21</f>
        <v>1.2</v>
      </c>
      <c r="C22" s="4">
        <f t="shared" si="0"/>
        <v>19.2</v>
      </c>
      <c r="D22" s="4">
        <f t="shared" si="1"/>
        <v>0</v>
      </c>
      <c r="E22" s="4">
        <f t="shared" si="2"/>
        <v>714</v>
      </c>
      <c r="F22" s="4">
        <f t="shared" si="3"/>
        <v>20.788919999999997</v>
      </c>
      <c r="G22" s="4">
        <f t="shared" si="9"/>
        <v>40</v>
      </c>
      <c r="H22" s="4">
        <f t="shared" si="4"/>
        <v>793.98892000000001</v>
      </c>
      <c r="I22" s="39"/>
      <c r="J22" s="29">
        <f>J21</f>
        <v>0.99999999999999989</v>
      </c>
      <c r="K22" s="7">
        <f t="shared" si="10"/>
        <v>23.999999999999996</v>
      </c>
      <c r="L22" s="7">
        <f t="shared" si="5"/>
        <v>0</v>
      </c>
      <c r="M22" s="7">
        <f t="shared" si="6"/>
        <v>714</v>
      </c>
      <c r="N22" s="4">
        <f t="shared" si="7"/>
        <v>27.98891999999999</v>
      </c>
      <c r="O22" s="4">
        <f t="shared" si="11"/>
        <v>60</v>
      </c>
      <c r="P22" s="7">
        <f t="shared" si="8"/>
        <v>825.98892000000001</v>
      </c>
      <c r="Q22" s="39"/>
    </row>
    <row r="23" spans="1:27" x14ac:dyDescent="0.25">
      <c r="A23" s="2">
        <v>18</v>
      </c>
      <c r="B23" s="31">
        <f>B22</f>
        <v>1.2</v>
      </c>
      <c r="C23" s="4">
        <f t="shared" si="0"/>
        <v>19.2</v>
      </c>
      <c r="D23" s="4">
        <f t="shared" si="1"/>
        <v>0</v>
      </c>
      <c r="E23" s="4">
        <f t="shared" si="2"/>
        <v>756</v>
      </c>
      <c r="F23" s="4">
        <f t="shared" si="3"/>
        <v>20.317679999999999</v>
      </c>
      <c r="G23" s="4">
        <f t="shared" si="9"/>
        <v>40</v>
      </c>
      <c r="H23" s="4">
        <f t="shared" si="4"/>
        <v>835.51768000000004</v>
      </c>
      <c r="I23" s="39"/>
      <c r="J23" s="29">
        <f>J22</f>
        <v>0.99999999999999989</v>
      </c>
      <c r="K23" s="7">
        <f t="shared" si="10"/>
        <v>23.999999999999996</v>
      </c>
      <c r="L23" s="7">
        <f t="shared" si="5"/>
        <v>0</v>
      </c>
      <c r="M23" s="7">
        <f t="shared" si="6"/>
        <v>756</v>
      </c>
      <c r="N23" s="4">
        <f t="shared" si="7"/>
        <v>27.517679999999991</v>
      </c>
      <c r="O23" s="4">
        <f t="shared" si="11"/>
        <v>60</v>
      </c>
      <c r="P23" s="7">
        <f t="shared" si="8"/>
        <v>867.51768000000004</v>
      </c>
      <c r="Q23" s="39"/>
    </row>
    <row r="24" spans="1:27" x14ac:dyDescent="0.25">
      <c r="A24" s="2">
        <v>19</v>
      </c>
      <c r="B24" s="31">
        <f>B23+0.1</f>
        <v>1.3</v>
      </c>
      <c r="C24" s="4">
        <f t="shared" si="0"/>
        <v>20.8</v>
      </c>
      <c r="D24" s="4">
        <f t="shared" si="1"/>
        <v>0</v>
      </c>
      <c r="E24" s="4">
        <f t="shared" si="2"/>
        <v>798</v>
      </c>
      <c r="F24" s="4">
        <f t="shared" si="3"/>
        <v>22.246440000000003</v>
      </c>
      <c r="G24" s="4">
        <f t="shared" si="9"/>
        <v>40</v>
      </c>
      <c r="H24" s="4">
        <f t="shared" si="4"/>
        <v>881.04643999999996</v>
      </c>
      <c r="I24" s="39"/>
      <c r="J24" s="28">
        <f>J23+0.1</f>
        <v>1.0999999999999999</v>
      </c>
      <c r="K24" s="7">
        <f t="shared" si="10"/>
        <v>26.4</v>
      </c>
      <c r="L24" s="7">
        <f t="shared" si="5"/>
        <v>0</v>
      </c>
      <c r="M24" s="7">
        <f t="shared" si="6"/>
        <v>798</v>
      </c>
      <c r="N24" s="4">
        <f t="shared" si="7"/>
        <v>30.646439999999998</v>
      </c>
      <c r="O24" s="4">
        <f t="shared" si="11"/>
        <v>60</v>
      </c>
      <c r="P24" s="7">
        <f t="shared" si="8"/>
        <v>915.04643999999996</v>
      </c>
      <c r="Q24" s="39"/>
    </row>
    <row r="25" spans="1:27" x14ac:dyDescent="0.25">
      <c r="A25" s="2">
        <v>20</v>
      </c>
      <c r="B25" s="31">
        <f>B24</f>
        <v>1.3</v>
      </c>
      <c r="C25" s="4">
        <f t="shared" si="0"/>
        <v>20.8</v>
      </c>
      <c r="D25" s="4">
        <f t="shared" si="1"/>
        <v>0</v>
      </c>
      <c r="E25" s="4">
        <f t="shared" si="2"/>
        <v>840</v>
      </c>
      <c r="F25" s="4">
        <f>(($C$5*B25)-(3.1416*($E$5/2)*($E$5/2)*$A25))*$F$2</f>
        <v>21.775200000000002</v>
      </c>
      <c r="G25" s="4">
        <f t="shared" si="9"/>
        <v>40</v>
      </c>
      <c r="H25" s="4">
        <f t="shared" si="4"/>
        <v>922.5752</v>
      </c>
      <c r="I25" s="39"/>
      <c r="J25" s="28">
        <f>J24</f>
        <v>1.0999999999999999</v>
      </c>
      <c r="K25" s="7">
        <f t="shared" si="10"/>
        <v>26.4</v>
      </c>
      <c r="L25" s="7">
        <f t="shared" si="5"/>
        <v>0</v>
      </c>
      <c r="M25" s="7">
        <f t="shared" si="6"/>
        <v>840</v>
      </c>
      <c r="N25" s="4">
        <f t="shared" si="7"/>
        <v>30.175199999999997</v>
      </c>
      <c r="O25" s="4">
        <f t="shared" si="11"/>
        <v>60</v>
      </c>
      <c r="P25" s="7">
        <f t="shared" si="8"/>
        <v>956.5752</v>
      </c>
      <c r="Q25" s="39"/>
    </row>
    <row r="26" spans="1:27" x14ac:dyDescent="0.25">
      <c r="A26" s="2">
        <v>21</v>
      </c>
      <c r="B26" s="31">
        <f>B25</f>
        <v>1.3</v>
      </c>
      <c r="C26" s="4">
        <f t="shared" si="0"/>
        <v>20.8</v>
      </c>
      <c r="D26" s="4">
        <f t="shared" si="1"/>
        <v>0</v>
      </c>
      <c r="E26" s="4">
        <f t="shared" si="2"/>
        <v>882</v>
      </c>
      <c r="F26" s="4">
        <f t="shared" si="3"/>
        <v>21.30396</v>
      </c>
      <c r="G26" s="4">
        <f t="shared" si="9"/>
        <v>40</v>
      </c>
      <c r="H26" s="4">
        <f t="shared" si="4"/>
        <v>964.10395999999992</v>
      </c>
      <c r="I26" s="39"/>
      <c r="J26" s="28">
        <f>J25</f>
        <v>1.0999999999999999</v>
      </c>
      <c r="K26" s="7">
        <f t="shared" si="10"/>
        <v>26.4</v>
      </c>
      <c r="L26" s="7">
        <f t="shared" si="5"/>
        <v>0</v>
      </c>
      <c r="M26" s="7">
        <f t="shared" si="6"/>
        <v>882</v>
      </c>
      <c r="N26" s="4">
        <f t="shared" si="7"/>
        <v>29.703959999999995</v>
      </c>
      <c r="O26" s="4">
        <f t="shared" si="11"/>
        <v>60</v>
      </c>
      <c r="P26" s="7">
        <f t="shared" si="8"/>
        <v>998.10395999999992</v>
      </c>
      <c r="Q26" s="39"/>
      <c r="S26" s="124"/>
      <c r="T26" s="124"/>
      <c r="U26" s="124"/>
      <c r="V26" s="124"/>
      <c r="W26" s="124"/>
      <c r="X26" s="124"/>
      <c r="Y26" s="124"/>
      <c r="Z26" s="124"/>
      <c r="AA26" s="124"/>
    </row>
    <row r="27" spans="1:27" x14ac:dyDescent="0.25">
      <c r="A27" s="2">
        <v>22</v>
      </c>
      <c r="B27" s="31">
        <f>B26+0.1</f>
        <v>1.4000000000000001</v>
      </c>
      <c r="C27" s="4">
        <f t="shared" si="0"/>
        <v>22.400000000000002</v>
      </c>
      <c r="D27" s="4">
        <f t="shared" si="1"/>
        <v>0</v>
      </c>
      <c r="E27" s="4">
        <f t="shared" si="2"/>
        <v>924</v>
      </c>
      <c r="F27" s="4">
        <f t="shared" si="3"/>
        <v>23.232720000000004</v>
      </c>
      <c r="G27" s="4">
        <f t="shared" si="9"/>
        <v>40</v>
      </c>
      <c r="H27" s="4">
        <f t="shared" si="4"/>
        <v>1009.6327199999999</v>
      </c>
      <c r="I27" s="39"/>
      <c r="J27" s="28">
        <f>J26</f>
        <v>1.0999999999999999</v>
      </c>
      <c r="K27" s="7">
        <f t="shared" si="10"/>
        <v>26.4</v>
      </c>
      <c r="L27" s="7">
        <f t="shared" si="5"/>
        <v>0</v>
      </c>
      <c r="M27" s="7">
        <f t="shared" si="6"/>
        <v>924</v>
      </c>
      <c r="N27" s="4">
        <f t="shared" si="7"/>
        <v>29.232719999999997</v>
      </c>
      <c r="O27" s="4">
        <f t="shared" si="11"/>
        <v>60</v>
      </c>
      <c r="P27" s="7">
        <f t="shared" si="8"/>
        <v>1039.6327200000001</v>
      </c>
      <c r="Q27" s="39"/>
      <c r="S27" s="124"/>
      <c r="T27" s="124"/>
      <c r="U27" s="125" t="s">
        <v>95</v>
      </c>
      <c r="V27" s="124">
        <v>1.5</v>
      </c>
      <c r="W27" s="124"/>
      <c r="X27" s="124">
        <v>1.4</v>
      </c>
      <c r="Y27" s="124"/>
      <c r="Z27" s="124"/>
      <c r="AA27" s="124"/>
    </row>
    <row r="28" spans="1:27" x14ac:dyDescent="0.25">
      <c r="A28" s="2">
        <v>23</v>
      </c>
      <c r="B28" s="31">
        <f>B27</f>
        <v>1.4000000000000001</v>
      </c>
      <c r="C28" s="4">
        <f t="shared" si="0"/>
        <v>22.400000000000002</v>
      </c>
      <c r="D28" s="4">
        <f t="shared" si="1"/>
        <v>0</v>
      </c>
      <c r="E28" s="4">
        <f t="shared" si="2"/>
        <v>966</v>
      </c>
      <c r="F28" s="4">
        <f t="shared" si="3"/>
        <v>22.761480000000006</v>
      </c>
      <c r="G28" s="4">
        <f t="shared" si="9"/>
        <v>40</v>
      </c>
      <c r="H28" s="4">
        <f t="shared" si="4"/>
        <v>1051.16148</v>
      </c>
      <c r="I28" s="39"/>
      <c r="J28" s="28">
        <f>J27</f>
        <v>1.0999999999999999</v>
      </c>
      <c r="K28" s="7">
        <f t="shared" si="10"/>
        <v>26.4</v>
      </c>
      <c r="L28" s="7">
        <f t="shared" si="5"/>
        <v>0</v>
      </c>
      <c r="M28" s="7">
        <f t="shared" si="6"/>
        <v>966</v>
      </c>
      <c r="N28" s="4">
        <f t="shared" si="7"/>
        <v>28.761479999999999</v>
      </c>
      <c r="O28" s="4">
        <f t="shared" si="11"/>
        <v>60</v>
      </c>
      <c r="P28" s="7">
        <f t="shared" si="8"/>
        <v>1081.16148</v>
      </c>
      <c r="Q28" s="39"/>
      <c r="S28" s="124"/>
      <c r="T28" s="124"/>
      <c r="U28" s="125" t="s">
        <v>96</v>
      </c>
      <c r="V28" s="124">
        <v>0.4</v>
      </c>
      <c r="W28" s="124"/>
      <c r="X28" s="124">
        <v>0.4</v>
      </c>
      <c r="Y28" s="124"/>
      <c r="Z28" s="124"/>
      <c r="AA28" s="124"/>
    </row>
    <row r="29" spans="1:27" x14ac:dyDescent="0.25">
      <c r="A29" s="2">
        <v>24</v>
      </c>
      <c r="B29" s="31">
        <f>B28</f>
        <v>1.4000000000000001</v>
      </c>
      <c r="C29" s="4">
        <f t="shared" si="0"/>
        <v>22.400000000000002</v>
      </c>
      <c r="D29" s="4">
        <f t="shared" si="1"/>
        <v>0</v>
      </c>
      <c r="E29" s="4">
        <f t="shared" si="2"/>
        <v>1008</v>
      </c>
      <c r="F29" s="4">
        <f t="shared" si="3"/>
        <v>22.290240000000004</v>
      </c>
      <c r="G29" s="4">
        <f t="shared" si="9"/>
        <v>40</v>
      </c>
      <c r="H29" s="4">
        <f t="shared" si="4"/>
        <v>1092.6902400000001</v>
      </c>
      <c r="I29" s="39"/>
      <c r="J29" s="29">
        <f>J28+0.1</f>
        <v>1.2</v>
      </c>
      <c r="K29" s="7">
        <f t="shared" si="10"/>
        <v>28.799999999999997</v>
      </c>
      <c r="L29" s="7">
        <f t="shared" si="5"/>
        <v>0</v>
      </c>
      <c r="M29" s="7">
        <f t="shared" si="6"/>
        <v>1008</v>
      </c>
      <c r="N29" s="4">
        <f t="shared" si="7"/>
        <v>31.890239999999999</v>
      </c>
      <c r="O29" s="4">
        <f t="shared" si="11"/>
        <v>60</v>
      </c>
      <c r="P29" s="7">
        <f t="shared" si="8"/>
        <v>1128.6902399999999</v>
      </c>
      <c r="Q29" s="39"/>
      <c r="S29" s="124"/>
      <c r="T29" s="124"/>
      <c r="U29" s="125" t="s">
        <v>98</v>
      </c>
      <c r="V29" s="126">
        <f>'Buildups 100dia'!C2</f>
        <v>40</v>
      </c>
      <c r="W29" s="124"/>
      <c r="X29" s="126">
        <f>F2</f>
        <v>60</v>
      </c>
      <c r="Y29" s="124"/>
      <c r="Z29" s="124"/>
      <c r="AA29" s="124"/>
    </row>
    <row r="30" spans="1:27" x14ac:dyDescent="0.25">
      <c r="A30" s="2">
        <v>25</v>
      </c>
      <c r="B30" s="31">
        <f>B29+0.1</f>
        <v>1.5000000000000002</v>
      </c>
      <c r="C30" s="4">
        <f t="shared" si="0"/>
        <v>24.000000000000004</v>
      </c>
      <c r="D30" s="4">
        <f t="shared" si="1"/>
        <v>15</v>
      </c>
      <c r="E30" s="4">
        <f t="shared" si="2"/>
        <v>1050</v>
      </c>
      <c r="F30" s="4">
        <f t="shared" si="3"/>
        <v>24.219000000000005</v>
      </c>
      <c r="G30" s="4">
        <f t="shared" si="9"/>
        <v>40</v>
      </c>
      <c r="H30" s="4">
        <f t="shared" si="4"/>
        <v>1153.2190000000001</v>
      </c>
      <c r="I30" s="39"/>
      <c r="J30" s="29">
        <f>J29</f>
        <v>1.2</v>
      </c>
      <c r="K30" s="7">
        <f t="shared" si="10"/>
        <v>28.799999999999997</v>
      </c>
      <c r="L30" s="7">
        <f t="shared" si="5"/>
        <v>0</v>
      </c>
      <c r="M30" s="7">
        <f t="shared" si="6"/>
        <v>1050</v>
      </c>
      <c r="N30" s="4">
        <f t="shared" si="7"/>
        <v>31.418999999999997</v>
      </c>
      <c r="O30" s="4">
        <f t="shared" si="11"/>
        <v>60</v>
      </c>
      <c r="P30" s="7">
        <f t="shared" si="8"/>
        <v>1170.2190000000001</v>
      </c>
      <c r="Q30" s="39"/>
      <c r="R30" s="35"/>
      <c r="S30" s="124"/>
      <c r="T30" s="124"/>
      <c r="U30" s="125" t="s">
        <v>97</v>
      </c>
      <c r="V30" s="126">
        <f>'Buildups 100dia'!C88</f>
        <v>160</v>
      </c>
      <c r="W30" s="124"/>
      <c r="X30" s="126">
        <f>X29</f>
        <v>60</v>
      </c>
      <c r="Y30" s="124"/>
      <c r="Z30" s="124"/>
      <c r="AA30" s="124"/>
    </row>
    <row r="31" spans="1:27" x14ac:dyDescent="0.25">
      <c r="A31" s="2">
        <v>26</v>
      </c>
      <c r="B31" s="31">
        <f>B30</f>
        <v>1.5000000000000002</v>
      </c>
      <c r="C31" s="4">
        <f t="shared" si="0"/>
        <v>24.000000000000004</v>
      </c>
      <c r="D31" s="4">
        <f t="shared" si="1"/>
        <v>15</v>
      </c>
      <c r="E31" s="4">
        <f t="shared" si="2"/>
        <v>1092</v>
      </c>
      <c r="F31" s="4">
        <f t="shared" si="3"/>
        <v>23.747760000000007</v>
      </c>
      <c r="G31" s="4">
        <f t="shared" si="9"/>
        <v>40</v>
      </c>
      <c r="H31" s="4">
        <f t="shared" si="4"/>
        <v>1194.74776</v>
      </c>
      <c r="I31" s="39"/>
      <c r="J31" s="29">
        <f>J30</f>
        <v>1.2</v>
      </c>
      <c r="K31" s="7">
        <f t="shared" si="10"/>
        <v>28.799999999999997</v>
      </c>
      <c r="L31" s="7">
        <f t="shared" si="5"/>
        <v>0</v>
      </c>
      <c r="M31" s="7">
        <f t="shared" si="6"/>
        <v>1092</v>
      </c>
      <c r="N31" s="4">
        <f>(($K$5*J31)-(3.1416*($E$5/2)*($E$5/2)*$A31))*$F$2</f>
        <v>30.947759999999995</v>
      </c>
      <c r="O31" s="4">
        <f t="shared" si="11"/>
        <v>60</v>
      </c>
      <c r="P31" s="7">
        <f t="shared" si="8"/>
        <v>1211.74776</v>
      </c>
      <c r="Q31" s="39"/>
      <c r="R31" s="37"/>
      <c r="S31" s="124"/>
      <c r="T31" s="124"/>
      <c r="U31" s="124"/>
      <c r="V31" s="124"/>
      <c r="W31" s="124"/>
      <c r="X31" s="124"/>
      <c r="Y31" s="124"/>
      <c r="Z31" s="124"/>
      <c r="AA31" s="124"/>
    </row>
    <row r="32" spans="1:27" x14ac:dyDescent="0.25">
      <c r="A32" s="2">
        <v>27</v>
      </c>
      <c r="B32" s="31">
        <f>B31</f>
        <v>1.5000000000000002</v>
      </c>
      <c r="C32" s="4">
        <f t="shared" si="0"/>
        <v>24.000000000000004</v>
      </c>
      <c r="D32" s="4">
        <f t="shared" si="1"/>
        <v>15</v>
      </c>
      <c r="E32" s="4">
        <f t="shared" si="2"/>
        <v>1134</v>
      </c>
      <c r="F32" s="4">
        <f t="shared" si="3"/>
        <v>23.276520000000009</v>
      </c>
      <c r="G32" s="4">
        <f t="shared" si="9"/>
        <v>40</v>
      </c>
      <c r="H32" s="4">
        <f t="shared" si="4"/>
        <v>1236.2765200000001</v>
      </c>
      <c r="I32" s="39"/>
      <c r="J32" s="29">
        <f>J31</f>
        <v>1.2</v>
      </c>
      <c r="K32" s="7">
        <f t="shared" si="10"/>
        <v>28.799999999999997</v>
      </c>
      <c r="L32" s="7">
        <f t="shared" si="5"/>
        <v>0</v>
      </c>
      <c r="M32" s="7">
        <f t="shared" si="6"/>
        <v>1134</v>
      </c>
      <c r="N32" s="4">
        <f t="shared" si="7"/>
        <v>30.476520000000001</v>
      </c>
      <c r="O32" s="4">
        <f t="shared" si="11"/>
        <v>60</v>
      </c>
      <c r="P32" s="7">
        <f t="shared" si="8"/>
        <v>1253.2765199999999</v>
      </c>
      <c r="Q32" s="39"/>
      <c r="R32" s="36"/>
      <c r="S32" s="124"/>
      <c r="T32" s="124"/>
      <c r="U32" s="124"/>
      <c r="V32" s="124" t="s">
        <v>94</v>
      </c>
      <c r="W32" s="124"/>
      <c r="X32" s="124"/>
      <c r="Y32" s="124"/>
      <c r="Z32" s="124"/>
      <c r="AA32" s="124"/>
    </row>
    <row r="33" spans="1:27" x14ac:dyDescent="0.25">
      <c r="A33" s="2">
        <v>28</v>
      </c>
      <c r="B33" s="31">
        <f>B32+0.1</f>
        <v>1.6000000000000003</v>
      </c>
      <c r="C33" s="7">
        <f t="shared" si="0"/>
        <v>25.600000000000005</v>
      </c>
      <c r="D33" s="4">
        <f t="shared" si="1"/>
        <v>15</v>
      </c>
      <c r="E33" s="7">
        <f t="shared" si="2"/>
        <v>1176</v>
      </c>
      <c r="F33" s="4">
        <f>(($C$5*B33)-(3.1416*($E$5/2)*($E$5/2)*$A33))*$F$2</f>
        <v>25.205280000000009</v>
      </c>
      <c r="G33" s="4">
        <f t="shared" si="9"/>
        <v>40</v>
      </c>
      <c r="H33" s="4">
        <f t="shared" si="4"/>
        <v>1281.8052799999998</v>
      </c>
      <c r="I33" s="39"/>
      <c r="J33" s="28">
        <f>J32+0.1</f>
        <v>1.3</v>
      </c>
      <c r="K33" s="7">
        <f t="shared" si="10"/>
        <v>31.200000000000003</v>
      </c>
      <c r="L33" s="7">
        <f t="shared" si="5"/>
        <v>0</v>
      </c>
      <c r="M33" s="7">
        <f t="shared" si="6"/>
        <v>1176</v>
      </c>
      <c r="N33" s="4">
        <f t="shared" si="7"/>
        <v>33.60528</v>
      </c>
      <c r="O33" s="4">
        <f t="shared" si="11"/>
        <v>60</v>
      </c>
      <c r="P33" s="7">
        <f t="shared" si="8"/>
        <v>1300.80528</v>
      </c>
      <c r="Q33" s="39"/>
      <c r="R33" s="36"/>
      <c r="S33" s="124"/>
      <c r="T33" s="124"/>
      <c r="U33" s="124"/>
      <c r="V33" s="124"/>
      <c r="W33" s="124"/>
      <c r="X33" s="124"/>
      <c r="Y33" s="124"/>
      <c r="Z33" s="124"/>
      <c r="AA33" s="124"/>
    </row>
    <row r="34" spans="1:27" x14ac:dyDescent="0.25">
      <c r="A34" s="2">
        <v>29</v>
      </c>
      <c r="B34" s="31">
        <f>B33</f>
        <v>1.6000000000000003</v>
      </c>
      <c r="C34" s="7">
        <f t="shared" si="0"/>
        <v>25.600000000000005</v>
      </c>
      <c r="D34" s="4">
        <f t="shared" si="1"/>
        <v>15</v>
      </c>
      <c r="E34" s="7">
        <f t="shared" si="2"/>
        <v>1218</v>
      </c>
      <c r="F34" s="4">
        <f t="shared" si="3"/>
        <v>24.734040000000007</v>
      </c>
      <c r="G34" s="4">
        <f t="shared" si="9"/>
        <v>40</v>
      </c>
      <c r="H34" s="4">
        <f t="shared" si="4"/>
        <v>1323.33404</v>
      </c>
      <c r="I34" s="39"/>
      <c r="J34" s="28">
        <f>J33</f>
        <v>1.3</v>
      </c>
      <c r="K34" s="7">
        <f t="shared" si="10"/>
        <v>31.200000000000003</v>
      </c>
      <c r="L34" s="7">
        <f t="shared" si="5"/>
        <v>0</v>
      </c>
      <c r="M34" s="4">
        <f t="shared" si="6"/>
        <v>1218</v>
      </c>
      <c r="N34" s="4">
        <f>(($K$5*J34)-(3.1416*($E$5/2)*($E$5/2)*$A34))*$F$2</f>
        <v>33.134039999999999</v>
      </c>
      <c r="O34" s="4">
        <f t="shared" si="11"/>
        <v>60</v>
      </c>
      <c r="P34" s="7">
        <f t="shared" si="8"/>
        <v>1342.33404</v>
      </c>
      <c r="Q34" s="39"/>
      <c r="S34" s="124"/>
      <c r="T34" s="124"/>
      <c r="U34" s="124"/>
      <c r="V34" s="124" t="s">
        <v>93</v>
      </c>
      <c r="W34" s="124"/>
      <c r="X34" s="124"/>
      <c r="Y34" s="124"/>
      <c r="Z34" s="124"/>
      <c r="AA34" s="124"/>
    </row>
    <row r="35" spans="1:27" x14ac:dyDescent="0.25">
      <c r="A35" s="2">
        <v>30</v>
      </c>
      <c r="B35" s="31">
        <f>B34</f>
        <v>1.6000000000000003</v>
      </c>
      <c r="C35" s="7">
        <f t="shared" si="0"/>
        <v>25.600000000000005</v>
      </c>
      <c r="D35" s="4">
        <f t="shared" si="1"/>
        <v>15</v>
      </c>
      <c r="E35" s="7">
        <f t="shared" si="2"/>
        <v>1260</v>
      </c>
      <c r="F35" s="4">
        <f t="shared" si="3"/>
        <v>24.262800000000009</v>
      </c>
      <c r="G35" s="4">
        <f t="shared" si="9"/>
        <v>40</v>
      </c>
      <c r="H35" s="4">
        <f t="shared" si="4"/>
        <v>1364.8627999999999</v>
      </c>
      <c r="I35" s="39"/>
      <c r="J35" s="28">
        <f>J34</f>
        <v>1.3</v>
      </c>
      <c r="K35" s="7">
        <f t="shared" si="10"/>
        <v>31.200000000000003</v>
      </c>
      <c r="L35" s="7">
        <f t="shared" si="5"/>
        <v>0</v>
      </c>
      <c r="M35" s="4">
        <f t="shared" si="6"/>
        <v>1260</v>
      </c>
      <c r="N35" s="4">
        <f t="shared" si="7"/>
        <v>32.662800000000004</v>
      </c>
      <c r="O35" s="4">
        <f t="shared" si="11"/>
        <v>60</v>
      </c>
      <c r="P35" s="7">
        <f t="shared" si="8"/>
        <v>1383.8628000000001</v>
      </c>
      <c r="Q35" s="39"/>
      <c r="S35" s="124"/>
      <c r="T35" s="124"/>
      <c r="U35" s="124"/>
      <c r="V35" s="124"/>
      <c r="W35" s="124"/>
      <c r="X35" s="124"/>
      <c r="Y35" s="124"/>
      <c r="Z35" s="124"/>
      <c r="AA35" s="124"/>
    </row>
    <row r="36" spans="1:27" x14ac:dyDescent="0.25">
      <c r="A36" s="2">
        <v>31</v>
      </c>
      <c r="B36" s="31">
        <f>B35+0.1</f>
        <v>1.7000000000000004</v>
      </c>
      <c r="C36" s="7">
        <f t="shared" si="0"/>
        <v>27.200000000000006</v>
      </c>
      <c r="D36" s="4">
        <f t="shared" si="1"/>
        <v>15</v>
      </c>
      <c r="E36" s="7">
        <f t="shared" si="2"/>
        <v>1302</v>
      </c>
      <c r="F36" s="4">
        <f t="shared" si="3"/>
        <v>26.19156000000001</v>
      </c>
      <c r="G36" s="4">
        <f t="shared" si="9"/>
        <v>40</v>
      </c>
      <c r="H36" s="4">
        <f t="shared" si="4"/>
        <v>1410.39156</v>
      </c>
      <c r="I36" s="39"/>
      <c r="J36" s="28">
        <f>J35</f>
        <v>1.3</v>
      </c>
      <c r="K36" s="7">
        <f t="shared" si="10"/>
        <v>31.200000000000003</v>
      </c>
      <c r="L36" s="7">
        <f t="shared" si="5"/>
        <v>0</v>
      </c>
      <c r="M36" s="4">
        <f t="shared" si="6"/>
        <v>1302</v>
      </c>
      <c r="N36" s="4">
        <f t="shared" si="7"/>
        <v>32.191560000000003</v>
      </c>
      <c r="O36" s="4">
        <f t="shared" si="11"/>
        <v>60</v>
      </c>
      <c r="P36" s="7">
        <f t="shared" si="8"/>
        <v>1425.39156</v>
      </c>
      <c r="Q36" s="39"/>
      <c r="S36" s="124"/>
      <c r="T36" s="124"/>
      <c r="U36" s="125"/>
      <c r="V36" s="127" t="s">
        <v>89</v>
      </c>
      <c r="W36" s="127" t="s">
        <v>3</v>
      </c>
      <c r="X36" s="127" t="s">
        <v>90</v>
      </c>
      <c r="Y36" s="127" t="s">
        <v>91</v>
      </c>
      <c r="Z36" s="127" t="s">
        <v>92</v>
      </c>
      <c r="AA36" s="124"/>
    </row>
    <row r="37" spans="1:27" x14ac:dyDescent="0.25">
      <c r="A37" s="2">
        <v>32</v>
      </c>
      <c r="B37" s="31">
        <f>B36</f>
        <v>1.7000000000000004</v>
      </c>
      <c r="C37" s="7">
        <f t="shared" si="0"/>
        <v>27.200000000000006</v>
      </c>
      <c r="D37" s="4">
        <f t="shared" si="1"/>
        <v>15</v>
      </c>
      <c r="E37" s="7">
        <f t="shared" si="2"/>
        <v>1344</v>
      </c>
      <c r="F37" s="4">
        <f t="shared" si="3"/>
        <v>25.720320000000008</v>
      </c>
      <c r="G37" s="4">
        <f t="shared" si="9"/>
        <v>40</v>
      </c>
      <c r="H37" s="4">
        <f t="shared" si="4"/>
        <v>1451.9203199999999</v>
      </c>
      <c r="I37" s="39"/>
      <c r="J37" s="28">
        <f>J36</f>
        <v>1.3</v>
      </c>
      <c r="K37" s="7">
        <f t="shared" si="10"/>
        <v>31.200000000000003</v>
      </c>
      <c r="L37" s="7">
        <f t="shared" si="5"/>
        <v>0</v>
      </c>
      <c r="M37" s="4">
        <f t="shared" si="6"/>
        <v>1344</v>
      </c>
      <c r="N37" s="4">
        <f t="shared" si="7"/>
        <v>31.720320000000001</v>
      </c>
      <c r="O37" s="4">
        <f t="shared" si="11"/>
        <v>60</v>
      </c>
      <c r="P37" s="7">
        <f t="shared" si="8"/>
        <v>1466.9203199999999</v>
      </c>
      <c r="Q37" s="39"/>
      <c r="S37" s="124"/>
      <c r="T37" s="124"/>
      <c r="U37" s="125" t="s">
        <v>87</v>
      </c>
      <c r="V37" s="128">
        <f>V27*V28*V29</f>
        <v>24.000000000000004</v>
      </c>
      <c r="W37" s="128">
        <v>66</v>
      </c>
      <c r="X37" s="129">
        <f>X27*X28*X29</f>
        <v>33.599999999999994</v>
      </c>
      <c r="Y37" s="128">
        <v>40</v>
      </c>
      <c r="Z37" s="128">
        <f>SUM(V37:Y37)</f>
        <v>163.6</v>
      </c>
      <c r="AA37" s="124"/>
    </row>
    <row r="38" spans="1:27" x14ac:dyDescent="0.25">
      <c r="A38" s="2">
        <v>33</v>
      </c>
      <c r="B38" s="31">
        <f>B37</f>
        <v>1.7000000000000004</v>
      </c>
      <c r="C38" s="7">
        <f t="shared" si="0"/>
        <v>27.200000000000006</v>
      </c>
      <c r="D38" s="4">
        <f t="shared" si="1"/>
        <v>15</v>
      </c>
      <c r="E38" s="7">
        <f t="shared" si="2"/>
        <v>1386</v>
      </c>
      <c r="F38" s="4">
        <f t="shared" si="3"/>
        <v>25.249080000000006</v>
      </c>
      <c r="G38" s="4">
        <f t="shared" si="9"/>
        <v>40</v>
      </c>
      <c r="H38" s="4">
        <f t="shared" si="4"/>
        <v>1493.4490800000001</v>
      </c>
      <c r="I38" s="39"/>
      <c r="J38" s="29">
        <f>J37+0.1</f>
        <v>1.4000000000000001</v>
      </c>
      <c r="K38" s="7">
        <f t="shared" si="10"/>
        <v>33.6</v>
      </c>
      <c r="L38" s="7">
        <f t="shared" si="5"/>
        <v>0</v>
      </c>
      <c r="M38" s="4">
        <f t="shared" si="6"/>
        <v>1386</v>
      </c>
      <c r="N38" s="4">
        <f t="shared" si="7"/>
        <v>34.849080000000001</v>
      </c>
      <c r="O38" s="4">
        <f t="shared" si="11"/>
        <v>60</v>
      </c>
      <c r="P38" s="7">
        <f t="shared" si="8"/>
        <v>1514.4490799999999</v>
      </c>
      <c r="Q38" s="39"/>
      <c r="S38" s="124"/>
      <c r="T38" s="124"/>
      <c r="U38" s="125" t="s">
        <v>86</v>
      </c>
      <c r="V38" s="128">
        <f>V37</f>
        <v>24.000000000000004</v>
      </c>
      <c r="W38" s="128">
        <v>0</v>
      </c>
      <c r="X38" s="129">
        <f>X37</f>
        <v>33.599999999999994</v>
      </c>
      <c r="Y38" s="128">
        <v>40</v>
      </c>
      <c r="Z38" s="128">
        <f>SUM(V38:Y38)</f>
        <v>97.6</v>
      </c>
      <c r="AA38" s="124"/>
    </row>
    <row r="39" spans="1:27" x14ac:dyDescent="0.25">
      <c r="A39" s="2">
        <v>34</v>
      </c>
      <c r="B39" s="31">
        <f>B38+0.1</f>
        <v>1.8000000000000005</v>
      </c>
      <c r="C39" s="7">
        <f t="shared" si="0"/>
        <v>28.800000000000008</v>
      </c>
      <c r="D39" s="4">
        <f t="shared" si="1"/>
        <v>15</v>
      </c>
      <c r="E39" s="7">
        <f t="shared" si="2"/>
        <v>1428</v>
      </c>
      <c r="F39" s="4">
        <f t="shared" si="3"/>
        <v>27.17784000000001</v>
      </c>
      <c r="G39" s="4">
        <f t="shared" si="9"/>
        <v>40</v>
      </c>
      <c r="H39" s="4">
        <f t="shared" si="4"/>
        <v>1538.97784</v>
      </c>
      <c r="I39" s="39"/>
      <c r="J39" s="29">
        <f>J38</f>
        <v>1.4000000000000001</v>
      </c>
      <c r="K39" s="7">
        <f t="shared" si="10"/>
        <v>33.6</v>
      </c>
      <c r="L39" s="7">
        <f t="shared" si="5"/>
        <v>0</v>
      </c>
      <c r="M39" s="4">
        <f t="shared" si="6"/>
        <v>1428</v>
      </c>
      <c r="N39" s="4">
        <f t="shared" si="7"/>
        <v>34.377839999999999</v>
      </c>
      <c r="O39" s="4">
        <f t="shared" si="11"/>
        <v>60</v>
      </c>
      <c r="P39" s="7">
        <f t="shared" si="8"/>
        <v>1555.97784</v>
      </c>
      <c r="Q39" s="39"/>
      <c r="S39" s="124"/>
      <c r="T39" s="124"/>
      <c r="U39" s="125" t="s">
        <v>88</v>
      </c>
      <c r="V39" s="128">
        <f>V27*V28*V30</f>
        <v>96.000000000000014</v>
      </c>
      <c r="W39" s="128">
        <v>0</v>
      </c>
      <c r="X39" s="129">
        <f>X27*X28*X30</f>
        <v>33.599999999999994</v>
      </c>
      <c r="Y39" s="128">
        <v>40</v>
      </c>
      <c r="Z39" s="128">
        <f>SUM(V39:Y39)</f>
        <v>169.60000000000002</v>
      </c>
      <c r="AA39" s="124"/>
    </row>
    <row r="40" spans="1:27" x14ac:dyDescent="0.25">
      <c r="A40" s="2">
        <v>35</v>
      </c>
      <c r="B40" s="31">
        <f>B39</f>
        <v>1.8000000000000005</v>
      </c>
      <c r="C40" s="7">
        <f t="shared" si="0"/>
        <v>28.800000000000008</v>
      </c>
      <c r="D40" s="4">
        <f t="shared" si="1"/>
        <v>15</v>
      </c>
      <c r="E40" s="7">
        <f t="shared" si="2"/>
        <v>1470</v>
      </c>
      <c r="F40" s="4">
        <f t="shared" si="3"/>
        <v>26.706600000000012</v>
      </c>
      <c r="G40" s="4">
        <f t="shared" si="9"/>
        <v>40</v>
      </c>
      <c r="H40" s="4">
        <f t="shared" si="4"/>
        <v>1580.5065999999999</v>
      </c>
      <c r="I40" s="39"/>
      <c r="J40" s="29">
        <f>J39</f>
        <v>1.4000000000000001</v>
      </c>
      <c r="K40" s="7">
        <f t="shared" si="10"/>
        <v>33.6</v>
      </c>
      <c r="L40" s="7">
        <f t="shared" si="5"/>
        <v>0</v>
      </c>
      <c r="M40" s="4">
        <f t="shared" si="6"/>
        <v>1470</v>
      </c>
      <c r="N40" s="4">
        <f t="shared" si="7"/>
        <v>33.906600000000005</v>
      </c>
      <c r="O40" s="4">
        <f t="shared" si="11"/>
        <v>60</v>
      </c>
      <c r="P40" s="7">
        <f t="shared" si="8"/>
        <v>1597.5065999999999</v>
      </c>
      <c r="Q40" s="39"/>
      <c r="S40" s="124"/>
      <c r="T40" s="124"/>
      <c r="U40" s="124"/>
      <c r="V40" s="130"/>
      <c r="W40" s="130"/>
      <c r="X40" s="130"/>
      <c r="Y40" s="130"/>
      <c r="Z40" s="130"/>
      <c r="AA40" s="124"/>
    </row>
    <row r="41" spans="1:27" x14ac:dyDescent="0.25">
      <c r="A41" s="2">
        <v>36</v>
      </c>
      <c r="B41" s="31">
        <f>B40</f>
        <v>1.8000000000000005</v>
      </c>
      <c r="C41" s="7">
        <f t="shared" si="0"/>
        <v>28.800000000000008</v>
      </c>
      <c r="D41" s="4">
        <f t="shared" si="1"/>
        <v>15</v>
      </c>
      <c r="E41" s="7">
        <f t="shared" si="2"/>
        <v>1512</v>
      </c>
      <c r="F41" s="4">
        <f t="shared" si="3"/>
        <v>26.235360000000011</v>
      </c>
      <c r="G41" s="4">
        <f t="shared" si="9"/>
        <v>40</v>
      </c>
      <c r="H41" s="4">
        <f t="shared" si="4"/>
        <v>1622.0353599999999</v>
      </c>
      <c r="I41" s="39"/>
      <c r="J41" s="29">
        <f>J40</f>
        <v>1.4000000000000001</v>
      </c>
      <c r="K41" s="7">
        <f t="shared" si="10"/>
        <v>33.6</v>
      </c>
      <c r="L41" s="7">
        <f t="shared" si="5"/>
        <v>0</v>
      </c>
      <c r="M41" s="4">
        <f t="shared" si="6"/>
        <v>1512</v>
      </c>
      <c r="N41" s="4">
        <f t="shared" si="7"/>
        <v>33.435360000000003</v>
      </c>
      <c r="O41" s="4">
        <f t="shared" si="11"/>
        <v>60</v>
      </c>
      <c r="P41" s="7">
        <f t="shared" si="8"/>
        <v>1639.0353599999999</v>
      </c>
      <c r="Q41" s="39"/>
      <c r="S41" s="124"/>
      <c r="T41" s="124"/>
      <c r="U41" s="124"/>
      <c r="V41" s="124"/>
      <c r="W41" s="124"/>
      <c r="X41" s="124"/>
      <c r="Y41" s="124"/>
      <c r="Z41" s="124"/>
      <c r="AA41" s="124"/>
    </row>
    <row r="43" spans="1:27" x14ac:dyDescent="0.25">
      <c r="S43" s="256" t="s">
        <v>168</v>
      </c>
    </row>
    <row r="44" spans="1:27" x14ac:dyDescent="0.25">
      <c r="T44" t="s">
        <v>167</v>
      </c>
    </row>
    <row r="45" spans="1:27" x14ac:dyDescent="0.25">
      <c r="S45" s="1" t="s">
        <v>173</v>
      </c>
      <c r="T45" t="s">
        <v>169</v>
      </c>
      <c r="U45" s="21">
        <f>48/0.4</f>
        <v>120</v>
      </c>
      <c r="V45" t="s">
        <v>170</v>
      </c>
    </row>
    <row r="47" spans="1:27" x14ac:dyDescent="0.25">
      <c r="T47" t="s">
        <v>171</v>
      </c>
    </row>
    <row r="48" spans="1:27" x14ac:dyDescent="0.25">
      <c r="T48" t="s">
        <v>172</v>
      </c>
    </row>
    <row r="49" spans="20:21" x14ac:dyDescent="0.25">
      <c r="T49" s="131">
        <v>160</v>
      </c>
    </row>
    <row r="51" spans="20:21" x14ac:dyDescent="0.25">
      <c r="T51" s="133">
        <f>H42</f>
        <v>0</v>
      </c>
      <c r="U51" t="s">
        <v>174</v>
      </c>
    </row>
    <row r="53" spans="20:21" x14ac:dyDescent="0.25">
      <c r="T53" s="134">
        <v>15</v>
      </c>
      <c r="U53" t="s">
        <v>176</v>
      </c>
    </row>
    <row r="54" spans="20:21" x14ac:dyDescent="0.25">
      <c r="U54" t="s">
        <v>175</v>
      </c>
    </row>
  </sheetData>
  <mergeCells count="2">
    <mergeCell ref="H3:H4"/>
    <mergeCell ref="P3:P4"/>
  </mergeCells>
  <pageMargins left="0.7" right="0.7" top="0.75" bottom="0.75" header="0.3" footer="0.3"/>
  <pageSetup paperSize="9" orientation="portrait" copies="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Z100"/>
  <sheetViews>
    <sheetView zoomScale="90" zoomScaleNormal="90" workbookViewId="0">
      <pane xSplit="15" ySplit="7" topLeftCell="P8" activePane="bottomRight" state="frozen"/>
      <selection pane="topRight" activeCell="R1" sqref="R1"/>
      <selection pane="bottomLeft" activeCell="A8" sqref="A8"/>
      <selection pane="bottomRight" activeCell="P8" sqref="P8"/>
    </sheetView>
  </sheetViews>
  <sheetFormatPr defaultRowHeight="15" outlineLevelCol="1" x14ac:dyDescent="0.25"/>
  <cols>
    <col min="1" max="2" width="12.28515625" customWidth="1"/>
    <col min="3" max="9" width="10.7109375" customWidth="1"/>
    <col min="10" max="10" width="10.7109375" hidden="1" customWidth="1" outlineLevel="1"/>
    <col min="11" max="11" width="10.7109375" customWidth="1" collapsed="1"/>
    <col min="12" max="14" width="10.7109375" customWidth="1"/>
    <col min="15" max="15" width="1.7109375" customWidth="1"/>
    <col min="16" max="16" width="11.42578125" customWidth="1"/>
    <col min="17" max="52" width="8.7109375" customWidth="1"/>
  </cols>
  <sheetData>
    <row r="1" spans="1:52" s="4" customFormat="1" x14ac:dyDescent="0.25">
      <c r="C1"/>
      <c r="O1" s="189"/>
      <c r="P1"/>
      <c r="Q1" s="147">
        <v>1</v>
      </c>
      <c r="R1" s="147">
        <v>2</v>
      </c>
      <c r="S1" s="147">
        <v>3</v>
      </c>
      <c r="T1" s="147">
        <v>4</v>
      </c>
      <c r="U1" s="147">
        <v>5</v>
      </c>
      <c r="V1" s="147">
        <v>6</v>
      </c>
      <c r="W1" s="147">
        <v>7</v>
      </c>
      <c r="X1" s="147">
        <v>8</v>
      </c>
      <c r="Y1" s="147">
        <v>9</v>
      </c>
      <c r="Z1" s="147">
        <v>10</v>
      </c>
      <c r="AA1" s="147">
        <v>11</v>
      </c>
      <c r="AB1" s="147">
        <v>12</v>
      </c>
      <c r="AC1" s="147">
        <v>13</v>
      </c>
      <c r="AD1" s="147">
        <v>14</v>
      </c>
      <c r="AE1" s="147">
        <v>15</v>
      </c>
      <c r="AF1" s="147">
        <v>16</v>
      </c>
      <c r="AG1" s="147">
        <v>17</v>
      </c>
      <c r="AH1" s="147">
        <v>18</v>
      </c>
      <c r="AI1" s="147">
        <v>19</v>
      </c>
      <c r="AJ1" s="147">
        <v>20</v>
      </c>
      <c r="AK1" s="147">
        <v>21</v>
      </c>
      <c r="AL1" s="147">
        <v>22</v>
      </c>
      <c r="AM1" s="147">
        <v>23</v>
      </c>
      <c r="AN1" s="147">
        <v>24</v>
      </c>
      <c r="AO1" s="147">
        <v>25</v>
      </c>
      <c r="AP1" s="147">
        <v>26</v>
      </c>
      <c r="AQ1" s="147">
        <v>27</v>
      </c>
      <c r="AR1" s="147">
        <v>28</v>
      </c>
      <c r="AS1" s="147">
        <v>29</v>
      </c>
      <c r="AT1" s="147">
        <v>30</v>
      </c>
      <c r="AU1" s="147">
        <v>31</v>
      </c>
      <c r="AV1" s="147">
        <v>32</v>
      </c>
      <c r="AW1" s="147">
        <v>33</v>
      </c>
      <c r="AX1" s="147">
        <v>34</v>
      </c>
      <c r="AY1" s="147">
        <v>35</v>
      </c>
      <c r="AZ1" s="147">
        <v>36</v>
      </c>
    </row>
    <row r="2" spans="1:52" s="4" customFormat="1" ht="18.75" customHeight="1" x14ac:dyDescent="0.25">
      <c r="A2" s="45" t="s">
        <v>193</v>
      </c>
      <c r="B2"/>
      <c r="C2"/>
      <c r="E2" s="180" t="s">
        <v>185</v>
      </c>
      <c r="F2" s="149" t="s">
        <v>186</v>
      </c>
      <c r="G2" s="105" t="s">
        <v>186</v>
      </c>
      <c r="H2" s="167" t="s">
        <v>218</v>
      </c>
      <c r="I2" s="160" t="s">
        <v>189</v>
      </c>
      <c r="J2" s="161" t="s">
        <v>46</v>
      </c>
      <c r="K2" s="171" t="s">
        <v>208</v>
      </c>
      <c r="L2" s="169" t="s">
        <v>209</v>
      </c>
      <c r="M2" s="173" t="s">
        <v>211</v>
      </c>
      <c r="N2" s="167" t="s">
        <v>6</v>
      </c>
      <c r="O2" s="189"/>
      <c r="P2" s="44" t="s">
        <v>206</v>
      </c>
      <c r="Q2" s="232">
        <f>N9</f>
        <v>50.855883289473681</v>
      </c>
      <c r="R2" s="232">
        <f>N10</f>
        <v>73.95588328947369</v>
      </c>
      <c r="S2" s="232">
        <f>N11</f>
        <v>97.055883289473684</v>
      </c>
      <c r="T2" s="232">
        <f>N12</f>
        <v>120.15588328947368</v>
      </c>
      <c r="U2" s="232">
        <f>N13</f>
        <v>143.25588328947367</v>
      </c>
      <c r="V2" s="232">
        <f>N14</f>
        <v>179.34443578947369</v>
      </c>
      <c r="W2" s="232">
        <f>N15</f>
        <v>202.44443578947369</v>
      </c>
      <c r="X2" s="232">
        <f>N16</f>
        <v>225.54443578947368</v>
      </c>
      <c r="Y2" s="232">
        <f>N17</f>
        <v>254.87894098947368</v>
      </c>
      <c r="Z2" s="232">
        <f>N18</f>
        <v>277.9789409894737</v>
      </c>
      <c r="AA2" s="232">
        <f>N19</f>
        <v>301.07894098947367</v>
      </c>
      <c r="AB2" s="232">
        <f>N20</f>
        <v>324.17894098947369</v>
      </c>
      <c r="AC2" s="232">
        <f>N21</f>
        <v>357.74400328947377</v>
      </c>
      <c r="AD2" s="232">
        <f>N22</f>
        <v>380.84400328947373</v>
      </c>
      <c r="AE2" s="232">
        <f>N23</f>
        <v>403.94400328947376</v>
      </c>
      <c r="AF2" s="232">
        <f>N24</f>
        <v>427.04400328947372</v>
      </c>
      <c r="AG2" s="232">
        <f>N25</f>
        <v>470.55458578947366</v>
      </c>
      <c r="AH2" s="232">
        <f>N26</f>
        <v>493.65458578947369</v>
      </c>
      <c r="AI2" s="232">
        <f>N27</f>
        <v>516.75458578947371</v>
      </c>
      <c r="AJ2" s="232">
        <f>N28</f>
        <v>539.85458578947373</v>
      </c>
      <c r="AK2" s="232">
        <f>N29</f>
        <v>562.95458578947364</v>
      </c>
      <c r="AL2" s="232">
        <f>N30</f>
        <v>600.08222248947368</v>
      </c>
      <c r="AM2" s="232">
        <f>N31</f>
        <v>623.1822224894737</v>
      </c>
      <c r="AN2" s="232">
        <f>N32</f>
        <v>646.28222248947361</v>
      </c>
      <c r="AO2" s="232">
        <f>N33</f>
        <v>669.38222248947363</v>
      </c>
      <c r="AP2" s="232">
        <f>N34</f>
        <v>692.48222248947366</v>
      </c>
      <c r="AQ2" s="232">
        <f>N35</f>
        <v>715.58222248947368</v>
      </c>
      <c r="AR2" s="232">
        <f>N36</f>
        <v>754.04582458947368</v>
      </c>
      <c r="AS2" s="232">
        <f>N37</f>
        <v>777.1458245894737</v>
      </c>
      <c r="AT2" s="232">
        <f>N38</f>
        <v>800.24582458947373</v>
      </c>
      <c r="AU2" s="232">
        <f>N39</f>
        <v>845.90879578947374</v>
      </c>
      <c r="AV2" s="232">
        <f>N40</f>
        <v>869.00879578947377</v>
      </c>
      <c r="AW2" s="232">
        <f>N41</f>
        <v>892.10879578947379</v>
      </c>
      <c r="AX2" s="232">
        <f>N42</f>
        <v>915.20879578947381</v>
      </c>
      <c r="AY2" s="232">
        <f>N43</f>
        <v>938.30879578947372</v>
      </c>
      <c r="AZ2" s="232">
        <f>N44</f>
        <v>961.40879578947374</v>
      </c>
    </row>
    <row r="3" spans="1:52" s="4" customFormat="1" ht="18.75" customHeight="1" x14ac:dyDescent="0.25">
      <c r="A3" s="292" t="s">
        <v>207</v>
      </c>
      <c r="B3" s="292"/>
      <c r="C3"/>
      <c r="D3" s="50"/>
      <c r="E3" s="159"/>
      <c r="F3" s="149" t="s">
        <v>187</v>
      </c>
      <c r="G3" s="105" t="s">
        <v>188</v>
      </c>
      <c r="H3" s="167" t="s">
        <v>6</v>
      </c>
      <c r="I3" s="177" t="s">
        <v>190</v>
      </c>
      <c r="J3" s="162" t="s">
        <v>200</v>
      </c>
      <c r="K3" s="171" t="s">
        <v>210</v>
      </c>
      <c r="L3" s="169" t="s">
        <v>210</v>
      </c>
      <c r="M3" s="173" t="s">
        <v>212</v>
      </c>
      <c r="N3" s="46"/>
      <c r="O3" s="189"/>
      <c r="P3" s="44" t="s">
        <v>1</v>
      </c>
      <c r="Q3" s="232">
        <f>N53</f>
        <v>59.255883289473687</v>
      </c>
      <c r="R3" s="232">
        <f>N54</f>
        <v>103.74443578947367</v>
      </c>
      <c r="S3" s="232">
        <f>N55</f>
        <v>141.47894098947367</v>
      </c>
      <c r="T3" s="232">
        <f>N56</f>
        <v>183.4440032894737</v>
      </c>
      <c r="U3" s="232">
        <f>N57</f>
        <v>235.35458578947367</v>
      </c>
      <c r="V3" s="232">
        <f>N58</f>
        <v>266.85458578947367</v>
      </c>
      <c r="W3" s="232">
        <f>N59</f>
        <v>312.38222248947369</v>
      </c>
      <c r="X3" s="232">
        <f>N60</f>
        <v>364.36178998947366</v>
      </c>
      <c r="Y3" s="232">
        <f>N61</f>
        <v>408.85034248947369</v>
      </c>
      <c r="Z3" s="232">
        <f>N62</f>
        <v>446.58484768947369</v>
      </c>
      <c r="AA3" s="232">
        <f>N63</f>
        <v>488.54990998947369</v>
      </c>
      <c r="AB3" s="232">
        <f>N64</f>
        <v>540.46049248947361</v>
      </c>
      <c r="AC3" s="232">
        <f>N65</f>
        <v>571.96049248947372</v>
      </c>
      <c r="AD3" s="232">
        <f>N66</f>
        <v>617.48812918947374</v>
      </c>
      <c r="AE3" s="232">
        <f>Q3+$AD3</f>
        <v>676.74401247894741</v>
      </c>
      <c r="AF3" s="232">
        <f t="shared" ref="AF3:AR3" si="0">R3+$AD3</f>
        <v>721.23256497894738</v>
      </c>
      <c r="AG3" s="232">
        <f t="shared" si="0"/>
        <v>758.96707017894744</v>
      </c>
      <c r="AH3" s="232">
        <f t="shared" si="0"/>
        <v>800.93213247894744</v>
      </c>
      <c r="AI3" s="232">
        <f t="shared" si="0"/>
        <v>852.84271497894747</v>
      </c>
      <c r="AJ3" s="232">
        <f t="shared" si="0"/>
        <v>884.34271497894747</v>
      </c>
      <c r="AK3" s="232">
        <f t="shared" si="0"/>
        <v>929.87035167894737</v>
      </c>
      <c r="AL3" s="232">
        <f t="shared" si="0"/>
        <v>981.8499191789474</v>
      </c>
      <c r="AM3" s="232">
        <f t="shared" si="0"/>
        <v>1026.3384716789474</v>
      </c>
      <c r="AN3" s="232">
        <f t="shared" si="0"/>
        <v>1064.0729768789474</v>
      </c>
      <c r="AO3" s="232">
        <f t="shared" si="0"/>
        <v>1106.0380391789474</v>
      </c>
      <c r="AP3" s="232">
        <f t="shared" si="0"/>
        <v>1157.9486216789473</v>
      </c>
      <c r="AQ3" s="232">
        <f t="shared" si="0"/>
        <v>1189.4486216789473</v>
      </c>
      <c r="AR3" s="232">
        <f t="shared" si="0"/>
        <v>1234.9762583789475</v>
      </c>
      <c r="AS3" s="232">
        <f>Q3+$AR3</f>
        <v>1294.2321416684213</v>
      </c>
      <c r="AT3" s="232">
        <f t="shared" ref="AT3:AY3" si="1">R3+$AR3</f>
        <v>1338.7206941684212</v>
      </c>
      <c r="AU3" s="232">
        <f t="shared" si="1"/>
        <v>1376.4551993684211</v>
      </c>
      <c r="AV3" s="232">
        <f t="shared" si="1"/>
        <v>1418.4202616684211</v>
      </c>
      <c r="AW3" s="232">
        <f t="shared" si="1"/>
        <v>1470.3308441684212</v>
      </c>
      <c r="AX3" s="232">
        <f t="shared" si="1"/>
        <v>1501.8308441684212</v>
      </c>
      <c r="AY3" s="232">
        <f t="shared" si="1"/>
        <v>1547.3584808684211</v>
      </c>
      <c r="AZ3" s="232">
        <f>X3+$AR3</f>
        <v>1599.3380483684211</v>
      </c>
    </row>
    <row r="4" spans="1:52" s="4" customFormat="1" ht="18.75" customHeight="1" x14ac:dyDescent="0.25">
      <c r="A4" s="292"/>
      <c r="B4" s="292"/>
      <c r="C4"/>
      <c r="D4" s="50" t="s">
        <v>10</v>
      </c>
      <c r="E4" s="181">
        <v>900</v>
      </c>
      <c r="F4" s="150">
        <v>10</v>
      </c>
      <c r="G4" s="105">
        <v>12</v>
      </c>
      <c r="H4" s="46"/>
      <c r="I4" s="179">
        <f>(1800*2)/1000</f>
        <v>3.6</v>
      </c>
      <c r="J4" s="161">
        <v>35</v>
      </c>
      <c r="K4" s="153">
        <f>12000/(420+100+50)*25%</f>
        <v>5.2631578947368425</v>
      </c>
      <c r="L4" s="172">
        <f>10000/6000</f>
        <v>1.6666666666666667</v>
      </c>
      <c r="M4" s="174">
        <v>0.05</v>
      </c>
      <c r="N4" s="46"/>
      <c r="O4" s="189"/>
      <c r="P4" s="44"/>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x14ac:dyDescent="0.25">
      <c r="E5" s="182" t="s">
        <v>170</v>
      </c>
      <c r="I5" s="177" t="s">
        <v>217</v>
      </c>
      <c r="O5" s="190"/>
      <c r="P5" s="44"/>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x14ac:dyDescent="0.25">
      <c r="A6" s="147" t="s">
        <v>8</v>
      </c>
      <c r="B6" s="155" t="s">
        <v>184</v>
      </c>
      <c r="C6" s="155" t="s">
        <v>192</v>
      </c>
      <c r="D6" s="184" t="s">
        <v>199</v>
      </c>
      <c r="E6" s="41"/>
      <c r="I6" s="177" t="s">
        <v>91</v>
      </c>
      <c r="O6" s="190"/>
      <c r="U6" s="35"/>
    </row>
    <row r="7" spans="1:52" x14ac:dyDescent="0.25">
      <c r="D7" s="185"/>
      <c r="O7" s="190"/>
      <c r="U7" s="35"/>
    </row>
    <row r="8" spans="1:52" x14ac:dyDescent="0.25">
      <c r="D8" s="185"/>
      <c r="O8" s="190"/>
      <c r="R8" s="142"/>
      <c r="S8" s="142"/>
      <c r="T8" s="142"/>
      <c r="U8" s="142"/>
    </row>
    <row r="9" spans="1:52" x14ac:dyDescent="0.25">
      <c r="A9" s="147">
        <v>1</v>
      </c>
      <c r="B9" s="201">
        <v>1</v>
      </c>
      <c r="C9" s="155">
        <v>0.15</v>
      </c>
      <c r="D9" s="202">
        <f t="shared" ref="D9:D22" si="2">3.1416*(C9/2)*(C9/2)</f>
        <v>1.76715E-2</v>
      </c>
      <c r="E9" s="203">
        <f>D9*B9*E$4</f>
        <v>15.904349999999999</v>
      </c>
      <c r="F9" s="204">
        <f>F$4*A9</f>
        <v>10</v>
      </c>
      <c r="G9" s="204">
        <f>G$4*A9</f>
        <v>12</v>
      </c>
      <c r="H9" s="205">
        <f>SUM(E9:G9)</f>
        <v>37.904350000000001</v>
      </c>
      <c r="I9" s="203">
        <f>I$4*B9</f>
        <v>3.6</v>
      </c>
      <c r="J9" s="206"/>
      <c r="K9" s="207">
        <f>K$4</f>
        <v>5.2631578947368425</v>
      </c>
      <c r="L9" s="207">
        <f>L$4</f>
        <v>1.6666666666666667</v>
      </c>
      <c r="M9" s="207">
        <f>SUM(H9:L9)*M$4</f>
        <v>2.4217087280701755</v>
      </c>
      <c r="N9" s="208">
        <f>SUM(H9:M9)</f>
        <v>50.855883289473681</v>
      </c>
      <c r="O9" s="190"/>
      <c r="R9" s="142"/>
      <c r="S9" s="142"/>
      <c r="T9" s="141"/>
      <c r="U9" s="142"/>
    </row>
    <row r="10" spans="1:52" ht="15" customHeight="1" x14ac:dyDescent="0.25">
      <c r="A10" s="147">
        <v>2</v>
      </c>
      <c r="B10" s="201">
        <v>1</v>
      </c>
      <c r="C10" s="155">
        <v>0.15</v>
      </c>
      <c r="D10" s="202">
        <f t="shared" si="2"/>
        <v>1.76715E-2</v>
      </c>
      <c r="E10" s="203">
        <f t="shared" ref="E10:E44" si="3">D10*B10*E$4</f>
        <v>15.904349999999999</v>
      </c>
      <c r="F10" s="204">
        <f t="shared" ref="F10:F22" si="4">F$4*A10</f>
        <v>20</v>
      </c>
      <c r="G10" s="204">
        <f t="shared" ref="G10:G22" si="5">G$4*A10</f>
        <v>24</v>
      </c>
      <c r="H10" s="205">
        <f t="shared" ref="H10:H22" si="6">SUM(E10:G10)</f>
        <v>59.904350000000001</v>
      </c>
      <c r="I10" s="203">
        <f t="shared" ref="I10:I44" si="7">I$4*B10</f>
        <v>3.6</v>
      </c>
      <c r="J10" s="206"/>
      <c r="K10" s="207">
        <f>K$4</f>
        <v>5.2631578947368425</v>
      </c>
      <c r="L10" s="207">
        <f t="shared" ref="K10:L44" si="8">L$4</f>
        <v>1.6666666666666667</v>
      </c>
      <c r="M10" s="207">
        <f>SUM(H10:L10)*M$4</f>
        <v>3.5217087280701755</v>
      </c>
      <c r="N10" s="208">
        <f>SUM(H10:M10)</f>
        <v>73.95588328947369</v>
      </c>
      <c r="O10" s="190"/>
      <c r="Q10" s="21">
        <v>27</v>
      </c>
      <c r="R10" s="98" t="s">
        <v>194</v>
      </c>
      <c r="S10" s="142"/>
      <c r="T10" s="141"/>
      <c r="U10" s="142"/>
    </row>
    <row r="11" spans="1:52" ht="15" customHeight="1" x14ac:dyDescent="0.25">
      <c r="A11" s="147">
        <v>3</v>
      </c>
      <c r="B11" s="201">
        <v>1</v>
      </c>
      <c r="C11" s="155">
        <v>0.15</v>
      </c>
      <c r="D11" s="202">
        <f t="shared" si="2"/>
        <v>1.76715E-2</v>
      </c>
      <c r="E11" s="203">
        <f t="shared" si="3"/>
        <v>15.904349999999999</v>
      </c>
      <c r="F11" s="204">
        <f t="shared" si="4"/>
        <v>30</v>
      </c>
      <c r="G11" s="204">
        <f t="shared" si="5"/>
        <v>36</v>
      </c>
      <c r="H11" s="205">
        <f t="shared" si="6"/>
        <v>81.904349999999994</v>
      </c>
      <c r="I11" s="203">
        <f t="shared" si="7"/>
        <v>3.6</v>
      </c>
      <c r="J11" s="206"/>
      <c r="K11" s="207">
        <f t="shared" si="8"/>
        <v>5.2631578947368425</v>
      </c>
      <c r="L11" s="207">
        <f t="shared" si="8"/>
        <v>1.6666666666666667</v>
      </c>
      <c r="M11" s="207">
        <f>SUM(H11:L11)*M$4</f>
        <v>4.6217087280701756</v>
      </c>
      <c r="N11" s="208">
        <f>SUM(H11:M11)</f>
        <v>97.055883289473684</v>
      </c>
      <c r="O11" s="190"/>
      <c r="P11" s="21"/>
      <c r="Q11" s="4">
        <v>0.2</v>
      </c>
      <c r="R11" s="98" t="s">
        <v>191</v>
      </c>
      <c r="S11" s="142"/>
      <c r="T11" s="141"/>
      <c r="U11" s="142"/>
    </row>
    <row r="12" spans="1:52" ht="15" customHeight="1" x14ac:dyDescent="0.25">
      <c r="A12" s="147">
        <v>4</v>
      </c>
      <c r="B12" s="201">
        <v>1</v>
      </c>
      <c r="C12" s="155">
        <v>0.15</v>
      </c>
      <c r="D12" s="202">
        <f t="shared" si="2"/>
        <v>1.76715E-2</v>
      </c>
      <c r="E12" s="203">
        <f t="shared" si="3"/>
        <v>15.904349999999999</v>
      </c>
      <c r="F12" s="204">
        <f t="shared" si="4"/>
        <v>40</v>
      </c>
      <c r="G12" s="204">
        <f t="shared" si="5"/>
        <v>48</v>
      </c>
      <c r="H12" s="205">
        <f t="shared" si="6"/>
        <v>103.90434999999999</v>
      </c>
      <c r="I12" s="203">
        <f t="shared" si="7"/>
        <v>3.6</v>
      </c>
      <c r="J12" s="206"/>
      <c r="K12" s="207">
        <f t="shared" si="8"/>
        <v>5.2631578947368425</v>
      </c>
      <c r="L12" s="207">
        <f t="shared" si="8"/>
        <v>1.6666666666666667</v>
      </c>
      <c r="M12" s="207">
        <f>SUM(H12:L12)*M$4</f>
        <v>5.7217087280701762</v>
      </c>
      <c r="N12" s="208">
        <f>SUM(H12:M12)</f>
        <v>120.15588328947368</v>
      </c>
      <c r="O12" s="190"/>
      <c r="P12" s="21"/>
      <c r="Q12" s="21">
        <v>60</v>
      </c>
      <c r="R12" s="152" t="s">
        <v>195</v>
      </c>
      <c r="S12" s="142"/>
      <c r="T12" s="141"/>
      <c r="U12" s="142"/>
    </row>
    <row r="13" spans="1:52" ht="15" customHeight="1" x14ac:dyDescent="0.25">
      <c r="A13" s="147">
        <v>5</v>
      </c>
      <c r="B13" s="201">
        <v>1</v>
      </c>
      <c r="C13" s="155">
        <v>0.15</v>
      </c>
      <c r="D13" s="202">
        <f t="shared" si="2"/>
        <v>1.76715E-2</v>
      </c>
      <c r="E13" s="203">
        <f t="shared" si="3"/>
        <v>15.904349999999999</v>
      </c>
      <c r="F13" s="204">
        <f t="shared" si="4"/>
        <v>50</v>
      </c>
      <c r="G13" s="204">
        <f t="shared" si="5"/>
        <v>60</v>
      </c>
      <c r="H13" s="205">
        <f t="shared" si="6"/>
        <v>125.90434999999999</v>
      </c>
      <c r="I13" s="203">
        <f t="shared" si="7"/>
        <v>3.6</v>
      </c>
      <c r="J13" s="206"/>
      <c r="K13" s="207">
        <f t="shared" si="8"/>
        <v>5.2631578947368425</v>
      </c>
      <c r="L13" s="207">
        <f t="shared" si="8"/>
        <v>1.6666666666666667</v>
      </c>
      <c r="M13" s="207">
        <f>SUM(H13:L13)*M$4</f>
        <v>6.8217087280701749</v>
      </c>
      <c r="N13" s="208">
        <f>SUM(H13:M13)</f>
        <v>143.25588328947367</v>
      </c>
      <c r="O13" s="190"/>
      <c r="P13" s="21"/>
      <c r="Q13" s="21">
        <f>Q11*Q12</f>
        <v>12</v>
      </c>
      <c r="R13" s="152" t="s">
        <v>196</v>
      </c>
      <c r="S13" s="142"/>
      <c r="T13" s="143"/>
      <c r="U13" s="142"/>
    </row>
    <row r="14" spans="1:52" ht="15" customHeight="1" x14ac:dyDescent="0.25">
      <c r="A14" s="147">
        <v>6</v>
      </c>
      <c r="B14" s="201">
        <v>1</v>
      </c>
      <c r="C14" s="155">
        <v>0.2</v>
      </c>
      <c r="D14" s="202">
        <f t="shared" si="2"/>
        <v>3.1415999999999999E-2</v>
      </c>
      <c r="E14" s="203">
        <f t="shared" si="3"/>
        <v>28.2744</v>
      </c>
      <c r="F14" s="204">
        <f t="shared" si="4"/>
        <v>60</v>
      </c>
      <c r="G14" s="204">
        <f t="shared" si="5"/>
        <v>72</v>
      </c>
      <c r="H14" s="205">
        <f t="shared" si="6"/>
        <v>160.27440000000001</v>
      </c>
      <c r="I14" s="203">
        <f t="shared" si="7"/>
        <v>3.6</v>
      </c>
      <c r="J14" s="206"/>
      <c r="K14" s="207">
        <f t="shared" si="8"/>
        <v>5.2631578947368425</v>
      </c>
      <c r="L14" s="207">
        <f t="shared" si="8"/>
        <v>1.6666666666666667</v>
      </c>
      <c r="M14" s="207">
        <f t="shared" ref="M14:M44" si="9">SUM(H14:L14)*M$4</f>
        <v>8.5402112280701754</v>
      </c>
      <c r="N14" s="208">
        <f t="shared" ref="N14:N44" si="10">SUM(H14:M14)</f>
        <v>179.34443578947369</v>
      </c>
      <c r="O14" s="190"/>
      <c r="P14" s="21"/>
      <c r="Q14" s="21">
        <f>Q10-Q13</f>
        <v>15</v>
      </c>
      <c r="R14" s="152" t="s">
        <v>197</v>
      </c>
      <c r="S14" s="1"/>
      <c r="T14" s="21"/>
    </row>
    <row r="15" spans="1:52" ht="15" customHeight="1" x14ac:dyDescent="0.25">
      <c r="A15" s="147">
        <v>7</v>
      </c>
      <c r="B15" s="201">
        <v>1</v>
      </c>
      <c r="C15" s="155">
        <v>0.2</v>
      </c>
      <c r="D15" s="202">
        <f t="shared" si="2"/>
        <v>3.1415999999999999E-2</v>
      </c>
      <c r="E15" s="203">
        <f t="shared" si="3"/>
        <v>28.2744</v>
      </c>
      <c r="F15" s="204">
        <f t="shared" si="4"/>
        <v>70</v>
      </c>
      <c r="G15" s="204">
        <f t="shared" si="5"/>
        <v>84</v>
      </c>
      <c r="H15" s="205">
        <f t="shared" si="6"/>
        <v>182.27440000000001</v>
      </c>
      <c r="I15" s="203">
        <f t="shared" si="7"/>
        <v>3.6</v>
      </c>
      <c r="J15" s="206"/>
      <c r="K15" s="207">
        <f t="shared" si="8"/>
        <v>5.2631578947368425</v>
      </c>
      <c r="L15" s="207">
        <f t="shared" si="8"/>
        <v>1.6666666666666667</v>
      </c>
      <c r="M15" s="207">
        <f t="shared" si="9"/>
        <v>9.6402112280701768</v>
      </c>
      <c r="N15" s="208">
        <f t="shared" si="10"/>
        <v>202.44443578947369</v>
      </c>
      <c r="O15" s="190"/>
      <c r="P15" s="21"/>
    </row>
    <row r="16" spans="1:52" ht="15" customHeight="1" x14ac:dyDescent="0.4">
      <c r="A16" s="147">
        <v>8</v>
      </c>
      <c r="B16" s="201">
        <v>1</v>
      </c>
      <c r="C16" s="155">
        <v>0.2</v>
      </c>
      <c r="D16" s="202">
        <f t="shared" si="2"/>
        <v>3.1415999999999999E-2</v>
      </c>
      <c r="E16" s="203">
        <f t="shared" si="3"/>
        <v>28.2744</v>
      </c>
      <c r="F16" s="204">
        <f t="shared" si="4"/>
        <v>80</v>
      </c>
      <c r="G16" s="204">
        <f t="shared" si="5"/>
        <v>96</v>
      </c>
      <c r="H16" s="205">
        <f t="shared" si="6"/>
        <v>204.27440000000001</v>
      </c>
      <c r="I16" s="203">
        <f t="shared" si="7"/>
        <v>3.6</v>
      </c>
      <c r="J16" s="206"/>
      <c r="K16" s="207">
        <f t="shared" si="8"/>
        <v>5.2631578947368425</v>
      </c>
      <c r="L16" s="207">
        <f t="shared" si="8"/>
        <v>1.6666666666666667</v>
      </c>
      <c r="M16" s="207">
        <f t="shared" si="9"/>
        <v>10.740211228070176</v>
      </c>
      <c r="N16" s="208">
        <f t="shared" si="10"/>
        <v>225.54443578947368</v>
      </c>
      <c r="O16" s="190"/>
      <c r="P16" s="21"/>
      <c r="S16" s="170" t="s">
        <v>198</v>
      </c>
      <c r="T16" s="170" t="s">
        <v>261</v>
      </c>
      <c r="U16" s="170" t="s">
        <v>262</v>
      </c>
    </row>
    <row r="17" spans="1:21" ht="15" customHeight="1" x14ac:dyDescent="0.25">
      <c r="A17" s="147">
        <v>9</v>
      </c>
      <c r="B17" s="201">
        <v>1</v>
      </c>
      <c r="C17" s="155">
        <v>0.22</v>
      </c>
      <c r="D17" s="202">
        <f t="shared" si="2"/>
        <v>3.8013360000000003E-2</v>
      </c>
      <c r="E17" s="203">
        <f t="shared" si="3"/>
        <v>34.212024</v>
      </c>
      <c r="F17" s="204">
        <f t="shared" si="4"/>
        <v>90</v>
      </c>
      <c r="G17" s="204">
        <f t="shared" si="5"/>
        <v>108</v>
      </c>
      <c r="H17" s="205">
        <f t="shared" si="6"/>
        <v>232.21202399999999</v>
      </c>
      <c r="I17" s="203">
        <f t="shared" si="7"/>
        <v>3.6</v>
      </c>
      <c r="J17" s="206"/>
      <c r="K17" s="207">
        <f t="shared" si="8"/>
        <v>5.2631578947368425</v>
      </c>
      <c r="L17" s="207">
        <f t="shared" si="8"/>
        <v>1.6666666666666667</v>
      </c>
      <c r="M17" s="207">
        <f t="shared" si="9"/>
        <v>12.137092428070176</v>
      </c>
      <c r="N17" s="208">
        <f t="shared" si="10"/>
        <v>254.87894098947368</v>
      </c>
      <c r="O17" s="190"/>
      <c r="P17" s="21"/>
      <c r="Q17" s="291" t="s">
        <v>263</v>
      </c>
      <c r="R17" s="291"/>
      <c r="S17" s="4"/>
      <c r="T17" s="7"/>
    </row>
    <row r="18" spans="1:21" ht="15" customHeight="1" x14ac:dyDescent="0.25">
      <c r="A18" s="147">
        <v>10</v>
      </c>
      <c r="B18" s="201">
        <v>1</v>
      </c>
      <c r="C18" s="155">
        <v>0.22</v>
      </c>
      <c r="D18" s="209">
        <f t="shared" si="2"/>
        <v>3.8013360000000003E-2</v>
      </c>
      <c r="E18" s="203">
        <f t="shared" si="3"/>
        <v>34.212024</v>
      </c>
      <c r="F18" s="204">
        <f t="shared" si="4"/>
        <v>100</v>
      </c>
      <c r="G18" s="204">
        <f t="shared" si="5"/>
        <v>120</v>
      </c>
      <c r="H18" s="205">
        <f t="shared" si="6"/>
        <v>254.21202399999999</v>
      </c>
      <c r="I18" s="203">
        <f t="shared" si="7"/>
        <v>3.6</v>
      </c>
      <c r="J18" s="206"/>
      <c r="K18" s="207">
        <f t="shared" si="8"/>
        <v>5.2631578947368425</v>
      </c>
      <c r="L18" s="207">
        <f t="shared" si="8"/>
        <v>1.6666666666666667</v>
      </c>
      <c r="M18" s="207">
        <f t="shared" si="9"/>
        <v>13.237092428070177</v>
      </c>
      <c r="N18" s="208">
        <f t="shared" si="10"/>
        <v>277.9789409894737</v>
      </c>
      <c r="O18" s="190"/>
      <c r="P18" s="21"/>
      <c r="Q18" s="291"/>
      <c r="R18" s="291"/>
      <c r="S18" s="235">
        <f>3*1*1.5</f>
        <v>4.5</v>
      </c>
      <c r="T18" s="245">
        <v>40</v>
      </c>
      <c r="U18" s="245">
        <f>S18*T18</f>
        <v>180</v>
      </c>
    </row>
    <row r="19" spans="1:21" ht="15" customHeight="1" x14ac:dyDescent="0.25">
      <c r="A19" s="147">
        <v>11</v>
      </c>
      <c r="B19" s="201">
        <v>1</v>
      </c>
      <c r="C19" s="155">
        <v>0.22</v>
      </c>
      <c r="D19" s="209">
        <f t="shared" si="2"/>
        <v>3.8013360000000003E-2</v>
      </c>
      <c r="E19" s="203">
        <f t="shared" si="3"/>
        <v>34.212024</v>
      </c>
      <c r="F19" s="204">
        <f t="shared" si="4"/>
        <v>110</v>
      </c>
      <c r="G19" s="204">
        <f t="shared" si="5"/>
        <v>132</v>
      </c>
      <c r="H19" s="205">
        <f t="shared" si="6"/>
        <v>276.21202399999999</v>
      </c>
      <c r="I19" s="203">
        <f t="shared" si="7"/>
        <v>3.6</v>
      </c>
      <c r="J19" s="206"/>
      <c r="K19" s="207">
        <f t="shared" si="8"/>
        <v>5.2631578947368425</v>
      </c>
      <c r="L19" s="207">
        <f t="shared" si="8"/>
        <v>1.6666666666666667</v>
      </c>
      <c r="M19" s="207">
        <f t="shared" si="9"/>
        <v>14.337092428070177</v>
      </c>
      <c r="N19" s="208">
        <f t="shared" si="10"/>
        <v>301.07894098947367</v>
      </c>
      <c r="O19" s="190"/>
      <c r="P19" s="21"/>
      <c r="Q19" s="290" t="s">
        <v>264</v>
      </c>
      <c r="R19" s="290"/>
      <c r="S19" s="4"/>
      <c r="T19" s="7"/>
      <c r="U19" s="234"/>
    </row>
    <row r="20" spans="1:21" ht="15" customHeight="1" x14ac:dyDescent="0.25">
      <c r="A20" s="147">
        <v>12</v>
      </c>
      <c r="B20" s="201">
        <v>1</v>
      </c>
      <c r="C20" s="155">
        <v>0.22</v>
      </c>
      <c r="D20" s="209">
        <f t="shared" si="2"/>
        <v>3.8013360000000003E-2</v>
      </c>
      <c r="E20" s="203">
        <f t="shared" si="3"/>
        <v>34.212024</v>
      </c>
      <c r="F20" s="204">
        <f t="shared" si="4"/>
        <v>120</v>
      </c>
      <c r="G20" s="204">
        <f t="shared" si="5"/>
        <v>144</v>
      </c>
      <c r="H20" s="205">
        <f t="shared" si="6"/>
        <v>298.21202399999999</v>
      </c>
      <c r="I20" s="203">
        <f t="shared" si="7"/>
        <v>3.6</v>
      </c>
      <c r="J20" s="206"/>
      <c r="K20" s="207">
        <f t="shared" si="8"/>
        <v>5.2631578947368425</v>
      </c>
      <c r="L20" s="207">
        <f t="shared" si="8"/>
        <v>1.6666666666666667</v>
      </c>
      <c r="M20" s="207">
        <f t="shared" si="9"/>
        <v>15.437092428070176</v>
      </c>
      <c r="N20" s="208">
        <f t="shared" si="10"/>
        <v>324.17894098947369</v>
      </c>
      <c r="O20" s="190"/>
      <c r="P20" s="21"/>
      <c r="Q20" s="290"/>
      <c r="R20" s="290"/>
      <c r="S20" s="246">
        <f>3*1*1.5</f>
        <v>4.5</v>
      </c>
      <c r="T20" s="248">
        <v>20</v>
      </c>
      <c r="U20" s="247">
        <f>S20*T20</f>
        <v>90</v>
      </c>
    </row>
    <row r="21" spans="1:21" ht="15" customHeight="1" x14ac:dyDescent="0.25">
      <c r="A21" s="147">
        <v>13</v>
      </c>
      <c r="B21" s="201">
        <v>1</v>
      </c>
      <c r="C21" s="155">
        <v>0.25</v>
      </c>
      <c r="D21" s="209">
        <f t="shared" si="2"/>
        <v>4.9087499999999999E-2</v>
      </c>
      <c r="E21" s="203">
        <f t="shared" si="3"/>
        <v>44.178750000000001</v>
      </c>
      <c r="F21" s="204">
        <f t="shared" si="4"/>
        <v>130</v>
      </c>
      <c r="G21" s="204">
        <f t="shared" si="5"/>
        <v>156</v>
      </c>
      <c r="H21" s="205">
        <f t="shared" si="6"/>
        <v>330.17875000000004</v>
      </c>
      <c r="I21" s="203">
        <f t="shared" si="7"/>
        <v>3.6</v>
      </c>
      <c r="J21" s="206"/>
      <c r="K21" s="207">
        <f t="shared" si="8"/>
        <v>5.2631578947368425</v>
      </c>
      <c r="L21" s="207">
        <f t="shared" si="8"/>
        <v>1.6666666666666667</v>
      </c>
      <c r="M21" s="207">
        <f t="shared" si="9"/>
        <v>17.03542872807018</v>
      </c>
      <c r="N21" s="208">
        <f t="shared" si="10"/>
        <v>357.74400328947377</v>
      </c>
      <c r="O21" s="190"/>
      <c r="P21" s="21"/>
      <c r="Q21" s="291" t="s">
        <v>265</v>
      </c>
      <c r="R21" s="291"/>
      <c r="S21" s="4"/>
      <c r="T21" s="7"/>
      <c r="U21" s="234"/>
    </row>
    <row r="22" spans="1:21" ht="15" customHeight="1" x14ac:dyDescent="0.25">
      <c r="A22" s="147">
        <v>14</v>
      </c>
      <c r="B22" s="201">
        <v>1</v>
      </c>
      <c r="C22" s="155">
        <v>0.25</v>
      </c>
      <c r="D22" s="209">
        <f t="shared" si="2"/>
        <v>4.9087499999999999E-2</v>
      </c>
      <c r="E22" s="203">
        <f t="shared" si="3"/>
        <v>44.178750000000001</v>
      </c>
      <c r="F22" s="204">
        <f t="shared" si="4"/>
        <v>140</v>
      </c>
      <c r="G22" s="204">
        <f t="shared" si="5"/>
        <v>168</v>
      </c>
      <c r="H22" s="205">
        <f t="shared" si="6"/>
        <v>352.17875000000004</v>
      </c>
      <c r="I22" s="203">
        <f t="shared" si="7"/>
        <v>3.6</v>
      </c>
      <c r="J22" s="206"/>
      <c r="K22" s="207">
        <f t="shared" si="8"/>
        <v>5.2631578947368425</v>
      </c>
      <c r="L22" s="207">
        <f t="shared" si="8"/>
        <v>1.6666666666666667</v>
      </c>
      <c r="M22" s="207">
        <f t="shared" si="9"/>
        <v>18.135428728070178</v>
      </c>
      <c r="N22" s="208">
        <f t="shared" si="10"/>
        <v>380.84400328947373</v>
      </c>
      <c r="O22" s="190"/>
      <c r="P22" s="21"/>
      <c r="Q22" s="291"/>
      <c r="R22" s="291"/>
      <c r="S22" s="235">
        <f>3*1</f>
        <v>3</v>
      </c>
      <c r="T22" s="249">
        <v>5</v>
      </c>
      <c r="U22" s="245">
        <f>S22*T22</f>
        <v>15</v>
      </c>
    </row>
    <row r="23" spans="1:21" ht="15" customHeight="1" x14ac:dyDescent="0.25">
      <c r="A23" s="147">
        <v>15</v>
      </c>
      <c r="B23" s="201">
        <v>1</v>
      </c>
      <c r="C23" s="155">
        <v>0.25</v>
      </c>
      <c r="D23" s="209">
        <f t="shared" ref="D23:D44" si="11">3.1416*(C23/2)*(C23/2)</f>
        <v>4.9087499999999999E-2</v>
      </c>
      <c r="E23" s="203">
        <f t="shared" si="3"/>
        <v>44.178750000000001</v>
      </c>
      <c r="F23" s="204">
        <f t="shared" ref="F23:F44" si="12">F$4*A23</f>
        <v>150</v>
      </c>
      <c r="G23" s="204">
        <f t="shared" ref="G23:G44" si="13">G$4*A23</f>
        <v>180</v>
      </c>
      <c r="H23" s="205">
        <f t="shared" ref="H23:H44" si="14">SUM(E23:G23)</f>
        <v>374.17875000000004</v>
      </c>
      <c r="I23" s="203">
        <f t="shared" si="7"/>
        <v>3.6</v>
      </c>
      <c r="J23" s="206"/>
      <c r="K23" s="207">
        <f t="shared" si="8"/>
        <v>5.2631578947368425</v>
      </c>
      <c r="L23" s="207">
        <f t="shared" si="8"/>
        <v>1.6666666666666667</v>
      </c>
      <c r="M23" s="207">
        <f t="shared" si="9"/>
        <v>19.235428728070179</v>
      </c>
      <c r="N23" s="208">
        <f t="shared" si="10"/>
        <v>403.94400328947376</v>
      </c>
      <c r="O23" s="190"/>
      <c r="P23" s="21"/>
      <c r="Q23" s="223"/>
      <c r="R23" s="223"/>
      <c r="S23" s="223"/>
      <c r="T23" s="223"/>
      <c r="U23" s="250"/>
    </row>
    <row r="24" spans="1:21" ht="15" customHeight="1" x14ac:dyDescent="0.25">
      <c r="A24" s="147">
        <v>16</v>
      </c>
      <c r="B24" s="201">
        <v>1</v>
      </c>
      <c r="C24" s="155">
        <v>0.25</v>
      </c>
      <c r="D24" s="209">
        <f t="shared" si="11"/>
        <v>4.9087499999999999E-2</v>
      </c>
      <c r="E24" s="203">
        <f t="shared" si="3"/>
        <v>44.178750000000001</v>
      </c>
      <c r="F24" s="204">
        <f t="shared" si="12"/>
        <v>160</v>
      </c>
      <c r="G24" s="204">
        <f t="shared" si="13"/>
        <v>192</v>
      </c>
      <c r="H24" s="205">
        <f t="shared" si="14"/>
        <v>396.17875000000004</v>
      </c>
      <c r="I24" s="203">
        <f t="shared" si="7"/>
        <v>3.6</v>
      </c>
      <c r="J24" s="206"/>
      <c r="K24" s="207">
        <f t="shared" si="8"/>
        <v>5.2631578947368425</v>
      </c>
      <c r="L24" s="207">
        <f t="shared" si="8"/>
        <v>1.6666666666666667</v>
      </c>
      <c r="M24" s="207">
        <f t="shared" si="9"/>
        <v>20.33542872807018</v>
      </c>
      <c r="N24" s="208">
        <f t="shared" si="10"/>
        <v>427.04400328947372</v>
      </c>
      <c r="O24" s="190"/>
      <c r="P24" s="21"/>
      <c r="Q24" s="223"/>
      <c r="R24" s="223"/>
      <c r="S24" s="223"/>
      <c r="T24" s="223"/>
      <c r="U24" s="245">
        <f>SUM(U18:U23)</f>
        <v>285</v>
      </c>
    </row>
    <row r="25" spans="1:21" ht="15" customHeight="1" x14ac:dyDescent="0.25">
      <c r="A25" s="147">
        <v>17</v>
      </c>
      <c r="B25" s="201">
        <v>1</v>
      </c>
      <c r="C25" s="155">
        <v>0.3</v>
      </c>
      <c r="D25" s="209">
        <f t="shared" si="11"/>
        <v>7.0685999999999999E-2</v>
      </c>
      <c r="E25" s="203">
        <f t="shared" si="3"/>
        <v>63.617399999999996</v>
      </c>
      <c r="F25" s="204">
        <f t="shared" si="12"/>
        <v>170</v>
      </c>
      <c r="G25" s="204">
        <f t="shared" si="13"/>
        <v>204</v>
      </c>
      <c r="H25" s="205">
        <f t="shared" si="14"/>
        <v>437.61739999999998</v>
      </c>
      <c r="I25" s="203">
        <f t="shared" si="7"/>
        <v>3.6</v>
      </c>
      <c r="J25" s="206"/>
      <c r="K25" s="207">
        <f t="shared" si="8"/>
        <v>5.2631578947368425</v>
      </c>
      <c r="L25" s="207">
        <f t="shared" si="8"/>
        <v>1.6666666666666667</v>
      </c>
      <c r="M25" s="207">
        <f t="shared" si="9"/>
        <v>22.407361228070176</v>
      </c>
      <c r="N25" s="208">
        <f t="shared" si="10"/>
        <v>470.55458578947366</v>
      </c>
      <c r="O25" s="190"/>
      <c r="P25" s="21"/>
      <c r="Q25" s="223"/>
      <c r="R25" s="223"/>
      <c r="S25" s="223"/>
      <c r="T25" s="223"/>
      <c r="U25" s="223"/>
    </row>
    <row r="26" spans="1:21" ht="15" customHeight="1" x14ac:dyDescent="0.25">
      <c r="A26" s="147">
        <v>18</v>
      </c>
      <c r="B26" s="201">
        <v>1</v>
      </c>
      <c r="C26" s="155">
        <f t="shared" ref="C26:C44" si="15">C25</f>
        <v>0.3</v>
      </c>
      <c r="D26" s="209">
        <f t="shared" si="11"/>
        <v>7.0685999999999999E-2</v>
      </c>
      <c r="E26" s="203">
        <f t="shared" si="3"/>
        <v>63.617399999999996</v>
      </c>
      <c r="F26" s="204">
        <f t="shared" si="12"/>
        <v>180</v>
      </c>
      <c r="G26" s="204">
        <f t="shared" si="13"/>
        <v>216</v>
      </c>
      <c r="H26" s="205">
        <f t="shared" si="14"/>
        <v>459.61739999999998</v>
      </c>
      <c r="I26" s="203">
        <f t="shared" si="7"/>
        <v>3.6</v>
      </c>
      <c r="J26" s="206"/>
      <c r="K26" s="207">
        <f t="shared" si="8"/>
        <v>5.2631578947368425</v>
      </c>
      <c r="L26" s="207">
        <f t="shared" si="8"/>
        <v>1.6666666666666667</v>
      </c>
      <c r="M26" s="207">
        <f t="shared" si="9"/>
        <v>23.507361228070177</v>
      </c>
      <c r="N26" s="208">
        <f t="shared" si="10"/>
        <v>493.65458578947369</v>
      </c>
      <c r="O26" s="190"/>
      <c r="P26" s="21"/>
    </row>
    <row r="27" spans="1:21" ht="15" customHeight="1" x14ac:dyDescent="0.25">
      <c r="A27" s="147">
        <v>19</v>
      </c>
      <c r="B27" s="201">
        <v>1</v>
      </c>
      <c r="C27" s="155">
        <f t="shared" si="15"/>
        <v>0.3</v>
      </c>
      <c r="D27" s="209">
        <f t="shared" si="11"/>
        <v>7.0685999999999999E-2</v>
      </c>
      <c r="E27" s="203">
        <f t="shared" si="3"/>
        <v>63.617399999999996</v>
      </c>
      <c r="F27" s="204">
        <f t="shared" si="12"/>
        <v>190</v>
      </c>
      <c r="G27" s="204">
        <f t="shared" si="13"/>
        <v>228</v>
      </c>
      <c r="H27" s="205">
        <f t="shared" si="14"/>
        <v>481.61739999999998</v>
      </c>
      <c r="I27" s="203">
        <f t="shared" si="7"/>
        <v>3.6</v>
      </c>
      <c r="J27" s="206"/>
      <c r="K27" s="207">
        <f t="shared" si="8"/>
        <v>5.2631578947368425</v>
      </c>
      <c r="L27" s="207">
        <f t="shared" si="8"/>
        <v>1.6666666666666667</v>
      </c>
      <c r="M27" s="207">
        <f t="shared" si="9"/>
        <v>24.607361228070175</v>
      </c>
      <c r="N27" s="208">
        <f t="shared" si="10"/>
        <v>516.75458578947371</v>
      </c>
      <c r="O27" s="190"/>
      <c r="P27" s="21"/>
    </row>
    <row r="28" spans="1:21" ht="15" customHeight="1" x14ac:dyDescent="0.25">
      <c r="A28" s="147">
        <v>20</v>
      </c>
      <c r="B28" s="201">
        <v>1</v>
      </c>
      <c r="C28" s="155">
        <f t="shared" si="15"/>
        <v>0.3</v>
      </c>
      <c r="D28" s="209">
        <f t="shared" si="11"/>
        <v>7.0685999999999999E-2</v>
      </c>
      <c r="E28" s="203">
        <f t="shared" si="3"/>
        <v>63.617399999999996</v>
      </c>
      <c r="F28" s="204">
        <f t="shared" si="12"/>
        <v>200</v>
      </c>
      <c r="G28" s="204">
        <f t="shared" si="13"/>
        <v>240</v>
      </c>
      <c r="H28" s="205">
        <f t="shared" si="14"/>
        <v>503.61739999999998</v>
      </c>
      <c r="I28" s="203">
        <f t="shared" si="7"/>
        <v>3.6</v>
      </c>
      <c r="J28" s="206"/>
      <c r="K28" s="207">
        <f t="shared" si="8"/>
        <v>5.2631578947368425</v>
      </c>
      <c r="L28" s="207">
        <f t="shared" si="8"/>
        <v>1.6666666666666667</v>
      </c>
      <c r="M28" s="207">
        <f t="shared" si="9"/>
        <v>25.707361228070177</v>
      </c>
      <c r="N28" s="208">
        <f t="shared" si="10"/>
        <v>539.85458578947373</v>
      </c>
      <c r="O28" s="190"/>
      <c r="P28" s="21"/>
    </row>
    <row r="29" spans="1:21" ht="15" customHeight="1" x14ac:dyDescent="0.25">
      <c r="A29" s="147">
        <v>21</v>
      </c>
      <c r="B29" s="201">
        <v>1</v>
      </c>
      <c r="C29" s="155">
        <f t="shared" si="15"/>
        <v>0.3</v>
      </c>
      <c r="D29" s="209">
        <f t="shared" si="11"/>
        <v>7.0685999999999999E-2</v>
      </c>
      <c r="E29" s="203">
        <f t="shared" si="3"/>
        <v>63.617399999999996</v>
      </c>
      <c r="F29" s="204">
        <f t="shared" si="12"/>
        <v>210</v>
      </c>
      <c r="G29" s="204">
        <f t="shared" si="13"/>
        <v>252</v>
      </c>
      <c r="H29" s="205">
        <f t="shared" si="14"/>
        <v>525.61739999999998</v>
      </c>
      <c r="I29" s="203">
        <f t="shared" si="7"/>
        <v>3.6</v>
      </c>
      <c r="J29" s="206"/>
      <c r="K29" s="207">
        <f t="shared" si="8"/>
        <v>5.2631578947368425</v>
      </c>
      <c r="L29" s="207">
        <f t="shared" si="8"/>
        <v>1.6666666666666667</v>
      </c>
      <c r="M29" s="207">
        <f t="shared" si="9"/>
        <v>26.807361228070178</v>
      </c>
      <c r="N29" s="208">
        <f t="shared" si="10"/>
        <v>562.95458578947364</v>
      </c>
      <c r="O29" s="190"/>
      <c r="P29" s="21"/>
    </row>
    <row r="30" spans="1:21" ht="15" customHeight="1" x14ac:dyDescent="0.25">
      <c r="A30" s="147">
        <v>22</v>
      </c>
      <c r="B30" s="201">
        <v>1</v>
      </c>
      <c r="C30" s="155">
        <v>0.33</v>
      </c>
      <c r="D30" s="209">
        <f t="shared" si="11"/>
        <v>8.5530060000000005E-2</v>
      </c>
      <c r="E30" s="203">
        <f t="shared" si="3"/>
        <v>76.97705400000001</v>
      </c>
      <c r="F30" s="204">
        <f t="shared" si="12"/>
        <v>220</v>
      </c>
      <c r="G30" s="204">
        <f t="shared" si="13"/>
        <v>264</v>
      </c>
      <c r="H30" s="205">
        <f t="shared" si="14"/>
        <v>560.97705399999995</v>
      </c>
      <c r="I30" s="203">
        <f t="shared" si="7"/>
        <v>3.6</v>
      </c>
      <c r="J30" s="206"/>
      <c r="K30" s="207">
        <f t="shared" si="8"/>
        <v>5.2631578947368425</v>
      </c>
      <c r="L30" s="207">
        <f t="shared" si="8"/>
        <v>1.6666666666666667</v>
      </c>
      <c r="M30" s="207">
        <f t="shared" si="9"/>
        <v>28.575343928070176</v>
      </c>
      <c r="N30" s="208">
        <f t="shared" si="10"/>
        <v>600.08222248947368</v>
      </c>
      <c r="O30" s="190"/>
      <c r="P30" s="21"/>
    </row>
    <row r="31" spans="1:21" ht="15" customHeight="1" x14ac:dyDescent="0.25">
      <c r="A31" s="147">
        <v>23</v>
      </c>
      <c r="B31" s="201">
        <v>1</v>
      </c>
      <c r="C31" s="155">
        <f t="shared" si="15"/>
        <v>0.33</v>
      </c>
      <c r="D31" s="209">
        <f t="shared" si="11"/>
        <v>8.5530060000000005E-2</v>
      </c>
      <c r="E31" s="203">
        <f t="shared" si="3"/>
        <v>76.97705400000001</v>
      </c>
      <c r="F31" s="204">
        <f t="shared" si="12"/>
        <v>230</v>
      </c>
      <c r="G31" s="204">
        <f t="shared" si="13"/>
        <v>276</v>
      </c>
      <c r="H31" s="205">
        <f t="shared" si="14"/>
        <v>582.97705399999995</v>
      </c>
      <c r="I31" s="203">
        <f t="shared" si="7"/>
        <v>3.6</v>
      </c>
      <c r="J31" s="206"/>
      <c r="K31" s="207">
        <f t="shared" si="8"/>
        <v>5.2631578947368425</v>
      </c>
      <c r="L31" s="207">
        <f t="shared" si="8"/>
        <v>1.6666666666666667</v>
      </c>
      <c r="M31" s="207">
        <f t="shared" si="9"/>
        <v>29.675343928070177</v>
      </c>
      <c r="N31" s="208">
        <f t="shared" si="10"/>
        <v>623.1822224894737</v>
      </c>
      <c r="O31" s="190"/>
      <c r="P31" s="21"/>
    </row>
    <row r="32" spans="1:21" ht="15" customHeight="1" x14ac:dyDescent="0.25">
      <c r="A32" s="147">
        <v>24</v>
      </c>
      <c r="B32" s="201">
        <v>1</v>
      </c>
      <c r="C32" s="155">
        <f t="shared" si="15"/>
        <v>0.33</v>
      </c>
      <c r="D32" s="209">
        <f t="shared" si="11"/>
        <v>8.5530060000000005E-2</v>
      </c>
      <c r="E32" s="203">
        <f t="shared" si="3"/>
        <v>76.97705400000001</v>
      </c>
      <c r="F32" s="204">
        <f t="shared" si="12"/>
        <v>240</v>
      </c>
      <c r="G32" s="204">
        <f t="shared" si="13"/>
        <v>288</v>
      </c>
      <c r="H32" s="205">
        <f t="shared" si="14"/>
        <v>604.97705399999995</v>
      </c>
      <c r="I32" s="203">
        <f t="shared" si="7"/>
        <v>3.6</v>
      </c>
      <c r="J32" s="206"/>
      <c r="K32" s="207">
        <f t="shared" si="8"/>
        <v>5.2631578947368425</v>
      </c>
      <c r="L32" s="207">
        <f t="shared" si="8"/>
        <v>1.6666666666666667</v>
      </c>
      <c r="M32" s="207">
        <f t="shared" si="9"/>
        <v>30.775343928070175</v>
      </c>
      <c r="N32" s="208">
        <f t="shared" si="10"/>
        <v>646.28222248947361</v>
      </c>
      <c r="O32" s="190"/>
      <c r="P32" s="21"/>
    </row>
    <row r="33" spans="1:35" ht="15" customHeight="1" x14ac:dyDescent="0.25">
      <c r="A33" s="147">
        <v>25</v>
      </c>
      <c r="B33" s="201">
        <v>1</v>
      </c>
      <c r="C33" s="155">
        <f t="shared" si="15"/>
        <v>0.33</v>
      </c>
      <c r="D33" s="209">
        <f t="shared" si="11"/>
        <v>8.5530060000000005E-2</v>
      </c>
      <c r="E33" s="203">
        <f t="shared" si="3"/>
        <v>76.97705400000001</v>
      </c>
      <c r="F33" s="204">
        <f t="shared" si="12"/>
        <v>250</v>
      </c>
      <c r="G33" s="204">
        <f t="shared" si="13"/>
        <v>300</v>
      </c>
      <c r="H33" s="205">
        <f t="shared" si="14"/>
        <v>626.97705399999995</v>
      </c>
      <c r="I33" s="203">
        <f t="shared" si="7"/>
        <v>3.6</v>
      </c>
      <c r="J33" s="206"/>
      <c r="K33" s="207">
        <f t="shared" si="8"/>
        <v>5.2631578947368425</v>
      </c>
      <c r="L33" s="207">
        <f t="shared" si="8"/>
        <v>1.6666666666666667</v>
      </c>
      <c r="M33" s="207">
        <f t="shared" si="9"/>
        <v>31.875343928070176</v>
      </c>
      <c r="N33" s="208">
        <f t="shared" si="10"/>
        <v>669.38222248947363</v>
      </c>
      <c r="O33" s="190"/>
      <c r="P33" s="21"/>
    </row>
    <row r="34" spans="1:35" ht="15" customHeight="1" x14ac:dyDescent="0.25">
      <c r="A34" s="147">
        <v>26</v>
      </c>
      <c r="B34" s="201">
        <v>1</v>
      </c>
      <c r="C34" s="155">
        <f t="shared" si="15"/>
        <v>0.33</v>
      </c>
      <c r="D34" s="209">
        <f t="shared" si="11"/>
        <v>8.5530060000000005E-2</v>
      </c>
      <c r="E34" s="203">
        <f t="shared" si="3"/>
        <v>76.97705400000001</v>
      </c>
      <c r="F34" s="204">
        <f t="shared" si="12"/>
        <v>260</v>
      </c>
      <c r="G34" s="204">
        <f t="shared" si="13"/>
        <v>312</v>
      </c>
      <c r="H34" s="205">
        <f t="shared" si="14"/>
        <v>648.97705399999995</v>
      </c>
      <c r="I34" s="203">
        <f t="shared" si="7"/>
        <v>3.6</v>
      </c>
      <c r="J34" s="206"/>
      <c r="K34" s="207">
        <f t="shared" si="8"/>
        <v>5.2631578947368425</v>
      </c>
      <c r="L34" s="207">
        <f t="shared" si="8"/>
        <v>1.6666666666666667</v>
      </c>
      <c r="M34" s="207">
        <f t="shared" si="9"/>
        <v>32.975343928070174</v>
      </c>
      <c r="N34" s="208">
        <f t="shared" si="10"/>
        <v>692.48222248947366</v>
      </c>
      <c r="O34" s="190"/>
      <c r="P34" s="21"/>
      <c r="Q34" s="83"/>
      <c r="R34" s="175" t="s">
        <v>14</v>
      </c>
      <c r="S34" s="175"/>
      <c r="T34" s="80"/>
      <c r="U34" s="80"/>
      <c r="V34" s="80"/>
      <c r="W34" s="80"/>
      <c r="X34" s="80"/>
      <c r="Y34" s="80"/>
      <c r="Z34" s="80"/>
      <c r="AA34" s="80"/>
      <c r="AB34" s="80"/>
      <c r="AC34" s="84"/>
    </row>
    <row r="35" spans="1:35" ht="15" customHeight="1" x14ac:dyDescent="0.25">
      <c r="A35" s="147">
        <v>27</v>
      </c>
      <c r="B35" s="201">
        <v>1</v>
      </c>
      <c r="C35" s="155">
        <f t="shared" si="15"/>
        <v>0.33</v>
      </c>
      <c r="D35" s="209">
        <f t="shared" si="11"/>
        <v>8.5530060000000005E-2</v>
      </c>
      <c r="E35" s="203">
        <f t="shared" si="3"/>
        <v>76.97705400000001</v>
      </c>
      <c r="F35" s="204">
        <f t="shared" si="12"/>
        <v>270</v>
      </c>
      <c r="G35" s="204">
        <f t="shared" si="13"/>
        <v>324</v>
      </c>
      <c r="H35" s="205">
        <f t="shared" si="14"/>
        <v>670.97705399999995</v>
      </c>
      <c r="I35" s="203">
        <f t="shared" si="7"/>
        <v>3.6</v>
      </c>
      <c r="J35" s="206"/>
      <c r="K35" s="207">
        <f t="shared" si="8"/>
        <v>5.2631578947368425</v>
      </c>
      <c r="L35" s="207">
        <f t="shared" si="8"/>
        <v>1.6666666666666667</v>
      </c>
      <c r="M35" s="207">
        <f t="shared" si="9"/>
        <v>34.075343928070176</v>
      </c>
      <c r="N35" s="208">
        <f t="shared" si="10"/>
        <v>715.58222248947368</v>
      </c>
      <c r="O35" s="190"/>
      <c r="P35" s="21"/>
      <c r="Q35" s="85"/>
      <c r="S35" s="87" t="s">
        <v>216</v>
      </c>
      <c r="T35" s="87" t="s">
        <v>107</v>
      </c>
      <c r="U35" s="87" t="s">
        <v>107</v>
      </c>
      <c r="V35" s="87" t="s">
        <v>109</v>
      </c>
      <c r="W35" s="87" t="s">
        <v>110</v>
      </c>
      <c r="X35" s="87" t="s">
        <v>110</v>
      </c>
      <c r="Y35" s="87" t="s">
        <v>110</v>
      </c>
      <c r="Z35" s="87" t="s">
        <v>111</v>
      </c>
      <c r="AA35" s="87" t="s">
        <v>223</v>
      </c>
      <c r="AB35" s="87" t="s">
        <v>140</v>
      </c>
      <c r="AC35" s="88"/>
    </row>
    <row r="36" spans="1:35" ht="15" customHeight="1" x14ac:dyDescent="0.25">
      <c r="A36" s="147">
        <v>28</v>
      </c>
      <c r="B36" s="201">
        <v>1</v>
      </c>
      <c r="C36" s="155">
        <v>0.36</v>
      </c>
      <c r="D36" s="209">
        <f t="shared" si="11"/>
        <v>0.10178783999999999</v>
      </c>
      <c r="E36" s="203">
        <f t="shared" si="3"/>
        <v>91.609055999999995</v>
      </c>
      <c r="F36" s="204">
        <f t="shared" si="12"/>
        <v>280</v>
      </c>
      <c r="G36" s="204">
        <f t="shared" si="13"/>
        <v>336</v>
      </c>
      <c r="H36" s="205">
        <f t="shared" si="14"/>
        <v>707.60905600000001</v>
      </c>
      <c r="I36" s="203">
        <f t="shared" si="7"/>
        <v>3.6</v>
      </c>
      <c r="J36" s="206"/>
      <c r="K36" s="207">
        <f t="shared" si="8"/>
        <v>5.2631578947368425</v>
      </c>
      <c r="L36" s="207">
        <f t="shared" si="8"/>
        <v>1.6666666666666667</v>
      </c>
      <c r="M36" s="207">
        <f t="shared" si="9"/>
        <v>35.906944028070178</v>
      </c>
      <c r="N36" s="208">
        <f t="shared" si="10"/>
        <v>754.04582458947368</v>
      </c>
      <c r="O36" s="190"/>
      <c r="P36" s="21"/>
      <c r="Q36" s="85"/>
      <c r="R36" s="87" t="s">
        <v>214</v>
      </c>
      <c r="T36" s="176"/>
      <c r="U36" s="176"/>
      <c r="V36" s="176"/>
      <c r="W36" s="176"/>
      <c r="X36" s="176"/>
      <c r="Y36" s="176"/>
      <c r="Z36" s="176"/>
      <c r="AA36" s="176"/>
      <c r="AB36" s="176"/>
      <c r="AC36" s="192" t="str">
        <f>R36</f>
        <v>32mm dia</v>
      </c>
    </row>
    <row r="37" spans="1:35" ht="15" customHeight="1" x14ac:dyDescent="0.25">
      <c r="A37" s="147">
        <v>29</v>
      </c>
      <c r="B37" s="201">
        <v>1</v>
      </c>
      <c r="C37" s="155">
        <f t="shared" si="15"/>
        <v>0.36</v>
      </c>
      <c r="D37" s="209">
        <f t="shared" si="11"/>
        <v>0.10178783999999999</v>
      </c>
      <c r="E37" s="203">
        <f t="shared" si="3"/>
        <v>91.609055999999995</v>
      </c>
      <c r="F37" s="204">
        <f t="shared" si="12"/>
        <v>290</v>
      </c>
      <c r="G37" s="204">
        <f t="shared" si="13"/>
        <v>348</v>
      </c>
      <c r="H37" s="205">
        <f t="shared" si="14"/>
        <v>729.60905600000001</v>
      </c>
      <c r="I37" s="203">
        <f t="shared" si="7"/>
        <v>3.6</v>
      </c>
      <c r="J37" s="206"/>
      <c r="K37" s="207">
        <f t="shared" si="8"/>
        <v>5.2631578947368425</v>
      </c>
      <c r="L37" s="207">
        <f t="shared" si="8"/>
        <v>1.6666666666666667</v>
      </c>
      <c r="M37" s="207">
        <f t="shared" si="9"/>
        <v>37.00694402807018</v>
      </c>
      <c r="N37" s="208">
        <f t="shared" si="10"/>
        <v>777.1458245894737</v>
      </c>
      <c r="O37" s="190"/>
      <c r="P37" s="21"/>
      <c r="Q37" s="85"/>
      <c r="R37" s="89" t="s">
        <v>105</v>
      </c>
      <c r="S37" s="21">
        <f>22.5+10</f>
        <v>32.5</v>
      </c>
      <c r="T37" s="90">
        <v>30</v>
      </c>
      <c r="U37" s="90"/>
      <c r="V37" s="90">
        <v>40</v>
      </c>
      <c r="W37" s="90"/>
      <c r="X37" s="90"/>
      <c r="Y37" s="90"/>
      <c r="Z37" s="90">
        <v>35</v>
      </c>
      <c r="AA37" s="90">
        <v>45</v>
      </c>
      <c r="AB37" s="90">
        <f>AVERAGE(S37:AA37)</f>
        <v>36.5</v>
      </c>
      <c r="AC37" s="88" t="str">
        <f t="shared" ref="AC37:AC50" si="16">R37</f>
        <v>Soft</v>
      </c>
      <c r="AD37" s="195">
        <f>AB37/AB$37</f>
        <v>1</v>
      </c>
    </row>
    <row r="38" spans="1:35" ht="15" customHeight="1" x14ac:dyDescent="0.25">
      <c r="A38" s="147">
        <v>30</v>
      </c>
      <c r="B38" s="201">
        <v>1</v>
      </c>
      <c r="C38" s="155">
        <f t="shared" si="15"/>
        <v>0.36</v>
      </c>
      <c r="D38" s="209">
        <f t="shared" si="11"/>
        <v>0.10178783999999999</v>
      </c>
      <c r="E38" s="203">
        <f t="shared" si="3"/>
        <v>91.609055999999995</v>
      </c>
      <c r="F38" s="204">
        <f t="shared" si="12"/>
        <v>300</v>
      </c>
      <c r="G38" s="204">
        <f t="shared" si="13"/>
        <v>360</v>
      </c>
      <c r="H38" s="205">
        <f t="shared" si="14"/>
        <v>751.60905600000001</v>
      </c>
      <c r="I38" s="203">
        <f t="shared" si="7"/>
        <v>3.6</v>
      </c>
      <c r="J38" s="206"/>
      <c r="K38" s="207">
        <f t="shared" si="8"/>
        <v>5.2631578947368425</v>
      </c>
      <c r="L38" s="207">
        <f t="shared" si="8"/>
        <v>1.6666666666666667</v>
      </c>
      <c r="M38" s="207">
        <f t="shared" si="9"/>
        <v>38.106944028070181</v>
      </c>
      <c r="N38" s="208">
        <f t="shared" si="10"/>
        <v>800.24582458947373</v>
      </c>
      <c r="O38" s="190"/>
      <c r="P38" s="21"/>
      <c r="Q38" s="85"/>
      <c r="R38" s="89" t="s">
        <v>106</v>
      </c>
      <c r="S38" s="21">
        <f>S37</f>
        <v>32.5</v>
      </c>
      <c r="T38" s="90">
        <f>T37</f>
        <v>30</v>
      </c>
      <c r="U38" s="90"/>
      <c r="V38" s="90">
        <f>V37</f>
        <v>40</v>
      </c>
      <c r="W38" s="90"/>
      <c r="X38" s="90"/>
      <c r="Y38" s="90"/>
      <c r="Z38" s="90">
        <f>Z37</f>
        <v>35</v>
      </c>
      <c r="AA38" s="90">
        <v>50</v>
      </c>
      <c r="AB38" s="90">
        <f t="shared" ref="AB38:AB51" si="17">AVERAGE(S38:AA38)</f>
        <v>37.5</v>
      </c>
      <c r="AC38" s="88" t="str">
        <f t="shared" si="16"/>
        <v>Medium</v>
      </c>
      <c r="AD38" s="195">
        <f>AB38/AB$37</f>
        <v>1.0273972602739727</v>
      </c>
    </row>
    <row r="39" spans="1:35" ht="15" customHeight="1" x14ac:dyDescent="0.25">
      <c r="A39" s="147">
        <v>31</v>
      </c>
      <c r="B39" s="201">
        <v>1</v>
      </c>
      <c r="C39" s="155">
        <v>0.4</v>
      </c>
      <c r="D39" s="209">
        <f t="shared" si="11"/>
        <v>0.125664</v>
      </c>
      <c r="E39" s="203">
        <f t="shared" si="3"/>
        <v>113.0976</v>
      </c>
      <c r="F39" s="204">
        <f t="shared" si="12"/>
        <v>310</v>
      </c>
      <c r="G39" s="204">
        <f t="shared" si="13"/>
        <v>372</v>
      </c>
      <c r="H39" s="205">
        <f t="shared" si="14"/>
        <v>795.09760000000006</v>
      </c>
      <c r="I39" s="203">
        <f t="shared" si="7"/>
        <v>3.6</v>
      </c>
      <c r="J39" s="206"/>
      <c r="K39" s="207">
        <f t="shared" si="8"/>
        <v>5.2631578947368425</v>
      </c>
      <c r="L39" s="207">
        <f t="shared" si="8"/>
        <v>1.6666666666666667</v>
      </c>
      <c r="M39" s="207">
        <f t="shared" si="9"/>
        <v>40.281371228070185</v>
      </c>
      <c r="N39" s="208">
        <f t="shared" si="10"/>
        <v>845.90879578947374</v>
      </c>
      <c r="O39" s="190"/>
      <c r="P39" s="21"/>
      <c r="Q39" s="85"/>
      <c r="R39" s="89" t="s">
        <v>225</v>
      </c>
      <c r="S39" s="21">
        <f>37.5+10</f>
        <v>47.5</v>
      </c>
      <c r="T39" s="90">
        <f>T38+15</f>
        <v>45</v>
      </c>
      <c r="U39" s="90"/>
      <c r="V39" s="90">
        <f>V38+15</f>
        <v>55</v>
      </c>
      <c r="W39" s="90"/>
      <c r="X39" s="90"/>
      <c r="Y39" s="90"/>
      <c r="Z39" s="90">
        <f>Z38+15</f>
        <v>50</v>
      </c>
      <c r="AA39" s="90">
        <v>75</v>
      </c>
      <c r="AB39" s="90">
        <f t="shared" si="17"/>
        <v>54.5</v>
      </c>
      <c r="AC39" s="88" t="s">
        <v>104</v>
      </c>
      <c r="AD39" s="195">
        <f>AB39/AB$37</f>
        <v>1.4931506849315068</v>
      </c>
    </row>
    <row r="40" spans="1:35" ht="15" customHeight="1" x14ac:dyDescent="0.25">
      <c r="A40" s="147">
        <v>32</v>
      </c>
      <c r="B40" s="201">
        <v>1</v>
      </c>
      <c r="C40" s="155">
        <f t="shared" si="15"/>
        <v>0.4</v>
      </c>
      <c r="D40" s="209">
        <f t="shared" si="11"/>
        <v>0.125664</v>
      </c>
      <c r="E40" s="203">
        <f t="shared" si="3"/>
        <v>113.0976</v>
      </c>
      <c r="F40" s="204">
        <f t="shared" si="12"/>
        <v>320</v>
      </c>
      <c r="G40" s="204">
        <f t="shared" si="13"/>
        <v>384</v>
      </c>
      <c r="H40" s="205">
        <f t="shared" si="14"/>
        <v>817.09760000000006</v>
      </c>
      <c r="I40" s="203">
        <f t="shared" si="7"/>
        <v>3.6</v>
      </c>
      <c r="J40" s="206"/>
      <c r="K40" s="207">
        <f t="shared" si="8"/>
        <v>5.2631578947368425</v>
      </c>
      <c r="L40" s="207">
        <f t="shared" si="8"/>
        <v>1.6666666666666667</v>
      </c>
      <c r="M40" s="207">
        <f t="shared" si="9"/>
        <v>41.381371228070179</v>
      </c>
      <c r="N40" s="208">
        <f t="shared" si="10"/>
        <v>869.00879578947377</v>
      </c>
      <c r="O40" s="190"/>
      <c r="P40" s="21"/>
      <c r="Q40" s="85"/>
      <c r="R40" s="89" t="s">
        <v>220</v>
      </c>
      <c r="S40" s="21">
        <f>34-22.5</f>
        <v>11.5</v>
      </c>
      <c r="T40" s="90"/>
      <c r="U40" s="90"/>
      <c r="V40" s="90"/>
      <c r="W40" s="90"/>
      <c r="X40" s="90"/>
      <c r="Y40" s="90"/>
      <c r="Z40" s="90"/>
      <c r="AA40" s="90"/>
      <c r="AB40" s="200">
        <f>AVERAGE(S40:AA40)+AB37</f>
        <v>48</v>
      </c>
      <c r="AC40" s="88" t="s">
        <v>227</v>
      </c>
      <c r="AD40" s="195">
        <f>AB40/AB$37</f>
        <v>1.3150684931506849</v>
      </c>
    </row>
    <row r="41" spans="1:35" ht="15" customHeight="1" x14ac:dyDescent="0.25">
      <c r="A41" s="147">
        <v>33</v>
      </c>
      <c r="B41" s="201">
        <v>1</v>
      </c>
      <c r="C41" s="155">
        <f t="shared" si="15"/>
        <v>0.4</v>
      </c>
      <c r="D41" s="209">
        <f t="shared" si="11"/>
        <v>0.125664</v>
      </c>
      <c r="E41" s="203">
        <f t="shared" si="3"/>
        <v>113.0976</v>
      </c>
      <c r="F41" s="204">
        <f t="shared" si="12"/>
        <v>330</v>
      </c>
      <c r="G41" s="204">
        <f t="shared" si="13"/>
        <v>396</v>
      </c>
      <c r="H41" s="205">
        <f t="shared" si="14"/>
        <v>839.09760000000006</v>
      </c>
      <c r="I41" s="203">
        <f t="shared" si="7"/>
        <v>3.6</v>
      </c>
      <c r="J41" s="206"/>
      <c r="K41" s="207">
        <f t="shared" si="8"/>
        <v>5.2631578947368425</v>
      </c>
      <c r="L41" s="207">
        <f t="shared" si="8"/>
        <v>1.6666666666666667</v>
      </c>
      <c r="M41" s="207">
        <f t="shared" si="9"/>
        <v>42.481371228070181</v>
      </c>
      <c r="N41" s="208">
        <f t="shared" si="10"/>
        <v>892.10879578947379</v>
      </c>
      <c r="O41" s="190"/>
      <c r="P41" s="21"/>
      <c r="Q41" s="85"/>
      <c r="R41" s="86"/>
      <c r="S41" s="21"/>
      <c r="T41" s="86"/>
      <c r="U41" s="86"/>
      <c r="V41" s="86"/>
      <c r="W41" s="86"/>
      <c r="X41" s="86"/>
      <c r="Y41" s="86"/>
      <c r="Z41" s="86"/>
      <c r="AA41" s="86"/>
      <c r="AB41" s="90"/>
      <c r="AC41" s="88"/>
    </row>
    <row r="42" spans="1:35" ht="15" customHeight="1" x14ac:dyDescent="0.25">
      <c r="A42" s="147">
        <v>34</v>
      </c>
      <c r="B42" s="201">
        <v>1</v>
      </c>
      <c r="C42" s="155">
        <f t="shared" si="15"/>
        <v>0.4</v>
      </c>
      <c r="D42" s="209">
        <f t="shared" si="11"/>
        <v>0.125664</v>
      </c>
      <c r="E42" s="203">
        <f t="shared" si="3"/>
        <v>113.0976</v>
      </c>
      <c r="F42" s="204">
        <f t="shared" si="12"/>
        <v>340</v>
      </c>
      <c r="G42" s="204">
        <f t="shared" si="13"/>
        <v>408</v>
      </c>
      <c r="H42" s="205">
        <f t="shared" si="14"/>
        <v>861.09760000000006</v>
      </c>
      <c r="I42" s="203">
        <f t="shared" si="7"/>
        <v>3.6</v>
      </c>
      <c r="J42" s="206"/>
      <c r="K42" s="207">
        <f t="shared" si="8"/>
        <v>5.2631578947368425</v>
      </c>
      <c r="L42" s="207">
        <f t="shared" si="8"/>
        <v>1.6666666666666667</v>
      </c>
      <c r="M42" s="207">
        <f t="shared" si="9"/>
        <v>43.581371228070182</v>
      </c>
      <c r="N42" s="208">
        <f t="shared" si="10"/>
        <v>915.20879578947381</v>
      </c>
      <c r="O42" s="190"/>
      <c r="P42" s="21"/>
      <c r="Q42" s="85"/>
      <c r="R42" s="87" t="s">
        <v>213</v>
      </c>
      <c r="S42" s="21"/>
      <c r="T42" s="176"/>
      <c r="U42" s="176"/>
      <c r="V42" s="176"/>
      <c r="W42" s="176"/>
      <c r="X42" s="176"/>
      <c r="Y42" s="176"/>
      <c r="Z42" s="176"/>
      <c r="AA42" s="176"/>
      <c r="AB42" s="90"/>
      <c r="AC42" s="192" t="str">
        <f t="shared" si="16"/>
        <v>50mm dia</v>
      </c>
      <c r="AF42" s="251" t="s">
        <v>253</v>
      </c>
      <c r="AG42" s="251" t="s">
        <v>254</v>
      </c>
      <c r="AH42" s="252"/>
      <c r="AI42" s="253"/>
    </row>
    <row r="43" spans="1:35" ht="15" customHeight="1" x14ac:dyDescent="0.25">
      <c r="A43" s="147">
        <v>35</v>
      </c>
      <c r="B43" s="201">
        <v>1</v>
      </c>
      <c r="C43" s="155">
        <f t="shared" si="15"/>
        <v>0.4</v>
      </c>
      <c r="D43" s="209">
        <f t="shared" si="11"/>
        <v>0.125664</v>
      </c>
      <c r="E43" s="203">
        <f t="shared" si="3"/>
        <v>113.0976</v>
      </c>
      <c r="F43" s="204">
        <f t="shared" si="12"/>
        <v>350</v>
      </c>
      <c r="G43" s="204">
        <f t="shared" si="13"/>
        <v>420</v>
      </c>
      <c r="H43" s="205">
        <f t="shared" si="14"/>
        <v>883.09760000000006</v>
      </c>
      <c r="I43" s="203">
        <f t="shared" si="7"/>
        <v>3.6</v>
      </c>
      <c r="J43" s="206"/>
      <c r="K43" s="207">
        <f t="shared" si="8"/>
        <v>5.2631578947368425</v>
      </c>
      <c r="L43" s="207">
        <f t="shared" si="8"/>
        <v>1.6666666666666667</v>
      </c>
      <c r="M43" s="207">
        <f t="shared" si="9"/>
        <v>44.681371228070184</v>
      </c>
      <c r="N43" s="208">
        <f t="shared" si="10"/>
        <v>938.30879578947372</v>
      </c>
      <c r="O43" s="190"/>
      <c r="P43" s="21"/>
      <c r="Q43" s="85"/>
      <c r="R43" s="89" t="s">
        <v>105</v>
      </c>
      <c r="S43" s="21">
        <f>27+10</f>
        <v>37</v>
      </c>
      <c r="T43" s="90">
        <v>40</v>
      </c>
      <c r="U43" s="90"/>
      <c r="V43" s="90">
        <v>40</v>
      </c>
      <c r="W43" s="90">
        <f>62/63*50</f>
        <v>49.206349206349202</v>
      </c>
      <c r="X43" s="90"/>
      <c r="Y43" s="90"/>
      <c r="Z43" s="90">
        <v>40</v>
      </c>
      <c r="AA43" s="90">
        <v>56</v>
      </c>
      <c r="AB43" s="90">
        <f t="shared" si="17"/>
        <v>43.701058201058203</v>
      </c>
      <c r="AC43" s="88" t="str">
        <f t="shared" si="16"/>
        <v>Soft</v>
      </c>
      <c r="AD43" s="195">
        <f>AB43/AB$43</f>
        <v>1</v>
      </c>
      <c r="AF43" s="235">
        <f>37.5-22.5</f>
        <v>15</v>
      </c>
      <c r="AG43" s="235">
        <f>49-34</f>
        <v>15</v>
      </c>
      <c r="AH43" s="254" t="s">
        <v>250</v>
      </c>
      <c r="AI43" s="253"/>
    </row>
    <row r="44" spans="1:35" ht="15" customHeight="1" x14ac:dyDescent="0.25">
      <c r="A44" s="147">
        <v>36</v>
      </c>
      <c r="B44" s="201">
        <v>1</v>
      </c>
      <c r="C44" s="155">
        <f t="shared" si="15"/>
        <v>0.4</v>
      </c>
      <c r="D44" s="209">
        <f t="shared" si="11"/>
        <v>0.125664</v>
      </c>
      <c r="E44" s="203">
        <f t="shared" si="3"/>
        <v>113.0976</v>
      </c>
      <c r="F44" s="204">
        <f t="shared" si="12"/>
        <v>360</v>
      </c>
      <c r="G44" s="204">
        <f t="shared" si="13"/>
        <v>432</v>
      </c>
      <c r="H44" s="205">
        <f t="shared" si="14"/>
        <v>905.09760000000006</v>
      </c>
      <c r="I44" s="203">
        <f t="shared" si="7"/>
        <v>3.6</v>
      </c>
      <c r="J44" s="206"/>
      <c r="K44" s="207">
        <f t="shared" si="8"/>
        <v>5.2631578947368425</v>
      </c>
      <c r="L44" s="207">
        <f t="shared" si="8"/>
        <v>1.6666666666666667</v>
      </c>
      <c r="M44" s="207">
        <f t="shared" si="9"/>
        <v>45.781371228070185</v>
      </c>
      <c r="N44" s="208">
        <f t="shared" si="10"/>
        <v>961.40879578947374</v>
      </c>
      <c r="O44" s="190"/>
      <c r="P44" s="21"/>
      <c r="Q44" s="85"/>
      <c r="R44" s="89" t="s">
        <v>106</v>
      </c>
      <c r="S44" s="21">
        <f>S43</f>
        <v>37</v>
      </c>
      <c r="T44" s="90">
        <f>T43</f>
        <v>40</v>
      </c>
      <c r="U44" s="90"/>
      <c r="V44" s="90">
        <f>V43</f>
        <v>40</v>
      </c>
      <c r="W44" s="90">
        <f>W43</f>
        <v>49.206349206349202</v>
      </c>
      <c r="X44" s="90"/>
      <c r="Y44" s="90"/>
      <c r="Z44" s="90">
        <f>Z43</f>
        <v>40</v>
      </c>
      <c r="AA44" s="90">
        <v>62</v>
      </c>
      <c r="AB44" s="90">
        <f t="shared" si="17"/>
        <v>44.701058201058203</v>
      </c>
      <c r="AC44" s="88" t="str">
        <f t="shared" si="16"/>
        <v>Medium</v>
      </c>
      <c r="AD44" s="195">
        <f>AB44/AB$43</f>
        <v>1.0228827410860222</v>
      </c>
      <c r="AF44" s="235">
        <f>44.5-27</f>
        <v>17.5</v>
      </c>
      <c r="AG44" s="235">
        <f>57-39.5</f>
        <v>17.5</v>
      </c>
      <c r="AH44" s="254" t="s">
        <v>251</v>
      </c>
      <c r="AI44" s="253"/>
    </row>
    <row r="45" spans="1:35" x14ac:dyDescent="0.25">
      <c r="D45" s="86"/>
      <c r="O45" s="190"/>
      <c r="P45" s="21"/>
      <c r="Q45" s="85"/>
      <c r="R45" s="89" t="s">
        <v>226</v>
      </c>
      <c r="S45" s="21">
        <f>44.5+10</f>
        <v>54.5</v>
      </c>
      <c r="T45" s="90">
        <f>T44+17.5</f>
        <v>57.5</v>
      </c>
      <c r="U45" s="90"/>
      <c r="V45" s="90">
        <f>V44+17.5</f>
        <v>57.5</v>
      </c>
      <c r="W45" s="90">
        <f>W44+17.5</f>
        <v>66.706349206349202</v>
      </c>
      <c r="X45" s="90"/>
      <c r="Y45" s="90"/>
      <c r="Z45" s="90">
        <f>Z44+17.5</f>
        <v>57.5</v>
      </c>
      <c r="AA45" s="90">
        <v>87</v>
      </c>
      <c r="AB45" s="90">
        <f t="shared" si="17"/>
        <v>63.451058201058203</v>
      </c>
      <c r="AC45" s="88" t="s">
        <v>104</v>
      </c>
      <c r="AD45" s="195">
        <f>AB45/AB$43</f>
        <v>1.4519341364489375</v>
      </c>
      <c r="AF45" s="235">
        <f>50-30</f>
        <v>20</v>
      </c>
      <c r="AG45" s="235">
        <f>65-45</f>
        <v>20</v>
      </c>
      <c r="AH45" s="254" t="s">
        <v>252</v>
      </c>
      <c r="AI45" s="253"/>
    </row>
    <row r="46" spans="1:35" x14ac:dyDescent="0.25">
      <c r="B46" s="45"/>
      <c r="C46" s="46"/>
      <c r="D46" s="187"/>
      <c r="E46" s="47"/>
      <c r="F46" s="46"/>
      <c r="G46" s="46"/>
      <c r="H46" s="46"/>
      <c r="I46" s="46"/>
      <c r="J46" s="46"/>
      <c r="K46" s="46"/>
      <c r="L46" s="46"/>
      <c r="M46" s="46"/>
      <c r="N46" s="46"/>
      <c r="O46" s="190"/>
      <c r="P46" s="21"/>
      <c r="Q46" s="85"/>
      <c r="R46" s="89" t="s">
        <v>221</v>
      </c>
      <c r="S46" s="21">
        <f>39.5-27</f>
        <v>12.5</v>
      </c>
      <c r="T46" s="90"/>
      <c r="U46" s="90"/>
      <c r="V46" s="90"/>
      <c r="W46" s="90"/>
      <c r="X46" s="90"/>
      <c r="Y46" s="90"/>
      <c r="Z46" s="90"/>
      <c r="AA46" s="90"/>
      <c r="AB46" s="200">
        <f>AVERAGE(S46:AA46)+AB43</f>
        <v>56.201058201058203</v>
      </c>
      <c r="AC46" s="88" t="s">
        <v>227</v>
      </c>
      <c r="AD46" s="195">
        <f>AB46/AB$43</f>
        <v>1.2860342635752768</v>
      </c>
    </row>
    <row r="47" spans="1:35" x14ac:dyDescent="0.25">
      <c r="A47" s="45" t="s">
        <v>193</v>
      </c>
      <c r="B47" s="45"/>
      <c r="C47" s="4"/>
      <c r="D47" s="107"/>
      <c r="E47" s="180" t="s">
        <v>185</v>
      </c>
      <c r="F47" s="149" t="s">
        <v>186</v>
      </c>
      <c r="G47" s="105" t="s">
        <v>186</v>
      </c>
      <c r="H47" s="167" t="s">
        <v>218</v>
      </c>
      <c r="I47" s="160" t="s">
        <v>189</v>
      </c>
      <c r="J47" s="161" t="s">
        <v>46</v>
      </c>
      <c r="K47" s="171" t="s">
        <v>208</v>
      </c>
      <c r="L47" s="169" t="s">
        <v>209</v>
      </c>
      <c r="M47" s="173" t="s">
        <v>231</v>
      </c>
      <c r="N47" s="167" t="s">
        <v>6</v>
      </c>
      <c r="O47" s="190"/>
      <c r="Q47" s="85"/>
      <c r="S47" s="21"/>
      <c r="Y47" s="1" t="s">
        <v>229</v>
      </c>
      <c r="AB47" s="90"/>
      <c r="AC47" s="88"/>
    </row>
    <row r="48" spans="1:35" x14ac:dyDescent="0.25">
      <c r="A48" s="292" t="s">
        <v>219</v>
      </c>
      <c r="B48" s="292"/>
      <c r="C48" s="50"/>
      <c r="D48" s="50"/>
      <c r="E48" s="159"/>
      <c r="F48" s="149" t="s">
        <v>187</v>
      </c>
      <c r="G48" s="105" t="s">
        <v>188</v>
      </c>
      <c r="H48" s="167" t="s">
        <v>6</v>
      </c>
      <c r="I48" s="177" t="s">
        <v>190</v>
      </c>
      <c r="J48" s="162" t="s">
        <v>200</v>
      </c>
      <c r="K48" s="171" t="s">
        <v>210</v>
      </c>
      <c r="L48" s="169" t="s">
        <v>210</v>
      </c>
      <c r="M48" s="173" t="s">
        <v>230</v>
      </c>
      <c r="N48" s="46"/>
      <c r="O48" s="190"/>
      <c r="P48" s="86"/>
      <c r="Q48" s="85"/>
      <c r="R48" s="87" t="s">
        <v>215</v>
      </c>
      <c r="S48" s="21"/>
      <c r="T48" s="176"/>
      <c r="U48" s="176"/>
      <c r="V48" s="176"/>
      <c r="W48" s="176"/>
      <c r="X48" s="176"/>
      <c r="Y48" s="176"/>
      <c r="Z48" s="176"/>
      <c r="AA48" s="176"/>
      <c r="AB48" s="90"/>
      <c r="AC48" s="192" t="str">
        <f t="shared" si="16"/>
        <v>100mm dia</v>
      </c>
    </row>
    <row r="49" spans="1:30" x14ac:dyDescent="0.25">
      <c r="A49" s="292"/>
      <c r="B49" s="292"/>
      <c r="C49" s="4"/>
      <c r="D49" s="50" t="s">
        <v>10</v>
      </c>
      <c r="E49" s="181">
        <v>900</v>
      </c>
      <c r="F49" s="150">
        <v>15</v>
      </c>
      <c r="G49" s="105">
        <f>30-F49</f>
        <v>15</v>
      </c>
      <c r="H49" s="46"/>
      <c r="I49" s="179">
        <f>(1800*2)/1000</f>
        <v>3.6</v>
      </c>
      <c r="J49" s="161">
        <v>35</v>
      </c>
      <c r="K49" s="153">
        <f>12000/(420+100+50)*25%</f>
        <v>5.2631578947368425</v>
      </c>
      <c r="L49" s="172">
        <f>10000/6000</f>
        <v>1.6666666666666667</v>
      </c>
      <c r="M49" s="174">
        <v>0.05</v>
      </c>
      <c r="N49" s="46"/>
      <c r="O49" s="190"/>
      <c r="P49" s="86"/>
      <c r="Q49" s="85"/>
      <c r="R49" s="89" t="s">
        <v>105</v>
      </c>
      <c r="S49" s="21">
        <f>30+10</f>
        <v>40</v>
      </c>
      <c r="T49" s="90">
        <v>55</v>
      </c>
      <c r="U49" s="90">
        <v>47</v>
      </c>
      <c r="V49" s="90">
        <v>50</v>
      </c>
      <c r="W49" s="90">
        <f>98/125*100</f>
        <v>78.400000000000006</v>
      </c>
      <c r="X49" s="193" t="s">
        <v>228</v>
      </c>
      <c r="Y49" s="193" t="s">
        <v>228</v>
      </c>
      <c r="Z49" s="90">
        <v>55</v>
      </c>
      <c r="AA49" s="90">
        <v>90</v>
      </c>
      <c r="AB49" s="198">
        <f t="shared" si="17"/>
        <v>59.342857142857142</v>
      </c>
      <c r="AC49" s="88" t="str">
        <f t="shared" si="16"/>
        <v>Soft</v>
      </c>
      <c r="AD49" s="195">
        <f>AB49/AB$49</f>
        <v>1</v>
      </c>
    </row>
    <row r="50" spans="1:30" x14ac:dyDescent="0.25">
      <c r="C50" s="146"/>
      <c r="D50" s="146"/>
      <c r="E50" s="182" t="s">
        <v>170</v>
      </c>
      <c r="F50" s="151"/>
      <c r="G50" s="151"/>
      <c r="I50" s="177" t="s">
        <v>217</v>
      </c>
      <c r="J50" s="151"/>
      <c r="K50" s="151"/>
      <c r="L50" s="151"/>
      <c r="M50" s="151"/>
      <c r="O50" s="190"/>
      <c r="Q50" s="85"/>
      <c r="R50" s="89" t="s">
        <v>106</v>
      </c>
      <c r="S50" s="21">
        <f>S49</f>
        <v>40</v>
      </c>
      <c r="T50" s="90">
        <f>T49</f>
        <v>55</v>
      </c>
      <c r="U50" s="90">
        <f>U49</f>
        <v>47</v>
      </c>
      <c r="V50" s="90">
        <f>V49</f>
        <v>50</v>
      </c>
      <c r="W50" s="90">
        <f>W49</f>
        <v>78.400000000000006</v>
      </c>
      <c r="X50" s="193" t="s">
        <v>228</v>
      </c>
      <c r="Y50" s="193" t="s">
        <v>228</v>
      </c>
      <c r="Z50" s="90">
        <v>55</v>
      </c>
      <c r="AA50" s="90">
        <v>100</v>
      </c>
      <c r="AB50" s="199">
        <f t="shared" si="17"/>
        <v>60.771428571428565</v>
      </c>
      <c r="AC50" s="88" t="str">
        <f t="shared" si="16"/>
        <v>Medium</v>
      </c>
      <c r="AD50" s="195">
        <f t="shared" ref="AD50:AD51" si="18">AB50/AB$49</f>
        <v>1.0240731824747231</v>
      </c>
    </row>
    <row r="51" spans="1:30" x14ac:dyDescent="0.25">
      <c r="A51" s="147" t="s">
        <v>8</v>
      </c>
      <c r="B51" s="155" t="s">
        <v>184</v>
      </c>
      <c r="C51" s="155" t="s">
        <v>192</v>
      </c>
      <c r="D51" s="184" t="s">
        <v>199</v>
      </c>
      <c r="E51" s="140"/>
      <c r="F51" s="61"/>
      <c r="G51" s="2"/>
      <c r="H51" s="2"/>
      <c r="I51" s="177" t="s">
        <v>91</v>
      </c>
      <c r="J51" s="2"/>
      <c r="K51" s="2"/>
      <c r="L51" s="2"/>
      <c r="M51" s="2"/>
      <c r="N51" s="168"/>
      <c r="O51" s="190"/>
      <c r="P51" s="147" t="s">
        <v>134</v>
      </c>
      <c r="Q51" s="85"/>
      <c r="R51" s="89" t="s">
        <v>224</v>
      </c>
      <c r="S51" s="21">
        <f>50+10</f>
        <v>60</v>
      </c>
      <c r="T51" s="90">
        <f>T50+20</f>
        <v>75</v>
      </c>
      <c r="U51" s="90">
        <f>U50+20</f>
        <v>67</v>
      </c>
      <c r="V51" s="90">
        <f>V50+20</f>
        <v>70</v>
      </c>
      <c r="W51" s="90">
        <f>W50+20</f>
        <v>98.4</v>
      </c>
      <c r="X51" s="193" t="s">
        <v>228</v>
      </c>
      <c r="Y51" s="193" t="s">
        <v>228</v>
      </c>
      <c r="Z51" s="90">
        <f>Z50+20</f>
        <v>75</v>
      </c>
      <c r="AA51" s="90">
        <v>115</v>
      </c>
      <c r="AB51" s="199">
        <f t="shared" si="17"/>
        <v>80.05714285714285</v>
      </c>
      <c r="AC51" s="88" t="s">
        <v>104</v>
      </c>
      <c r="AD51" s="195">
        <f t="shared" si="18"/>
        <v>1.3490611458834858</v>
      </c>
    </row>
    <row r="52" spans="1:30" x14ac:dyDescent="0.25">
      <c r="A52" s="147"/>
      <c r="B52" s="155"/>
      <c r="C52" s="155"/>
      <c r="D52" s="184"/>
      <c r="E52" s="20"/>
      <c r="G52" s="20"/>
      <c r="H52" s="20"/>
      <c r="O52" s="190"/>
      <c r="P52" s="147"/>
      <c r="Q52" s="85"/>
      <c r="R52" s="89" t="s">
        <v>222</v>
      </c>
      <c r="S52" s="90">
        <f>45-30</f>
        <v>15</v>
      </c>
      <c r="T52" s="86"/>
      <c r="U52" s="86"/>
      <c r="V52" s="86"/>
      <c r="W52" s="86"/>
      <c r="X52" s="86"/>
      <c r="Y52" s="86"/>
      <c r="AB52" s="194">
        <f>AVERAGE(S52:AA52)+AB49</f>
        <v>74.342857142857142</v>
      </c>
      <c r="AC52" s="88" t="s">
        <v>227</v>
      </c>
      <c r="AD52" s="195">
        <f>AB52/AB$49</f>
        <v>1.2527684159845931</v>
      </c>
    </row>
    <row r="53" spans="1:30" x14ac:dyDescent="0.25">
      <c r="A53" s="148">
        <v>1</v>
      </c>
      <c r="B53" s="156">
        <v>1</v>
      </c>
      <c r="C53" s="158">
        <v>0.15</v>
      </c>
      <c r="D53" s="186">
        <f t="shared" ref="D53:D59" si="19">3.1416*(C53/2)*(C53/2)</f>
        <v>1.76715E-2</v>
      </c>
      <c r="E53" s="154">
        <f t="shared" ref="E53:E58" si="20">D53*B53*E$49</f>
        <v>15.904349999999999</v>
      </c>
      <c r="F53" s="4">
        <f>F$49*A53</f>
        <v>15</v>
      </c>
      <c r="G53" s="4">
        <f>G$49*A53</f>
        <v>15</v>
      </c>
      <c r="H53" s="178">
        <f>SUM(E53:G53)</f>
        <v>45.904350000000001</v>
      </c>
      <c r="I53" s="154">
        <f t="shared" ref="I53:I66" si="21">I$49*B53</f>
        <v>3.6</v>
      </c>
      <c r="J53" s="145"/>
      <c r="K53" s="163">
        <f>K$49</f>
        <v>5.2631578947368425</v>
      </c>
      <c r="L53" s="163">
        <f>L$49</f>
        <v>1.6666666666666667</v>
      </c>
      <c r="M53" s="163">
        <f>SUM(H53:L53)*M$49</f>
        <v>2.8217087280701758</v>
      </c>
      <c r="N53" s="197">
        <f t="shared" ref="N53:N66" si="22">SUM(H53:M53)</f>
        <v>59.255883289473687</v>
      </c>
      <c r="O53" s="190"/>
      <c r="P53" s="196">
        <f>N53/A53</f>
        <v>59.255883289473687</v>
      </c>
      <c r="Q53" s="91"/>
      <c r="R53" s="92"/>
      <c r="S53" s="92"/>
      <c r="T53" s="92"/>
      <c r="U53" s="92"/>
      <c r="V53" s="93"/>
      <c r="W53" s="92"/>
      <c r="X53" s="92"/>
      <c r="Y53" s="92"/>
      <c r="Z53" s="92"/>
      <c r="AA53" s="92"/>
      <c r="AB53" s="92"/>
      <c r="AC53" s="94"/>
    </row>
    <row r="54" spans="1:30" x14ac:dyDescent="0.25">
      <c r="A54" s="148">
        <v>2</v>
      </c>
      <c r="B54" s="156">
        <v>1</v>
      </c>
      <c r="C54" s="158">
        <v>0.2</v>
      </c>
      <c r="D54" s="186">
        <f t="shared" si="19"/>
        <v>3.1415999999999999E-2</v>
      </c>
      <c r="E54" s="154">
        <f t="shared" si="20"/>
        <v>28.2744</v>
      </c>
      <c r="F54" s="4">
        <f t="shared" ref="F54:F58" si="23">F$49*A54</f>
        <v>30</v>
      </c>
      <c r="G54" s="4">
        <f t="shared" ref="G54:G58" si="24">G$49*A54</f>
        <v>30</v>
      </c>
      <c r="H54" s="178">
        <f t="shared" ref="H54:H58" si="25">SUM(E54:G54)</f>
        <v>88.2744</v>
      </c>
      <c r="I54" s="154">
        <f t="shared" si="21"/>
        <v>3.6</v>
      </c>
      <c r="J54" s="4"/>
      <c r="K54" s="163">
        <f t="shared" ref="K54:K66" si="26">K$49</f>
        <v>5.2631578947368425</v>
      </c>
      <c r="L54" s="163">
        <f t="shared" ref="L54:L66" si="27">L$49</f>
        <v>1.6666666666666667</v>
      </c>
      <c r="M54" s="163">
        <f t="shared" ref="M54:M66" si="28">SUM(H54:L54)*M$49</f>
        <v>4.9402112280701758</v>
      </c>
      <c r="N54" s="154">
        <f t="shared" si="22"/>
        <v>103.74443578947367</v>
      </c>
      <c r="O54" s="190"/>
      <c r="P54" s="196">
        <f t="shared" ref="P54:P66" si="29">N54/A54</f>
        <v>51.872217894736835</v>
      </c>
      <c r="S54" s="114">
        <f>(S49-$AB49)/$AB49</f>
        <v>-0.32595089070775157</v>
      </c>
      <c r="T54" s="114">
        <f>(T49-$AB49)/$AB49</f>
        <v>-7.3182474723158378E-2</v>
      </c>
      <c r="V54" s="114">
        <f>(V49-$AB49)/$AB49</f>
        <v>-0.15743861338468945</v>
      </c>
      <c r="W54" s="114">
        <f>(W49-$AB49)/$AB49</f>
        <v>0.32113625421280706</v>
      </c>
      <c r="Z54" s="114">
        <f>(Z49-$AB49)/$AB49</f>
        <v>-7.3182474723158378E-2</v>
      </c>
      <c r="AA54" s="114">
        <f>(AA49-$AB49)/$AB49</f>
        <v>0.51661049590755903</v>
      </c>
    </row>
    <row r="55" spans="1:30" x14ac:dyDescent="0.25">
      <c r="A55" s="148">
        <v>3</v>
      </c>
      <c r="B55" s="156">
        <v>1</v>
      </c>
      <c r="C55" s="158">
        <v>0.22</v>
      </c>
      <c r="D55" s="186">
        <f t="shared" si="19"/>
        <v>3.8013360000000003E-2</v>
      </c>
      <c r="E55" s="154">
        <f t="shared" si="20"/>
        <v>34.212024</v>
      </c>
      <c r="F55" s="4">
        <f t="shared" si="23"/>
        <v>45</v>
      </c>
      <c r="G55" s="4">
        <f t="shared" si="24"/>
        <v>45</v>
      </c>
      <c r="H55" s="178">
        <f t="shared" si="25"/>
        <v>124.212024</v>
      </c>
      <c r="I55" s="154">
        <f t="shared" si="21"/>
        <v>3.6</v>
      </c>
      <c r="J55" s="4"/>
      <c r="K55" s="163">
        <f t="shared" si="26"/>
        <v>5.2631578947368425</v>
      </c>
      <c r="L55" s="163">
        <f t="shared" si="27"/>
        <v>1.6666666666666667</v>
      </c>
      <c r="M55" s="163">
        <f t="shared" si="28"/>
        <v>6.7370924280701745</v>
      </c>
      <c r="N55" s="154">
        <f t="shared" si="22"/>
        <v>141.47894098947367</v>
      </c>
      <c r="O55" s="190"/>
      <c r="P55" s="196">
        <f t="shared" si="29"/>
        <v>47.159646996491226</v>
      </c>
    </row>
    <row r="56" spans="1:30" x14ac:dyDescent="0.25">
      <c r="A56" s="148">
        <v>4</v>
      </c>
      <c r="B56" s="156">
        <v>1</v>
      </c>
      <c r="C56" s="158">
        <v>0.25</v>
      </c>
      <c r="D56" s="186">
        <f t="shared" si="19"/>
        <v>4.9087499999999999E-2</v>
      </c>
      <c r="E56" s="154">
        <f t="shared" si="20"/>
        <v>44.178750000000001</v>
      </c>
      <c r="F56" s="4">
        <f t="shared" si="23"/>
        <v>60</v>
      </c>
      <c r="G56" s="4">
        <f t="shared" si="24"/>
        <v>60</v>
      </c>
      <c r="H56" s="178">
        <f t="shared" si="25"/>
        <v>164.17875000000001</v>
      </c>
      <c r="I56" s="154">
        <f t="shared" si="21"/>
        <v>3.6</v>
      </c>
      <c r="J56" s="4"/>
      <c r="K56" s="163">
        <f t="shared" si="26"/>
        <v>5.2631578947368425</v>
      </c>
      <c r="L56" s="163">
        <f t="shared" si="27"/>
        <v>1.6666666666666667</v>
      </c>
      <c r="M56" s="163">
        <f t="shared" si="28"/>
        <v>8.7354287280701755</v>
      </c>
      <c r="N56" s="154">
        <f t="shared" si="22"/>
        <v>183.4440032894737</v>
      </c>
      <c r="O56" s="190"/>
      <c r="P56" s="196">
        <f t="shared" si="29"/>
        <v>45.861000822368425</v>
      </c>
      <c r="Q56" s="117"/>
      <c r="R56" s="117"/>
      <c r="S56" s="118" t="s">
        <v>161</v>
      </c>
      <c r="T56" s="119"/>
      <c r="U56" s="119"/>
      <c r="V56" s="119" t="s">
        <v>107</v>
      </c>
      <c r="W56" s="119" t="s">
        <v>110</v>
      </c>
      <c r="X56" s="119" t="s">
        <v>111</v>
      </c>
      <c r="Y56" s="119" t="s">
        <v>163</v>
      </c>
      <c r="Z56" s="119" t="s">
        <v>140</v>
      </c>
    </row>
    <row r="57" spans="1:30" x14ac:dyDescent="0.25">
      <c r="A57" s="148">
        <v>5</v>
      </c>
      <c r="B57" s="156">
        <v>1</v>
      </c>
      <c r="C57" s="158">
        <v>0.3</v>
      </c>
      <c r="D57" s="186">
        <f t="shared" si="19"/>
        <v>7.0685999999999999E-2</v>
      </c>
      <c r="E57" s="154">
        <f t="shared" si="20"/>
        <v>63.617399999999996</v>
      </c>
      <c r="F57" s="4">
        <f t="shared" si="23"/>
        <v>75</v>
      </c>
      <c r="G57" s="4">
        <f t="shared" si="24"/>
        <v>75</v>
      </c>
      <c r="H57" s="178">
        <f t="shared" si="25"/>
        <v>213.6174</v>
      </c>
      <c r="I57" s="154">
        <f t="shared" si="21"/>
        <v>3.6</v>
      </c>
      <c r="J57" s="4"/>
      <c r="K57" s="163">
        <f t="shared" si="26"/>
        <v>5.2631578947368425</v>
      </c>
      <c r="L57" s="163">
        <f t="shared" si="27"/>
        <v>1.6666666666666667</v>
      </c>
      <c r="M57" s="163">
        <f t="shared" si="28"/>
        <v>11.207361228070177</v>
      </c>
      <c r="N57" s="154">
        <f t="shared" si="22"/>
        <v>235.35458578947367</v>
      </c>
      <c r="O57" s="190"/>
      <c r="P57" s="196">
        <f t="shared" si="29"/>
        <v>47.070917157894733</v>
      </c>
      <c r="Q57" s="117"/>
      <c r="R57" s="117"/>
      <c r="S57" s="120"/>
      <c r="T57" s="121"/>
      <c r="U57" s="121"/>
      <c r="V57" s="121"/>
      <c r="W57" s="121"/>
      <c r="X57" s="121"/>
      <c r="Y57" s="117"/>
      <c r="Z57" s="117"/>
    </row>
    <row r="58" spans="1:30" x14ac:dyDescent="0.25">
      <c r="A58" s="148">
        <v>6</v>
      </c>
      <c r="B58" s="156">
        <v>1</v>
      </c>
      <c r="C58" s="158">
        <v>0.3</v>
      </c>
      <c r="D58" s="186">
        <f t="shared" si="19"/>
        <v>7.0685999999999999E-2</v>
      </c>
      <c r="E58" s="154">
        <f t="shared" si="20"/>
        <v>63.617399999999996</v>
      </c>
      <c r="F58" s="4">
        <f t="shared" si="23"/>
        <v>90</v>
      </c>
      <c r="G58" s="4">
        <f t="shared" si="24"/>
        <v>90</v>
      </c>
      <c r="H58" s="183">
        <f t="shared" si="25"/>
        <v>243.6174</v>
      </c>
      <c r="I58" s="154">
        <f t="shared" si="21"/>
        <v>3.6</v>
      </c>
      <c r="J58" s="4"/>
      <c r="K58" s="163">
        <f t="shared" si="26"/>
        <v>5.2631578947368425</v>
      </c>
      <c r="L58" s="163">
        <f t="shared" si="27"/>
        <v>1.6666666666666667</v>
      </c>
      <c r="M58" s="163">
        <f t="shared" si="28"/>
        <v>12.707361228070177</v>
      </c>
      <c r="N58" s="154">
        <f t="shared" si="22"/>
        <v>266.85458578947367</v>
      </c>
      <c r="O58" s="190"/>
      <c r="P58" s="196">
        <f t="shared" si="29"/>
        <v>44.475764298245615</v>
      </c>
      <c r="Q58" s="117"/>
      <c r="R58" s="117"/>
      <c r="S58" s="120" t="s">
        <v>164</v>
      </c>
      <c r="T58" s="122" t="s">
        <v>165</v>
      </c>
      <c r="U58" s="123"/>
      <c r="V58" s="123">
        <v>43.7</v>
      </c>
      <c r="W58" s="123">
        <v>43.1</v>
      </c>
      <c r="X58" s="123">
        <v>49.9</v>
      </c>
      <c r="Y58" s="123">
        <v>42.9</v>
      </c>
      <c r="Z58" s="123">
        <f>(V58+W58+Y58)/3</f>
        <v>43.233333333333341</v>
      </c>
    </row>
    <row r="59" spans="1:30" x14ac:dyDescent="0.25">
      <c r="A59" s="148">
        <v>7</v>
      </c>
      <c r="B59" s="156">
        <v>1</v>
      </c>
      <c r="C59" s="158">
        <v>0.33</v>
      </c>
      <c r="D59" s="186">
        <f t="shared" si="19"/>
        <v>8.5530060000000005E-2</v>
      </c>
      <c r="E59" s="154">
        <f>D59*B59*E$49</f>
        <v>76.97705400000001</v>
      </c>
      <c r="F59" s="4">
        <f>F$49*A59</f>
        <v>105</v>
      </c>
      <c r="G59" s="4">
        <f>G$49*A59</f>
        <v>105</v>
      </c>
      <c r="H59" s="178">
        <f t="shared" ref="H59:H66" si="30">SUM(E59:G59)</f>
        <v>286.97705400000001</v>
      </c>
      <c r="I59" s="154">
        <f t="shared" si="21"/>
        <v>3.6</v>
      </c>
      <c r="J59" s="4"/>
      <c r="K59" s="163">
        <f t="shared" si="26"/>
        <v>5.2631578947368425</v>
      </c>
      <c r="L59" s="163">
        <f t="shared" si="27"/>
        <v>1.6666666666666667</v>
      </c>
      <c r="M59" s="163">
        <f t="shared" si="28"/>
        <v>14.875343928070178</v>
      </c>
      <c r="N59" s="154">
        <f t="shared" si="22"/>
        <v>312.38222248947369</v>
      </c>
      <c r="O59" s="190"/>
      <c r="P59" s="196">
        <f t="shared" si="29"/>
        <v>44.626031784210525</v>
      </c>
      <c r="Q59" s="117"/>
      <c r="R59" s="117"/>
      <c r="S59" s="117"/>
      <c r="T59" s="121"/>
      <c r="U59" s="120" t="s">
        <v>156</v>
      </c>
      <c r="V59" s="121">
        <f>(V58-$Z58)/$Z58</f>
        <v>1.0794140323824088E-2</v>
      </c>
      <c r="W59" s="121">
        <f>(W58-$Z58)/$Z58</f>
        <v>-3.0840400925213557E-3</v>
      </c>
      <c r="X59" s="121">
        <f>(X58-$Z58)/$Z58</f>
        <v>0.1542020046260599</v>
      </c>
      <c r="Y59" s="121">
        <f>(Y58-$Z58)/$Z58</f>
        <v>-7.710100231303225E-3</v>
      </c>
      <c r="Z59" s="117"/>
    </row>
    <row r="60" spans="1:30" x14ac:dyDescent="0.25">
      <c r="A60" s="148">
        <v>8</v>
      </c>
      <c r="B60" s="156">
        <v>2</v>
      </c>
      <c r="C60" s="156"/>
      <c r="D60" s="186"/>
      <c r="E60" s="154">
        <f>E$59+E$53</f>
        <v>92.881404000000003</v>
      </c>
      <c r="F60" s="4">
        <f>F$49*A60</f>
        <v>120</v>
      </c>
      <c r="G60" s="4">
        <f>G$49*A60</f>
        <v>120</v>
      </c>
      <c r="H60" s="178">
        <f t="shared" si="30"/>
        <v>332.88140399999997</v>
      </c>
      <c r="I60" s="154">
        <f t="shared" si="21"/>
        <v>7.2</v>
      </c>
      <c r="J60" s="4"/>
      <c r="K60" s="163">
        <f t="shared" si="26"/>
        <v>5.2631578947368425</v>
      </c>
      <c r="L60" s="163">
        <f t="shared" si="27"/>
        <v>1.6666666666666667</v>
      </c>
      <c r="M60" s="163">
        <f t="shared" si="28"/>
        <v>17.350561428070176</v>
      </c>
      <c r="N60" s="154">
        <f t="shared" si="22"/>
        <v>364.36178998947366</v>
      </c>
      <c r="O60" s="190"/>
      <c r="P60" s="196">
        <f t="shared" si="29"/>
        <v>45.545223748684208</v>
      </c>
      <c r="Q60" s="117"/>
      <c r="R60" s="117"/>
      <c r="S60" s="117"/>
      <c r="T60" s="117"/>
      <c r="U60" s="117"/>
      <c r="V60" s="117"/>
      <c r="W60" s="117"/>
      <c r="X60" s="117"/>
      <c r="Y60" s="117"/>
      <c r="Z60" s="117"/>
    </row>
    <row r="61" spans="1:30" x14ac:dyDescent="0.25">
      <c r="A61" s="148">
        <v>9</v>
      </c>
      <c r="B61" s="156">
        <v>2</v>
      </c>
      <c r="C61" s="157"/>
      <c r="D61" s="186"/>
      <c r="E61" s="154">
        <f>E$59+E$54</f>
        <v>105.25145400000001</v>
      </c>
      <c r="F61" s="4">
        <f>F$49*A61</f>
        <v>135</v>
      </c>
      <c r="G61" s="4">
        <f>G$49*A61</f>
        <v>135</v>
      </c>
      <c r="H61" s="178">
        <f t="shared" si="30"/>
        <v>375.25145400000002</v>
      </c>
      <c r="I61" s="154">
        <f t="shared" si="21"/>
        <v>7.2</v>
      </c>
      <c r="J61" s="4"/>
      <c r="K61" s="163">
        <f t="shared" si="26"/>
        <v>5.2631578947368425</v>
      </c>
      <c r="L61" s="163">
        <f t="shared" si="27"/>
        <v>1.6666666666666667</v>
      </c>
      <c r="M61" s="163">
        <f t="shared" si="28"/>
        <v>19.469063928070177</v>
      </c>
      <c r="N61" s="154">
        <f t="shared" si="22"/>
        <v>408.85034248947369</v>
      </c>
      <c r="O61" s="190"/>
      <c r="P61" s="196"/>
      <c r="Q61" s="117"/>
      <c r="R61" s="117"/>
      <c r="S61" s="120" t="s">
        <v>162</v>
      </c>
      <c r="T61" s="122" t="s">
        <v>166</v>
      </c>
      <c r="U61" s="123"/>
      <c r="V61" s="123">
        <v>26.5</v>
      </c>
      <c r="W61" s="123">
        <v>26.5</v>
      </c>
      <c r="X61" s="123">
        <v>29.8</v>
      </c>
      <c r="Y61" s="123">
        <v>26.1</v>
      </c>
      <c r="Z61" s="123">
        <f>(V61+W61+Y61)/3</f>
        <v>26.366666666666664</v>
      </c>
    </row>
    <row r="62" spans="1:30" x14ac:dyDescent="0.25">
      <c r="A62" s="148">
        <v>10</v>
      </c>
      <c r="B62" s="156">
        <v>2</v>
      </c>
      <c r="C62" s="156"/>
      <c r="D62" s="186"/>
      <c r="E62" s="154">
        <f>E$59+E$55</f>
        <v>111.18907800000001</v>
      </c>
      <c r="F62" s="4">
        <f t="shared" ref="F62:F65" si="31">F$49*A62</f>
        <v>150</v>
      </c>
      <c r="G62" s="4">
        <f t="shared" ref="G62:G65" si="32">G$49*A62</f>
        <v>150</v>
      </c>
      <c r="H62" s="178">
        <f t="shared" si="30"/>
        <v>411.18907799999999</v>
      </c>
      <c r="I62" s="154">
        <f t="shared" si="21"/>
        <v>7.2</v>
      </c>
      <c r="J62" s="4"/>
      <c r="K62" s="163">
        <f t="shared" si="26"/>
        <v>5.2631578947368425</v>
      </c>
      <c r="L62" s="163">
        <f>L$49</f>
        <v>1.6666666666666667</v>
      </c>
      <c r="M62" s="163">
        <f t="shared" si="28"/>
        <v>21.265945128070175</v>
      </c>
      <c r="N62" s="154">
        <f t="shared" si="22"/>
        <v>446.58484768947369</v>
      </c>
      <c r="O62" s="190"/>
      <c r="P62" s="196">
        <f t="shared" si="29"/>
        <v>44.658484768947368</v>
      </c>
      <c r="Q62" s="117"/>
      <c r="R62" s="117"/>
      <c r="S62" s="117"/>
      <c r="T62" s="121"/>
      <c r="U62" s="120" t="s">
        <v>156</v>
      </c>
      <c r="V62" s="121">
        <f>(V61-$Z61)/$Z61</f>
        <v>5.0568900126423426E-3</v>
      </c>
      <c r="W62" s="121">
        <f>(W61-$Z61)/$Z61</f>
        <v>5.0568900126423426E-3</v>
      </c>
      <c r="X62" s="121">
        <f>(X61-$Z61)/$Z61</f>
        <v>0.13021491782553746</v>
      </c>
      <c r="Y62" s="121">
        <f>(Y61-$Z61)/$Z61</f>
        <v>-1.0113780025284281E-2</v>
      </c>
      <c r="Z62" s="117"/>
    </row>
    <row r="63" spans="1:30" x14ac:dyDescent="0.25">
      <c r="A63" s="148">
        <v>11</v>
      </c>
      <c r="B63" s="156">
        <v>2</v>
      </c>
      <c r="C63" s="156"/>
      <c r="D63" s="186"/>
      <c r="E63" s="154">
        <f>E$59+E$56</f>
        <v>121.15580400000002</v>
      </c>
      <c r="F63" s="4">
        <f t="shared" si="31"/>
        <v>165</v>
      </c>
      <c r="G63" s="4">
        <f t="shared" si="32"/>
        <v>165</v>
      </c>
      <c r="H63" s="178">
        <f t="shared" si="30"/>
        <v>451.15580399999999</v>
      </c>
      <c r="I63" s="154">
        <f t="shared" si="21"/>
        <v>7.2</v>
      </c>
      <c r="J63" s="4"/>
      <c r="K63" s="163">
        <f t="shared" si="26"/>
        <v>5.2631578947368425</v>
      </c>
      <c r="L63" s="163">
        <f t="shared" si="27"/>
        <v>1.6666666666666667</v>
      </c>
      <c r="M63" s="163">
        <f t="shared" si="28"/>
        <v>23.264281428070177</v>
      </c>
      <c r="N63" s="154">
        <f t="shared" si="22"/>
        <v>488.54990998947369</v>
      </c>
      <c r="O63" s="190"/>
      <c r="P63" s="196">
        <f t="shared" si="29"/>
        <v>44.413628180861245</v>
      </c>
      <c r="Q63" s="117"/>
      <c r="R63" s="117"/>
      <c r="S63" s="117"/>
      <c r="T63" s="121"/>
      <c r="U63" s="120"/>
      <c r="V63" s="121"/>
      <c r="W63" s="121"/>
      <c r="X63" s="121"/>
      <c r="Y63" s="121"/>
      <c r="Z63" s="117"/>
    </row>
    <row r="64" spans="1:30" x14ac:dyDescent="0.25">
      <c r="A64" s="148">
        <v>12</v>
      </c>
      <c r="B64" s="156">
        <v>2</v>
      </c>
      <c r="C64" s="156"/>
      <c r="D64" s="186"/>
      <c r="E64" s="154">
        <f>E$59+E$57</f>
        <v>140.59445400000001</v>
      </c>
      <c r="F64" s="4">
        <f t="shared" si="31"/>
        <v>180</v>
      </c>
      <c r="G64" s="4">
        <f t="shared" si="32"/>
        <v>180</v>
      </c>
      <c r="H64" s="178">
        <f t="shared" si="30"/>
        <v>500.59445400000004</v>
      </c>
      <c r="I64" s="154">
        <f t="shared" si="21"/>
        <v>7.2</v>
      </c>
      <c r="K64" s="163">
        <f t="shared" si="26"/>
        <v>5.2631578947368425</v>
      </c>
      <c r="L64" s="163">
        <f t="shared" si="27"/>
        <v>1.6666666666666667</v>
      </c>
      <c r="M64" s="163">
        <f t="shared" si="28"/>
        <v>25.736213928070175</v>
      </c>
      <c r="N64" s="154">
        <f t="shared" si="22"/>
        <v>540.46049248947361</v>
      </c>
      <c r="O64" s="190"/>
      <c r="P64" s="196">
        <f t="shared" si="29"/>
        <v>45.038374374122803</v>
      </c>
      <c r="Q64" s="293" t="s">
        <v>291</v>
      </c>
      <c r="R64" s="293"/>
      <c r="S64" s="293"/>
      <c r="T64" s="236"/>
      <c r="U64" s="237"/>
      <c r="V64" s="236"/>
      <c r="W64" s="236"/>
      <c r="X64" s="236"/>
      <c r="Y64" s="236"/>
      <c r="Z64" s="6"/>
    </row>
    <row r="65" spans="1:28" x14ac:dyDescent="0.25">
      <c r="A65" s="148">
        <v>13</v>
      </c>
      <c r="B65" s="156">
        <v>2</v>
      </c>
      <c r="C65" s="156"/>
      <c r="D65" s="186"/>
      <c r="E65" s="154">
        <f>E$59+E$58</f>
        <v>140.59445400000001</v>
      </c>
      <c r="F65" s="4">
        <f t="shared" si="31"/>
        <v>195</v>
      </c>
      <c r="G65" s="4">
        <f t="shared" si="32"/>
        <v>195</v>
      </c>
      <c r="H65" s="178">
        <f t="shared" si="30"/>
        <v>530.59445400000004</v>
      </c>
      <c r="I65" s="154">
        <f t="shared" si="21"/>
        <v>7.2</v>
      </c>
      <c r="K65" s="163">
        <f t="shared" si="26"/>
        <v>5.2631578947368425</v>
      </c>
      <c r="L65" s="163">
        <f t="shared" si="27"/>
        <v>1.6666666666666667</v>
      </c>
      <c r="M65" s="163">
        <f t="shared" si="28"/>
        <v>27.236213928070182</v>
      </c>
      <c r="N65" s="154">
        <f t="shared" si="22"/>
        <v>571.96049248947372</v>
      </c>
      <c r="O65" s="190"/>
      <c r="P65" s="196">
        <f t="shared" si="29"/>
        <v>43.99696096072875</v>
      </c>
      <c r="Q65" s="293"/>
      <c r="R65" s="293"/>
      <c r="S65" s="293"/>
      <c r="T65" s="22" t="s">
        <v>216</v>
      </c>
      <c r="U65" s="22" t="s">
        <v>107</v>
      </c>
      <c r="V65" s="22" t="s">
        <v>108</v>
      </c>
      <c r="W65" s="22" t="s">
        <v>249</v>
      </c>
      <c r="X65" s="22" t="s">
        <v>110</v>
      </c>
      <c r="Y65" s="22" t="s">
        <v>111</v>
      </c>
      <c r="Z65" s="22" t="s">
        <v>223</v>
      </c>
      <c r="AA65" s="22" t="s">
        <v>140</v>
      </c>
    </row>
    <row r="66" spans="1:28" x14ac:dyDescent="0.25">
      <c r="A66" s="148">
        <v>14</v>
      </c>
      <c r="B66" s="156">
        <v>2</v>
      </c>
      <c r="C66" s="156"/>
      <c r="D66" s="186"/>
      <c r="E66" s="154">
        <f>E$59+E$59</f>
        <v>153.95410800000002</v>
      </c>
      <c r="F66" s="4">
        <f>F$49*A66</f>
        <v>210</v>
      </c>
      <c r="G66" s="4">
        <f>G$49*A66</f>
        <v>210</v>
      </c>
      <c r="H66" s="178">
        <f t="shared" si="30"/>
        <v>573.95410800000002</v>
      </c>
      <c r="I66" s="154">
        <f t="shared" si="21"/>
        <v>7.2</v>
      </c>
      <c r="K66" s="163">
        <f t="shared" si="26"/>
        <v>5.2631578947368425</v>
      </c>
      <c r="L66" s="163">
        <f t="shared" si="27"/>
        <v>1.6666666666666667</v>
      </c>
      <c r="M66" s="163">
        <f t="shared" si="28"/>
        <v>29.404196628070181</v>
      </c>
      <c r="N66" s="154">
        <f t="shared" si="22"/>
        <v>617.48812918947374</v>
      </c>
      <c r="O66" s="190"/>
      <c r="P66" s="196">
        <f t="shared" si="29"/>
        <v>44.106294942105265</v>
      </c>
    </row>
    <row r="67" spans="1:28" x14ac:dyDescent="0.25">
      <c r="A67" s="148">
        <v>15</v>
      </c>
      <c r="B67" s="156">
        <v>2</v>
      </c>
      <c r="C67" s="156"/>
      <c r="D67" s="186"/>
      <c r="E67" s="154"/>
      <c r="F67" s="4"/>
      <c r="G67" s="4"/>
      <c r="H67" s="178"/>
      <c r="O67" s="190"/>
      <c r="P67" s="188"/>
      <c r="S67" s="1" t="s">
        <v>157</v>
      </c>
      <c r="T67" s="90">
        <v>45</v>
      </c>
      <c r="U67" s="90">
        <v>50</v>
      </c>
      <c r="V67" s="90">
        <v>45</v>
      </c>
      <c r="W67" s="90">
        <v>45</v>
      </c>
      <c r="X67" s="90">
        <v>55</v>
      </c>
      <c r="Y67" s="90">
        <v>65</v>
      </c>
      <c r="Z67" s="238">
        <v>65</v>
      </c>
      <c r="AA67" s="90">
        <f>AVERAGE(U67:Z67)</f>
        <v>54.166666666666664</v>
      </c>
    </row>
    <row r="68" spans="1:28" x14ac:dyDescent="0.25">
      <c r="D68" s="185"/>
      <c r="E68" s="154"/>
      <c r="O68" s="190"/>
      <c r="P68" s="188"/>
      <c r="S68" s="1" t="s">
        <v>156</v>
      </c>
      <c r="T68" s="115">
        <f t="shared" ref="T68:Z68" si="33">(T67-$AB68)/$AB68</f>
        <v>-0.22857142857142851</v>
      </c>
      <c r="U68" s="115">
        <f t="shared" si="33"/>
        <v>-0.14285714285714279</v>
      </c>
      <c r="V68" s="115">
        <f t="shared" si="33"/>
        <v>-0.22857142857142851</v>
      </c>
      <c r="W68" s="115">
        <f t="shared" si="33"/>
        <v>-0.22857142857142851</v>
      </c>
      <c r="X68" s="115">
        <f t="shared" si="33"/>
        <v>-5.7142857142857065E-2</v>
      </c>
      <c r="Y68" s="115">
        <f t="shared" si="33"/>
        <v>0.11428571428571438</v>
      </c>
      <c r="Z68" s="115">
        <f t="shared" si="33"/>
        <v>0.11428571428571438</v>
      </c>
      <c r="AB68" s="289">
        <f>(AA67+AA70)/2</f>
        <v>58.333333333333329</v>
      </c>
    </row>
    <row r="69" spans="1:28" x14ac:dyDescent="0.25">
      <c r="D69" s="185"/>
      <c r="E69" s="154"/>
      <c r="O69" s="190"/>
      <c r="P69" s="188"/>
      <c r="AB69" s="289"/>
    </row>
    <row r="70" spans="1:28" x14ac:dyDescent="0.25">
      <c r="D70" s="185"/>
      <c r="E70" s="154"/>
      <c r="O70" s="190"/>
      <c r="P70" s="188"/>
      <c r="S70" s="1" t="s">
        <v>158</v>
      </c>
      <c r="T70" s="90">
        <v>55</v>
      </c>
      <c r="U70" s="90">
        <v>55</v>
      </c>
      <c r="V70" s="90">
        <v>55</v>
      </c>
      <c r="W70" s="90">
        <v>55</v>
      </c>
      <c r="X70" s="90">
        <v>60</v>
      </c>
      <c r="Y70" s="90">
        <v>75</v>
      </c>
      <c r="Z70" s="238">
        <v>75</v>
      </c>
      <c r="AA70" s="90">
        <f>AVERAGE(U70:Z70)</f>
        <v>62.5</v>
      </c>
    </row>
    <row r="71" spans="1:28" x14ac:dyDescent="0.25">
      <c r="E71" s="154"/>
      <c r="O71" s="190"/>
      <c r="P71" s="188"/>
      <c r="S71" s="1" t="s">
        <v>156</v>
      </c>
      <c r="T71" s="115">
        <f t="shared" ref="T71:Z71" si="34">(T70-$AB68)/$AB68</f>
        <v>-5.7142857142857065E-2</v>
      </c>
      <c r="U71" s="115">
        <f t="shared" si="34"/>
        <v>-5.7142857142857065E-2</v>
      </c>
      <c r="V71" s="115">
        <f t="shared" si="34"/>
        <v>-5.7142857142857065E-2</v>
      </c>
      <c r="W71" s="115">
        <f t="shared" si="34"/>
        <v>-5.7142857142857065E-2</v>
      </c>
      <c r="X71" s="115">
        <f t="shared" si="34"/>
        <v>2.8571428571428654E-2</v>
      </c>
      <c r="Y71" s="115">
        <f t="shared" si="34"/>
        <v>0.28571428571428581</v>
      </c>
      <c r="Z71" s="115">
        <f t="shared" si="34"/>
        <v>0.28571428571428581</v>
      </c>
    </row>
    <row r="72" spans="1:28" x14ac:dyDescent="0.25">
      <c r="E72" s="154"/>
      <c r="O72" s="190"/>
      <c r="P72" s="188"/>
    </row>
    <row r="73" spans="1:28" x14ac:dyDescent="0.25">
      <c r="E73" s="154"/>
      <c r="O73" s="190"/>
      <c r="P73" s="188"/>
      <c r="R73" s="83"/>
      <c r="S73" s="240" t="s">
        <v>257</v>
      </c>
      <c r="T73" s="80"/>
      <c r="U73" s="80"/>
      <c r="V73" s="80"/>
      <c r="W73" s="80"/>
      <c r="X73" s="80"/>
      <c r="Y73" s="80"/>
      <c r="Z73" s="80"/>
      <c r="AA73" s="84"/>
    </row>
    <row r="74" spans="1:28" x14ac:dyDescent="0.25">
      <c r="O74" s="190"/>
      <c r="P74" s="188"/>
      <c r="R74" s="85"/>
      <c r="S74" s="89" t="s">
        <v>255</v>
      </c>
      <c r="T74" s="241">
        <f>(S54+V59+V62+T68)/4</f>
        <v>-0.13466782223567841</v>
      </c>
      <c r="U74" s="241">
        <f>(T54+V59+V62+U68)/4</f>
        <v>-5.004714681095869E-2</v>
      </c>
      <c r="V74" s="241">
        <f>(V54+V59+V62+V68)/4</f>
        <v>-9.2539752904912884E-2</v>
      </c>
      <c r="W74" s="241">
        <f>(V54+W59+W62+W68)/4</f>
        <v>-9.6009298008999239E-2</v>
      </c>
      <c r="X74" s="241">
        <f>(W54+W59+W62+X68)/4</f>
        <v>6.6491561747517761E-2</v>
      </c>
      <c r="Y74" s="241">
        <f>(Z54+X59+X62+Y68)/4</f>
        <v>8.1380040503538337E-2</v>
      </c>
      <c r="Z74" s="241">
        <f>(AA54+Y59+Y62+Z68)/4</f>
        <v>0.15326808248417145</v>
      </c>
      <c r="AA74" s="88"/>
    </row>
    <row r="75" spans="1:28" x14ac:dyDescent="0.25">
      <c r="O75" s="188"/>
      <c r="P75" s="188"/>
      <c r="R75" s="85"/>
      <c r="S75" s="89" t="s">
        <v>256</v>
      </c>
      <c r="T75" s="241">
        <f>(S54+V59+V62+T71)/4</f>
        <v>-9.1810679378535542E-2</v>
      </c>
      <c r="U75" s="241">
        <f>(T54+V59+V62+U71)/4</f>
        <v>-2.8618575382387254E-2</v>
      </c>
      <c r="V75" s="241">
        <f>(V54+V59+V62+V71)/4</f>
        <v>-4.9682610047770026E-2</v>
      </c>
      <c r="W75" s="241">
        <f>(V54+W59+W62+W71)/4</f>
        <v>-5.3152155151856381E-2</v>
      </c>
      <c r="X75" s="241">
        <f>(W54+W59+W62+X71)/4</f>
        <v>8.7920133176089182E-2</v>
      </c>
      <c r="Y75" s="241">
        <f>(Z54+X59+X62+Y71)/4</f>
        <v>0.12423718336068119</v>
      </c>
      <c r="Z75" s="241">
        <f>(AA54+Y59+Y62+Z71)/4</f>
        <v>0.19612522534131432</v>
      </c>
      <c r="AA75" s="88"/>
    </row>
    <row r="76" spans="1:28" x14ac:dyDescent="0.25">
      <c r="O76" s="188"/>
      <c r="P76" s="188"/>
      <c r="R76" s="91"/>
      <c r="S76" s="92"/>
      <c r="T76" s="92"/>
      <c r="U76" s="92"/>
      <c r="V76" s="92"/>
      <c r="W76" s="92"/>
      <c r="X76" s="92"/>
      <c r="Y76" s="92"/>
      <c r="Z76" s="92"/>
      <c r="AA76" s="94"/>
    </row>
    <row r="77" spans="1:28" x14ac:dyDescent="0.25">
      <c r="O77" s="188"/>
      <c r="P77" s="188"/>
    </row>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mergeCells count="7">
    <mergeCell ref="AB68:AB69"/>
    <mergeCell ref="Q19:R20"/>
    <mergeCell ref="Q21:R22"/>
    <mergeCell ref="Q17:R18"/>
    <mergeCell ref="A3:B4"/>
    <mergeCell ref="A48:B49"/>
    <mergeCell ref="Q64:S65"/>
  </mergeCells>
  <pageMargins left="0.7" right="0.7" top="0.75" bottom="0.75" header="0.3" footer="0.3"/>
  <pageSetup paperSize="9" orientation="portrait" copies="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A89"/>
  <sheetViews>
    <sheetView zoomScale="90" zoomScaleNormal="90" workbookViewId="0">
      <pane xSplit="16" ySplit="7" topLeftCell="Q8" activePane="bottomRight" state="frozen"/>
      <selection pane="topRight" activeCell="R1" sqref="R1"/>
      <selection pane="bottomLeft" activeCell="A8" sqref="A8"/>
      <selection pane="bottomRight" activeCell="Q8" sqref="Q8"/>
    </sheetView>
  </sheetViews>
  <sheetFormatPr defaultRowHeight="15" outlineLevelCol="1" x14ac:dyDescent="0.25"/>
  <cols>
    <col min="1" max="2" width="12.28515625" customWidth="1"/>
    <col min="3" max="10" width="10.7109375" customWidth="1"/>
    <col min="11" max="11" width="10.7109375" hidden="1" customWidth="1" outlineLevel="1"/>
    <col min="12" max="12" width="10.7109375" customWidth="1" collapsed="1"/>
    <col min="13" max="15" width="10.7109375" customWidth="1"/>
    <col min="16" max="16" width="1.7109375" customWidth="1"/>
    <col min="17" max="17" width="11.42578125" customWidth="1"/>
    <col min="18" max="53" width="8.7109375" customWidth="1"/>
  </cols>
  <sheetData>
    <row r="1" spans="1:53" s="4" customFormat="1" x14ac:dyDescent="0.25">
      <c r="C1"/>
      <c r="P1" s="189"/>
      <c r="Q1"/>
      <c r="R1" s="147">
        <v>1</v>
      </c>
      <c r="S1" s="147">
        <v>2</v>
      </c>
      <c r="T1" s="147">
        <v>3</v>
      </c>
      <c r="U1" s="147">
        <v>4</v>
      </c>
      <c r="V1" s="147">
        <v>5</v>
      </c>
      <c r="W1" s="147">
        <v>6</v>
      </c>
      <c r="X1" s="147">
        <v>7</v>
      </c>
      <c r="Y1" s="147">
        <v>8</v>
      </c>
      <c r="Z1" s="147">
        <v>9</v>
      </c>
      <c r="AA1" s="147">
        <v>10</v>
      </c>
      <c r="AB1" s="147">
        <v>11</v>
      </c>
      <c r="AC1" s="147">
        <v>12</v>
      </c>
      <c r="AD1" s="147">
        <v>13</v>
      </c>
      <c r="AE1" s="147">
        <v>14</v>
      </c>
      <c r="AF1" s="147">
        <v>15</v>
      </c>
      <c r="AG1" s="147">
        <v>16</v>
      </c>
      <c r="AH1" s="147">
        <v>17</v>
      </c>
      <c r="AI1" s="147">
        <v>18</v>
      </c>
      <c r="AJ1" s="147">
        <v>19</v>
      </c>
      <c r="AK1" s="147">
        <v>20</v>
      </c>
      <c r="AL1" s="147">
        <v>21</v>
      </c>
      <c r="AM1" s="147">
        <v>22</v>
      </c>
      <c r="AN1" s="147">
        <v>23</v>
      </c>
      <c r="AO1" s="147">
        <v>24</v>
      </c>
      <c r="AP1" s="147">
        <v>25</v>
      </c>
      <c r="AQ1" s="147">
        <v>26</v>
      </c>
      <c r="AR1" s="147">
        <v>27</v>
      </c>
      <c r="AS1" s="147">
        <v>28</v>
      </c>
      <c r="AT1" s="147">
        <v>29</v>
      </c>
      <c r="AU1" s="147">
        <v>30</v>
      </c>
      <c r="AV1" s="147">
        <v>31</v>
      </c>
      <c r="AW1" s="147">
        <v>32</v>
      </c>
      <c r="AX1" s="147">
        <v>33</v>
      </c>
      <c r="AY1" s="147">
        <v>34</v>
      </c>
      <c r="AZ1" s="147">
        <v>35</v>
      </c>
      <c r="BA1" s="147">
        <v>36</v>
      </c>
    </row>
    <row r="2" spans="1:53" s="4" customFormat="1" ht="18.75" customHeight="1" x14ac:dyDescent="0.25">
      <c r="A2" s="45" t="s">
        <v>237</v>
      </c>
      <c r="B2"/>
      <c r="C2"/>
      <c r="F2" s="180" t="s">
        <v>236</v>
      </c>
      <c r="G2" s="149" t="s">
        <v>186</v>
      </c>
      <c r="H2" s="105" t="s">
        <v>186</v>
      </c>
      <c r="I2" s="167" t="s">
        <v>218</v>
      </c>
      <c r="J2" s="177" t="s">
        <v>5</v>
      </c>
      <c r="K2" s="161" t="s">
        <v>46</v>
      </c>
      <c r="L2" s="171" t="s">
        <v>208</v>
      </c>
      <c r="M2" s="169" t="s">
        <v>209</v>
      </c>
      <c r="N2" s="173" t="s">
        <v>211</v>
      </c>
      <c r="O2" s="167" t="s">
        <v>6</v>
      </c>
      <c r="P2" s="189"/>
      <c r="Q2" s="44" t="s">
        <v>206</v>
      </c>
      <c r="R2" s="232">
        <f>O9</f>
        <v>36.390554561403505</v>
      </c>
      <c r="S2" s="232">
        <f>O10</f>
        <v>58.35128456140351</v>
      </c>
      <c r="T2" s="232">
        <f>O11</f>
        <v>80.312014561403501</v>
      </c>
      <c r="U2" s="232">
        <f>O12</f>
        <v>102.27274456140351</v>
      </c>
      <c r="V2" s="232">
        <f>O13</f>
        <v>124.23347456140353</v>
      </c>
      <c r="W2" s="232">
        <f>O14</f>
        <v>146.1942045614035</v>
      </c>
      <c r="X2" s="232">
        <f>O15</f>
        <v>168.15493456140351</v>
      </c>
      <c r="Y2" s="232">
        <f>O16</f>
        <v>190.11566456140352</v>
      </c>
      <c r="Z2" s="232">
        <f>O17</f>
        <v>212.0763945614035</v>
      </c>
      <c r="AA2" s="232">
        <f>O18</f>
        <v>234.03712456140352</v>
      </c>
      <c r="AB2" s="232">
        <f>O19</f>
        <v>255.9978545614035</v>
      </c>
      <c r="AC2" s="232">
        <f>O20</f>
        <v>277.95858456140348</v>
      </c>
      <c r="AD2" s="232">
        <f>O21</f>
        <v>299.9193145614035</v>
      </c>
      <c r="AE2" s="232">
        <f>O22</f>
        <v>321.88004456140351</v>
      </c>
      <c r="AF2" s="232">
        <f>O23</f>
        <v>343.84077456140352</v>
      </c>
      <c r="AG2" s="232">
        <f>O24</f>
        <v>365.80150456140353</v>
      </c>
      <c r="AH2" s="232">
        <f>O25</f>
        <v>395.26223456140349</v>
      </c>
      <c r="AI2" s="232">
        <f>O26</f>
        <v>417.2229645614035</v>
      </c>
      <c r="AJ2" s="232">
        <f>O27</f>
        <v>439.18369456140351</v>
      </c>
      <c r="AK2" s="232">
        <f>O28</f>
        <v>461.14442456140353</v>
      </c>
      <c r="AL2" s="232">
        <f>O29</f>
        <v>483.10515456140348</v>
      </c>
      <c r="AM2" s="232">
        <f>O30</f>
        <v>505.06588456140349</v>
      </c>
      <c r="AN2" s="232">
        <f>O31</f>
        <v>527.02661456140356</v>
      </c>
      <c r="AO2" s="232">
        <f>O32</f>
        <v>548.98734456140346</v>
      </c>
      <c r="AP2" s="232">
        <f>O33</f>
        <v>570.94807456140347</v>
      </c>
      <c r="AQ2" s="232">
        <f>O34</f>
        <v>592.90880456140349</v>
      </c>
      <c r="AR2" s="232">
        <f>O35</f>
        <v>614.8695345614035</v>
      </c>
      <c r="AS2" s="232">
        <f>O36</f>
        <v>636.83026456140351</v>
      </c>
      <c r="AT2" s="232">
        <f>O37</f>
        <v>658.79099456140352</v>
      </c>
      <c r="AU2" s="232">
        <f>O38</f>
        <v>680.75172456140353</v>
      </c>
      <c r="AV2" s="232">
        <f>O39</f>
        <v>702.71245456140355</v>
      </c>
      <c r="AW2" s="232">
        <f>O40</f>
        <v>724.67318456140356</v>
      </c>
      <c r="AX2" s="232">
        <f>O41</f>
        <v>754.13391456140346</v>
      </c>
      <c r="AY2" s="232">
        <f>O42</f>
        <v>776.09464456140347</v>
      </c>
      <c r="AZ2" s="232">
        <f>O43</f>
        <v>798.05537456140348</v>
      </c>
      <c r="BA2" s="232">
        <f>O44</f>
        <v>820.01610456140349</v>
      </c>
    </row>
    <row r="3" spans="1:53" s="4" customFormat="1" ht="18.75" customHeight="1" x14ac:dyDescent="0.25">
      <c r="A3" s="292" t="s">
        <v>207</v>
      </c>
      <c r="B3" s="292"/>
      <c r="C3"/>
      <c r="D3" s="50"/>
      <c r="E3" s="50"/>
      <c r="F3" s="159"/>
      <c r="G3" s="149" t="s">
        <v>187</v>
      </c>
      <c r="H3" s="105" t="s">
        <v>188</v>
      </c>
      <c r="I3" s="167" t="s">
        <v>6</v>
      </c>
      <c r="J3" s="177" t="s">
        <v>190</v>
      </c>
      <c r="K3" s="162" t="s">
        <v>200</v>
      </c>
      <c r="L3" s="171" t="s">
        <v>210</v>
      </c>
      <c r="M3" s="169" t="s">
        <v>210</v>
      </c>
      <c r="N3" s="173" t="s">
        <v>212</v>
      </c>
      <c r="O3" s="46"/>
      <c r="P3" s="189"/>
      <c r="Q3" s="44" t="s">
        <v>1</v>
      </c>
      <c r="R3" s="232">
        <f>O54</f>
        <v>44.272744561403506</v>
      </c>
      <c r="S3" s="232">
        <f>O55</f>
        <v>74.115664561403506</v>
      </c>
      <c r="T3" s="232">
        <f>O56</f>
        <v>103.95858456140353</v>
      </c>
      <c r="U3" s="232">
        <f>O57</f>
        <v>133.8015045614035</v>
      </c>
      <c r="V3" s="232">
        <f>O58</f>
        <v>171.1444245614035</v>
      </c>
      <c r="W3" s="232">
        <f>O59</f>
        <v>200.98734456140352</v>
      </c>
      <c r="X3" s="232">
        <f>O60</f>
        <v>230.83026456140351</v>
      </c>
      <c r="Y3" s="232">
        <f>O61</f>
        <v>260.6731845614035</v>
      </c>
      <c r="Z3" s="232">
        <f>O62</f>
        <v>298.01610456140349</v>
      </c>
      <c r="AA3" s="232">
        <f>O63</f>
        <v>327.85902456140349</v>
      </c>
      <c r="AB3" s="232">
        <f>O64</f>
        <v>357.70194456140348</v>
      </c>
      <c r="AC3" s="232">
        <f>O65</f>
        <v>387.54486456140353</v>
      </c>
      <c r="AD3" s="232">
        <f>O66</f>
        <v>424.88778456140352</v>
      </c>
      <c r="AE3" s="232">
        <f>O67</f>
        <v>454.73070456140351</v>
      </c>
      <c r="AF3" s="232">
        <f>O68</f>
        <v>484.57362456140351</v>
      </c>
      <c r="AG3" s="232">
        <f>O69</f>
        <v>514.4165445614035</v>
      </c>
      <c r="AH3" s="232">
        <f>O70</f>
        <v>551.75946456140355</v>
      </c>
      <c r="AI3" s="232">
        <f>O71</f>
        <v>581.60238456140348</v>
      </c>
      <c r="AJ3" s="232">
        <f>O72</f>
        <v>611.44530456140353</v>
      </c>
      <c r="AK3" s="232">
        <f>O73</f>
        <v>641.28822456140347</v>
      </c>
      <c r="AL3" s="232">
        <f>O74</f>
        <v>678.63114456140352</v>
      </c>
      <c r="AM3" s="232">
        <f>O75</f>
        <v>708.47406456140345</v>
      </c>
      <c r="AN3" s="232">
        <f>O76</f>
        <v>738.3169845614035</v>
      </c>
      <c r="AO3" s="232">
        <f>O77</f>
        <v>768.15990456140355</v>
      </c>
      <c r="AP3" s="232">
        <f>O78</f>
        <v>805.50282456140349</v>
      </c>
      <c r="AQ3" s="232">
        <f>O79</f>
        <v>835.34574456140354</v>
      </c>
      <c r="AR3" s="232">
        <f>O80</f>
        <v>865.18866456140347</v>
      </c>
      <c r="AS3" s="232">
        <f>O81</f>
        <v>895.03158456140352</v>
      </c>
      <c r="AT3" s="232">
        <f>O82</f>
        <v>932.37450456140346</v>
      </c>
      <c r="AU3" s="232">
        <f>O83</f>
        <v>962.2174245614035</v>
      </c>
      <c r="AV3" s="232">
        <f>O84</f>
        <v>992.06034456140355</v>
      </c>
      <c r="AW3" s="232">
        <f>O85</f>
        <v>1021.9032645614035</v>
      </c>
      <c r="AX3" s="232">
        <f>O86</f>
        <v>1059.2461845614037</v>
      </c>
      <c r="AY3" s="232">
        <f>O87</f>
        <v>1089.0891045614037</v>
      </c>
      <c r="AZ3" s="232">
        <f>O88</f>
        <v>1118.9320245614035</v>
      </c>
      <c r="BA3" s="232">
        <f>O89</f>
        <v>1148.7749445614036</v>
      </c>
    </row>
    <row r="4" spans="1:53" s="4" customFormat="1" ht="18.75" customHeight="1" x14ac:dyDescent="0.25">
      <c r="A4" s="292"/>
      <c r="B4" s="292"/>
      <c r="C4"/>
      <c r="D4" s="50"/>
      <c r="E4" s="50" t="s">
        <v>10</v>
      </c>
      <c r="F4" s="181">
        <v>55</v>
      </c>
      <c r="G4" s="150">
        <v>10</v>
      </c>
      <c r="H4" s="105">
        <v>12</v>
      </c>
      <c r="I4" s="46"/>
      <c r="J4" s="179">
        <v>20</v>
      </c>
      <c r="K4" s="161">
        <v>35</v>
      </c>
      <c r="L4" s="153">
        <f>12000/(420+100+50)*25%</f>
        <v>5.2631578947368425</v>
      </c>
      <c r="M4" s="172">
        <f>10000/6000</f>
        <v>1.6666666666666667</v>
      </c>
      <c r="N4" s="174">
        <v>0</v>
      </c>
      <c r="O4" s="46"/>
      <c r="P4" s="189"/>
      <c r="Q4" s="44"/>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row>
    <row r="5" spans="1:53" x14ac:dyDescent="0.25">
      <c r="F5" s="182" t="s">
        <v>170</v>
      </c>
      <c r="J5" s="177" t="s">
        <v>217</v>
      </c>
      <c r="P5" s="190"/>
      <c r="Q5" s="44"/>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row>
    <row r="6" spans="1:53" x14ac:dyDescent="0.25">
      <c r="A6" s="147" t="s">
        <v>8</v>
      </c>
      <c r="B6" s="294" t="s">
        <v>238</v>
      </c>
      <c r="C6" s="294" t="s">
        <v>239</v>
      </c>
      <c r="D6" s="294" t="s">
        <v>240</v>
      </c>
      <c r="E6" s="294" t="s">
        <v>241</v>
      </c>
      <c r="F6" s="41"/>
      <c r="J6" s="177" t="s">
        <v>91</v>
      </c>
      <c r="P6" s="190"/>
      <c r="V6" s="35"/>
    </row>
    <row r="7" spans="1:53" x14ac:dyDescent="0.25">
      <c r="B7" s="294"/>
      <c r="C7" s="294"/>
      <c r="D7" s="294"/>
      <c r="E7" s="294"/>
      <c r="P7" s="190"/>
      <c r="Q7" s="147" t="s">
        <v>134</v>
      </c>
      <c r="V7" s="35"/>
    </row>
    <row r="8" spans="1:53" x14ac:dyDescent="0.25">
      <c r="D8" s="86"/>
      <c r="E8" s="185"/>
      <c r="P8" s="190"/>
      <c r="S8" s="142"/>
      <c r="T8" s="142"/>
      <c r="U8" s="142"/>
      <c r="V8" s="142"/>
    </row>
    <row r="9" spans="1:53" x14ac:dyDescent="0.25">
      <c r="A9" s="147">
        <v>1</v>
      </c>
      <c r="B9" s="230">
        <v>1</v>
      </c>
      <c r="C9" s="155">
        <v>0.1</v>
      </c>
      <c r="D9" s="229">
        <f>C9*1*B9</f>
        <v>0.1</v>
      </c>
      <c r="E9" s="202">
        <f>D9-(3.1416*0.025*0.025*A9)</f>
        <v>9.8036499999999999E-2</v>
      </c>
      <c r="F9" s="203">
        <f>D9*F$4</f>
        <v>5.5</v>
      </c>
      <c r="G9" s="204">
        <f>A9*G$4</f>
        <v>10</v>
      </c>
      <c r="H9" s="204">
        <f>A9*H$4</f>
        <v>12</v>
      </c>
      <c r="I9" s="205">
        <f>SUM(F9:H9)</f>
        <v>27.5</v>
      </c>
      <c r="J9" s="203">
        <f>E9*J$4</f>
        <v>1.9607299999999999</v>
      </c>
      <c r="K9" s="206"/>
      <c r="L9" s="207">
        <f>L$4</f>
        <v>5.2631578947368425</v>
      </c>
      <c r="M9" s="207">
        <f>M$4</f>
        <v>1.6666666666666667</v>
      </c>
      <c r="N9" s="207">
        <f>SUM(I9:M9)*N$4</f>
        <v>0</v>
      </c>
      <c r="O9" s="208">
        <f>SUM(I9:N9)</f>
        <v>36.390554561403505</v>
      </c>
      <c r="P9" s="190"/>
      <c r="Q9" s="196">
        <f>O9/A9</f>
        <v>36.390554561403505</v>
      </c>
      <c r="S9" s="142"/>
      <c r="T9" s="142"/>
      <c r="U9" s="141"/>
      <c r="V9" s="142"/>
    </row>
    <row r="10" spans="1:53" ht="15" customHeight="1" x14ac:dyDescent="0.25">
      <c r="A10" s="147">
        <v>2</v>
      </c>
      <c r="B10" s="230">
        <v>1</v>
      </c>
      <c r="C10" s="155">
        <f>C9</f>
        <v>0.1</v>
      </c>
      <c r="D10" s="229">
        <f t="shared" ref="D10:D17" si="0">C10*1*B10</f>
        <v>0.1</v>
      </c>
      <c r="E10" s="202">
        <f t="shared" ref="E10:E44" si="1">D10-(3.1416*0.025*0.025*A10)</f>
        <v>9.6073000000000006E-2</v>
      </c>
      <c r="F10" s="203">
        <f t="shared" ref="F10:F18" si="2">D10*F$4</f>
        <v>5.5</v>
      </c>
      <c r="G10" s="204">
        <f t="shared" ref="G10:G18" si="3">A10*G$4</f>
        <v>20</v>
      </c>
      <c r="H10" s="204">
        <f t="shared" ref="H10:H18" si="4">A10*H$4</f>
        <v>24</v>
      </c>
      <c r="I10" s="205">
        <f t="shared" ref="I10:I18" si="5">SUM(F10:H10)</f>
        <v>49.5</v>
      </c>
      <c r="J10" s="203">
        <f t="shared" ref="J10:J18" si="6">E10*J$4</f>
        <v>1.9214600000000002</v>
      </c>
      <c r="K10" s="206"/>
      <c r="L10" s="207">
        <f>L$4</f>
        <v>5.2631578947368425</v>
      </c>
      <c r="M10" s="207">
        <f t="shared" ref="L10:M44" si="7">M$4</f>
        <v>1.6666666666666667</v>
      </c>
      <c r="N10" s="207">
        <f>SUM(I10:M10)*N$4</f>
        <v>0</v>
      </c>
      <c r="O10" s="208">
        <f>SUM(I10:N10)</f>
        <v>58.35128456140351</v>
      </c>
      <c r="P10" s="190"/>
      <c r="Q10" s="196">
        <f>O10/A10</f>
        <v>29.175642280701755</v>
      </c>
      <c r="R10" s="224"/>
      <c r="S10" s="224"/>
      <c r="T10" s="220"/>
      <c r="U10" s="220"/>
      <c r="V10" s="220"/>
      <c r="W10" s="224"/>
    </row>
    <row r="11" spans="1:53" ht="15" customHeight="1" x14ac:dyDescent="0.25">
      <c r="A11" s="147">
        <v>3</v>
      </c>
      <c r="B11" s="230">
        <v>1</v>
      </c>
      <c r="C11" s="155">
        <f t="shared" ref="C11:C44" si="8">C10</f>
        <v>0.1</v>
      </c>
      <c r="D11" s="229">
        <f t="shared" si="0"/>
        <v>0.1</v>
      </c>
      <c r="E11" s="202">
        <f t="shared" si="1"/>
        <v>9.4109500000000013E-2</v>
      </c>
      <c r="F11" s="203">
        <f t="shared" si="2"/>
        <v>5.5</v>
      </c>
      <c r="G11" s="204">
        <f t="shared" si="3"/>
        <v>30</v>
      </c>
      <c r="H11" s="204">
        <f t="shared" si="4"/>
        <v>36</v>
      </c>
      <c r="I11" s="205">
        <f t="shared" si="5"/>
        <v>71.5</v>
      </c>
      <c r="J11" s="203">
        <f t="shared" si="6"/>
        <v>1.8821900000000003</v>
      </c>
      <c r="K11" s="206"/>
      <c r="L11" s="207">
        <f t="shared" si="7"/>
        <v>5.2631578947368425</v>
      </c>
      <c r="M11" s="207">
        <f t="shared" si="7"/>
        <v>1.6666666666666667</v>
      </c>
      <c r="N11" s="207">
        <f>SUM(I11:M11)*N$4</f>
        <v>0</v>
      </c>
      <c r="O11" s="208">
        <f>SUM(I11:N11)</f>
        <v>80.312014561403501</v>
      </c>
      <c r="P11" s="190"/>
      <c r="Q11" s="196">
        <f>O11/A11</f>
        <v>26.770671520467832</v>
      </c>
      <c r="R11" s="225"/>
      <c r="S11" s="224"/>
      <c r="T11" s="220"/>
      <c r="U11" s="220"/>
      <c r="V11" s="220"/>
      <c r="W11" s="224"/>
    </row>
    <row r="12" spans="1:53" ht="15" customHeight="1" x14ac:dyDescent="0.25">
      <c r="A12" s="147">
        <v>4</v>
      </c>
      <c r="B12" s="230">
        <v>1</v>
      </c>
      <c r="C12" s="155">
        <f t="shared" si="8"/>
        <v>0.1</v>
      </c>
      <c r="D12" s="229">
        <f t="shared" si="0"/>
        <v>0.1</v>
      </c>
      <c r="E12" s="202">
        <f t="shared" si="1"/>
        <v>9.2146000000000006E-2</v>
      </c>
      <c r="F12" s="203">
        <f t="shared" si="2"/>
        <v>5.5</v>
      </c>
      <c r="G12" s="204">
        <f t="shared" si="3"/>
        <v>40</v>
      </c>
      <c r="H12" s="204">
        <f t="shared" si="4"/>
        <v>48</v>
      </c>
      <c r="I12" s="205">
        <f t="shared" si="5"/>
        <v>93.5</v>
      </c>
      <c r="J12" s="203">
        <f t="shared" si="6"/>
        <v>1.8429200000000001</v>
      </c>
      <c r="K12" s="206"/>
      <c r="L12" s="207">
        <f t="shared" si="7"/>
        <v>5.2631578947368425</v>
      </c>
      <c r="M12" s="207">
        <f t="shared" si="7"/>
        <v>1.6666666666666667</v>
      </c>
      <c r="N12" s="207">
        <f>SUM(I12:M12)*N$4</f>
        <v>0</v>
      </c>
      <c r="O12" s="208">
        <f>SUM(I12:N12)</f>
        <v>102.27274456140351</v>
      </c>
      <c r="P12" s="190"/>
      <c r="Q12" s="196">
        <f t="shared" ref="Q12:Q44" si="9">O12/A12</f>
        <v>25.568186140350878</v>
      </c>
      <c r="R12" s="224"/>
      <c r="S12" s="220"/>
      <c r="T12" s="220"/>
      <c r="U12" s="220"/>
      <c r="V12" s="220"/>
      <c r="W12" s="224"/>
    </row>
    <row r="13" spans="1:53" ht="15" customHeight="1" x14ac:dyDescent="0.25">
      <c r="A13" s="147">
        <v>5</v>
      </c>
      <c r="B13" s="230">
        <v>1</v>
      </c>
      <c r="C13" s="155">
        <f t="shared" si="8"/>
        <v>0.1</v>
      </c>
      <c r="D13" s="229">
        <f t="shared" si="0"/>
        <v>0.1</v>
      </c>
      <c r="E13" s="202">
        <f t="shared" si="1"/>
        <v>9.0182499999999999E-2</v>
      </c>
      <c r="F13" s="203">
        <f t="shared" si="2"/>
        <v>5.5</v>
      </c>
      <c r="G13" s="204">
        <f t="shared" si="3"/>
        <v>50</v>
      </c>
      <c r="H13" s="204">
        <f t="shared" si="4"/>
        <v>60</v>
      </c>
      <c r="I13" s="205">
        <f t="shared" si="5"/>
        <v>115.5</v>
      </c>
      <c r="J13" s="203">
        <f t="shared" si="6"/>
        <v>1.80365</v>
      </c>
      <c r="K13" s="206"/>
      <c r="L13" s="207">
        <f t="shared" si="7"/>
        <v>5.2631578947368425</v>
      </c>
      <c r="M13" s="207">
        <f t="shared" si="7"/>
        <v>1.6666666666666667</v>
      </c>
      <c r="N13" s="207">
        <f>SUM(I13:M13)*N$4</f>
        <v>0</v>
      </c>
      <c r="O13" s="208">
        <f>SUM(I13:N13)</f>
        <v>124.23347456140353</v>
      </c>
      <c r="P13" s="190"/>
      <c r="Q13" s="196">
        <f t="shared" si="9"/>
        <v>24.846694912280704</v>
      </c>
      <c r="R13" s="224"/>
      <c r="S13" s="220"/>
      <c r="T13" s="220"/>
      <c r="U13" s="221"/>
      <c r="V13" s="220"/>
      <c r="W13" s="224"/>
    </row>
    <row r="14" spans="1:53" ht="15" customHeight="1" x14ac:dyDescent="0.25">
      <c r="A14" s="147">
        <v>6</v>
      </c>
      <c r="B14" s="230">
        <v>1</v>
      </c>
      <c r="C14" s="155">
        <f t="shared" si="8"/>
        <v>0.1</v>
      </c>
      <c r="D14" s="229">
        <f t="shared" si="0"/>
        <v>0.1</v>
      </c>
      <c r="E14" s="202">
        <f t="shared" si="1"/>
        <v>8.8219000000000006E-2</v>
      </c>
      <c r="F14" s="203">
        <f t="shared" si="2"/>
        <v>5.5</v>
      </c>
      <c r="G14" s="204">
        <f t="shared" si="3"/>
        <v>60</v>
      </c>
      <c r="H14" s="204">
        <f t="shared" si="4"/>
        <v>72</v>
      </c>
      <c r="I14" s="205">
        <f t="shared" si="5"/>
        <v>137.5</v>
      </c>
      <c r="J14" s="203">
        <f t="shared" si="6"/>
        <v>1.7643800000000001</v>
      </c>
      <c r="K14" s="206"/>
      <c r="L14" s="207">
        <f t="shared" si="7"/>
        <v>5.2631578947368425</v>
      </c>
      <c r="M14" s="207">
        <f t="shared" si="7"/>
        <v>1.6666666666666667</v>
      </c>
      <c r="N14" s="207">
        <f t="shared" ref="N14:N44" si="10">SUM(I14:M14)*N$4</f>
        <v>0</v>
      </c>
      <c r="O14" s="208">
        <f t="shared" ref="O14:O44" si="11">SUM(I14:N14)</f>
        <v>146.1942045614035</v>
      </c>
      <c r="P14" s="190"/>
      <c r="Q14" s="196">
        <f t="shared" si="9"/>
        <v>24.365700760233917</v>
      </c>
      <c r="R14" s="224"/>
      <c r="S14" s="220"/>
      <c r="T14" s="224"/>
      <c r="U14" s="224"/>
      <c r="V14" s="224"/>
      <c r="W14" s="224"/>
    </row>
    <row r="15" spans="1:53" ht="15" customHeight="1" x14ac:dyDescent="0.25">
      <c r="A15" s="147">
        <v>7</v>
      </c>
      <c r="B15" s="230">
        <v>1</v>
      </c>
      <c r="C15" s="155">
        <f t="shared" si="8"/>
        <v>0.1</v>
      </c>
      <c r="D15" s="229">
        <f t="shared" si="0"/>
        <v>0.1</v>
      </c>
      <c r="E15" s="202">
        <f t="shared" si="1"/>
        <v>8.6255500000000013E-2</v>
      </c>
      <c r="F15" s="203">
        <f t="shared" si="2"/>
        <v>5.5</v>
      </c>
      <c r="G15" s="204">
        <f t="shared" si="3"/>
        <v>70</v>
      </c>
      <c r="H15" s="204">
        <f t="shared" si="4"/>
        <v>84</v>
      </c>
      <c r="I15" s="205">
        <f t="shared" si="5"/>
        <v>159.5</v>
      </c>
      <c r="J15" s="203">
        <f t="shared" si="6"/>
        <v>1.7251100000000004</v>
      </c>
      <c r="K15" s="206"/>
      <c r="L15" s="207">
        <f t="shared" si="7"/>
        <v>5.2631578947368425</v>
      </c>
      <c r="M15" s="207">
        <f t="shared" si="7"/>
        <v>1.6666666666666667</v>
      </c>
      <c r="N15" s="207">
        <f t="shared" si="10"/>
        <v>0</v>
      </c>
      <c r="O15" s="208">
        <f t="shared" si="11"/>
        <v>168.15493456140351</v>
      </c>
      <c r="P15" s="190"/>
      <c r="Q15" s="196">
        <f t="shared" si="9"/>
        <v>24.02213350877193</v>
      </c>
      <c r="R15" s="224"/>
      <c r="S15" s="224"/>
      <c r="T15" s="224"/>
      <c r="U15" s="224"/>
      <c r="V15" s="224"/>
      <c r="W15" s="224"/>
    </row>
    <row r="16" spans="1:53" ht="15" customHeight="1" x14ac:dyDescent="0.25">
      <c r="A16" s="147">
        <v>8</v>
      </c>
      <c r="B16" s="230">
        <v>1</v>
      </c>
      <c r="C16" s="155">
        <f t="shared" si="8"/>
        <v>0.1</v>
      </c>
      <c r="D16" s="229">
        <f t="shared" si="0"/>
        <v>0.1</v>
      </c>
      <c r="E16" s="202">
        <f t="shared" si="1"/>
        <v>8.4292000000000006E-2</v>
      </c>
      <c r="F16" s="203">
        <f t="shared" si="2"/>
        <v>5.5</v>
      </c>
      <c r="G16" s="204">
        <f t="shared" si="3"/>
        <v>80</v>
      </c>
      <c r="H16" s="204">
        <f t="shared" si="4"/>
        <v>96</v>
      </c>
      <c r="I16" s="205">
        <f t="shared" si="5"/>
        <v>181.5</v>
      </c>
      <c r="J16" s="203">
        <f t="shared" si="6"/>
        <v>1.6858400000000002</v>
      </c>
      <c r="K16" s="206"/>
      <c r="L16" s="207">
        <f t="shared" si="7"/>
        <v>5.2631578947368425</v>
      </c>
      <c r="M16" s="207">
        <f t="shared" si="7"/>
        <v>1.6666666666666667</v>
      </c>
      <c r="N16" s="207">
        <f t="shared" si="10"/>
        <v>0</v>
      </c>
      <c r="O16" s="208">
        <f t="shared" si="11"/>
        <v>190.11566456140352</v>
      </c>
      <c r="P16" s="190"/>
      <c r="Q16" s="196">
        <f t="shared" si="9"/>
        <v>23.76445807017544</v>
      </c>
      <c r="R16" s="224"/>
      <c r="S16" s="224"/>
      <c r="T16" s="226"/>
      <c r="U16" s="227"/>
      <c r="V16" s="224"/>
      <c r="W16" s="224"/>
    </row>
    <row r="17" spans="1:23" ht="15" customHeight="1" x14ac:dyDescent="0.25">
      <c r="A17" s="147">
        <v>9</v>
      </c>
      <c r="B17" s="230">
        <v>1</v>
      </c>
      <c r="C17" s="155">
        <f t="shared" si="8"/>
        <v>0.1</v>
      </c>
      <c r="D17" s="229">
        <f t="shared" si="0"/>
        <v>0.1</v>
      </c>
      <c r="E17" s="202">
        <f t="shared" si="1"/>
        <v>8.2328499999999999E-2</v>
      </c>
      <c r="F17" s="203">
        <f t="shared" si="2"/>
        <v>5.5</v>
      </c>
      <c r="G17" s="204">
        <f t="shared" si="3"/>
        <v>90</v>
      </c>
      <c r="H17" s="204">
        <f t="shared" si="4"/>
        <v>108</v>
      </c>
      <c r="I17" s="205">
        <f t="shared" si="5"/>
        <v>203.5</v>
      </c>
      <c r="J17" s="203">
        <f t="shared" si="6"/>
        <v>1.6465700000000001</v>
      </c>
      <c r="K17" s="206"/>
      <c r="L17" s="207">
        <f t="shared" si="7"/>
        <v>5.2631578947368425</v>
      </c>
      <c r="M17" s="207">
        <f t="shared" si="7"/>
        <v>1.6666666666666667</v>
      </c>
      <c r="N17" s="207">
        <f t="shared" si="10"/>
        <v>0</v>
      </c>
      <c r="O17" s="208">
        <f t="shared" si="11"/>
        <v>212.0763945614035</v>
      </c>
      <c r="P17" s="190"/>
      <c r="Q17" s="196">
        <f t="shared" si="9"/>
        <v>23.564043840155946</v>
      </c>
      <c r="R17" s="222"/>
      <c r="S17" s="222"/>
      <c r="T17" s="225"/>
      <c r="U17" s="227"/>
      <c r="V17" s="224"/>
      <c r="W17" s="224"/>
    </row>
    <row r="18" spans="1:23" ht="15" customHeight="1" x14ac:dyDescent="0.25">
      <c r="A18" s="147">
        <v>10</v>
      </c>
      <c r="B18" s="230">
        <v>1</v>
      </c>
      <c r="C18" s="155">
        <f t="shared" si="8"/>
        <v>0.1</v>
      </c>
      <c r="D18" s="229">
        <f>C18*1*B18</f>
        <v>0.1</v>
      </c>
      <c r="E18" s="202">
        <f t="shared" si="1"/>
        <v>8.0365000000000006E-2</v>
      </c>
      <c r="F18" s="203">
        <f t="shared" si="2"/>
        <v>5.5</v>
      </c>
      <c r="G18" s="204">
        <f t="shared" si="3"/>
        <v>100</v>
      </c>
      <c r="H18" s="204">
        <f t="shared" si="4"/>
        <v>120</v>
      </c>
      <c r="I18" s="205">
        <f t="shared" si="5"/>
        <v>225.5</v>
      </c>
      <c r="J18" s="203">
        <f t="shared" si="6"/>
        <v>1.6073000000000002</v>
      </c>
      <c r="K18" s="206"/>
      <c r="L18" s="207">
        <f t="shared" si="7"/>
        <v>5.2631578947368425</v>
      </c>
      <c r="M18" s="207">
        <f t="shared" si="7"/>
        <v>1.6666666666666667</v>
      </c>
      <c r="N18" s="207">
        <f t="shared" si="10"/>
        <v>0</v>
      </c>
      <c r="O18" s="208">
        <f t="shared" si="11"/>
        <v>234.03712456140352</v>
      </c>
      <c r="P18" s="190"/>
      <c r="Q18" s="196">
        <f t="shared" si="9"/>
        <v>23.403712456140351</v>
      </c>
      <c r="R18" s="222"/>
      <c r="S18" s="222"/>
      <c r="T18" s="225"/>
      <c r="U18" s="227"/>
      <c r="V18" s="224"/>
      <c r="W18" s="224"/>
    </row>
    <row r="19" spans="1:23" ht="15" customHeight="1" x14ac:dyDescent="0.25">
      <c r="A19" s="147">
        <v>11</v>
      </c>
      <c r="B19" s="230">
        <v>1</v>
      </c>
      <c r="C19" s="155">
        <f t="shared" si="8"/>
        <v>0.1</v>
      </c>
      <c r="D19" s="229">
        <f t="shared" ref="D19:D44" si="12">C19*1*B19</f>
        <v>0.1</v>
      </c>
      <c r="E19" s="202">
        <f t="shared" si="1"/>
        <v>7.8401500000000013E-2</v>
      </c>
      <c r="F19" s="203">
        <f t="shared" ref="F19:F44" si="13">D19*F$4</f>
        <v>5.5</v>
      </c>
      <c r="G19" s="204">
        <f t="shared" ref="G19:G44" si="14">A19*G$4</f>
        <v>110</v>
      </c>
      <c r="H19" s="204">
        <f t="shared" ref="H19:H44" si="15">A19*H$4</f>
        <v>132</v>
      </c>
      <c r="I19" s="205">
        <f t="shared" ref="I19:I44" si="16">SUM(F19:H19)</f>
        <v>247.5</v>
      </c>
      <c r="J19" s="203">
        <f t="shared" ref="J19:J38" si="17">E19*J$4</f>
        <v>1.5680300000000003</v>
      </c>
      <c r="K19" s="206"/>
      <c r="L19" s="207">
        <f t="shared" si="7"/>
        <v>5.2631578947368425</v>
      </c>
      <c r="M19" s="207">
        <f t="shared" si="7"/>
        <v>1.6666666666666667</v>
      </c>
      <c r="N19" s="207">
        <f t="shared" si="10"/>
        <v>0</v>
      </c>
      <c r="O19" s="208">
        <f t="shared" si="11"/>
        <v>255.9978545614035</v>
      </c>
      <c r="P19" s="190"/>
      <c r="Q19" s="196">
        <f t="shared" si="9"/>
        <v>23.272532232854864</v>
      </c>
      <c r="R19" s="224"/>
      <c r="S19" s="224"/>
      <c r="T19" s="224"/>
      <c r="U19" s="224"/>
      <c r="V19" s="224"/>
      <c r="W19" s="224"/>
    </row>
    <row r="20" spans="1:23" ht="15" customHeight="1" x14ac:dyDescent="0.25">
      <c r="A20" s="147">
        <v>12</v>
      </c>
      <c r="B20" s="230">
        <v>1</v>
      </c>
      <c r="C20" s="155">
        <f t="shared" si="8"/>
        <v>0.1</v>
      </c>
      <c r="D20" s="229">
        <f t="shared" si="12"/>
        <v>0.1</v>
      </c>
      <c r="E20" s="202">
        <f t="shared" si="1"/>
        <v>7.6438000000000006E-2</v>
      </c>
      <c r="F20" s="203">
        <f t="shared" si="13"/>
        <v>5.5</v>
      </c>
      <c r="G20" s="204">
        <f t="shared" si="14"/>
        <v>120</v>
      </c>
      <c r="H20" s="204">
        <f t="shared" si="15"/>
        <v>144</v>
      </c>
      <c r="I20" s="205">
        <f t="shared" si="16"/>
        <v>269.5</v>
      </c>
      <c r="J20" s="203">
        <f t="shared" si="17"/>
        <v>1.5287600000000001</v>
      </c>
      <c r="K20" s="206"/>
      <c r="L20" s="207">
        <f t="shared" si="7"/>
        <v>5.2631578947368425</v>
      </c>
      <c r="M20" s="207">
        <f t="shared" si="7"/>
        <v>1.6666666666666667</v>
      </c>
      <c r="N20" s="207">
        <f t="shared" si="10"/>
        <v>0</v>
      </c>
      <c r="O20" s="208">
        <f t="shared" si="11"/>
        <v>277.95858456140348</v>
      </c>
      <c r="P20" s="190"/>
      <c r="Q20" s="196">
        <f t="shared" si="9"/>
        <v>23.163215380116956</v>
      </c>
      <c r="R20" s="224"/>
      <c r="S20" s="224"/>
      <c r="T20" s="224"/>
      <c r="U20" s="224"/>
      <c r="V20" s="224"/>
      <c r="W20" s="224"/>
    </row>
    <row r="21" spans="1:23" ht="15" customHeight="1" x14ac:dyDescent="0.25">
      <c r="A21" s="147">
        <v>13</v>
      </c>
      <c r="B21" s="230">
        <v>1</v>
      </c>
      <c r="C21" s="155">
        <f t="shared" si="8"/>
        <v>0.1</v>
      </c>
      <c r="D21" s="229">
        <f t="shared" si="12"/>
        <v>0.1</v>
      </c>
      <c r="E21" s="202">
        <f t="shared" si="1"/>
        <v>7.4474499999999999E-2</v>
      </c>
      <c r="F21" s="203">
        <f t="shared" si="13"/>
        <v>5.5</v>
      </c>
      <c r="G21" s="204">
        <f t="shared" si="14"/>
        <v>130</v>
      </c>
      <c r="H21" s="204">
        <f t="shared" si="15"/>
        <v>156</v>
      </c>
      <c r="I21" s="205">
        <f t="shared" si="16"/>
        <v>291.5</v>
      </c>
      <c r="J21" s="203">
        <f t="shared" si="17"/>
        <v>1.48949</v>
      </c>
      <c r="K21" s="206"/>
      <c r="L21" s="207">
        <f t="shared" si="7"/>
        <v>5.2631578947368425</v>
      </c>
      <c r="M21" s="207">
        <f t="shared" si="7"/>
        <v>1.6666666666666667</v>
      </c>
      <c r="N21" s="207">
        <f t="shared" si="10"/>
        <v>0</v>
      </c>
      <c r="O21" s="208">
        <f t="shared" si="11"/>
        <v>299.9193145614035</v>
      </c>
      <c r="P21" s="190"/>
      <c r="Q21" s="196">
        <f t="shared" si="9"/>
        <v>23.070716504723347</v>
      </c>
      <c r="R21" s="224"/>
      <c r="S21" s="224"/>
      <c r="T21" s="224"/>
      <c r="U21" s="224"/>
      <c r="V21" s="224"/>
      <c r="W21" s="224"/>
    </row>
    <row r="22" spans="1:23" ht="15" customHeight="1" x14ac:dyDescent="0.25">
      <c r="A22" s="147">
        <v>14</v>
      </c>
      <c r="B22" s="230">
        <v>1</v>
      </c>
      <c r="C22" s="155">
        <f t="shared" si="8"/>
        <v>0.1</v>
      </c>
      <c r="D22" s="229">
        <f t="shared" si="12"/>
        <v>0.1</v>
      </c>
      <c r="E22" s="202">
        <f t="shared" si="1"/>
        <v>7.2511000000000006E-2</v>
      </c>
      <c r="F22" s="203">
        <f t="shared" si="13"/>
        <v>5.5</v>
      </c>
      <c r="G22" s="204">
        <f t="shared" si="14"/>
        <v>140</v>
      </c>
      <c r="H22" s="204">
        <f t="shared" si="15"/>
        <v>168</v>
      </c>
      <c r="I22" s="205">
        <f t="shared" si="16"/>
        <v>313.5</v>
      </c>
      <c r="J22" s="203">
        <f t="shared" si="17"/>
        <v>1.4502200000000001</v>
      </c>
      <c r="K22" s="206"/>
      <c r="L22" s="207">
        <f t="shared" si="7"/>
        <v>5.2631578947368425</v>
      </c>
      <c r="M22" s="207">
        <f t="shared" si="7"/>
        <v>1.6666666666666667</v>
      </c>
      <c r="N22" s="207">
        <f t="shared" si="10"/>
        <v>0</v>
      </c>
      <c r="O22" s="208">
        <f t="shared" si="11"/>
        <v>321.88004456140351</v>
      </c>
      <c r="P22" s="190"/>
      <c r="Q22" s="196">
        <f t="shared" si="9"/>
        <v>22.991431754385964</v>
      </c>
      <c r="R22" s="224"/>
      <c r="S22" s="224"/>
      <c r="T22" s="224"/>
      <c r="U22" s="224"/>
      <c r="V22" s="224"/>
      <c r="W22" s="224"/>
    </row>
    <row r="23" spans="1:23" ht="15" customHeight="1" x14ac:dyDescent="0.25">
      <c r="A23" s="147">
        <v>15</v>
      </c>
      <c r="B23" s="230">
        <v>1</v>
      </c>
      <c r="C23" s="155">
        <f t="shared" si="8"/>
        <v>0.1</v>
      </c>
      <c r="D23" s="229">
        <f t="shared" si="12"/>
        <v>0.1</v>
      </c>
      <c r="E23" s="202">
        <f t="shared" si="1"/>
        <v>7.0547500000000013E-2</v>
      </c>
      <c r="F23" s="203">
        <f t="shared" si="13"/>
        <v>5.5</v>
      </c>
      <c r="G23" s="204">
        <f t="shared" si="14"/>
        <v>150</v>
      </c>
      <c r="H23" s="204">
        <f t="shared" si="15"/>
        <v>180</v>
      </c>
      <c r="I23" s="205">
        <f t="shared" si="16"/>
        <v>335.5</v>
      </c>
      <c r="J23" s="203">
        <f t="shared" si="17"/>
        <v>1.4109500000000001</v>
      </c>
      <c r="K23" s="206"/>
      <c r="L23" s="207">
        <f t="shared" si="7"/>
        <v>5.2631578947368425</v>
      </c>
      <c r="M23" s="207">
        <f t="shared" si="7"/>
        <v>1.6666666666666667</v>
      </c>
      <c r="N23" s="207">
        <f t="shared" si="10"/>
        <v>0</v>
      </c>
      <c r="O23" s="208">
        <f t="shared" si="11"/>
        <v>343.84077456140352</v>
      </c>
      <c r="P23" s="190"/>
      <c r="Q23" s="196">
        <f t="shared" si="9"/>
        <v>22.922718304093568</v>
      </c>
      <c r="R23" s="223"/>
      <c r="S23" s="223"/>
      <c r="T23" s="223"/>
      <c r="U23" s="223"/>
      <c r="V23" s="223"/>
      <c r="W23" s="224"/>
    </row>
    <row r="24" spans="1:23" ht="15" customHeight="1" x14ac:dyDescent="0.25">
      <c r="A24" s="147">
        <v>16</v>
      </c>
      <c r="B24" s="230">
        <v>1</v>
      </c>
      <c r="C24" s="155">
        <f t="shared" si="8"/>
        <v>0.1</v>
      </c>
      <c r="D24" s="229">
        <f t="shared" si="12"/>
        <v>0.1</v>
      </c>
      <c r="E24" s="202">
        <f t="shared" si="1"/>
        <v>6.8584000000000006E-2</v>
      </c>
      <c r="F24" s="203">
        <f t="shared" si="13"/>
        <v>5.5</v>
      </c>
      <c r="G24" s="204">
        <f t="shared" si="14"/>
        <v>160</v>
      </c>
      <c r="H24" s="204">
        <f t="shared" si="15"/>
        <v>192</v>
      </c>
      <c r="I24" s="205">
        <f t="shared" si="16"/>
        <v>357.5</v>
      </c>
      <c r="J24" s="203">
        <f t="shared" si="17"/>
        <v>1.37168</v>
      </c>
      <c r="K24" s="206"/>
      <c r="L24" s="207">
        <f t="shared" si="7"/>
        <v>5.2631578947368425</v>
      </c>
      <c r="M24" s="207">
        <f t="shared" si="7"/>
        <v>1.6666666666666667</v>
      </c>
      <c r="N24" s="207">
        <f t="shared" si="10"/>
        <v>0</v>
      </c>
      <c r="O24" s="208">
        <f t="shared" si="11"/>
        <v>365.80150456140353</v>
      </c>
      <c r="P24" s="190"/>
      <c r="Q24" s="196">
        <f t="shared" si="9"/>
        <v>22.862594035087721</v>
      </c>
      <c r="R24" s="224"/>
      <c r="S24" s="224"/>
      <c r="T24" s="224"/>
      <c r="U24" s="224"/>
      <c r="V24" s="224"/>
      <c r="W24" s="224"/>
    </row>
    <row r="25" spans="1:23" ht="15" customHeight="1" x14ac:dyDescent="0.25">
      <c r="A25" s="147">
        <v>17</v>
      </c>
      <c r="B25" s="231">
        <v>2</v>
      </c>
      <c r="C25" s="155">
        <f t="shared" si="8"/>
        <v>0.1</v>
      </c>
      <c r="D25" s="229">
        <f t="shared" si="12"/>
        <v>0.2</v>
      </c>
      <c r="E25" s="202">
        <f t="shared" si="1"/>
        <v>0.1666205</v>
      </c>
      <c r="F25" s="203">
        <f t="shared" si="13"/>
        <v>11</v>
      </c>
      <c r="G25" s="204">
        <f t="shared" si="14"/>
        <v>170</v>
      </c>
      <c r="H25" s="204">
        <f t="shared" si="15"/>
        <v>204</v>
      </c>
      <c r="I25" s="205">
        <f t="shared" si="16"/>
        <v>385</v>
      </c>
      <c r="J25" s="203">
        <f t="shared" si="17"/>
        <v>3.3324100000000003</v>
      </c>
      <c r="K25" s="206"/>
      <c r="L25" s="207">
        <f t="shared" si="7"/>
        <v>5.2631578947368425</v>
      </c>
      <c r="M25" s="207">
        <f t="shared" si="7"/>
        <v>1.6666666666666667</v>
      </c>
      <c r="N25" s="207">
        <f t="shared" si="10"/>
        <v>0</v>
      </c>
      <c r="O25" s="208">
        <f t="shared" si="11"/>
        <v>395.26223456140349</v>
      </c>
      <c r="P25" s="190"/>
      <c r="Q25" s="196">
        <f t="shared" si="9"/>
        <v>23.250719680082558</v>
      </c>
      <c r="R25" s="224"/>
      <c r="S25" s="224"/>
      <c r="T25" s="224"/>
      <c r="U25" s="223"/>
      <c r="V25" s="224"/>
      <c r="W25" s="224"/>
    </row>
    <row r="26" spans="1:23" ht="15" customHeight="1" x14ac:dyDescent="0.25">
      <c r="A26" s="147">
        <v>18</v>
      </c>
      <c r="B26" s="231">
        <f t="shared" ref="B26:B40" si="18">B25</f>
        <v>2</v>
      </c>
      <c r="C26" s="155">
        <f t="shared" si="8"/>
        <v>0.1</v>
      </c>
      <c r="D26" s="229">
        <f t="shared" si="12"/>
        <v>0.2</v>
      </c>
      <c r="E26" s="202">
        <f t="shared" si="1"/>
        <v>0.164657</v>
      </c>
      <c r="F26" s="203">
        <f t="shared" si="13"/>
        <v>11</v>
      </c>
      <c r="G26" s="204">
        <f t="shared" si="14"/>
        <v>180</v>
      </c>
      <c r="H26" s="204">
        <f t="shared" si="15"/>
        <v>216</v>
      </c>
      <c r="I26" s="205">
        <f t="shared" si="16"/>
        <v>407</v>
      </c>
      <c r="J26" s="203">
        <f t="shared" si="17"/>
        <v>3.2931400000000002</v>
      </c>
      <c r="K26" s="206"/>
      <c r="L26" s="207">
        <f t="shared" si="7"/>
        <v>5.2631578947368425</v>
      </c>
      <c r="M26" s="207">
        <f t="shared" si="7"/>
        <v>1.6666666666666667</v>
      </c>
      <c r="N26" s="207">
        <f t="shared" si="10"/>
        <v>0</v>
      </c>
      <c r="O26" s="208">
        <f t="shared" si="11"/>
        <v>417.2229645614035</v>
      </c>
      <c r="P26" s="190"/>
      <c r="Q26" s="196">
        <f t="shared" si="9"/>
        <v>23.17905358674464</v>
      </c>
      <c r="R26" s="224"/>
      <c r="S26" s="224"/>
      <c r="T26" s="224"/>
      <c r="U26" s="223"/>
      <c r="V26" s="224"/>
      <c r="W26" s="224"/>
    </row>
    <row r="27" spans="1:23" ht="15" customHeight="1" x14ac:dyDescent="0.25">
      <c r="A27" s="147">
        <v>19</v>
      </c>
      <c r="B27" s="231">
        <f t="shared" si="18"/>
        <v>2</v>
      </c>
      <c r="C27" s="155">
        <f t="shared" si="8"/>
        <v>0.1</v>
      </c>
      <c r="D27" s="229">
        <f t="shared" si="12"/>
        <v>0.2</v>
      </c>
      <c r="E27" s="202">
        <f t="shared" si="1"/>
        <v>0.16269350000000002</v>
      </c>
      <c r="F27" s="203">
        <f t="shared" si="13"/>
        <v>11</v>
      </c>
      <c r="G27" s="204">
        <f t="shared" si="14"/>
        <v>190</v>
      </c>
      <c r="H27" s="204">
        <f t="shared" si="15"/>
        <v>228</v>
      </c>
      <c r="I27" s="205">
        <f t="shared" si="16"/>
        <v>429</v>
      </c>
      <c r="J27" s="203">
        <f t="shared" si="17"/>
        <v>3.2538700000000005</v>
      </c>
      <c r="K27" s="206"/>
      <c r="L27" s="207">
        <f t="shared" si="7"/>
        <v>5.2631578947368425</v>
      </c>
      <c r="M27" s="207">
        <f t="shared" si="7"/>
        <v>1.6666666666666667</v>
      </c>
      <c r="N27" s="207">
        <f t="shared" si="10"/>
        <v>0</v>
      </c>
      <c r="O27" s="208">
        <f t="shared" si="11"/>
        <v>439.18369456140351</v>
      </c>
      <c r="P27" s="190"/>
      <c r="Q27" s="196">
        <f t="shared" si="9"/>
        <v>23.11493129270545</v>
      </c>
      <c r="U27" s="37"/>
    </row>
    <row r="28" spans="1:23" ht="15" customHeight="1" x14ac:dyDescent="0.25">
      <c r="A28" s="147">
        <v>20</v>
      </c>
      <c r="B28" s="231">
        <f t="shared" si="18"/>
        <v>2</v>
      </c>
      <c r="C28" s="155">
        <f t="shared" si="8"/>
        <v>0.1</v>
      </c>
      <c r="D28" s="229">
        <f t="shared" si="12"/>
        <v>0.2</v>
      </c>
      <c r="E28" s="202">
        <f t="shared" si="1"/>
        <v>0.16073000000000001</v>
      </c>
      <c r="F28" s="203">
        <f t="shared" si="13"/>
        <v>11</v>
      </c>
      <c r="G28" s="204">
        <f t="shared" si="14"/>
        <v>200</v>
      </c>
      <c r="H28" s="204">
        <f t="shared" si="15"/>
        <v>240</v>
      </c>
      <c r="I28" s="205">
        <f t="shared" si="16"/>
        <v>451</v>
      </c>
      <c r="J28" s="203">
        <f t="shared" si="17"/>
        <v>3.2146000000000003</v>
      </c>
      <c r="K28" s="206"/>
      <c r="L28" s="207">
        <f t="shared" si="7"/>
        <v>5.2631578947368425</v>
      </c>
      <c r="M28" s="207">
        <f t="shared" si="7"/>
        <v>1.6666666666666667</v>
      </c>
      <c r="N28" s="207">
        <f t="shared" si="10"/>
        <v>0</v>
      </c>
      <c r="O28" s="208">
        <f t="shared" si="11"/>
        <v>461.14442456140353</v>
      </c>
      <c r="P28" s="190"/>
      <c r="Q28" s="196">
        <f t="shared" si="9"/>
        <v>23.057221228070176</v>
      </c>
      <c r="U28" s="37"/>
    </row>
    <row r="29" spans="1:23" ht="15" customHeight="1" x14ac:dyDescent="0.25">
      <c r="A29" s="147">
        <v>21</v>
      </c>
      <c r="B29" s="231">
        <f t="shared" si="18"/>
        <v>2</v>
      </c>
      <c r="C29" s="155">
        <f t="shared" si="8"/>
        <v>0.1</v>
      </c>
      <c r="D29" s="229">
        <f t="shared" si="12"/>
        <v>0.2</v>
      </c>
      <c r="E29" s="202">
        <f t="shared" si="1"/>
        <v>0.1587665</v>
      </c>
      <c r="F29" s="203">
        <f t="shared" si="13"/>
        <v>11</v>
      </c>
      <c r="G29" s="204">
        <f t="shared" si="14"/>
        <v>210</v>
      </c>
      <c r="H29" s="204">
        <f t="shared" si="15"/>
        <v>252</v>
      </c>
      <c r="I29" s="205">
        <f t="shared" si="16"/>
        <v>473</v>
      </c>
      <c r="J29" s="203">
        <f t="shared" si="17"/>
        <v>3.1753300000000002</v>
      </c>
      <c r="K29" s="206"/>
      <c r="L29" s="207">
        <f t="shared" si="7"/>
        <v>5.2631578947368425</v>
      </c>
      <c r="M29" s="207">
        <f t="shared" si="7"/>
        <v>1.6666666666666667</v>
      </c>
      <c r="N29" s="207">
        <f t="shared" si="10"/>
        <v>0</v>
      </c>
      <c r="O29" s="208">
        <f t="shared" si="11"/>
        <v>483.10515456140348</v>
      </c>
      <c r="P29" s="190"/>
      <c r="Q29" s="196">
        <f t="shared" si="9"/>
        <v>23.005007360066834</v>
      </c>
      <c r="U29" s="37"/>
    </row>
    <row r="30" spans="1:23" ht="15" customHeight="1" x14ac:dyDescent="0.25">
      <c r="A30" s="147">
        <v>22</v>
      </c>
      <c r="B30" s="231">
        <f t="shared" si="18"/>
        <v>2</v>
      </c>
      <c r="C30" s="155">
        <f t="shared" si="8"/>
        <v>0.1</v>
      </c>
      <c r="D30" s="229">
        <f t="shared" si="12"/>
        <v>0.2</v>
      </c>
      <c r="E30" s="202">
        <f t="shared" si="1"/>
        <v>0.15680300000000003</v>
      </c>
      <c r="F30" s="203">
        <f t="shared" si="13"/>
        <v>11</v>
      </c>
      <c r="G30" s="204">
        <f t="shared" si="14"/>
        <v>220</v>
      </c>
      <c r="H30" s="204">
        <f t="shared" si="15"/>
        <v>264</v>
      </c>
      <c r="I30" s="205">
        <f t="shared" si="16"/>
        <v>495</v>
      </c>
      <c r="J30" s="203">
        <f t="shared" si="17"/>
        <v>3.1360600000000005</v>
      </c>
      <c r="K30" s="206"/>
      <c r="L30" s="207">
        <f t="shared" si="7"/>
        <v>5.2631578947368425</v>
      </c>
      <c r="M30" s="207">
        <f t="shared" si="7"/>
        <v>1.6666666666666667</v>
      </c>
      <c r="N30" s="207">
        <f t="shared" si="10"/>
        <v>0</v>
      </c>
      <c r="O30" s="208">
        <f t="shared" si="11"/>
        <v>505.06588456140349</v>
      </c>
      <c r="P30" s="190"/>
      <c r="Q30" s="196">
        <f t="shared" si="9"/>
        <v>22.957540207336521</v>
      </c>
      <c r="U30" s="37"/>
    </row>
    <row r="31" spans="1:23" ht="15" customHeight="1" x14ac:dyDescent="0.25">
      <c r="A31" s="147">
        <v>23</v>
      </c>
      <c r="B31" s="231">
        <f t="shared" si="18"/>
        <v>2</v>
      </c>
      <c r="C31" s="155">
        <f t="shared" si="8"/>
        <v>0.1</v>
      </c>
      <c r="D31" s="229">
        <f t="shared" si="12"/>
        <v>0.2</v>
      </c>
      <c r="E31" s="202">
        <f t="shared" si="1"/>
        <v>0.15483950000000002</v>
      </c>
      <c r="F31" s="203">
        <f t="shared" si="13"/>
        <v>11</v>
      </c>
      <c r="G31" s="204">
        <f t="shared" si="14"/>
        <v>230</v>
      </c>
      <c r="H31" s="204">
        <f t="shared" si="15"/>
        <v>276</v>
      </c>
      <c r="I31" s="205">
        <f t="shared" si="16"/>
        <v>517</v>
      </c>
      <c r="J31" s="203">
        <f t="shared" si="17"/>
        <v>3.0967900000000004</v>
      </c>
      <c r="K31" s="206"/>
      <c r="L31" s="207">
        <f t="shared" si="7"/>
        <v>5.2631578947368425</v>
      </c>
      <c r="M31" s="207">
        <f t="shared" si="7"/>
        <v>1.6666666666666667</v>
      </c>
      <c r="N31" s="207">
        <f t="shared" si="10"/>
        <v>0</v>
      </c>
      <c r="O31" s="208">
        <f t="shared" si="11"/>
        <v>527.02661456140356</v>
      </c>
      <c r="P31" s="190"/>
      <c r="Q31" s="196">
        <f t="shared" si="9"/>
        <v>22.914200633104503</v>
      </c>
      <c r="U31" s="37"/>
    </row>
    <row r="32" spans="1:23" ht="15" customHeight="1" x14ac:dyDescent="0.25">
      <c r="A32" s="147">
        <v>24</v>
      </c>
      <c r="B32" s="231">
        <f t="shared" si="18"/>
        <v>2</v>
      </c>
      <c r="C32" s="155">
        <f t="shared" si="8"/>
        <v>0.1</v>
      </c>
      <c r="D32" s="229">
        <f t="shared" si="12"/>
        <v>0.2</v>
      </c>
      <c r="E32" s="202">
        <f t="shared" si="1"/>
        <v>0.15287600000000001</v>
      </c>
      <c r="F32" s="203">
        <f t="shared" si="13"/>
        <v>11</v>
      </c>
      <c r="G32" s="204">
        <f t="shared" si="14"/>
        <v>240</v>
      </c>
      <c r="H32" s="204">
        <f t="shared" si="15"/>
        <v>288</v>
      </c>
      <c r="I32" s="205">
        <f t="shared" si="16"/>
        <v>539</v>
      </c>
      <c r="J32" s="203">
        <f t="shared" si="17"/>
        <v>3.0575200000000002</v>
      </c>
      <c r="K32" s="206"/>
      <c r="L32" s="207">
        <f t="shared" si="7"/>
        <v>5.2631578947368425</v>
      </c>
      <c r="M32" s="207">
        <f t="shared" si="7"/>
        <v>1.6666666666666667</v>
      </c>
      <c r="N32" s="207">
        <f t="shared" si="10"/>
        <v>0</v>
      </c>
      <c r="O32" s="208">
        <f t="shared" si="11"/>
        <v>548.98734456140346</v>
      </c>
      <c r="P32" s="190"/>
      <c r="Q32" s="196">
        <f t="shared" si="9"/>
        <v>22.874472690058479</v>
      </c>
      <c r="U32" s="37"/>
    </row>
    <row r="33" spans="1:21" ht="15" customHeight="1" x14ac:dyDescent="0.25">
      <c r="A33" s="147">
        <v>25</v>
      </c>
      <c r="B33" s="231">
        <f t="shared" si="18"/>
        <v>2</v>
      </c>
      <c r="C33" s="155">
        <f t="shared" si="8"/>
        <v>0.1</v>
      </c>
      <c r="D33" s="229">
        <f t="shared" si="12"/>
        <v>0.2</v>
      </c>
      <c r="E33" s="202">
        <f t="shared" si="1"/>
        <v>0.1509125</v>
      </c>
      <c r="F33" s="203">
        <f t="shared" si="13"/>
        <v>11</v>
      </c>
      <c r="G33" s="204">
        <f t="shared" si="14"/>
        <v>250</v>
      </c>
      <c r="H33" s="204">
        <f t="shared" si="15"/>
        <v>300</v>
      </c>
      <c r="I33" s="205">
        <f t="shared" si="16"/>
        <v>561</v>
      </c>
      <c r="J33" s="203">
        <f t="shared" si="17"/>
        <v>3.0182500000000001</v>
      </c>
      <c r="K33" s="206"/>
      <c r="L33" s="207">
        <f t="shared" si="7"/>
        <v>5.2631578947368425</v>
      </c>
      <c r="M33" s="207">
        <f t="shared" si="7"/>
        <v>1.6666666666666667</v>
      </c>
      <c r="N33" s="207">
        <f t="shared" si="10"/>
        <v>0</v>
      </c>
      <c r="O33" s="208">
        <f t="shared" si="11"/>
        <v>570.94807456140347</v>
      </c>
      <c r="P33" s="190"/>
      <c r="Q33" s="196">
        <f t="shared" si="9"/>
        <v>22.837922982456138</v>
      </c>
      <c r="U33" s="37"/>
    </row>
    <row r="34" spans="1:21" ht="15" customHeight="1" x14ac:dyDescent="0.25">
      <c r="A34" s="147">
        <v>26</v>
      </c>
      <c r="B34" s="231">
        <f t="shared" si="18"/>
        <v>2</v>
      </c>
      <c r="C34" s="155">
        <f t="shared" si="8"/>
        <v>0.1</v>
      </c>
      <c r="D34" s="229">
        <f t="shared" si="12"/>
        <v>0.2</v>
      </c>
      <c r="E34" s="202">
        <f t="shared" si="1"/>
        <v>0.148949</v>
      </c>
      <c r="F34" s="203">
        <f t="shared" si="13"/>
        <v>11</v>
      </c>
      <c r="G34" s="204">
        <f t="shared" si="14"/>
        <v>260</v>
      </c>
      <c r="H34" s="204">
        <f t="shared" si="15"/>
        <v>312</v>
      </c>
      <c r="I34" s="205">
        <f t="shared" si="16"/>
        <v>583</v>
      </c>
      <c r="J34" s="203">
        <f t="shared" si="17"/>
        <v>2.97898</v>
      </c>
      <c r="K34" s="206"/>
      <c r="L34" s="207">
        <f t="shared" si="7"/>
        <v>5.2631578947368425</v>
      </c>
      <c r="M34" s="207">
        <f t="shared" si="7"/>
        <v>1.6666666666666667</v>
      </c>
      <c r="N34" s="207">
        <f t="shared" si="10"/>
        <v>0</v>
      </c>
      <c r="O34" s="208">
        <f t="shared" si="11"/>
        <v>592.90880456140349</v>
      </c>
      <c r="P34" s="190"/>
      <c r="Q34" s="196">
        <f t="shared" si="9"/>
        <v>22.804184790823211</v>
      </c>
      <c r="U34" s="37"/>
    </row>
    <row r="35" spans="1:21" ht="15" customHeight="1" x14ac:dyDescent="0.25">
      <c r="A35" s="147">
        <v>27</v>
      </c>
      <c r="B35" s="231">
        <f t="shared" si="18"/>
        <v>2</v>
      </c>
      <c r="C35" s="155">
        <f t="shared" si="8"/>
        <v>0.1</v>
      </c>
      <c r="D35" s="229">
        <f t="shared" si="12"/>
        <v>0.2</v>
      </c>
      <c r="E35" s="202">
        <f t="shared" si="1"/>
        <v>0.14698550000000002</v>
      </c>
      <c r="F35" s="203">
        <f t="shared" si="13"/>
        <v>11</v>
      </c>
      <c r="G35" s="204">
        <f t="shared" si="14"/>
        <v>270</v>
      </c>
      <c r="H35" s="204">
        <f t="shared" si="15"/>
        <v>324</v>
      </c>
      <c r="I35" s="205">
        <f t="shared" si="16"/>
        <v>605</v>
      </c>
      <c r="J35" s="203">
        <f t="shared" si="17"/>
        <v>2.9397100000000003</v>
      </c>
      <c r="K35" s="206"/>
      <c r="L35" s="207">
        <f t="shared" si="7"/>
        <v>5.2631578947368425</v>
      </c>
      <c r="M35" s="207">
        <f t="shared" si="7"/>
        <v>1.6666666666666667</v>
      </c>
      <c r="N35" s="207">
        <f t="shared" si="10"/>
        <v>0</v>
      </c>
      <c r="O35" s="208">
        <f t="shared" si="11"/>
        <v>614.8695345614035</v>
      </c>
      <c r="P35" s="190"/>
      <c r="Q35" s="196">
        <f t="shared" si="9"/>
        <v>22.772945724496427</v>
      </c>
      <c r="U35" s="37"/>
    </row>
    <row r="36" spans="1:21" ht="15" customHeight="1" x14ac:dyDescent="0.25">
      <c r="A36" s="147">
        <v>28</v>
      </c>
      <c r="B36" s="231">
        <f t="shared" si="18"/>
        <v>2</v>
      </c>
      <c r="C36" s="155">
        <f t="shared" si="8"/>
        <v>0.1</v>
      </c>
      <c r="D36" s="229">
        <f t="shared" si="12"/>
        <v>0.2</v>
      </c>
      <c r="E36" s="202">
        <f t="shared" si="1"/>
        <v>0.14502200000000001</v>
      </c>
      <c r="F36" s="203">
        <f t="shared" si="13"/>
        <v>11</v>
      </c>
      <c r="G36" s="204">
        <f t="shared" si="14"/>
        <v>280</v>
      </c>
      <c r="H36" s="204">
        <f t="shared" si="15"/>
        <v>336</v>
      </c>
      <c r="I36" s="205">
        <f t="shared" si="16"/>
        <v>627</v>
      </c>
      <c r="J36" s="203">
        <f t="shared" si="17"/>
        <v>2.9004400000000001</v>
      </c>
      <c r="K36" s="206"/>
      <c r="L36" s="207">
        <f t="shared" si="7"/>
        <v>5.2631578947368425</v>
      </c>
      <c r="M36" s="207">
        <f t="shared" si="7"/>
        <v>1.6666666666666667</v>
      </c>
      <c r="N36" s="207">
        <f t="shared" si="10"/>
        <v>0</v>
      </c>
      <c r="O36" s="208">
        <f t="shared" si="11"/>
        <v>636.83026456140351</v>
      </c>
      <c r="P36" s="190"/>
      <c r="Q36" s="196">
        <f t="shared" si="9"/>
        <v>22.743938020050127</v>
      </c>
      <c r="U36" s="37"/>
    </row>
    <row r="37" spans="1:21" ht="15" customHeight="1" x14ac:dyDescent="0.25">
      <c r="A37" s="147">
        <v>29</v>
      </c>
      <c r="B37" s="231">
        <f t="shared" si="18"/>
        <v>2</v>
      </c>
      <c r="C37" s="155">
        <f t="shared" si="8"/>
        <v>0.1</v>
      </c>
      <c r="D37" s="229">
        <f t="shared" si="12"/>
        <v>0.2</v>
      </c>
      <c r="E37" s="202">
        <f t="shared" si="1"/>
        <v>0.14305850000000001</v>
      </c>
      <c r="F37" s="203">
        <f t="shared" si="13"/>
        <v>11</v>
      </c>
      <c r="G37" s="204">
        <f t="shared" si="14"/>
        <v>290</v>
      </c>
      <c r="H37" s="204">
        <f t="shared" si="15"/>
        <v>348</v>
      </c>
      <c r="I37" s="205">
        <f t="shared" si="16"/>
        <v>649</v>
      </c>
      <c r="J37" s="203">
        <f t="shared" si="17"/>
        <v>2.86117</v>
      </c>
      <c r="K37" s="206"/>
      <c r="L37" s="207">
        <f t="shared" si="7"/>
        <v>5.2631578947368425</v>
      </c>
      <c r="M37" s="207">
        <f t="shared" si="7"/>
        <v>1.6666666666666667</v>
      </c>
      <c r="N37" s="207">
        <f t="shared" si="10"/>
        <v>0</v>
      </c>
      <c r="O37" s="208">
        <f t="shared" si="11"/>
        <v>658.79099456140352</v>
      </c>
      <c r="P37" s="190"/>
      <c r="Q37" s="196">
        <f t="shared" si="9"/>
        <v>22.716930846944948</v>
      </c>
      <c r="U37" s="37"/>
    </row>
    <row r="38" spans="1:21" ht="15" customHeight="1" x14ac:dyDescent="0.25">
      <c r="A38" s="147">
        <v>30</v>
      </c>
      <c r="B38" s="231">
        <f t="shared" si="18"/>
        <v>2</v>
      </c>
      <c r="C38" s="155">
        <f t="shared" si="8"/>
        <v>0.1</v>
      </c>
      <c r="D38" s="229">
        <f t="shared" si="12"/>
        <v>0.2</v>
      </c>
      <c r="E38" s="202">
        <f t="shared" si="1"/>
        <v>0.14109500000000003</v>
      </c>
      <c r="F38" s="203">
        <f t="shared" si="13"/>
        <v>11</v>
      </c>
      <c r="G38" s="204">
        <f t="shared" si="14"/>
        <v>300</v>
      </c>
      <c r="H38" s="204">
        <f t="shared" si="15"/>
        <v>360</v>
      </c>
      <c r="I38" s="205">
        <f t="shared" si="16"/>
        <v>671</v>
      </c>
      <c r="J38" s="203">
        <f t="shared" si="17"/>
        <v>2.8219000000000003</v>
      </c>
      <c r="K38" s="206"/>
      <c r="L38" s="207">
        <f t="shared" si="7"/>
        <v>5.2631578947368425</v>
      </c>
      <c r="M38" s="207">
        <f t="shared" si="7"/>
        <v>1.6666666666666667</v>
      </c>
      <c r="N38" s="207">
        <f t="shared" si="10"/>
        <v>0</v>
      </c>
      <c r="O38" s="208">
        <f t="shared" si="11"/>
        <v>680.75172456140353</v>
      </c>
      <c r="P38" s="190"/>
      <c r="Q38" s="196">
        <f t="shared" si="9"/>
        <v>22.691724152046785</v>
      </c>
      <c r="U38" s="37"/>
    </row>
    <row r="39" spans="1:21" ht="15" customHeight="1" x14ac:dyDescent="0.25">
      <c r="A39" s="147">
        <v>31</v>
      </c>
      <c r="B39" s="231">
        <f t="shared" si="18"/>
        <v>2</v>
      </c>
      <c r="C39" s="155">
        <f t="shared" si="8"/>
        <v>0.1</v>
      </c>
      <c r="D39" s="229">
        <f t="shared" si="12"/>
        <v>0.2</v>
      </c>
      <c r="E39" s="202">
        <f t="shared" si="1"/>
        <v>0.13913150000000002</v>
      </c>
      <c r="F39" s="203">
        <f t="shared" si="13"/>
        <v>11</v>
      </c>
      <c r="G39" s="204">
        <f t="shared" si="14"/>
        <v>310</v>
      </c>
      <c r="H39" s="204">
        <f t="shared" si="15"/>
        <v>372</v>
      </c>
      <c r="I39" s="205">
        <f t="shared" si="16"/>
        <v>693</v>
      </c>
      <c r="J39" s="203">
        <f t="shared" ref="J39:J44" si="19">E39*J$4</f>
        <v>2.7826300000000002</v>
      </c>
      <c r="K39" s="206"/>
      <c r="L39" s="207">
        <f t="shared" si="7"/>
        <v>5.2631578947368425</v>
      </c>
      <c r="M39" s="207">
        <f t="shared" si="7"/>
        <v>1.6666666666666667</v>
      </c>
      <c r="N39" s="207">
        <f t="shared" si="10"/>
        <v>0</v>
      </c>
      <c r="O39" s="208">
        <f t="shared" si="11"/>
        <v>702.71245456140355</v>
      </c>
      <c r="P39" s="190"/>
      <c r="Q39" s="196">
        <f t="shared" si="9"/>
        <v>22.668143695529146</v>
      </c>
      <c r="U39" s="37"/>
    </row>
    <row r="40" spans="1:21" ht="15" customHeight="1" x14ac:dyDescent="0.25">
      <c r="A40" s="147">
        <v>32</v>
      </c>
      <c r="B40" s="231">
        <f t="shared" si="18"/>
        <v>2</v>
      </c>
      <c r="C40" s="155">
        <f t="shared" si="8"/>
        <v>0.1</v>
      </c>
      <c r="D40" s="229">
        <f t="shared" si="12"/>
        <v>0.2</v>
      </c>
      <c r="E40" s="202">
        <f t="shared" si="1"/>
        <v>0.13716800000000001</v>
      </c>
      <c r="F40" s="203">
        <f t="shared" si="13"/>
        <v>11</v>
      </c>
      <c r="G40" s="204">
        <f t="shared" si="14"/>
        <v>320</v>
      </c>
      <c r="H40" s="204">
        <f t="shared" si="15"/>
        <v>384</v>
      </c>
      <c r="I40" s="205">
        <f t="shared" si="16"/>
        <v>715</v>
      </c>
      <c r="J40" s="203">
        <f t="shared" si="19"/>
        <v>2.74336</v>
      </c>
      <c r="K40" s="206"/>
      <c r="L40" s="207">
        <f t="shared" si="7"/>
        <v>5.2631578947368425</v>
      </c>
      <c r="M40" s="207">
        <f t="shared" si="7"/>
        <v>1.6666666666666667</v>
      </c>
      <c r="N40" s="207">
        <f t="shared" si="10"/>
        <v>0</v>
      </c>
      <c r="O40" s="208">
        <f t="shared" si="11"/>
        <v>724.67318456140356</v>
      </c>
      <c r="P40" s="190"/>
      <c r="Q40" s="196">
        <f t="shared" si="9"/>
        <v>22.646037017543861</v>
      </c>
      <c r="U40" s="37"/>
    </row>
    <row r="41" spans="1:21" ht="15" customHeight="1" x14ac:dyDescent="0.25">
      <c r="A41" s="147">
        <v>33</v>
      </c>
      <c r="B41" s="230">
        <v>3</v>
      </c>
      <c r="C41" s="155">
        <f t="shared" si="8"/>
        <v>0.1</v>
      </c>
      <c r="D41" s="229">
        <f t="shared" si="12"/>
        <v>0.30000000000000004</v>
      </c>
      <c r="E41" s="202">
        <f t="shared" si="1"/>
        <v>0.23520450000000004</v>
      </c>
      <c r="F41" s="203">
        <f t="shared" si="13"/>
        <v>16.500000000000004</v>
      </c>
      <c r="G41" s="204">
        <f t="shared" si="14"/>
        <v>330</v>
      </c>
      <c r="H41" s="204">
        <f t="shared" si="15"/>
        <v>396</v>
      </c>
      <c r="I41" s="205">
        <f t="shared" si="16"/>
        <v>742.5</v>
      </c>
      <c r="J41" s="203">
        <f t="shared" si="19"/>
        <v>4.7040900000000008</v>
      </c>
      <c r="K41" s="206"/>
      <c r="L41" s="207">
        <f t="shared" si="7"/>
        <v>5.2631578947368425</v>
      </c>
      <c r="M41" s="207">
        <f t="shared" si="7"/>
        <v>1.6666666666666667</v>
      </c>
      <c r="N41" s="207">
        <f t="shared" si="10"/>
        <v>0</v>
      </c>
      <c r="O41" s="208">
        <f t="shared" si="11"/>
        <v>754.13391456140346</v>
      </c>
      <c r="P41" s="190"/>
      <c r="Q41" s="196">
        <f t="shared" si="9"/>
        <v>22.852542865497075</v>
      </c>
      <c r="U41" s="37"/>
    </row>
    <row r="42" spans="1:21" ht="15" customHeight="1" x14ac:dyDescent="0.25">
      <c r="A42" s="147">
        <v>34</v>
      </c>
      <c r="B42" s="230">
        <v>3</v>
      </c>
      <c r="C42" s="155">
        <f t="shared" si="8"/>
        <v>0.1</v>
      </c>
      <c r="D42" s="229">
        <f t="shared" si="12"/>
        <v>0.30000000000000004</v>
      </c>
      <c r="E42" s="202">
        <f t="shared" si="1"/>
        <v>0.23324100000000003</v>
      </c>
      <c r="F42" s="203">
        <f t="shared" si="13"/>
        <v>16.500000000000004</v>
      </c>
      <c r="G42" s="204">
        <f t="shared" si="14"/>
        <v>340</v>
      </c>
      <c r="H42" s="204">
        <f t="shared" si="15"/>
        <v>408</v>
      </c>
      <c r="I42" s="205">
        <f t="shared" si="16"/>
        <v>764.5</v>
      </c>
      <c r="J42" s="203">
        <f t="shared" si="19"/>
        <v>4.6648200000000006</v>
      </c>
      <c r="K42" s="206"/>
      <c r="L42" s="207">
        <f t="shared" si="7"/>
        <v>5.2631578947368425</v>
      </c>
      <c r="M42" s="207">
        <f t="shared" si="7"/>
        <v>1.6666666666666667</v>
      </c>
      <c r="N42" s="207">
        <f t="shared" si="10"/>
        <v>0</v>
      </c>
      <c r="O42" s="208">
        <f t="shared" si="11"/>
        <v>776.09464456140347</v>
      </c>
      <c r="P42" s="190"/>
      <c r="Q42" s="196">
        <f t="shared" si="9"/>
        <v>22.826313075335396</v>
      </c>
      <c r="U42" s="37"/>
    </row>
    <row r="43" spans="1:21" ht="15" customHeight="1" x14ac:dyDescent="0.25">
      <c r="A43" s="147">
        <v>35</v>
      </c>
      <c r="B43" s="230">
        <v>3</v>
      </c>
      <c r="C43" s="155">
        <f t="shared" si="8"/>
        <v>0.1</v>
      </c>
      <c r="D43" s="229">
        <f t="shared" si="12"/>
        <v>0.30000000000000004</v>
      </c>
      <c r="E43" s="202">
        <f t="shared" si="1"/>
        <v>0.23127750000000005</v>
      </c>
      <c r="F43" s="203">
        <f t="shared" si="13"/>
        <v>16.500000000000004</v>
      </c>
      <c r="G43" s="204">
        <f t="shared" si="14"/>
        <v>350</v>
      </c>
      <c r="H43" s="204">
        <f t="shared" si="15"/>
        <v>420</v>
      </c>
      <c r="I43" s="205">
        <f t="shared" si="16"/>
        <v>786.5</v>
      </c>
      <c r="J43" s="203">
        <f t="shared" si="19"/>
        <v>4.6255500000000014</v>
      </c>
      <c r="K43" s="206"/>
      <c r="L43" s="207">
        <f t="shared" si="7"/>
        <v>5.2631578947368425</v>
      </c>
      <c r="M43" s="207">
        <f t="shared" si="7"/>
        <v>1.6666666666666667</v>
      </c>
      <c r="N43" s="207">
        <f t="shared" si="10"/>
        <v>0</v>
      </c>
      <c r="O43" s="208">
        <f t="shared" si="11"/>
        <v>798.05537456140348</v>
      </c>
      <c r="P43" s="190"/>
      <c r="Q43" s="196">
        <f t="shared" si="9"/>
        <v>22.801582130325812</v>
      </c>
      <c r="U43" s="37"/>
    </row>
    <row r="44" spans="1:21" ht="15" customHeight="1" x14ac:dyDescent="0.25">
      <c r="A44" s="147">
        <v>36</v>
      </c>
      <c r="B44" s="230">
        <v>3</v>
      </c>
      <c r="C44" s="155">
        <f t="shared" si="8"/>
        <v>0.1</v>
      </c>
      <c r="D44" s="229">
        <f t="shared" si="12"/>
        <v>0.30000000000000004</v>
      </c>
      <c r="E44" s="202">
        <f t="shared" si="1"/>
        <v>0.22931400000000005</v>
      </c>
      <c r="F44" s="203">
        <f t="shared" si="13"/>
        <v>16.500000000000004</v>
      </c>
      <c r="G44" s="204">
        <f t="shared" si="14"/>
        <v>360</v>
      </c>
      <c r="H44" s="204">
        <f t="shared" si="15"/>
        <v>432</v>
      </c>
      <c r="I44" s="205">
        <f t="shared" si="16"/>
        <v>808.5</v>
      </c>
      <c r="J44" s="203">
        <f t="shared" si="19"/>
        <v>4.5862800000000012</v>
      </c>
      <c r="K44" s="206"/>
      <c r="L44" s="207">
        <f t="shared" si="7"/>
        <v>5.2631578947368425</v>
      </c>
      <c r="M44" s="207">
        <f t="shared" si="7"/>
        <v>1.6666666666666667</v>
      </c>
      <c r="N44" s="207">
        <f t="shared" si="10"/>
        <v>0</v>
      </c>
      <c r="O44" s="208">
        <f t="shared" si="11"/>
        <v>820.01610456140349</v>
      </c>
      <c r="P44" s="190"/>
      <c r="Q44" s="196">
        <f t="shared" si="9"/>
        <v>22.778225126705653</v>
      </c>
      <c r="U44" s="37"/>
    </row>
    <row r="45" spans="1:21" x14ac:dyDescent="0.25">
      <c r="D45" s="86"/>
      <c r="E45" s="86"/>
      <c r="P45" s="190"/>
      <c r="Q45" s="21"/>
      <c r="U45" s="37"/>
    </row>
    <row r="46" spans="1:21" x14ac:dyDescent="0.25">
      <c r="B46" s="45"/>
      <c r="C46" s="46"/>
      <c r="D46" s="187"/>
      <c r="E46" s="187"/>
      <c r="F46" s="47"/>
      <c r="G46" s="46"/>
      <c r="H46" s="46"/>
      <c r="I46" s="46"/>
      <c r="J46" s="46"/>
      <c r="K46" s="46"/>
      <c r="L46" s="46"/>
      <c r="M46" s="46"/>
      <c r="N46" s="46"/>
      <c r="O46" s="46"/>
      <c r="P46" s="190"/>
      <c r="Q46" s="21"/>
      <c r="T46" s="144"/>
      <c r="U46" s="23"/>
    </row>
    <row r="47" spans="1:21" x14ac:dyDescent="0.25">
      <c r="A47" s="45" t="str">
        <f>A2</f>
        <v>Chain Trenching, per m</v>
      </c>
      <c r="B47" s="45"/>
      <c r="C47" s="4"/>
      <c r="D47" s="107"/>
      <c r="E47" s="107"/>
      <c r="F47" s="180" t="s">
        <v>185</v>
      </c>
      <c r="G47" s="149" t="s">
        <v>186</v>
      </c>
      <c r="H47" s="105" t="s">
        <v>186</v>
      </c>
      <c r="I47" s="167" t="s">
        <v>218</v>
      </c>
      <c r="J47" s="160" t="s">
        <v>189</v>
      </c>
      <c r="K47" s="161" t="s">
        <v>46</v>
      </c>
      <c r="L47" s="171" t="s">
        <v>208</v>
      </c>
      <c r="M47" s="169" t="s">
        <v>209</v>
      </c>
      <c r="N47" s="173" t="s">
        <v>231</v>
      </c>
      <c r="O47" s="167" t="s">
        <v>6</v>
      </c>
      <c r="P47" s="190"/>
    </row>
    <row r="48" spans="1:21" x14ac:dyDescent="0.25">
      <c r="A48" s="292" t="s">
        <v>219</v>
      </c>
      <c r="B48" s="292"/>
      <c r="C48" s="50"/>
      <c r="D48" s="50"/>
      <c r="E48" s="50"/>
      <c r="F48" s="159"/>
      <c r="G48" s="149" t="s">
        <v>187</v>
      </c>
      <c r="H48" s="105" t="s">
        <v>188</v>
      </c>
      <c r="I48" s="167" t="s">
        <v>6</v>
      </c>
      <c r="J48" s="177" t="s">
        <v>190</v>
      </c>
      <c r="K48" s="162" t="s">
        <v>200</v>
      </c>
      <c r="L48" s="171" t="s">
        <v>210</v>
      </c>
      <c r="M48" s="169" t="s">
        <v>210</v>
      </c>
      <c r="N48" s="173" t="s">
        <v>230</v>
      </c>
      <c r="O48" s="46"/>
      <c r="P48" s="190"/>
      <c r="Q48" s="86"/>
    </row>
    <row r="49" spans="1:31" x14ac:dyDescent="0.25">
      <c r="A49" s="292"/>
      <c r="B49" s="292"/>
      <c r="C49" s="4"/>
      <c r="D49" s="50" t="s">
        <v>10</v>
      </c>
      <c r="E49" s="50"/>
      <c r="F49" s="181">
        <v>55</v>
      </c>
      <c r="G49" s="150">
        <v>15</v>
      </c>
      <c r="H49" s="105">
        <f>30-G49</f>
        <v>15</v>
      </c>
      <c r="I49" s="46"/>
      <c r="J49" s="179">
        <v>20</v>
      </c>
      <c r="K49" s="161">
        <v>35</v>
      </c>
      <c r="L49" s="153">
        <f>12000/(420+100+50)*25%</f>
        <v>5.2631578947368425</v>
      </c>
      <c r="M49" s="172">
        <f>10000/6000</f>
        <v>1.6666666666666667</v>
      </c>
      <c r="N49" s="174">
        <v>0</v>
      </c>
      <c r="O49" s="46"/>
      <c r="P49" s="190"/>
      <c r="Q49" s="86"/>
    </row>
    <row r="50" spans="1:31" x14ac:dyDescent="0.25">
      <c r="C50" s="146"/>
      <c r="D50" s="146"/>
      <c r="E50" s="146"/>
      <c r="F50" s="182" t="s">
        <v>170</v>
      </c>
      <c r="G50" s="151"/>
      <c r="H50" s="151"/>
      <c r="J50" s="177" t="s">
        <v>217</v>
      </c>
      <c r="K50" s="151"/>
      <c r="L50" s="151"/>
      <c r="M50" s="151"/>
      <c r="N50" s="151"/>
      <c r="P50" s="190"/>
      <c r="R50" s="214"/>
      <c r="S50" s="214"/>
      <c r="T50" s="214"/>
      <c r="U50" s="214"/>
      <c r="V50" s="214"/>
      <c r="W50" s="214"/>
      <c r="X50" s="214"/>
      <c r="Y50" s="214"/>
      <c r="Z50" s="214"/>
      <c r="AA50" s="214"/>
      <c r="AB50" s="214"/>
      <c r="AC50" s="214"/>
      <c r="AD50" s="214"/>
      <c r="AE50" s="214"/>
    </row>
    <row r="51" spans="1:31" x14ac:dyDescent="0.25">
      <c r="A51" s="147" t="s">
        <v>8</v>
      </c>
      <c r="B51" s="294" t="s">
        <v>238</v>
      </c>
      <c r="C51" s="294" t="s">
        <v>239</v>
      </c>
      <c r="D51" s="294" t="s">
        <v>240</v>
      </c>
      <c r="E51" s="294" t="s">
        <v>241</v>
      </c>
      <c r="F51" s="140"/>
      <c r="G51" s="61"/>
      <c r="H51" s="2"/>
      <c r="I51" s="2"/>
      <c r="J51" s="177" t="s">
        <v>91</v>
      </c>
      <c r="K51" s="2"/>
      <c r="L51" s="2"/>
      <c r="M51" s="2"/>
      <c r="N51" s="2"/>
      <c r="O51" s="168"/>
      <c r="P51" s="190"/>
      <c r="R51" s="214"/>
      <c r="S51" s="214"/>
      <c r="T51" s="214"/>
      <c r="U51" s="214"/>
      <c r="V51" s="214"/>
      <c r="W51" s="214"/>
      <c r="X51" s="214"/>
      <c r="Y51" s="214"/>
      <c r="Z51" s="214"/>
      <c r="AA51" s="214"/>
      <c r="AB51" s="214"/>
      <c r="AC51" s="214"/>
      <c r="AD51" s="214"/>
      <c r="AE51" s="214"/>
    </row>
    <row r="52" spans="1:31" x14ac:dyDescent="0.25">
      <c r="A52" s="147"/>
      <c r="B52" s="294"/>
      <c r="C52" s="294"/>
      <c r="D52" s="294"/>
      <c r="E52" s="294"/>
      <c r="F52" s="20"/>
      <c r="H52" s="20"/>
      <c r="I52" s="20"/>
      <c r="P52" s="190"/>
      <c r="Q52" s="147" t="s">
        <v>134</v>
      </c>
      <c r="R52" s="214"/>
      <c r="S52" s="214"/>
      <c r="T52" s="214"/>
      <c r="U52" s="214"/>
      <c r="V52" s="214"/>
      <c r="W52" s="214"/>
      <c r="X52" s="214"/>
      <c r="Y52" s="214"/>
      <c r="Z52" s="214"/>
      <c r="AA52" s="214"/>
      <c r="AB52" s="214"/>
      <c r="AC52" s="214"/>
      <c r="AD52" s="214"/>
      <c r="AE52" s="214"/>
    </row>
    <row r="53" spans="1:31" x14ac:dyDescent="0.25">
      <c r="A53" s="147"/>
      <c r="B53" s="228"/>
      <c r="C53" s="228"/>
      <c r="D53" s="228"/>
      <c r="E53" s="228"/>
      <c r="F53" s="20"/>
      <c r="H53" s="20"/>
      <c r="I53" s="20"/>
      <c r="P53" s="190"/>
      <c r="Q53" s="147"/>
      <c r="R53" s="214"/>
      <c r="S53" s="214"/>
      <c r="T53" s="214"/>
      <c r="U53" s="214"/>
      <c r="V53" s="214"/>
      <c r="W53" s="214"/>
      <c r="X53" s="214"/>
      <c r="Y53" s="214"/>
      <c r="Z53" s="214"/>
      <c r="AA53" s="214"/>
      <c r="AB53" s="214"/>
      <c r="AC53" s="214"/>
      <c r="AD53" s="214"/>
      <c r="AE53" s="214"/>
    </row>
    <row r="54" spans="1:31" x14ac:dyDescent="0.25">
      <c r="A54" s="147">
        <v>1</v>
      </c>
      <c r="B54" s="230">
        <v>1</v>
      </c>
      <c r="C54" s="155">
        <v>0.1</v>
      </c>
      <c r="D54" s="229">
        <f t="shared" ref="D54:D59" si="20">C54*1*B54</f>
        <v>0.1</v>
      </c>
      <c r="E54" s="202">
        <f>D54-(3.1416*0.05*0.05*A54)</f>
        <v>9.2146000000000006E-2</v>
      </c>
      <c r="F54" s="203">
        <f>D54*F$49</f>
        <v>5.5</v>
      </c>
      <c r="G54" s="204">
        <f>G$49*A54</f>
        <v>15</v>
      </c>
      <c r="H54" s="204">
        <f>H$49*A54</f>
        <v>15</v>
      </c>
      <c r="I54" s="205">
        <f>SUM(F54:H54)</f>
        <v>35.5</v>
      </c>
      <c r="J54" s="203">
        <f t="shared" ref="J54:J59" si="21">E54*J$49</f>
        <v>1.8429200000000001</v>
      </c>
      <c r="K54" s="206"/>
      <c r="L54" s="207">
        <f>L$49</f>
        <v>5.2631578947368425</v>
      </c>
      <c r="M54" s="207">
        <f>M$49</f>
        <v>1.6666666666666667</v>
      </c>
      <c r="N54" s="207">
        <f>SUM(I54:M54)*N$49</f>
        <v>0</v>
      </c>
      <c r="O54" s="208">
        <f>SUM(I54:N54)</f>
        <v>44.272744561403506</v>
      </c>
      <c r="P54" s="190"/>
      <c r="Q54" s="196">
        <f>O54/A54</f>
        <v>44.272744561403506</v>
      </c>
      <c r="R54" s="214"/>
      <c r="S54" s="214"/>
      <c r="T54" s="214"/>
      <c r="U54" s="214"/>
      <c r="V54" s="214"/>
      <c r="W54" s="214"/>
      <c r="X54" s="214"/>
      <c r="Y54" s="214"/>
      <c r="Z54" s="214"/>
      <c r="AA54" s="214"/>
      <c r="AB54" s="214"/>
      <c r="AC54" s="214"/>
      <c r="AD54" s="214"/>
      <c r="AE54" s="214"/>
    </row>
    <row r="55" spans="1:31" x14ac:dyDescent="0.25">
      <c r="A55" s="147">
        <v>2</v>
      </c>
      <c r="B55" s="230">
        <v>1</v>
      </c>
      <c r="C55" s="155">
        <v>0.1</v>
      </c>
      <c r="D55" s="229">
        <f t="shared" si="20"/>
        <v>0.1</v>
      </c>
      <c r="E55" s="202">
        <f t="shared" ref="E55:E89" si="22">D55-(3.1416*0.05*0.05*A55)</f>
        <v>8.4292000000000006E-2</v>
      </c>
      <c r="F55" s="203">
        <f t="shared" ref="F55:F89" si="23">D55*F$49</f>
        <v>5.5</v>
      </c>
      <c r="G55" s="204">
        <f t="shared" ref="G55:G67" si="24">G$49*A55</f>
        <v>30</v>
      </c>
      <c r="H55" s="204">
        <f t="shared" ref="H55:H67" si="25">H$49*A55</f>
        <v>30</v>
      </c>
      <c r="I55" s="205">
        <f t="shared" ref="I55:I67" si="26">SUM(F55:H55)</f>
        <v>65.5</v>
      </c>
      <c r="J55" s="203">
        <f t="shared" si="21"/>
        <v>1.6858400000000002</v>
      </c>
      <c r="K55" s="206"/>
      <c r="L55" s="207">
        <f t="shared" ref="L55:M70" si="27">L$49</f>
        <v>5.2631578947368425</v>
      </c>
      <c r="M55" s="207">
        <f t="shared" si="27"/>
        <v>1.6666666666666667</v>
      </c>
      <c r="N55" s="207">
        <f t="shared" ref="N55:N67" si="28">SUM(I55:M55)*N$49</f>
        <v>0</v>
      </c>
      <c r="O55" s="208">
        <f t="shared" ref="O55:O67" si="29">SUM(I55:N55)</f>
        <v>74.115664561403506</v>
      </c>
      <c r="P55" s="190"/>
      <c r="Q55" s="196">
        <f t="shared" ref="Q55:Q67" si="30">O55/A55</f>
        <v>37.057832280701753</v>
      </c>
      <c r="R55" s="214"/>
      <c r="S55" s="214"/>
      <c r="T55" s="214"/>
      <c r="U55" s="214"/>
      <c r="V55" s="214"/>
      <c r="W55" s="214"/>
      <c r="X55" s="214"/>
      <c r="Y55" s="214"/>
      <c r="Z55" s="214"/>
      <c r="AA55" s="214"/>
      <c r="AB55" s="214"/>
      <c r="AC55" s="214"/>
      <c r="AD55" s="214"/>
      <c r="AE55" s="214"/>
    </row>
    <row r="56" spans="1:31" x14ac:dyDescent="0.25">
      <c r="A56" s="147">
        <v>3</v>
      </c>
      <c r="B56" s="230">
        <v>1</v>
      </c>
      <c r="C56" s="155">
        <v>0.1</v>
      </c>
      <c r="D56" s="229">
        <f t="shared" si="20"/>
        <v>0.1</v>
      </c>
      <c r="E56" s="202">
        <f t="shared" si="22"/>
        <v>7.6438000000000006E-2</v>
      </c>
      <c r="F56" s="203">
        <f t="shared" si="23"/>
        <v>5.5</v>
      </c>
      <c r="G56" s="204">
        <f t="shared" si="24"/>
        <v>45</v>
      </c>
      <c r="H56" s="204">
        <f t="shared" si="25"/>
        <v>45</v>
      </c>
      <c r="I56" s="205">
        <f t="shared" si="26"/>
        <v>95.5</v>
      </c>
      <c r="J56" s="203">
        <f t="shared" si="21"/>
        <v>1.5287600000000001</v>
      </c>
      <c r="K56" s="206"/>
      <c r="L56" s="207">
        <f t="shared" si="27"/>
        <v>5.2631578947368425</v>
      </c>
      <c r="M56" s="207">
        <f t="shared" si="27"/>
        <v>1.6666666666666667</v>
      </c>
      <c r="N56" s="207">
        <f t="shared" si="28"/>
        <v>0</v>
      </c>
      <c r="O56" s="208">
        <f t="shared" si="29"/>
        <v>103.95858456140353</v>
      </c>
      <c r="P56" s="190"/>
      <c r="Q56" s="196">
        <f t="shared" si="30"/>
        <v>34.652861520467845</v>
      </c>
      <c r="R56" s="214"/>
      <c r="S56" s="215"/>
      <c r="T56" s="215"/>
      <c r="U56" s="214"/>
      <c r="V56" s="214"/>
      <c r="W56" s="214"/>
      <c r="X56" s="214"/>
      <c r="Y56" s="214"/>
      <c r="Z56" s="214"/>
      <c r="AA56" s="214"/>
      <c r="AB56" s="214"/>
      <c r="AC56" s="214"/>
      <c r="AD56" s="214"/>
      <c r="AE56" s="214"/>
    </row>
    <row r="57" spans="1:31" x14ac:dyDescent="0.25">
      <c r="A57" s="147">
        <v>4</v>
      </c>
      <c r="B57" s="230">
        <v>1</v>
      </c>
      <c r="C57" s="155">
        <v>0.1</v>
      </c>
      <c r="D57" s="229">
        <f t="shared" si="20"/>
        <v>0.1</v>
      </c>
      <c r="E57" s="202">
        <f t="shared" si="22"/>
        <v>6.8584000000000006E-2</v>
      </c>
      <c r="F57" s="203">
        <f t="shared" si="23"/>
        <v>5.5</v>
      </c>
      <c r="G57" s="204">
        <f t="shared" si="24"/>
        <v>60</v>
      </c>
      <c r="H57" s="204">
        <f t="shared" si="25"/>
        <v>60</v>
      </c>
      <c r="I57" s="205">
        <f t="shared" si="26"/>
        <v>125.5</v>
      </c>
      <c r="J57" s="203">
        <f t="shared" si="21"/>
        <v>1.37168</v>
      </c>
      <c r="K57" s="206"/>
      <c r="L57" s="207">
        <f t="shared" si="27"/>
        <v>5.2631578947368425</v>
      </c>
      <c r="M57" s="207">
        <f t="shared" si="27"/>
        <v>1.6666666666666667</v>
      </c>
      <c r="N57" s="207">
        <f t="shared" si="28"/>
        <v>0</v>
      </c>
      <c r="O57" s="208">
        <f t="shared" si="29"/>
        <v>133.8015045614035</v>
      </c>
      <c r="P57" s="190"/>
      <c r="Q57" s="196">
        <f t="shared" si="30"/>
        <v>33.450376140350876</v>
      </c>
      <c r="R57" s="214"/>
      <c r="S57" s="214"/>
      <c r="T57" s="215"/>
      <c r="U57" s="215"/>
      <c r="V57" s="215"/>
      <c r="W57" s="215"/>
      <c r="X57" s="215"/>
      <c r="Y57" s="215"/>
      <c r="Z57" s="215"/>
      <c r="AA57" s="215"/>
      <c r="AB57" s="215"/>
      <c r="AC57" s="215"/>
      <c r="AD57" s="214"/>
      <c r="AE57" s="214"/>
    </row>
    <row r="58" spans="1:31" x14ac:dyDescent="0.25">
      <c r="A58" s="147">
        <v>5</v>
      </c>
      <c r="B58" s="231">
        <v>2</v>
      </c>
      <c r="C58" s="155">
        <v>0.1</v>
      </c>
      <c r="D58" s="229">
        <f t="shared" si="20"/>
        <v>0.2</v>
      </c>
      <c r="E58" s="202">
        <f t="shared" si="22"/>
        <v>0.16073000000000001</v>
      </c>
      <c r="F58" s="203">
        <f t="shared" si="23"/>
        <v>11</v>
      </c>
      <c r="G58" s="204">
        <f t="shared" si="24"/>
        <v>75</v>
      </c>
      <c r="H58" s="204">
        <f t="shared" si="25"/>
        <v>75</v>
      </c>
      <c r="I58" s="205">
        <f t="shared" si="26"/>
        <v>161</v>
      </c>
      <c r="J58" s="203">
        <f t="shared" si="21"/>
        <v>3.2146000000000003</v>
      </c>
      <c r="K58" s="206"/>
      <c r="L58" s="207">
        <f t="shared" si="27"/>
        <v>5.2631578947368425</v>
      </c>
      <c r="M58" s="207">
        <f t="shared" si="27"/>
        <v>1.6666666666666667</v>
      </c>
      <c r="N58" s="207">
        <f t="shared" si="28"/>
        <v>0</v>
      </c>
      <c r="O58" s="208">
        <f t="shared" si="29"/>
        <v>171.1444245614035</v>
      </c>
      <c r="P58" s="190"/>
      <c r="Q58" s="196">
        <f t="shared" si="30"/>
        <v>34.228884912280698</v>
      </c>
      <c r="R58" s="214"/>
      <c r="S58" s="215"/>
      <c r="T58" s="214"/>
      <c r="U58" s="216"/>
      <c r="V58" s="216"/>
      <c r="W58" s="216"/>
      <c r="X58" s="216"/>
      <c r="Y58" s="216"/>
      <c r="Z58" s="216"/>
      <c r="AA58" s="216"/>
      <c r="AB58" s="216"/>
      <c r="AC58" s="216"/>
      <c r="AD58" s="217"/>
      <c r="AE58" s="214"/>
    </row>
    <row r="59" spans="1:31" x14ac:dyDescent="0.25">
      <c r="A59" s="147">
        <v>6</v>
      </c>
      <c r="B59" s="231">
        <f>B58</f>
        <v>2</v>
      </c>
      <c r="C59" s="155">
        <v>0.1</v>
      </c>
      <c r="D59" s="229">
        <f t="shared" si="20"/>
        <v>0.2</v>
      </c>
      <c r="E59" s="202">
        <f t="shared" si="22"/>
        <v>0.15287600000000001</v>
      </c>
      <c r="F59" s="203">
        <f t="shared" si="23"/>
        <v>11</v>
      </c>
      <c r="G59" s="204">
        <f t="shared" si="24"/>
        <v>90</v>
      </c>
      <c r="H59" s="204">
        <f t="shared" si="25"/>
        <v>90</v>
      </c>
      <c r="I59" s="205">
        <f t="shared" si="26"/>
        <v>191</v>
      </c>
      <c r="J59" s="203">
        <f t="shared" si="21"/>
        <v>3.0575200000000002</v>
      </c>
      <c r="K59" s="206"/>
      <c r="L59" s="207">
        <f t="shared" si="27"/>
        <v>5.2631578947368425</v>
      </c>
      <c r="M59" s="207">
        <f t="shared" si="27"/>
        <v>1.6666666666666667</v>
      </c>
      <c r="N59" s="207">
        <f t="shared" si="28"/>
        <v>0</v>
      </c>
      <c r="O59" s="208">
        <f t="shared" si="29"/>
        <v>200.98734456140352</v>
      </c>
      <c r="P59" s="190"/>
      <c r="Q59" s="196">
        <f t="shared" si="30"/>
        <v>33.497890760233922</v>
      </c>
      <c r="R59" s="214"/>
      <c r="S59" s="217"/>
      <c r="T59" s="213"/>
      <c r="U59" s="213"/>
      <c r="V59" s="213"/>
      <c r="W59" s="213"/>
      <c r="X59" s="213"/>
      <c r="Y59" s="213"/>
      <c r="Z59" s="213"/>
      <c r="AA59" s="213"/>
      <c r="AB59" s="213"/>
      <c r="AC59" s="213"/>
      <c r="AD59" s="214"/>
      <c r="AE59" s="218"/>
    </row>
    <row r="60" spans="1:31" x14ac:dyDescent="0.25">
      <c r="A60" s="147">
        <v>7</v>
      </c>
      <c r="B60" s="231">
        <f t="shared" ref="B60:B69" si="31">B59</f>
        <v>2</v>
      </c>
      <c r="C60" s="155">
        <v>0.1</v>
      </c>
      <c r="D60" s="229">
        <f t="shared" ref="D60:D89" si="32">C60*1*B60</f>
        <v>0.2</v>
      </c>
      <c r="E60" s="202">
        <f t="shared" si="22"/>
        <v>0.14502200000000001</v>
      </c>
      <c r="F60" s="203">
        <f t="shared" si="23"/>
        <v>11</v>
      </c>
      <c r="G60" s="204">
        <f t="shared" si="24"/>
        <v>105</v>
      </c>
      <c r="H60" s="204">
        <f t="shared" si="25"/>
        <v>105</v>
      </c>
      <c r="I60" s="205">
        <f t="shared" si="26"/>
        <v>221</v>
      </c>
      <c r="J60" s="203">
        <f t="shared" ref="J60:J67" si="33">E60*J$49</f>
        <v>2.9004400000000001</v>
      </c>
      <c r="K60" s="206"/>
      <c r="L60" s="207">
        <f t="shared" si="27"/>
        <v>5.2631578947368425</v>
      </c>
      <c r="M60" s="207">
        <f t="shared" si="27"/>
        <v>1.6666666666666667</v>
      </c>
      <c r="N60" s="207">
        <f t="shared" si="28"/>
        <v>0</v>
      </c>
      <c r="O60" s="208">
        <f t="shared" si="29"/>
        <v>230.83026456140351</v>
      </c>
      <c r="P60" s="190"/>
      <c r="Q60" s="196">
        <f t="shared" si="30"/>
        <v>32.9757520802005</v>
      </c>
      <c r="R60" s="214"/>
      <c r="S60" s="217"/>
      <c r="T60" s="213"/>
      <c r="U60" s="213"/>
      <c r="V60" s="213"/>
      <c r="W60" s="213"/>
      <c r="X60" s="213"/>
      <c r="Y60" s="213"/>
      <c r="Z60" s="213"/>
      <c r="AA60" s="213"/>
      <c r="AB60" s="213"/>
      <c r="AC60" s="213"/>
      <c r="AD60" s="214"/>
      <c r="AE60" s="218"/>
    </row>
    <row r="61" spans="1:31" x14ac:dyDescent="0.25">
      <c r="A61" s="147">
        <v>8</v>
      </c>
      <c r="B61" s="231">
        <f t="shared" si="31"/>
        <v>2</v>
      </c>
      <c r="C61" s="155">
        <v>0.1</v>
      </c>
      <c r="D61" s="229">
        <f t="shared" si="32"/>
        <v>0.2</v>
      </c>
      <c r="E61" s="202">
        <f t="shared" si="22"/>
        <v>0.13716800000000001</v>
      </c>
      <c r="F61" s="203">
        <f t="shared" si="23"/>
        <v>11</v>
      </c>
      <c r="G61" s="204">
        <f t="shared" si="24"/>
        <v>120</v>
      </c>
      <c r="H61" s="204">
        <f t="shared" si="25"/>
        <v>120</v>
      </c>
      <c r="I61" s="205">
        <f t="shared" si="26"/>
        <v>251</v>
      </c>
      <c r="J61" s="203">
        <f t="shared" si="33"/>
        <v>2.74336</v>
      </c>
      <c r="K61" s="206"/>
      <c r="L61" s="207">
        <f t="shared" si="27"/>
        <v>5.2631578947368425</v>
      </c>
      <c r="M61" s="207">
        <f t="shared" si="27"/>
        <v>1.6666666666666667</v>
      </c>
      <c r="N61" s="207">
        <f t="shared" si="28"/>
        <v>0</v>
      </c>
      <c r="O61" s="208">
        <f t="shared" si="29"/>
        <v>260.6731845614035</v>
      </c>
      <c r="P61" s="190"/>
      <c r="Q61" s="196">
        <f t="shared" si="30"/>
        <v>32.584148070175438</v>
      </c>
      <c r="R61" s="214"/>
      <c r="S61" s="217"/>
      <c r="T61" s="213"/>
      <c r="U61" s="213"/>
      <c r="V61" s="213"/>
      <c r="W61" s="213"/>
      <c r="X61" s="213"/>
      <c r="Y61" s="213"/>
      <c r="Z61" s="213"/>
      <c r="AA61" s="213"/>
      <c r="AB61" s="213"/>
      <c r="AC61" s="213"/>
      <c r="AD61" s="214"/>
      <c r="AE61" s="218"/>
    </row>
    <row r="62" spans="1:31" x14ac:dyDescent="0.25">
      <c r="A62" s="147">
        <v>9</v>
      </c>
      <c r="B62" s="230">
        <v>3</v>
      </c>
      <c r="C62" s="155">
        <v>0.1</v>
      </c>
      <c r="D62" s="229">
        <f t="shared" si="32"/>
        <v>0.30000000000000004</v>
      </c>
      <c r="E62" s="202">
        <f t="shared" si="22"/>
        <v>0.22931400000000005</v>
      </c>
      <c r="F62" s="203">
        <f t="shared" si="23"/>
        <v>16.500000000000004</v>
      </c>
      <c r="G62" s="204">
        <f t="shared" si="24"/>
        <v>135</v>
      </c>
      <c r="H62" s="204">
        <f t="shared" si="25"/>
        <v>135</v>
      </c>
      <c r="I62" s="205">
        <f t="shared" si="26"/>
        <v>286.5</v>
      </c>
      <c r="J62" s="203">
        <f t="shared" si="33"/>
        <v>4.5862800000000012</v>
      </c>
      <c r="K62" s="206"/>
      <c r="L62" s="207">
        <f t="shared" si="27"/>
        <v>5.2631578947368425</v>
      </c>
      <c r="M62" s="207">
        <f t="shared" si="27"/>
        <v>1.6666666666666667</v>
      </c>
      <c r="N62" s="207">
        <f t="shared" si="28"/>
        <v>0</v>
      </c>
      <c r="O62" s="208">
        <f t="shared" si="29"/>
        <v>298.01610456140349</v>
      </c>
      <c r="P62" s="190"/>
      <c r="Q62" s="196">
        <f t="shared" si="30"/>
        <v>33.112900506822612</v>
      </c>
      <c r="R62" s="214"/>
      <c r="S62" s="217"/>
      <c r="T62" s="213"/>
      <c r="U62" s="213"/>
      <c r="V62" s="213"/>
      <c r="W62" s="213"/>
      <c r="X62" s="213"/>
      <c r="Y62" s="213"/>
      <c r="Z62" s="213"/>
      <c r="AA62" s="213"/>
      <c r="AB62" s="213"/>
      <c r="AC62" s="213"/>
      <c r="AD62" s="214"/>
      <c r="AE62" s="218"/>
    </row>
    <row r="63" spans="1:31" x14ac:dyDescent="0.25">
      <c r="A63" s="147">
        <v>10</v>
      </c>
      <c r="B63" s="230">
        <f t="shared" si="31"/>
        <v>3</v>
      </c>
      <c r="C63" s="155">
        <v>0.1</v>
      </c>
      <c r="D63" s="229">
        <f t="shared" si="32"/>
        <v>0.30000000000000004</v>
      </c>
      <c r="E63" s="202">
        <f t="shared" si="22"/>
        <v>0.22146000000000005</v>
      </c>
      <c r="F63" s="203">
        <f t="shared" si="23"/>
        <v>16.500000000000004</v>
      </c>
      <c r="G63" s="204">
        <f t="shared" si="24"/>
        <v>150</v>
      </c>
      <c r="H63" s="204">
        <f t="shared" si="25"/>
        <v>150</v>
      </c>
      <c r="I63" s="205">
        <f t="shared" si="26"/>
        <v>316.5</v>
      </c>
      <c r="J63" s="203">
        <f t="shared" si="33"/>
        <v>4.4292000000000007</v>
      </c>
      <c r="K63" s="206"/>
      <c r="L63" s="207">
        <f t="shared" si="27"/>
        <v>5.2631578947368425</v>
      </c>
      <c r="M63" s="207">
        <f t="shared" si="27"/>
        <v>1.6666666666666667</v>
      </c>
      <c r="N63" s="207">
        <f t="shared" si="28"/>
        <v>0</v>
      </c>
      <c r="O63" s="208">
        <f t="shared" si="29"/>
        <v>327.85902456140349</v>
      </c>
      <c r="P63" s="190"/>
      <c r="Q63" s="196">
        <f t="shared" si="30"/>
        <v>32.785902456140349</v>
      </c>
      <c r="R63" s="214"/>
      <c r="S63" s="214"/>
      <c r="T63" s="213"/>
      <c r="U63" s="214"/>
      <c r="V63" s="214"/>
      <c r="W63" s="214"/>
      <c r="X63" s="214"/>
      <c r="Y63" s="214"/>
      <c r="Z63" s="214"/>
      <c r="AA63" s="214"/>
      <c r="AB63" s="214"/>
      <c r="AC63" s="213"/>
      <c r="AD63" s="214"/>
      <c r="AE63" s="214"/>
    </row>
    <row r="64" spans="1:31" x14ac:dyDescent="0.25">
      <c r="A64" s="147">
        <v>11</v>
      </c>
      <c r="B64" s="230">
        <f t="shared" si="31"/>
        <v>3</v>
      </c>
      <c r="C64" s="155">
        <v>0.1</v>
      </c>
      <c r="D64" s="229">
        <f t="shared" si="32"/>
        <v>0.30000000000000004</v>
      </c>
      <c r="E64" s="202">
        <f t="shared" si="22"/>
        <v>0.21360600000000005</v>
      </c>
      <c r="F64" s="203">
        <f t="shared" si="23"/>
        <v>16.500000000000004</v>
      </c>
      <c r="G64" s="204">
        <f t="shared" si="24"/>
        <v>165</v>
      </c>
      <c r="H64" s="204">
        <f t="shared" si="25"/>
        <v>165</v>
      </c>
      <c r="I64" s="205">
        <f t="shared" si="26"/>
        <v>346.5</v>
      </c>
      <c r="J64" s="203">
        <f t="shared" si="33"/>
        <v>4.272120000000001</v>
      </c>
      <c r="K64" s="206"/>
      <c r="L64" s="207">
        <f t="shared" si="27"/>
        <v>5.2631578947368425</v>
      </c>
      <c r="M64" s="207">
        <f t="shared" si="27"/>
        <v>1.6666666666666667</v>
      </c>
      <c r="N64" s="207">
        <f t="shared" si="28"/>
        <v>0</v>
      </c>
      <c r="O64" s="208">
        <f t="shared" si="29"/>
        <v>357.70194456140348</v>
      </c>
      <c r="P64" s="190"/>
      <c r="Q64" s="196">
        <f t="shared" si="30"/>
        <v>32.518358596491225</v>
      </c>
      <c r="R64" s="214"/>
      <c r="S64" s="215"/>
      <c r="T64" s="213"/>
      <c r="U64" s="216"/>
      <c r="V64" s="216"/>
      <c r="W64" s="216"/>
      <c r="X64" s="216"/>
      <c r="Y64" s="216"/>
      <c r="Z64" s="216"/>
      <c r="AA64" s="216"/>
      <c r="AB64" s="216"/>
      <c r="AC64" s="213"/>
      <c r="AD64" s="217"/>
      <c r="AE64" s="214"/>
    </row>
    <row r="65" spans="1:31" x14ac:dyDescent="0.25">
      <c r="A65" s="147">
        <v>12</v>
      </c>
      <c r="B65" s="230">
        <f t="shared" si="31"/>
        <v>3</v>
      </c>
      <c r="C65" s="155">
        <v>0.1</v>
      </c>
      <c r="D65" s="229">
        <f t="shared" si="32"/>
        <v>0.30000000000000004</v>
      </c>
      <c r="E65" s="202">
        <f t="shared" si="22"/>
        <v>0.20575200000000005</v>
      </c>
      <c r="F65" s="203">
        <f t="shared" si="23"/>
        <v>16.500000000000004</v>
      </c>
      <c r="G65" s="204">
        <f t="shared" si="24"/>
        <v>180</v>
      </c>
      <c r="H65" s="204">
        <f t="shared" si="25"/>
        <v>180</v>
      </c>
      <c r="I65" s="205">
        <f t="shared" si="26"/>
        <v>376.5</v>
      </c>
      <c r="J65" s="203">
        <f t="shared" si="33"/>
        <v>4.1150400000000005</v>
      </c>
      <c r="K65" s="206"/>
      <c r="L65" s="207">
        <f t="shared" si="27"/>
        <v>5.2631578947368425</v>
      </c>
      <c r="M65" s="207">
        <f t="shared" si="27"/>
        <v>1.6666666666666667</v>
      </c>
      <c r="N65" s="207">
        <f t="shared" si="28"/>
        <v>0</v>
      </c>
      <c r="O65" s="208">
        <f t="shared" si="29"/>
        <v>387.54486456140353</v>
      </c>
      <c r="P65" s="190"/>
      <c r="Q65" s="196">
        <f t="shared" si="30"/>
        <v>32.295405380116961</v>
      </c>
      <c r="R65" s="214"/>
      <c r="S65" s="217"/>
      <c r="T65" s="213"/>
      <c r="U65" s="213"/>
      <c r="V65" s="213"/>
      <c r="W65" s="213"/>
      <c r="X65" s="213"/>
      <c r="Y65" s="213"/>
      <c r="Z65" s="213"/>
      <c r="AA65" s="213"/>
      <c r="AB65" s="213"/>
      <c r="AC65" s="213"/>
      <c r="AD65" s="214"/>
      <c r="AE65" s="218"/>
    </row>
    <row r="66" spans="1:31" x14ac:dyDescent="0.25">
      <c r="A66" s="147">
        <v>13</v>
      </c>
      <c r="B66" s="231">
        <v>4</v>
      </c>
      <c r="C66" s="155">
        <v>0.1</v>
      </c>
      <c r="D66" s="229">
        <f t="shared" si="32"/>
        <v>0.4</v>
      </c>
      <c r="E66" s="202">
        <f t="shared" si="22"/>
        <v>0.297898</v>
      </c>
      <c r="F66" s="203">
        <f t="shared" si="23"/>
        <v>22</v>
      </c>
      <c r="G66" s="204">
        <f t="shared" si="24"/>
        <v>195</v>
      </c>
      <c r="H66" s="204">
        <f t="shared" si="25"/>
        <v>195</v>
      </c>
      <c r="I66" s="205">
        <f t="shared" si="26"/>
        <v>412</v>
      </c>
      <c r="J66" s="203">
        <f t="shared" si="33"/>
        <v>5.9579599999999999</v>
      </c>
      <c r="K66" s="206"/>
      <c r="L66" s="207">
        <f t="shared" si="27"/>
        <v>5.2631578947368425</v>
      </c>
      <c r="M66" s="207">
        <f t="shared" si="27"/>
        <v>1.6666666666666667</v>
      </c>
      <c r="N66" s="207">
        <f t="shared" si="28"/>
        <v>0</v>
      </c>
      <c r="O66" s="208">
        <f t="shared" si="29"/>
        <v>424.88778456140352</v>
      </c>
      <c r="P66" s="190"/>
      <c r="Q66" s="196">
        <f t="shared" si="30"/>
        <v>32.683675735492578</v>
      </c>
      <c r="R66" s="214"/>
      <c r="S66" s="217"/>
      <c r="T66" s="213"/>
      <c r="U66" s="213"/>
      <c r="V66" s="213"/>
      <c r="W66" s="213"/>
      <c r="X66" s="213"/>
      <c r="Y66" s="213"/>
      <c r="Z66" s="213"/>
      <c r="AA66" s="213"/>
      <c r="AB66" s="213"/>
      <c r="AC66" s="213"/>
      <c r="AD66" s="214"/>
      <c r="AE66" s="218"/>
    </row>
    <row r="67" spans="1:31" x14ac:dyDescent="0.25">
      <c r="A67" s="147">
        <v>14</v>
      </c>
      <c r="B67" s="231">
        <f t="shared" si="31"/>
        <v>4</v>
      </c>
      <c r="C67" s="155">
        <v>0.1</v>
      </c>
      <c r="D67" s="229">
        <f t="shared" si="32"/>
        <v>0.4</v>
      </c>
      <c r="E67" s="202">
        <f t="shared" si="22"/>
        <v>0.29004400000000002</v>
      </c>
      <c r="F67" s="203">
        <f t="shared" si="23"/>
        <v>22</v>
      </c>
      <c r="G67" s="204">
        <f t="shared" si="24"/>
        <v>210</v>
      </c>
      <c r="H67" s="204">
        <f t="shared" si="25"/>
        <v>210</v>
      </c>
      <c r="I67" s="205">
        <f t="shared" si="26"/>
        <v>442</v>
      </c>
      <c r="J67" s="203">
        <f t="shared" si="33"/>
        <v>5.8008800000000003</v>
      </c>
      <c r="K67" s="206"/>
      <c r="L67" s="207">
        <f t="shared" si="27"/>
        <v>5.2631578947368425</v>
      </c>
      <c r="M67" s="207">
        <f t="shared" si="27"/>
        <v>1.6666666666666667</v>
      </c>
      <c r="N67" s="207">
        <f t="shared" si="28"/>
        <v>0</v>
      </c>
      <c r="O67" s="208">
        <f t="shared" si="29"/>
        <v>454.73070456140351</v>
      </c>
      <c r="P67" s="190"/>
      <c r="Q67" s="196">
        <f t="shared" si="30"/>
        <v>32.480764611528819</v>
      </c>
      <c r="R67" s="214"/>
      <c r="S67" s="217"/>
      <c r="T67" s="213"/>
      <c r="U67" s="213"/>
      <c r="V67" s="213"/>
      <c r="W67" s="213"/>
      <c r="X67" s="213"/>
      <c r="Y67" s="213"/>
      <c r="Z67" s="213"/>
      <c r="AA67" s="213"/>
      <c r="AB67" s="213"/>
      <c r="AC67" s="213"/>
      <c r="AD67" s="214"/>
      <c r="AE67" s="218"/>
    </row>
    <row r="68" spans="1:31" x14ac:dyDescent="0.25">
      <c r="A68" s="147">
        <v>15</v>
      </c>
      <c r="B68" s="231">
        <f t="shared" si="31"/>
        <v>4</v>
      </c>
      <c r="C68" s="155">
        <v>0.1</v>
      </c>
      <c r="D68" s="229">
        <f t="shared" si="32"/>
        <v>0.4</v>
      </c>
      <c r="E68" s="202">
        <f t="shared" si="22"/>
        <v>0.28219000000000005</v>
      </c>
      <c r="F68" s="203">
        <f t="shared" si="23"/>
        <v>22</v>
      </c>
      <c r="G68" s="204">
        <f t="shared" ref="G68:G69" si="34">G$49*A68</f>
        <v>225</v>
      </c>
      <c r="H68" s="204">
        <f t="shared" ref="H68:H69" si="35">H$49*A68</f>
        <v>225</v>
      </c>
      <c r="I68" s="205">
        <f t="shared" ref="I68:I69" si="36">SUM(F68:H68)</f>
        <v>472</v>
      </c>
      <c r="J68" s="203">
        <f t="shared" ref="J68:J69" si="37">E68*J$49</f>
        <v>5.6438000000000006</v>
      </c>
      <c r="K68" s="206"/>
      <c r="L68" s="207">
        <f t="shared" si="27"/>
        <v>5.2631578947368425</v>
      </c>
      <c r="M68" s="207">
        <f t="shared" si="27"/>
        <v>1.6666666666666667</v>
      </c>
      <c r="N68" s="207">
        <f t="shared" ref="N68:N69" si="38">SUM(I68:M68)*N$49</f>
        <v>0</v>
      </c>
      <c r="O68" s="208">
        <f t="shared" ref="O68:O69" si="39">SUM(I68:N68)</f>
        <v>484.57362456140351</v>
      </c>
      <c r="P68" s="190"/>
      <c r="Q68" s="196">
        <f t="shared" ref="Q68:Q69" si="40">O68/A68</f>
        <v>32.304908304093566</v>
      </c>
      <c r="R68" s="214"/>
      <c r="S68" s="217"/>
      <c r="T68" s="213"/>
      <c r="U68" s="213"/>
      <c r="V68" s="213"/>
      <c r="W68" s="213"/>
      <c r="X68" s="213"/>
      <c r="Y68" s="213"/>
      <c r="Z68" s="213"/>
      <c r="AA68" s="213"/>
      <c r="AB68" s="213"/>
      <c r="AC68" s="213"/>
      <c r="AD68" s="214"/>
      <c r="AE68" s="218"/>
    </row>
    <row r="69" spans="1:31" x14ac:dyDescent="0.25">
      <c r="A69" s="147">
        <v>16</v>
      </c>
      <c r="B69" s="231">
        <f t="shared" si="31"/>
        <v>4</v>
      </c>
      <c r="C69" s="155">
        <v>0.1</v>
      </c>
      <c r="D69" s="229">
        <f t="shared" si="32"/>
        <v>0.4</v>
      </c>
      <c r="E69" s="202">
        <f t="shared" si="22"/>
        <v>0.27433600000000002</v>
      </c>
      <c r="F69" s="203">
        <f t="shared" si="23"/>
        <v>22</v>
      </c>
      <c r="G69" s="204">
        <f t="shared" si="34"/>
        <v>240</v>
      </c>
      <c r="H69" s="204">
        <f t="shared" si="35"/>
        <v>240</v>
      </c>
      <c r="I69" s="205">
        <f t="shared" si="36"/>
        <v>502</v>
      </c>
      <c r="J69" s="203">
        <f t="shared" si="37"/>
        <v>5.48672</v>
      </c>
      <c r="K69" s="206"/>
      <c r="L69" s="207">
        <f t="shared" si="27"/>
        <v>5.2631578947368425</v>
      </c>
      <c r="M69" s="207">
        <f t="shared" si="27"/>
        <v>1.6666666666666667</v>
      </c>
      <c r="N69" s="207">
        <f t="shared" si="38"/>
        <v>0</v>
      </c>
      <c r="O69" s="208">
        <f t="shared" si="39"/>
        <v>514.4165445614035</v>
      </c>
      <c r="P69" s="190"/>
      <c r="Q69" s="196">
        <f t="shared" si="40"/>
        <v>32.151034035087719</v>
      </c>
      <c r="R69" s="214"/>
      <c r="S69" s="214"/>
      <c r="T69" s="213"/>
      <c r="U69" s="214"/>
      <c r="V69" s="214"/>
      <c r="W69" s="214"/>
      <c r="X69" s="214"/>
      <c r="Y69" s="214"/>
      <c r="Z69" s="217"/>
      <c r="AA69" s="214"/>
      <c r="AB69" s="214"/>
      <c r="AC69" s="213"/>
      <c r="AD69" s="214"/>
      <c r="AE69" s="214"/>
    </row>
    <row r="70" spans="1:31" x14ac:dyDescent="0.25">
      <c r="A70" s="147">
        <v>17</v>
      </c>
      <c r="B70" s="230">
        <v>5</v>
      </c>
      <c r="C70" s="155">
        <v>0.1</v>
      </c>
      <c r="D70" s="229">
        <f t="shared" si="32"/>
        <v>0.5</v>
      </c>
      <c r="E70" s="202">
        <f t="shared" si="22"/>
        <v>0.36648199999999997</v>
      </c>
      <c r="F70" s="203">
        <f t="shared" si="23"/>
        <v>27.5</v>
      </c>
      <c r="G70" s="204">
        <f t="shared" ref="G70:G89" si="41">G$49*A70</f>
        <v>255</v>
      </c>
      <c r="H70" s="204">
        <f t="shared" ref="H70:H89" si="42">H$49*A70</f>
        <v>255</v>
      </c>
      <c r="I70" s="205">
        <f t="shared" ref="I70:I89" si="43">SUM(F70:H70)</f>
        <v>537.5</v>
      </c>
      <c r="J70" s="203">
        <f t="shared" ref="J70:J77" si="44">E70*J$49</f>
        <v>7.3296399999999995</v>
      </c>
      <c r="K70" s="206"/>
      <c r="L70" s="207">
        <f t="shared" si="27"/>
        <v>5.2631578947368425</v>
      </c>
      <c r="M70" s="207">
        <f t="shared" si="27"/>
        <v>1.6666666666666667</v>
      </c>
      <c r="N70" s="207">
        <f t="shared" ref="N70:N89" si="45">SUM(I70:M70)*N$49</f>
        <v>0</v>
      </c>
      <c r="O70" s="208">
        <f t="shared" ref="O70:O89" si="46">SUM(I70:N70)</f>
        <v>551.75946456140355</v>
      </c>
      <c r="P70" s="190"/>
      <c r="Q70" s="196">
        <f t="shared" ref="Q70:Q89" si="47">O70/A70</f>
        <v>32.456439091847265</v>
      </c>
      <c r="R70" s="214"/>
      <c r="S70" s="215"/>
      <c r="T70" s="213"/>
      <c r="U70" s="216"/>
      <c r="V70" s="216"/>
      <c r="W70" s="216"/>
      <c r="X70" s="216"/>
      <c r="Y70" s="216"/>
      <c r="Z70" s="216"/>
      <c r="AA70" s="216"/>
      <c r="AB70" s="216"/>
      <c r="AC70" s="213"/>
      <c r="AD70" s="217"/>
      <c r="AE70" s="214"/>
    </row>
    <row r="71" spans="1:31" x14ac:dyDescent="0.25">
      <c r="A71" s="147">
        <v>18</v>
      </c>
      <c r="B71" s="230">
        <f t="shared" ref="B71:B89" si="48">B70</f>
        <v>5</v>
      </c>
      <c r="C71" s="155">
        <v>0.1</v>
      </c>
      <c r="D71" s="229">
        <f t="shared" si="32"/>
        <v>0.5</v>
      </c>
      <c r="E71" s="202">
        <f t="shared" si="22"/>
        <v>0.358628</v>
      </c>
      <c r="F71" s="203">
        <f t="shared" si="23"/>
        <v>27.5</v>
      </c>
      <c r="G71" s="204">
        <f t="shared" si="41"/>
        <v>270</v>
      </c>
      <c r="H71" s="204">
        <f t="shared" si="42"/>
        <v>270</v>
      </c>
      <c r="I71" s="205">
        <f t="shared" si="43"/>
        <v>567.5</v>
      </c>
      <c r="J71" s="203">
        <f t="shared" si="44"/>
        <v>7.1725599999999998</v>
      </c>
      <c r="K71" s="206"/>
      <c r="L71" s="207">
        <f t="shared" ref="L71:M89" si="49">L$49</f>
        <v>5.2631578947368425</v>
      </c>
      <c r="M71" s="207">
        <f t="shared" si="49"/>
        <v>1.6666666666666667</v>
      </c>
      <c r="N71" s="207">
        <f t="shared" si="45"/>
        <v>0</v>
      </c>
      <c r="O71" s="208">
        <f t="shared" si="46"/>
        <v>581.60238456140348</v>
      </c>
      <c r="P71" s="190"/>
      <c r="Q71" s="196">
        <f t="shared" si="47"/>
        <v>32.311243586744638</v>
      </c>
      <c r="R71" s="214"/>
      <c r="S71" s="217"/>
      <c r="T71" s="213"/>
      <c r="U71" s="213"/>
      <c r="V71" s="213"/>
      <c r="W71" s="213"/>
      <c r="X71" s="213"/>
      <c r="Y71" s="219"/>
      <c r="Z71" s="219"/>
      <c r="AA71" s="213"/>
      <c r="AB71" s="213"/>
      <c r="AC71" s="213"/>
      <c r="AD71" s="214"/>
      <c r="AE71" s="218"/>
    </row>
    <row r="72" spans="1:31" x14ac:dyDescent="0.25">
      <c r="A72" s="147">
        <v>19</v>
      </c>
      <c r="B72" s="230">
        <f t="shared" si="48"/>
        <v>5</v>
      </c>
      <c r="C72" s="155">
        <v>0.1</v>
      </c>
      <c r="D72" s="229">
        <f t="shared" si="32"/>
        <v>0.5</v>
      </c>
      <c r="E72" s="202">
        <f t="shared" si="22"/>
        <v>0.35077400000000003</v>
      </c>
      <c r="F72" s="203">
        <f t="shared" si="23"/>
        <v>27.5</v>
      </c>
      <c r="G72" s="204">
        <f t="shared" si="41"/>
        <v>285</v>
      </c>
      <c r="H72" s="204">
        <f t="shared" si="42"/>
        <v>285</v>
      </c>
      <c r="I72" s="205">
        <f t="shared" si="43"/>
        <v>597.5</v>
      </c>
      <c r="J72" s="203">
        <f t="shared" si="44"/>
        <v>7.0154800000000002</v>
      </c>
      <c r="K72" s="206"/>
      <c r="L72" s="207">
        <f t="shared" si="49"/>
        <v>5.2631578947368425</v>
      </c>
      <c r="M72" s="207">
        <f t="shared" si="49"/>
        <v>1.6666666666666667</v>
      </c>
      <c r="N72" s="207">
        <f t="shared" si="45"/>
        <v>0</v>
      </c>
      <c r="O72" s="208">
        <f t="shared" si="46"/>
        <v>611.44530456140353</v>
      </c>
      <c r="P72" s="190"/>
      <c r="Q72" s="196">
        <f t="shared" si="47"/>
        <v>32.181331819021239</v>
      </c>
      <c r="R72" s="214"/>
      <c r="S72" s="217"/>
      <c r="T72" s="213"/>
      <c r="U72" s="213"/>
      <c r="V72" s="213"/>
      <c r="W72" s="213"/>
      <c r="X72" s="213"/>
      <c r="Y72" s="219"/>
      <c r="Z72" s="219"/>
      <c r="AA72" s="213"/>
      <c r="AB72" s="213"/>
      <c r="AC72" s="213"/>
      <c r="AD72" s="214"/>
      <c r="AE72" s="218"/>
    </row>
    <row r="73" spans="1:31" x14ac:dyDescent="0.25">
      <c r="A73" s="147">
        <v>20</v>
      </c>
      <c r="B73" s="230">
        <f t="shared" si="48"/>
        <v>5</v>
      </c>
      <c r="C73" s="155">
        <v>0.1</v>
      </c>
      <c r="D73" s="229">
        <f t="shared" si="32"/>
        <v>0.5</v>
      </c>
      <c r="E73" s="202">
        <f t="shared" si="22"/>
        <v>0.34292</v>
      </c>
      <c r="F73" s="203">
        <f t="shared" si="23"/>
        <v>27.5</v>
      </c>
      <c r="G73" s="204">
        <f t="shared" si="41"/>
        <v>300</v>
      </c>
      <c r="H73" s="204">
        <f t="shared" si="42"/>
        <v>300</v>
      </c>
      <c r="I73" s="205">
        <f t="shared" si="43"/>
        <v>627.5</v>
      </c>
      <c r="J73" s="203">
        <f t="shared" si="44"/>
        <v>6.8583999999999996</v>
      </c>
      <c r="K73" s="206"/>
      <c r="L73" s="207">
        <f t="shared" si="49"/>
        <v>5.2631578947368425</v>
      </c>
      <c r="M73" s="207">
        <f t="shared" si="49"/>
        <v>1.6666666666666667</v>
      </c>
      <c r="N73" s="207">
        <f t="shared" si="45"/>
        <v>0</v>
      </c>
      <c r="O73" s="208">
        <f t="shared" si="46"/>
        <v>641.28822456140347</v>
      </c>
      <c r="P73" s="190"/>
      <c r="Q73" s="196">
        <f t="shared" si="47"/>
        <v>32.064411228070171</v>
      </c>
      <c r="R73" s="214"/>
      <c r="S73" s="217"/>
      <c r="T73" s="213"/>
      <c r="U73" s="213"/>
      <c r="V73" s="213"/>
      <c r="W73" s="213"/>
      <c r="X73" s="213"/>
      <c r="Y73" s="219"/>
      <c r="Z73" s="219"/>
      <c r="AA73" s="213"/>
      <c r="AB73" s="213"/>
      <c r="AC73" s="213"/>
      <c r="AD73" s="214"/>
      <c r="AE73" s="218"/>
    </row>
    <row r="74" spans="1:31" x14ac:dyDescent="0.25">
      <c r="A74" s="147">
        <v>21</v>
      </c>
      <c r="B74" s="231">
        <v>6</v>
      </c>
      <c r="C74" s="155">
        <v>0.1</v>
      </c>
      <c r="D74" s="229">
        <f t="shared" si="32"/>
        <v>0.60000000000000009</v>
      </c>
      <c r="E74" s="202">
        <f t="shared" si="22"/>
        <v>0.43506600000000006</v>
      </c>
      <c r="F74" s="203">
        <f t="shared" si="23"/>
        <v>33.000000000000007</v>
      </c>
      <c r="G74" s="204">
        <f t="shared" si="41"/>
        <v>315</v>
      </c>
      <c r="H74" s="204">
        <f t="shared" si="42"/>
        <v>315</v>
      </c>
      <c r="I74" s="205">
        <f t="shared" si="43"/>
        <v>663</v>
      </c>
      <c r="J74" s="203">
        <f t="shared" si="44"/>
        <v>8.7013200000000008</v>
      </c>
      <c r="K74" s="206"/>
      <c r="L74" s="207">
        <f t="shared" si="49"/>
        <v>5.2631578947368425</v>
      </c>
      <c r="M74" s="207">
        <f t="shared" si="49"/>
        <v>1.6666666666666667</v>
      </c>
      <c r="N74" s="207">
        <f t="shared" si="45"/>
        <v>0</v>
      </c>
      <c r="O74" s="208">
        <f t="shared" si="46"/>
        <v>678.63114456140352</v>
      </c>
      <c r="P74" s="190"/>
      <c r="Q74" s="196">
        <f t="shared" si="47"/>
        <v>32.315768788638266</v>
      </c>
      <c r="R74" s="214"/>
      <c r="S74" s="217"/>
      <c r="T74" s="213"/>
      <c r="U74" s="214"/>
      <c r="V74" s="214"/>
      <c r="W74" s="214"/>
      <c r="X74" s="214"/>
      <c r="Y74" s="214"/>
      <c r="Z74" s="214"/>
      <c r="AA74" s="214"/>
      <c r="AB74" s="214"/>
      <c r="AC74" s="213"/>
      <c r="AD74" s="214"/>
      <c r="AE74" s="218"/>
    </row>
    <row r="75" spans="1:31" x14ac:dyDescent="0.25">
      <c r="A75" s="147">
        <v>22</v>
      </c>
      <c r="B75" s="231">
        <f t="shared" si="48"/>
        <v>6</v>
      </c>
      <c r="C75" s="155">
        <v>0.1</v>
      </c>
      <c r="D75" s="229">
        <f t="shared" si="32"/>
        <v>0.60000000000000009</v>
      </c>
      <c r="E75" s="202">
        <f t="shared" si="22"/>
        <v>0.42721200000000009</v>
      </c>
      <c r="F75" s="203">
        <f t="shared" si="23"/>
        <v>33.000000000000007</v>
      </c>
      <c r="G75" s="204">
        <f t="shared" si="41"/>
        <v>330</v>
      </c>
      <c r="H75" s="204">
        <f t="shared" si="42"/>
        <v>330</v>
      </c>
      <c r="I75" s="205">
        <f t="shared" si="43"/>
        <v>693</v>
      </c>
      <c r="J75" s="203">
        <f t="shared" si="44"/>
        <v>8.5442400000000021</v>
      </c>
      <c r="K75" s="206"/>
      <c r="L75" s="207">
        <f t="shared" si="49"/>
        <v>5.2631578947368425</v>
      </c>
      <c r="M75" s="207">
        <f t="shared" si="49"/>
        <v>1.6666666666666667</v>
      </c>
      <c r="N75" s="207">
        <f t="shared" si="45"/>
        <v>0</v>
      </c>
      <c r="O75" s="208">
        <f t="shared" si="46"/>
        <v>708.47406456140345</v>
      </c>
      <c r="P75" s="190"/>
      <c r="Q75" s="196">
        <f t="shared" si="47"/>
        <v>32.203366570972882</v>
      </c>
      <c r="R75" s="214"/>
      <c r="S75" s="214"/>
      <c r="T75" s="214"/>
      <c r="U75" s="214"/>
      <c r="V75" s="214"/>
      <c r="W75" s="213"/>
      <c r="X75" s="214"/>
      <c r="Y75" s="214"/>
      <c r="Z75" s="214"/>
      <c r="AA75" s="214"/>
      <c r="AB75" s="214"/>
      <c r="AC75" s="214"/>
      <c r="AD75" s="214"/>
      <c r="AE75" s="214"/>
    </row>
    <row r="76" spans="1:31" x14ac:dyDescent="0.25">
      <c r="A76" s="147">
        <v>23</v>
      </c>
      <c r="B76" s="231">
        <f t="shared" si="48"/>
        <v>6</v>
      </c>
      <c r="C76" s="155">
        <v>0.1</v>
      </c>
      <c r="D76" s="229">
        <f t="shared" si="32"/>
        <v>0.60000000000000009</v>
      </c>
      <c r="E76" s="202">
        <f t="shared" si="22"/>
        <v>0.41935800000000012</v>
      </c>
      <c r="F76" s="203">
        <f t="shared" si="23"/>
        <v>33.000000000000007</v>
      </c>
      <c r="G76" s="204">
        <f t="shared" si="41"/>
        <v>345</v>
      </c>
      <c r="H76" s="204">
        <f t="shared" si="42"/>
        <v>345</v>
      </c>
      <c r="I76" s="205">
        <f t="shared" si="43"/>
        <v>723</v>
      </c>
      <c r="J76" s="203">
        <f t="shared" si="44"/>
        <v>8.3871600000000015</v>
      </c>
      <c r="K76" s="206"/>
      <c r="L76" s="207">
        <f t="shared" si="49"/>
        <v>5.2631578947368425</v>
      </c>
      <c r="M76" s="207">
        <f t="shared" si="49"/>
        <v>1.6666666666666667</v>
      </c>
      <c r="N76" s="207">
        <f t="shared" si="45"/>
        <v>0</v>
      </c>
      <c r="O76" s="208">
        <f t="shared" si="46"/>
        <v>738.3169845614035</v>
      </c>
      <c r="P76" s="190"/>
      <c r="Q76" s="196">
        <f t="shared" si="47"/>
        <v>32.100738459191454</v>
      </c>
      <c r="R76" s="214"/>
      <c r="S76" s="214"/>
      <c r="T76" s="214"/>
      <c r="U76" s="214"/>
      <c r="V76" s="214"/>
      <c r="W76" s="214"/>
      <c r="X76" s="214"/>
      <c r="Y76" s="214"/>
      <c r="Z76" s="214"/>
      <c r="AA76" s="214"/>
      <c r="AB76" s="214"/>
      <c r="AC76" s="214"/>
      <c r="AD76" s="214"/>
      <c r="AE76" s="214"/>
    </row>
    <row r="77" spans="1:31" x14ac:dyDescent="0.25">
      <c r="A77" s="147">
        <v>24</v>
      </c>
      <c r="B77" s="231">
        <f t="shared" si="48"/>
        <v>6</v>
      </c>
      <c r="C77" s="155">
        <v>0.1</v>
      </c>
      <c r="D77" s="229">
        <f t="shared" si="32"/>
        <v>0.60000000000000009</v>
      </c>
      <c r="E77" s="202">
        <f t="shared" si="22"/>
        <v>0.41150400000000009</v>
      </c>
      <c r="F77" s="203">
        <f t="shared" si="23"/>
        <v>33.000000000000007</v>
      </c>
      <c r="G77" s="204">
        <f t="shared" si="41"/>
        <v>360</v>
      </c>
      <c r="H77" s="204">
        <f t="shared" si="42"/>
        <v>360</v>
      </c>
      <c r="I77" s="205">
        <f t="shared" si="43"/>
        <v>753</v>
      </c>
      <c r="J77" s="203">
        <f t="shared" si="44"/>
        <v>8.230080000000001</v>
      </c>
      <c r="K77" s="206"/>
      <c r="L77" s="207">
        <f t="shared" si="49"/>
        <v>5.2631578947368425</v>
      </c>
      <c r="M77" s="207">
        <f t="shared" si="49"/>
        <v>1.6666666666666667</v>
      </c>
      <c r="N77" s="207">
        <f t="shared" si="45"/>
        <v>0</v>
      </c>
      <c r="O77" s="208">
        <f t="shared" si="46"/>
        <v>768.15990456140355</v>
      </c>
      <c r="P77" s="190"/>
      <c r="Q77" s="196">
        <f t="shared" si="47"/>
        <v>32.006662690058484</v>
      </c>
      <c r="R77" s="214"/>
      <c r="S77" s="214"/>
      <c r="T77" s="214"/>
      <c r="U77" s="214"/>
      <c r="V77" s="214"/>
      <c r="W77" s="214"/>
      <c r="X77" s="214"/>
      <c r="Y77" s="214"/>
      <c r="Z77" s="214"/>
      <c r="AA77" s="214"/>
      <c r="AB77" s="214"/>
      <c r="AC77" s="214"/>
      <c r="AD77" s="214"/>
      <c r="AE77" s="214"/>
    </row>
    <row r="78" spans="1:31" x14ac:dyDescent="0.25">
      <c r="A78" s="147">
        <v>25</v>
      </c>
      <c r="B78" s="230">
        <v>7</v>
      </c>
      <c r="C78" s="155">
        <v>0.1</v>
      </c>
      <c r="D78" s="229">
        <f t="shared" si="32"/>
        <v>0.70000000000000007</v>
      </c>
      <c r="E78" s="202">
        <f t="shared" si="22"/>
        <v>0.50365000000000004</v>
      </c>
      <c r="F78" s="203">
        <f t="shared" si="23"/>
        <v>38.500000000000007</v>
      </c>
      <c r="G78" s="204">
        <f t="shared" si="41"/>
        <v>375</v>
      </c>
      <c r="H78" s="204">
        <f t="shared" si="42"/>
        <v>375</v>
      </c>
      <c r="I78" s="205">
        <f t="shared" si="43"/>
        <v>788.5</v>
      </c>
      <c r="J78" s="203">
        <f t="shared" ref="J78:J89" si="50">E78*J$49</f>
        <v>10.073</v>
      </c>
      <c r="K78" s="206"/>
      <c r="L78" s="207">
        <f t="shared" si="49"/>
        <v>5.2631578947368425</v>
      </c>
      <c r="M78" s="207">
        <f t="shared" si="49"/>
        <v>1.6666666666666667</v>
      </c>
      <c r="N78" s="207">
        <f t="shared" si="45"/>
        <v>0</v>
      </c>
      <c r="O78" s="208">
        <f t="shared" si="46"/>
        <v>805.50282456140349</v>
      </c>
      <c r="P78" s="190"/>
      <c r="Q78" s="196">
        <f t="shared" si="47"/>
        <v>32.220112982456136</v>
      </c>
    </row>
    <row r="79" spans="1:31" x14ac:dyDescent="0.25">
      <c r="A79" s="147">
        <v>26</v>
      </c>
      <c r="B79" s="230">
        <f t="shared" si="48"/>
        <v>7</v>
      </c>
      <c r="C79" s="155">
        <v>0.1</v>
      </c>
      <c r="D79" s="229">
        <f t="shared" si="32"/>
        <v>0.70000000000000007</v>
      </c>
      <c r="E79" s="202">
        <f t="shared" si="22"/>
        <v>0.49579600000000007</v>
      </c>
      <c r="F79" s="203">
        <f t="shared" si="23"/>
        <v>38.500000000000007</v>
      </c>
      <c r="G79" s="204">
        <f t="shared" si="41"/>
        <v>390</v>
      </c>
      <c r="H79" s="204">
        <f t="shared" si="42"/>
        <v>390</v>
      </c>
      <c r="I79" s="205">
        <f t="shared" si="43"/>
        <v>818.5</v>
      </c>
      <c r="J79" s="203">
        <f t="shared" si="50"/>
        <v>9.9159200000000016</v>
      </c>
      <c r="K79" s="206"/>
      <c r="L79" s="207">
        <f t="shared" si="49"/>
        <v>5.2631578947368425</v>
      </c>
      <c r="M79" s="207">
        <f t="shared" si="49"/>
        <v>1.6666666666666667</v>
      </c>
      <c r="N79" s="207">
        <f t="shared" si="45"/>
        <v>0</v>
      </c>
      <c r="O79" s="208">
        <f t="shared" si="46"/>
        <v>835.34574456140354</v>
      </c>
      <c r="P79" s="190"/>
      <c r="Q79" s="196">
        <f t="shared" si="47"/>
        <v>32.128682483130902</v>
      </c>
    </row>
    <row r="80" spans="1:31" x14ac:dyDescent="0.25">
      <c r="A80" s="147">
        <v>27</v>
      </c>
      <c r="B80" s="230">
        <f t="shared" si="48"/>
        <v>7</v>
      </c>
      <c r="C80" s="155">
        <v>0.1</v>
      </c>
      <c r="D80" s="229">
        <f t="shared" si="32"/>
        <v>0.70000000000000007</v>
      </c>
      <c r="E80" s="202">
        <f t="shared" si="22"/>
        <v>0.4879420000000001</v>
      </c>
      <c r="F80" s="203">
        <f t="shared" si="23"/>
        <v>38.500000000000007</v>
      </c>
      <c r="G80" s="204">
        <f t="shared" si="41"/>
        <v>405</v>
      </c>
      <c r="H80" s="204">
        <f t="shared" si="42"/>
        <v>405</v>
      </c>
      <c r="I80" s="205">
        <f t="shared" si="43"/>
        <v>848.5</v>
      </c>
      <c r="J80" s="203">
        <f t="shared" si="50"/>
        <v>9.7588400000000028</v>
      </c>
      <c r="K80" s="206"/>
      <c r="L80" s="207">
        <f t="shared" si="49"/>
        <v>5.2631578947368425</v>
      </c>
      <c r="M80" s="207">
        <f t="shared" si="49"/>
        <v>1.6666666666666667</v>
      </c>
      <c r="N80" s="207">
        <f t="shared" si="45"/>
        <v>0</v>
      </c>
      <c r="O80" s="208">
        <f t="shared" si="46"/>
        <v>865.18866456140347</v>
      </c>
      <c r="P80" s="190"/>
      <c r="Q80" s="196">
        <f t="shared" si="47"/>
        <v>32.044024613385311</v>
      </c>
    </row>
    <row r="81" spans="1:17" x14ac:dyDescent="0.25">
      <c r="A81" s="147">
        <v>28</v>
      </c>
      <c r="B81" s="230">
        <f t="shared" si="48"/>
        <v>7</v>
      </c>
      <c r="C81" s="155">
        <v>0.1</v>
      </c>
      <c r="D81" s="229">
        <f t="shared" si="32"/>
        <v>0.70000000000000007</v>
      </c>
      <c r="E81" s="202">
        <f t="shared" si="22"/>
        <v>0.48008800000000007</v>
      </c>
      <c r="F81" s="203">
        <f t="shared" si="23"/>
        <v>38.500000000000007</v>
      </c>
      <c r="G81" s="204">
        <f t="shared" si="41"/>
        <v>420</v>
      </c>
      <c r="H81" s="204">
        <f t="shared" si="42"/>
        <v>420</v>
      </c>
      <c r="I81" s="205">
        <f t="shared" si="43"/>
        <v>878.5</v>
      </c>
      <c r="J81" s="203">
        <f t="shared" si="50"/>
        <v>9.6017600000000023</v>
      </c>
      <c r="K81" s="206"/>
      <c r="L81" s="207">
        <f t="shared" si="49"/>
        <v>5.2631578947368425</v>
      </c>
      <c r="M81" s="207">
        <f t="shared" si="49"/>
        <v>1.6666666666666667</v>
      </c>
      <c r="N81" s="207">
        <f t="shared" si="45"/>
        <v>0</v>
      </c>
      <c r="O81" s="208">
        <f t="shared" si="46"/>
        <v>895.03158456140352</v>
      </c>
      <c r="P81" s="190"/>
      <c r="Q81" s="196">
        <f t="shared" si="47"/>
        <v>31.96541373433584</v>
      </c>
    </row>
    <row r="82" spans="1:17" x14ac:dyDescent="0.25">
      <c r="A82" s="147">
        <v>29</v>
      </c>
      <c r="B82" s="231">
        <v>8</v>
      </c>
      <c r="C82" s="155">
        <v>0.1</v>
      </c>
      <c r="D82" s="229">
        <f t="shared" si="32"/>
        <v>0.8</v>
      </c>
      <c r="E82" s="202">
        <f t="shared" si="22"/>
        <v>0.57223400000000002</v>
      </c>
      <c r="F82" s="203">
        <f t="shared" si="23"/>
        <v>44</v>
      </c>
      <c r="G82" s="204">
        <f t="shared" si="41"/>
        <v>435</v>
      </c>
      <c r="H82" s="204">
        <f t="shared" si="42"/>
        <v>435</v>
      </c>
      <c r="I82" s="205">
        <f t="shared" si="43"/>
        <v>914</v>
      </c>
      <c r="J82" s="203">
        <f t="shared" si="50"/>
        <v>11.44468</v>
      </c>
      <c r="K82" s="206"/>
      <c r="L82" s="207">
        <f t="shared" si="49"/>
        <v>5.2631578947368425</v>
      </c>
      <c r="M82" s="207">
        <f t="shared" si="49"/>
        <v>1.6666666666666667</v>
      </c>
      <c r="N82" s="207">
        <f t="shared" si="45"/>
        <v>0</v>
      </c>
      <c r="O82" s="208">
        <f t="shared" si="46"/>
        <v>932.37450456140346</v>
      </c>
      <c r="P82" s="190"/>
      <c r="Q82" s="196">
        <f t="shared" si="47"/>
        <v>32.150844984875981</v>
      </c>
    </row>
    <row r="83" spans="1:17" x14ac:dyDescent="0.25">
      <c r="A83" s="147">
        <v>30</v>
      </c>
      <c r="B83" s="231">
        <f t="shared" si="48"/>
        <v>8</v>
      </c>
      <c r="C83" s="155">
        <v>0.1</v>
      </c>
      <c r="D83" s="229">
        <f t="shared" si="32"/>
        <v>0.8</v>
      </c>
      <c r="E83" s="202">
        <f t="shared" si="22"/>
        <v>0.5643800000000001</v>
      </c>
      <c r="F83" s="203">
        <f t="shared" si="23"/>
        <v>44</v>
      </c>
      <c r="G83" s="204">
        <f t="shared" si="41"/>
        <v>450</v>
      </c>
      <c r="H83" s="204">
        <f t="shared" si="42"/>
        <v>450</v>
      </c>
      <c r="I83" s="205">
        <f t="shared" si="43"/>
        <v>944</v>
      </c>
      <c r="J83" s="203">
        <f t="shared" si="50"/>
        <v>11.287600000000001</v>
      </c>
      <c r="K83" s="206"/>
      <c r="L83" s="207">
        <f t="shared" si="49"/>
        <v>5.2631578947368425</v>
      </c>
      <c r="M83" s="207">
        <f t="shared" si="49"/>
        <v>1.6666666666666667</v>
      </c>
      <c r="N83" s="207">
        <f t="shared" si="45"/>
        <v>0</v>
      </c>
      <c r="O83" s="208">
        <f t="shared" si="46"/>
        <v>962.2174245614035</v>
      </c>
      <c r="P83" s="190"/>
      <c r="Q83" s="196">
        <f t="shared" si="47"/>
        <v>32.073914152046783</v>
      </c>
    </row>
    <row r="84" spans="1:17" x14ac:dyDescent="0.25">
      <c r="A84" s="147">
        <v>31</v>
      </c>
      <c r="B84" s="231">
        <f t="shared" si="48"/>
        <v>8</v>
      </c>
      <c r="C84" s="155">
        <v>0.1</v>
      </c>
      <c r="D84" s="229">
        <f t="shared" si="32"/>
        <v>0.8</v>
      </c>
      <c r="E84" s="202">
        <f t="shared" si="22"/>
        <v>0.55652600000000008</v>
      </c>
      <c r="F84" s="203">
        <f t="shared" si="23"/>
        <v>44</v>
      </c>
      <c r="G84" s="204">
        <f t="shared" si="41"/>
        <v>465</v>
      </c>
      <c r="H84" s="204">
        <f t="shared" si="42"/>
        <v>465</v>
      </c>
      <c r="I84" s="205">
        <f t="shared" si="43"/>
        <v>974</v>
      </c>
      <c r="J84" s="203">
        <f t="shared" si="50"/>
        <v>11.130520000000001</v>
      </c>
      <c r="K84" s="206"/>
      <c r="L84" s="207">
        <f t="shared" si="49"/>
        <v>5.2631578947368425</v>
      </c>
      <c r="M84" s="207">
        <f t="shared" si="49"/>
        <v>1.6666666666666667</v>
      </c>
      <c r="N84" s="207">
        <f t="shared" si="45"/>
        <v>0</v>
      </c>
      <c r="O84" s="208">
        <f t="shared" si="46"/>
        <v>992.06034456140355</v>
      </c>
      <c r="P84" s="190"/>
      <c r="Q84" s="196">
        <f t="shared" si="47"/>
        <v>32.001946598754955</v>
      </c>
    </row>
    <row r="85" spans="1:17" x14ac:dyDescent="0.25">
      <c r="A85" s="147">
        <v>32</v>
      </c>
      <c r="B85" s="231">
        <f t="shared" si="48"/>
        <v>8</v>
      </c>
      <c r="C85" s="155">
        <v>0.1</v>
      </c>
      <c r="D85" s="229">
        <f t="shared" si="32"/>
        <v>0.8</v>
      </c>
      <c r="E85" s="202">
        <f t="shared" si="22"/>
        <v>0.54867200000000005</v>
      </c>
      <c r="F85" s="203">
        <f t="shared" si="23"/>
        <v>44</v>
      </c>
      <c r="G85" s="204">
        <f t="shared" si="41"/>
        <v>480</v>
      </c>
      <c r="H85" s="204">
        <f t="shared" si="42"/>
        <v>480</v>
      </c>
      <c r="I85" s="205">
        <f t="shared" si="43"/>
        <v>1004</v>
      </c>
      <c r="J85" s="203">
        <f t="shared" si="50"/>
        <v>10.97344</v>
      </c>
      <c r="K85" s="206"/>
      <c r="L85" s="207">
        <f t="shared" si="49"/>
        <v>5.2631578947368425</v>
      </c>
      <c r="M85" s="207">
        <f t="shared" si="49"/>
        <v>1.6666666666666667</v>
      </c>
      <c r="N85" s="207">
        <f t="shared" si="45"/>
        <v>0</v>
      </c>
      <c r="O85" s="208">
        <f t="shared" si="46"/>
        <v>1021.9032645614035</v>
      </c>
      <c r="P85" s="190"/>
      <c r="Q85" s="196">
        <f t="shared" si="47"/>
        <v>31.934477017543859</v>
      </c>
    </row>
    <row r="86" spans="1:17" x14ac:dyDescent="0.25">
      <c r="A86" s="147">
        <v>33</v>
      </c>
      <c r="B86" s="230">
        <v>9</v>
      </c>
      <c r="C86" s="155">
        <v>0.1</v>
      </c>
      <c r="D86" s="229">
        <f t="shared" si="32"/>
        <v>0.9</v>
      </c>
      <c r="E86" s="202">
        <f t="shared" si="22"/>
        <v>0.640818</v>
      </c>
      <c r="F86" s="203">
        <f t="shared" si="23"/>
        <v>49.5</v>
      </c>
      <c r="G86" s="204">
        <f t="shared" si="41"/>
        <v>495</v>
      </c>
      <c r="H86" s="204">
        <f t="shared" si="42"/>
        <v>495</v>
      </c>
      <c r="I86" s="205">
        <f t="shared" si="43"/>
        <v>1039.5</v>
      </c>
      <c r="J86" s="203">
        <f t="shared" si="50"/>
        <v>12.81636</v>
      </c>
      <c r="K86" s="206"/>
      <c r="L86" s="207">
        <f t="shared" si="49"/>
        <v>5.2631578947368425</v>
      </c>
      <c r="M86" s="207">
        <f t="shared" si="49"/>
        <v>1.6666666666666667</v>
      </c>
      <c r="N86" s="207">
        <f t="shared" si="45"/>
        <v>0</v>
      </c>
      <c r="O86" s="208">
        <f t="shared" si="46"/>
        <v>1059.2461845614037</v>
      </c>
      <c r="P86" s="190"/>
      <c r="Q86" s="196">
        <f t="shared" si="47"/>
        <v>32.098369229133446</v>
      </c>
    </row>
    <row r="87" spans="1:17" x14ac:dyDescent="0.25">
      <c r="A87" s="147">
        <v>34</v>
      </c>
      <c r="B87" s="230">
        <f t="shared" si="48"/>
        <v>9</v>
      </c>
      <c r="C87" s="155">
        <v>0.1</v>
      </c>
      <c r="D87" s="229">
        <f t="shared" si="32"/>
        <v>0.9</v>
      </c>
      <c r="E87" s="202">
        <f t="shared" si="22"/>
        <v>0.63296400000000008</v>
      </c>
      <c r="F87" s="203">
        <f t="shared" si="23"/>
        <v>49.5</v>
      </c>
      <c r="G87" s="204">
        <f t="shared" si="41"/>
        <v>510</v>
      </c>
      <c r="H87" s="204">
        <f t="shared" si="42"/>
        <v>510</v>
      </c>
      <c r="I87" s="205">
        <f t="shared" si="43"/>
        <v>1069.5</v>
      </c>
      <c r="J87" s="203">
        <f t="shared" si="50"/>
        <v>12.659280000000003</v>
      </c>
      <c r="K87" s="206"/>
      <c r="L87" s="207">
        <f t="shared" si="49"/>
        <v>5.2631578947368425</v>
      </c>
      <c r="M87" s="207">
        <f t="shared" si="49"/>
        <v>1.6666666666666667</v>
      </c>
      <c r="N87" s="207">
        <f t="shared" si="45"/>
        <v>0</v>
      </c>
      <c r="O87" s="208">
        <f t="shared" si="46"/>
        <v>1089.0891045614037</v>
      </c>
      <c r="P87" s="190"/>
      <c r="Q87" s="196">
        <f t="shared" si="47"/>
        <v>32.032032487100111</v>
      </c>
    </row>
    <row r="88" spans="1:17" x14ac:dyDescent="0.25">
      <c r="A88" s="147">
        <v>35</v>
      </c>
      <c r="B88" s="230">
        <f t="shared" si="48"/>
        <v>9</v>
      </c>
      <c r="C88" s="155">
        <v>0.1</v>
      </c>
      <c r="D88" s="229">
        <f t="shared" si="32"/>
        <v>0.9</v>
      </c>
      <c r="E88" s="202">
        <f t="shared" si="22"/>
        <v>0.62511000000000005</v>
      </c>
      <c r="F88" s="203">
        <f t="shared" si="23"/>
        <v>49.5</v>
      </c>
      <c r="G88" s="204">
        <f t="shared" si="41"/>
        <v>525</v>
      </c>
      <c r="H88" s="204">
        <f t="shared" si="42"/>
        <v>525</v>
      </c>
      <c r="I88" s="205">
        <f t="shared" si="43"/>
        <v>1099.5</v>
      </c>
      <c r="J88" s="203">
        <f t="shared" si="50"/>
        <v>12.502200000000002</v>
      </c>
      <c r="K88" s="206"/>
      <c r="L88" s="207">
        <f t="shared" si="49"/>
        <v>5.2631578947368425</v>
      </c>
      <c r="M88" s="207">
        <f t="shared" si="49"/>
        <v>1.6666666666666667</v>
      </c>
      <c r="N88" s="207">
        <f t="shared" si="45"/>
        <v>0</v>
      </c>
      <c r="O88" s="208">
        <f t="shared" si="46"/>
        <v>1118.9320245614035</v>
      </c>
      <c r="P88" s="190"/>
      <c r="Q88" s="196">
        <f t="shared" si="47"/>
        <v>31.969486416040102</v>
      </c>
    </row>
    <row r="89" spans="1:17" x14ac:dyDescent="0.25">
      <c r="A89" s="147">
        <v>36</v>
      </c>
      <c r="B89" s="230">
        <f t="shared" si="48"/>
        <v>9</v>
      </c>
      <c r="C89" s="155">
        <v>0.1</v>
      </c>
      <c r="D89" s="229">
        <f t="shared" si="32"/>
        <v>0.9</v>
      </c>
      <c r="E89" s="202">
        <f t="shared" si="22"/>
        <v>0.61725600000000003</v>
      </c>
      <c r="F89" s="203">
        <f t="shared" si="23"/>
        <v>49.5</v>
      </c>
      <c r="G89" s="204">
        <f t="shared" si="41"/>
        <v>540</v>
      </c>
      <c r="H89" s="204">
        <f t="shared" si="42"/>
        <v>540</v>
      </c>
      <c r="I89" s="205">
        <f t="shared" si="43"/>
        <v>1129.5</v>
      </c>
      <c r="J89" s="203">
        <f t="shared" si="50"/>
        <v>12.345120000000001</v>
      </c>
      <c r="K89" s="206"/>
      <c r="L89" s="207">
        <f t="shared" si="49"/>
        <v>5.2631578947368425</v>
      </c>
      <c r="M89" s="207">
        <f t="shared" si="49"/>
        <v>1.6666666666666667</v>
      </c>
      <c r="N89" s="207">
        <f t="shared" si="45"/>
        <v>0</v>
      </c>
      <c r="O89" s="208">
        <f t="shared" si="46"/>
        <v>1148.7749445614036</v>
      </c>
      <c r="P89" s="190"/>
      <c r="Q89" s="196">
        <f t="shared" si="47"/>
        <v>31.910415126705654</v>
      </c>
    </row>
  </sheetData>
  <mergeCells count="10">
    <mergeCell ref="A3:B4"/>
    <mergeCell ref="A48:B49"/>
    <mergeCell ref="B6:B7"/>
    <mergeCell ref="C6:C7"/>
    <mergeCell ref="D6:D7"/>
    <mergeCell ref="E6:E7"/>
    <mergeCell ref="B51:B52"/>
    <mergeCell ref="C51:C52"/>
    <mergeCell ref="D51:D52"/>
    <mergeCell ref="E51:E52"/>
  </mergeCells>
  <pageMargins left="0.7" right="0.7" top="0.75" bottom="0.75" header="0.3" footer="0.3"/>
  <pageSetup paperSize="9" orientation="portrait" copies="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Regional Variance v2</vt:lpstr>
      <vt:lpstr>Trenching v2</vt:lpstr>
      <vt:lpstr>Buildups 50dia</vt:lpstr>
      <vt:lpstr>Buildups 100dia</vt:lpstr>
      <vt:lpstr>Urban Buildups 50dia</vt:lpstr>
      <vt:lpstr>Urban Buildups 100dia</vt:lpstr>
      <vt:lpstr>Dir.Drilling</vt:lpstr>
      <vt:lpstr>Chain Trench</vt:lpstr>
      <vt:lpstr>Hard100</vt:lpstr>
      <vt:lpstr>Hard32</vt:lpstr>
      <vt:lpstr>Hard50</vt:lpstr>
      <vt:lpstr>Medium100</vt:lpstr>
      <vt:lpstr>Medium32</vt:lpstr>
      <vt:lpstr>Medium50</vt:lpstr>
      <vt:lpstr>'Regional Variance v2'!Print_Area</vt:lpstr>
      <vt:lpstr>Soft100</vt:lpstr>
      <vt:lpstr>Soft32</vt:lpstr>
      <vt:lpstr>Soft50</vt:lpstr>
      <vt:lpstr>Urban100</vt:lpstr>
      <vt:lpstr>Urban32</vt:lpstr>
      <vt:lpstr>Urban50</vt:lpstr>
    </vt:vector>
  </TitlesOfParts>
  <Company>Beca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keeranp</cp:lastModifiedBy>
  <cp:lastPrinted>2014-09-30T01:12:53Z</cp:lastPrinted>
  <dcterms:created xsi:type="dcterms:W3CDTF">2014-09-14T23:55:29Z</dcterms:created>
  <dcterms:modified xsi:type="dcterms:W3CDTF">2014-12-11T19:46:02Z</dcterms:modified>
</cp:coreProperties>
</file>