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codeName="ThisWorkbook"/>
  <xr:revisionPtr revIDLastSave="0" documentId="13_ncr:1_{80493540-4BE0-4E2E-81D0-EE3F980D23B8}" xr6:coauthVersionLast="43" xr6:coauthVersionMax="43" xr10:uidLastSave="{00000000-0000-0000-0000-000000000000}"/>
  <bookViews>
    <workbookView xWindow="6585" yWindow="6585" windowWidth="43200" windowHeight="23655" xr2:uid="{00000000-000D-0000-FFFF-FFFF00000000}"/>
  </bookViews>
  <sheets>
    <sheet name="CoverSheet" sheetId="14" r:id="rId1"/>
    <sheet name="Description" sheetId="10" r:id="rId2"/>
    <sheet name="Table of Contents" sheetId="11" r:id="rId3"/>
    <sheet name="Inputs" sheetId="2" r:id="rId4"/>
    <sheet name="Calculations" sheetId="12" r:id="rId5"/>
    <sheet name="Output" sheetId="13" r:id="rId6"/>
  </sheets>
  <definedNames>
    <definedName name="_xlnm.Print_Area" localSheetId="4">Calculations!$A$1:$Q$57</definedName>
    <definedName name="_xlnm.Print_Area" localSheetId="0">CoverSheet!$A$1:$D$18</definedName>
    <definedName name="_xlnm.Print_Area" localSheetId="1">Description!$A$1:$F$17</definedName>
    <definedName name="_xlnm.Print_Area" localSheetId="3">Inputs!$A$1:$Q$44</definedName>
    <definedName name="_xlnm.Print_Area" localSheetId="5">Output!$A$1:$H$14</definedName>
    <definedName name="_xlnm.Print_Area" localSheetId="2">'Table of Contents'!$A$1:$D$8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0" l="1"/>
  <c r="A2" i="2" l="1"/>
  <c r="B3" i="13"/>
  <c r="A13" i="13"/>
  <c r="A6" i="13"/>
  <c r="B6" i="10" l="1"/>
  <c r="A38" i="12" l="1"/>
  <c r="A55" i="12" s="1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A39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A40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A41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A42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A44" i="12"/>
  <c r="A56" i="12" s="1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A8" i="12"/>
  <c r="A50" i="12" s="1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A9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A10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A11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A12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A14" i="12"/>
  <c r="A51" i="12" s="1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A15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A16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A17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A18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A20" i="12"/>
  <c r="A52" i="12" s="1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A21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A22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A23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A24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A26" i="12"/>
  <c r="A53" i="12" s="1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A27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A28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A29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A30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A32" i="12"/>
  <c r="A54" i="12" s="1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A33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A34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A35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A36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A5" i="13" l="1"/>
  <c r="C5" i="13"/>
  <c r="B5" i="13"/>
  <c r="A4" i="13" l="1"/>
  <c r="P6" i="12" l="1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D13" i="13" l="1"/>
  <c r="D12" i="13"/>
  <c r="D11" i="13"/>
  <c r="D9" i="13"/>
  <c r="B6" i="12"/>
  <c r="A6" i="12"/>
  <c r="A49" i="12" s="1"/>
  <c r="B54" i="12" l="1"/>
  <c r="B11" i="13" s="1"/>
  <c r="D7" i="13"/>
  <c r="B50" i="12"/>
  <c r="B7" i="13" s="1"/>
  <c r="B55" i="12"/>
  <c r="B12" i="13" s="1"/>
  <c r="B56" i="12"/>
  <c r="B52" i="12"/>
  <c r="B9" i="13" s="1"/>
  <c r="D6" i="13"/>
  <c r="B49" i="12"/>
  <c r="B51" i="12"/>
  <c r="B8" i="13" s="1"/>
  <c r="B53" i="12"/>
  <c r="B10" i="13" s="1"/>
  <c r="D10" i="13"/>
  <c r="D8" i="13"/>
  <c r="C49" i="12" l="1"/>
  <c r="B13" i="13"/>
  <c r="B6" i="13"/>
  <c r="D49" i="12" l="1"/>
  <c r="C6" i="13" s="1"/>
  <c r="C50" i="12"/>
  <c r="D50" i="12" l="1"/>
  <c r="C7" i="13" s="1"/>
  <c r="C51" i="12"/>
  <c r="C52" i="12" s="1"/>
  <c r="C53" i="12" s="1"/>
  <c r="C54" i="12" s="1"/>
  <c r="C55" i="12" s="1"/>
  <c r="C56" i="12" s="1"/>
  <c r="F7" i="13" l="1"/>
  <c r="G7" i="13"/>
  <c r="D51" i="12"/>
  <c r="C8" i="13" s="1"/>
  <c r="E7" i="13" l="1"/>
  <c r="D52" i="12"/>
  <c r="C9" i="13" s="1"/>
  <c r="G8" i="13"/>
  <c r="F8" i="13"/>
  <c r="E8" i="13" l="1"/>
  <c r="F9" i="13"/>
  <c r="G9" i="13"/>
  <c r="D53" i="12"/>
  <c r="C10" i="13" s="1"/>
  <c r="E9" i="13" l="1"/>
  <c r="D54" i="12"/>
  <c r="C11" i="13" s="1"/>
  <c r="G10" i="13"/>
  <c r="F10" i="13"/>
  <c r="E10" i="13" l="1"/>
  <c r="D55" i="12"/>
  <c r="C12" i="13" s="1"/>
  <c r="D56" i="12"/>
  <c r="C13" i="13" s="1"/>
  <c r="F11" i="13"/>
  <c r="G11" i="13"/>
  <c r="E11" i="13" l="1"/>
  <c r="F12" i="13"/>
  <c r="G12" i="13"/>
  <c r="E12" i="13" l="1"/>
  <c r="E13" i="13" l="1"/>
</calcChain>
</file>

<file path=xl/sharedStrings.xml><?xml version="1.0" encoding="utf-8"?>
<sst xmlns="http://schemas.openxmlformats.org/spreadsheetml/2006/main" count="104" uniqueCount="58">
  <si>
    <t>Table of Contents</t>
  </si>
  <si>
    <t>Sheet Name</t>
  </si>
  <si>
    <t>Link</t>
  </si>
  <si>
    <t>Inputs</t>
  </si>
  <si>
    <t>Calculations</t>
  </si>
  <si>
    <t>Outputs</t>
  </si>
  <si>
    <t>Output</t>
  </si>
  <si>
    <t>Electricity Distribution Business</t>
  </si>
  <si>
    <t>Notes</t>
  </si>
  <si>
    <t>Annual quantities relate to years ending on 31 March.</t>
  </si>
  <si>
    <t>The Lines Company</t>
  </si>
  <si>
    <t>Electricity Invercargill</t>
  </si>
  <si>
    <t>EA Networks</t>
  </si>
  <si>
    <t>Aurora Energy</t>
  </si>
  <si>
    <t>Vector Lines</t>
  </si>
  <si>
    <t>Unison Networks</t>
  </si>
  <si>
    <t>Top Energy</t>
  </si>
  <si>
    <t>OtagoNet</t>
  </si>
  <si>
    <t>Network Tasman</t>
  </si>
  <si>
    <t>Nelson Electricity</t>
  </si>
  <si>
    <t>Horizon Energy</t>
  </si>
  <si>
    <t>Eastland Network</t>
  </si>
  <si>
    <t>Centralines</t>
  </si>
  <si>
    <t>Alpine Energy</t>
  </si>
  <si>
    <t>Observation Year</t>
  </si>
  <si>
    <t>Total opening RAB value</t>
  </si>
  <si>
    <t>Assets commissioned</t>
  </si>
  <si>
    <t>Total depreciation</t>
  </si>
  <si>
    <t>Total revaluations</t>
  </si>
  <si>
    <t>Asset disposals</t>
  </si>
  <si>
    <t>Adjustment resulting from asset allocation</t>
  </si>
  <si>
    <t>Lost and found assets adjustment</t>
  </si>
  <si>
    <t>Total closing RAB value</t>
  </si>
  <si>
    <t>Total</t>
  </si>
  <si>
    <t>Base</t>
  </si>
  <si>
    <t>Fall</t>
  </si>
  <si>
    <t>Rise</t>
  </si>
  <si>
    <t>Commissioning</t>
  </si>
  <si>
    <t>Depreciation</t>
  </si>
  <si>
    <t>Revaluations</t>
  </si>
  <si>
    <t>Disposals</t>
  </si>
  <si>
    <t>Adjustments</t>
  </si>
  <si>
    <t>Lost &amp; found</t>
  </si>
  <si>
    <t>Financial quantities in this model are expressed in NZD 000.</t>
  </si>
  <si>
    <t>RAB Balance</t>
  </si>
  <si>
    <t>Balance as a Percentage of Opening RAB</t>
  </si>
  <si>
    <t>RAB component</t>
  </si>
  <si>
    <t>RAB waterfall model</t>
  </si>
  <si>
    <t>Model suite</t>
  </si>
  <si>
    <t>General description</t>
  </si>
  <si>
    <t>Description</t>
  </si>
  <si>
    <t>Lookup label</t>
  </si>
  <si>
    <t>Price-Quality Regulation 1 April 2020 DPP Reset</t>
  </si>
  <si>
    <t>Final determination</t>
  </si>
  <si>
    <t>Published 27 November 2019 v1</t>
  </si>
  <si>
    <t>Figure 2.3</t>
  </si>
  <si>
    <t>This Excel workbook is one of a suite of models that accompanies the final determination of the default price-quality path for electricity distribution 2020-2025.</t>
  </si>
  <si>
    <t>Follow the link 'Model map – EDB DPP3 final determination – 27 November 2019' on the Commission's EDB 2020-2025 default price-quality path determination web page for a graphical depiction of interconnections between the models and data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</si>
</sst>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@_)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.0%_);_(* \(#,##0.0%\);_(* &quot;–&quot;??_);_(* @_)"/>
    <numFmt numFmtId="175" formatCode="_(* #,##0.00%_);_(* \(#,##0.00%\);_(* &quot;–&quot;???_);_(* @_)"/>
    <numFmt numFmtId="176" formatCode="_(* #,##0.000%_);_(* \(#,##0.000%\);_(* &quot;–&quot;???_);_(* @_)"/>
    <numFmt numFmtId="177" formatCode="_(* #,##0%_);_(* \(#,##0%\);_(* &quot;–&quot;??_);_(* @_)"/>
    <numFmt numFmtId="178" formatCode="_(* 0_);_(* \(0\);_(* &quot;–&quot;??_);_(@_)"/>
    <numFmt numFmtId="179" formatCode="_(* #,##0_);_(* \(#,##0\);_(* &quot;–&quot;???_);_(* @_)"/>
    <numFmt numFmtId="180" formatCode="_(* #,##0.0000%_);_(* \(#,##0.0000%\);_(* &quot;–&quot;???_);_(* @_)"/>
    <numFmt numFmtId="181" formatCode="_(* #,##0.000_);_(* \(#,##0.000\);_(* &quot;–&quot;???_);_(* 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0"/>
      <color theme="1"/>
      <name val="Cambria"/>
      <family val="1"/>
      <scheme val="maj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9C4A3"/>
        <bgColor indexed="64"/>
      </patternFill>
    </fill>
    <fill>
      <patternFill patternType="solid">
        <fgColor rgb="FFEAE8DA"/>
        <bgColor indexed="64"/>
      </patternFill>
    </fill>
    <fill>
      <patternFill patternType="solid">
        <fgColor rgb="FFD7D3B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</borders>
  <cellStyleXfs count="69">
    <xf numFmtId="0" fontId="0" fillId="0" borderId="0"/>
    <xf numFmtId="167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19" fillId="0" borderId="0" applyFill="0" applyAlignment="0"/>
    <xf numFmtId="49" fontId="13" fillId="0" borderId="0" applyFill="0" applyAlignment="0"/>
    <xf numFmtId="49" fontId="14" fillId="0" borderId="0" applyFill="0" applyAlignment="0"/>
    <xf numFmtId="49" fontId="15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34" borderId="11" applyNumberFormat="0" applyFill="0" applyAlignment="0">
      <protection locked="0"/>
    </xf>
    <xf numFmtId="0" fontId="1" fillId="36" borderId="11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3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8" fontId="21" fillId="0" borderId="0" applyFont="0" applyFill="0" applyBorder="0" applyAlignment="0" applyProtection="0">
      <alignment horizontal="left"/>
      <protection locked="0"/>
    </xf>
    <xf numFmtId="165" fontId="1" fillId="36" borderId="12" applyNumberFormat="0" applyFont="0" applyFill="0" applyAlignment="0" applyProtection="0"/>
    <xf numFmtId="176" fontId="12" fillId="32" borderId="0" applyFont="0" applyBorder="0"/>
    <xf numFmtId="175" fontId="21" fillId="0" borderId="0" applyFont="0" applyFill="0" applyBorder="0" applyAlignment="0" applyProtection="0">
      <protection locked="0"/>
    </xf>
    <xf numFmtId="174" fontId="12" fillId="0" borderId="0" applyFont="0" applyFill="0" applyBorder="0" applyAlignment="0" applyProtection="0">
      <alignment horizontal="center" vertical="top" wrapText="1"/>
    </xf>
    <xf numFmtId="173" fontId="18" fillId="34" borderId="11" applyNumberFormat="0" applyFill="0" applyAlignment="0"/>
    <xf numFmtId="0" fontId="17" fillId="35" borderId="11" applyNumberFormat="0" applyFill="0">
      <alignment horizontal="centerContinuous" wrapText="1"/>
    </xf>
    <xf numFmtId="172" fontId="21" fillId="0" borderId="0" applyFont="0" applyFill="0" applyBorder="0" applyAlignment="0" applyProtection="0">
      <alignment wrapText="1"/>
    </xf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>
      <protection locked="0"/>
    </xf>
    <xf numFmtId="168" fontId="22" fillId="0" borderId="0" applyFont="0" applyFill="0" applyBorder="0" applyAlignment="0" applyProtection="0">
      <alignment horizontal="left"/>
      <protection locked="0"/>
    </xf>
    <xf numFmtId="169" fontId="21" fillId="0" borderId="0" applyFont="0" applyFill="0" applyBorder="0" applyAlignment="0" applyProtection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0" fontId="1" fillId="32" borderId="0" applyFont="0" applyBorder="0"/>
    <xf numFmtId="181" fontId="1" fillId="0" borderId="0" applyFont="0" applyFill="0" applyBorder="0" applyAlignment="0" applyProtection="0"/>
    <xf numFmtId="0" fontId="1" fillId="35" borderId="11" applyNumberFormat="0" applyFont="0" applyBorder="0" applyAlignment="0" applyProtection="0"/>
    <xf numFmtId="168" fontId="27" fillId="0" borderId="0" applyFont="0" applyFill="0" applyBorder="0" applyAlignment="0" applyProtection="0">
      <alignment horizontal="left"/>
      <protection locked="0"/>
    </xf>
    <xf numFmtId="49" fontId="14" fillId="0" borderId="0" applyFill="0" applyAlignment="0"/>
    <xf numFmtId="0" fontId="1" fillId="36" borderId="11" applyNumberFormat="0" applyFill="0" applyAlignment="0"/>
    <xf numFmtId="0" fontId="16" fillId="37" borderId="11" applyNumberFormat="0" applyFill="0" applyAlignment="0">
      <protection locked="0"/>
    </xf>
  </cellStyleXfs>
  <cellXfs count="59">
    <xf numFmtId="0" fontId="0" fillId="0" borderId="0" xfId="0"/>
    <xf numFmtId="0" fontId="0" fillId="0" borderId="0" xfId="0"/>
    <xf numFmtId="0" fontId="0" fillId="0" borderId="0" xfId="0" applyBorder="1"/>
    <xf numFmtId="0" fontId="0" fillId="0" borderId="8" xfId="0" applyFill="1" applyBorder="1"/>
    <xf numFmtId="0" fontId="0" fillId="0" borderId="9" xfId="0" applyFill="1" applyBorder="1"/>
    <xf numFmtId="49" fontId="19" fillId="0" borderId="0" xfId="5"/>
    <xf numFmtId="49" fontId="13" fillId="0" borderId="0" xfId="6" applyFill="1" applyBorder="1" applyAlignment="1">
      <alignment horizontal="left" indent="1"/>
    </xf>
    <xf numFmtId="49" fontId="19" fillId="0" borderId="0" xfId="5" applyBorder="1"/>
    <xf numFmtId="177" fontId="0" fillId="0" borderId="0" xfId="50" applyNumberFormat="1" applyFont="1" applyAlignment="1"/>
    <xf numFmtId="178" fontId="1" fillId="0" borderId="11" xfId="14" applyNumberFormat="1" applyFill="1" applyAlignment="1"/>
    <xf numFmtId="0" fontId="0" fillId="0" borderId="0" xfId="0" applyFill="1" applyBorder="1"/>
    <xf numFmtId="0" fontId="17" fillId="0" borderId="11" xfId="52" applyFill="1">
      <alignment horizontal="centerContinuous" wrapText="1"/>
    </xf>
    <xf numFmtId="0" fontId="18" fillId="0" borderId="11" xfId="51" applyNumberFormat="1" applyFill="1"/>
    <xf numFmtId="49" fontId="23" fillId="0" borderId="0" xfId="20">
      <alignment horizontal="left" indent="1"/>
    </xf>
    <xf numFmtId="0" fontId="1" fillId="0" borderId="11" xfId="14" applyFill="1"/>
    <xf numFmtId="179" fontId="16" fillId="0" borderId="11" xfId="57" applyNumberFormat="1" applyFont="1" applyFill="1" applyBorder="1">
      <protection locked="0"/>
    </xf>
    <xf numFmtId="178" fontId="18" fillId="0" borderId="11" xfId="51" applyNumberFormat="1" applyFill="1" applyAlignment="1"/>
    <xf numFmtId="49" fontId="15" fillId="0" borderId="0" xfId="8" applyFill="1">
      <alignment horizontal="left"/>
    </xf>
    <xf numFmtId="179" fontId="1" fillId="0" borderId="11" xfId="57" applyNumberFormat="1" applyFont="1" applyFill="1" applyBorder="1" applyProtection="1"/>
    <xf numFmtId="179" fontId="18" fillId="0" borderId="11" xfId="57" applyNumberFormat="1" applyFont="1" applyFill="1" applyBorder="1" applyAlignment="1" applyProtection="1"/>
    <xf numFmtId="174" fontId="1" fillId="0" borderId="11" xfId="50" applyFont="1" applyFill="1" applyBorder="1" applyAlignment="1" applyProtection="1"/>
    <xf numFmtId="49" fontId="23" fillId="0" borderId="0" xfId="20" applyFill="1">
      <alignment horizontal="left" indent="1"/>
    </xf>
    <xf numFmtId="49" fontId="23" fillId="0" borderId="0" xfId="20" applyNumberFormat="1">
      <alignment horizontal="left" indent="1"/>
    </xf>
    <xf numFmtId="0" fontId="0" fillId="0" borderId="0" xfId="0" applyFill="1"/>
    <xf numFmtId="9" fontId="16" fillId="0" borderId="11" xfId="68" applyNumberFormat="1" applyFill="1">
      <protection locked="0"/>
    </xf>
    <xf numFmtId="9" fontId="0" fillId="0" borderId="0" xfId="0" applyNumberFormat="1" applyFill="1"/>
    <xf numFmtId="174" fontId="0" fillId="0" borderId="0" xfId="50" applyFont="1" applyFill="1" applyAlignment="1"/>
    <xf numFmtId="0" fontId="0" fillId="0" borderId="10" xfId="0" applyFill="1" applyBorder="1"/>
    <xf numFmtId="0" fontId="0" fillId="0" borderId="7" xfId="0" applyFill="1" applyBorder="1"/>
    <xf numFmtId="0" fontId="0" fillId="0" borderId="6" xfId="0" applyFill="1" applyBorder="1"/>
    <xf numFmtId="49" fontId="19" fillId="0" borderId="7" xfId="5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15" fontId="24" fillId="0" borderId="7" xfId="0" applyNumberFormat="1" applyFont="1" applyFill="1" applyBorder="1" applyAlignment="1">
      <alignment horizontal="centerContinuous"/>
    </xf>
    <xf numFmtId="49" fontId="19" fillId="0" borderId="0" xfId="5" applyFill="1"/>
    <xf numFmtId="0" fontId="15" fillId="0" borderId="0" xfId="8" applyNumberFormat="1" applyFill="1">
      <alignment horizontal="left"/>
    </xf>
    <xf numFmtId="0" fontId="23" fillId="0" borderId="0" xfId="20" applyNumberFormat="1" applyFill="1">
      <alignment horizontal="left" inden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0" fillId="38" borderId="13" xfId="0" applyFont="1" applyFill="1" applyBorder="1"/>
    <xf numFmtId="0" fontId="20" fillId="38" borderId="14" xfId="0" applyFont="1" applyFill="1" applyBorder="1"/>
    <xf numFmtId="49" fontId="0" fillId="39" borderId="15" xfId="0" applyNumberFormat="1" applyFill="1" applyBorder="1"/>
    <xf numFmtId="0" fontId="25" fillId="39" borderId="16" xfId="58" applyFill="1" applyBorder="1" applyAlignment="1" applyProtection="1"/>
    <xf numFmtId="49" fontId="0" fillId="40" borderId="15" xfId="0" applyNumberFormat="1" applyFill="1" applyBorder="1"/>
    <xf numFmtId="0" fontId="25" fillId="40" borderId="16" xfId="58" applyFill="1" applyBorder="1" applyAlignment="1" applyProtection="1"/>
    <xf numFmtId="49" fontId="0" fillId="39" borderId="17" xfId="0" applyNumberFormat="1" applyFill="1" applyBorder="1"/>
    <xf numFmtId="0" fontId="25" fillId="39" borderId="18" xfId="58" applyFill="1" applyBorder="1" applyAlignment="1" applyProtection="1"/>
    <xf numFmtId="168" fontId="1" fillId="0" borderId="22" xfId="14" applyNumberFormat="1" applyFill="1" applyBorder="1" applyAlignment="1"/>
    <xf numFmtId="178" fontId="1" fillId="0" borderId="22" xfId="14" applyNumberFormat="1" applyFill="1" applyBorder="1" applyAlignment="1"/>
    <xf numFmtId="0" fontId="25" fillId="0" borderId="22" xfId="58" applyFill="1" applyBorder="1" applyAlignment="1" applyProtection="1"/>
    <xf numFmtId="168" fontId="1" fillId="0" borderId="0" xfId="14" applyNumberFormat="1" applyFill="1" applyBorder="1" applyAlignment="1"/>
    <xf numFmtId="178" fontId="1" fillId="0" borderId="0" xfId="14" applyNumberFormat="1" applyFill="1" applyBorder="1" applyAlignment="1"/>
    <xf numFmtId="0" fontId="25" fillId="0" borderId="0" xfId="58" applyFill="1" applyBorder="1" applyAlignment="1" applyProtection="1"/>
    <xf numFmtId="168" fontId="1" fillId="0" borderId="23" xfId="14" applyNumberFormat="1" applyFill="1" applyBorder="1" applyAlignment="1"/>
    <xf numFmtId="178" fontId="1" fillId="0" borderId="23" xfId="14" applyNumberFormat="1" applyFill="1" applyBorder="1" applyAlignment="1"/>
    <xf numFmtId="0" fontId="25" fillId="0" borderId="23" xfId="58" applyFill="1" applyBorder="1" applyAlignment="1" applyProtection="1"/>
    <xf numFmtId="0" fontId="1" fillId="0" borderId="11" xfId="14" applyFill="1" applyAlignment="1">
      <alignment vertical="top" wrapText="1"/>
    </xf>
    <xf numFmtId="0" fontId="1" fillId="0" borderId="11" xfId="14" applyFill="1" applyAlignment="1">
      <alignment wrapText="1"/>
    </xf>
  </cellXfs>
  <cellStyles count="69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Array" xfId="64" xr:uid="{07691C0A-FD31-4313-8425-4D1A5051034B}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 [0]" xfId="2" builtinId="6" customBuiltin="1"/>
    <cellStyle name="Comma [1]" xfId="57" xr:uid="{00000000-0005-0000-0000-00001D000000}"/>
    <cellStyle name="Comma [2]" xfId="55" xr:uid="{00000000-0005-0000-0000-00001E000000}"/>
    <cellStyle name="Comma [3]" xfId="63" xr:uid="{A1D469F7-D750-4585-894C-4600530DCF29}"/>
    <cellStyle name="Comma [4]" xfId="54" xr:uid="{00000000-0005-0000-0000-00001F000000}"/>
    <cellStyle name="Currency" xfId="3" builtinId="4" hidden="1"/>
    <cellStyle name="Currency [0]" xfId="4" builtinId="7" hidden="1"/>
    <cellStyle name="Date (short)" xfId="53" xr:uid="{00000000-0005-0000-0000-000022000000}"/>
    <cellStyle name="Explanatory Text" xfId="20" builtinId="53" customBuiltin="1"/>
    <cellStyle name="Followed Hyperlink" xfId="61" builtinId="9" customBuiltin="1"/>
    <cellStyle name="Good" xfId="10" builtinId="26" hidden="1"/>
    <cellStyle name="Heading 1" xfId="6" builtinId="16" customBuiltin="1"/>
    <cellStyle name="Heading 2" xfId="7" builtinId="17" customBuiltin="1"/>
    <cellStyle name="Heading 2 2" xfId="66" xr:uid="{A077F6C7-D724-4E59-8A35-5D10CC371CF4}"/>
    <cellStyle name="Heading 3" xfId="8" builtinId="18" customBuiltin="1"/>
    <cellStyle name="Heading 4" xfId="9" builtinId="19" hidden="1"/>
    <cellStyle name="Hyperlink" xfId="58" builtinId="8" customBuiltin="1"/>
    <cellStyle name="Input" xfId="13" builtinId="20" customBuiltin="1"/>
    <cellStyle name="Input 2 2" xfId="68" xr:uid="{B5EC813A-1C2C-4CB2-A801-E36CDDB73F92}"/>
    <cellStyle name="Label" xfId="52" xr:uid="{00000000-0005-0000-0000-00002B000000}"/>
    <cellStyle name="Link" xfId="51" xr:uid="{00000000-0005-0000-0000-00002C000000}"/>
    <cellStyle name="Linked Cell" xfId="16" builtinId="24" hidden="1"/>
    <cellStyle name="Neutral" xfId="12" builtinId="28" hidden="1"/>
    <cellStyle name="Normal" xfId="0" builtinId="0" customBuiltin="1"/>
    <cellStyle name="Note" xfId="19" builtinId="10" hidden="1"/>
    <cellStyle name="Output" xfId="14" builtinId="21" customBuiltin="1"/>
    <cellStyle name="Output 3" xfId="67" xr:uid="{453E7BB4-A972-4ED9-BBE1-F287D4B1BA38}"/>
    <cellStyle name="Percent" xfId="59" builtinId="5" hidden="1" customBuiltin="1"/>
    <cellStyle name="Percent [0]" xfId="60" xr:uid="{00000000-0005-0000-0000-000033000000}"/>
    <cellStyle name="Percent [1]" xfId="50" xr:uid="{00000000-0005-0000-0000-000034000000}"/>
    <cellStyle name="Percent [2]" xfId="49" xr:uid="{00000000-0005-0000-0000-000035000000}"/>
    <cellStyle name="Percent [3]" xfId="48" xr:uid="{00000000-0005-0000-0000-000036000000}"/>
    <cellStyle name="Percent [4]" xfId="62" xr:uid="{79194CCB-4C1F-48BE-9FC9-8A0A23BD7FB1}"/>
    <cellStyle name="Rt border" xfId="47" xr:uid="{00000000-0005-0000-0000-000037000000}"/>
    <cellStyle name="Text" xfId="56" xr:uid="{00000000-0005-0000-0000-000038000000}"/>
    <cellStyle name="Text 2 2" xfId="65" xr:uid="{7A5F54DE-F9C9-4980-98FF-F982149A84D3}"/>
    <cellStyle name="Title" xfId="5" builtinId="15" customBuiltin="1"/>
    <cellStyle name="Total" xfId="21" builtinId="25" hidden="1"/>
    <cellStyle name="Warning Text" xfId="18" builtinId="11" hidden="1"/>
    <cellStyle name="Year" xfId="46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879760</xdr:colOff>
      <xdr:row>1</xdr:row>
      <xdr:rowOff>657975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15BC5D-EE41-405E-A809-C82DD0893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37085" cy="705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2247900</xdr:rowOff>
    </xdr:from>
    <xdr:to>
      <xdr:col>4</xdr:col>
      <xdr:colOff>0</xdr:colOff>
      <xdr:row>15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A8B8DC-26E2-4129-A245-F6B06F41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940A1-FFE5-4809-8EC1-842F0187CDA1}">
  <sheetPr codeName="Sheet10">
    <pageSetUpPr fitToPage="1"/>
  </sheetPr>
  <dimension ref="A1:E18"/>
  <sheetViews>
    <sheetView showGridLines="0" tabSelected="1" view="pageBreakPreview" zoomScaleNormal="100" zoomScaleSheetLayoutView="100" workbookViewId="0"/>
  </sheetViews>
  <sheetFormatPr defaultColWidth="9.140625" defaultRowHeight="15" customHeight="1" x14ac:dyDescent="0.25"/>
  <cols>
    <col min="1" max="1" width="26.5703125" customWidth="1"/>
    <col min="2" max="2" width="43.140625" customWidth="1"/>
    <col min="3" max="3" width="32.7109375" customWidth="1"/>
    <col min="4" max="4" width="32.28515625" customWidth="1"/>
    <col min="5" max="5" width="2.7109375" customWidth="1"/>
  </cols>
  <sheetData>
    <row r="1" spans="1:5" ht="15" customHeight="1" x14ac:dyDescent="0.25">
      <c r="A1" s="27"/>
      <c r="B1" s="4"/>
      <c r="C1" s="4"/>
      <c r="D1" s="3"/>
      <c r="E1" s="1"/>
    </row>
    <row r="2" spans="1:5" ht="189" customHeight="1" x14ac:dyDescent="0.25">
      <c r="A2" s="28"/>
      <c r="B2" s="10"/>
      <c r="C2" s="10"/>
      <c r="D2" s="29"/>
      <c r="E2" s="1"/>
    </row>
    <row r="3" spans="1:5" ht="22.5" customHeight="1" x14ac:dyDescent="0.4">
      <c r="A3" s="30" t="s">
        <v>7</v>
      </c>
      <c r="B3" s="31"/>
      <c r="C3" s="31"/>
      <c r="D3" s="32"/>
      <c r="E3" s="1"/>
    </row>
    <row r="4" spans="1:5" ht="22.5" customHeight="1" x14ac:dyDescent="0.4">
      <c r="A4" s="30" t="s">
        <v>52</v>
      </c>
      <c r="B4" s="31"/>
      <c r="C4" s="31"/>
      <c r="D4" s="32"/>
      <c r="E4" s="1"/>
    </row>
    <row r="5" spans="1:5" ht="22.5" customHeight="1" x14ac:dyDescent="0.4">
      <c r="A5" s="30" t="s">
        <v>47</v>
      </c>
      <c r="B5" s="31"/>
      <c r="C5" s="31"/>
      <c r="D5" s="32"/>
      <c r="E5" s="1"/>
    </row>
    <row r="6" spans="1:5" ht="22.5" customHeight="1" x14ac:dyDescent="0.4">
      <c r="A6" s="30" t="s">
        <v>53</v>
      </c>
      <c r="B6" s="31"/>
      <c r="C6" s="31"/>
      <c r="D6" s="32"/>
      <c r="E6" s="1"/>
    </row>
    <row r="7" spans="1:5" ht="42" customHeight="1" x14ac:dyDescent="0.25">
      <c r="A7" s="28"/>
      <c r="B7" s="10"/>
      <c r="C7" s="10"/>
      <c r="D7" s="29"/>
      <c r="E7" s="1"/>
    </row>
    <row r="8" spans="1:5" ht="15" customHeight="1" x14ac:dyDescent="0.25">
      <c r="A8" s="28"/>
      <c r="B8" s="10"/>
      <c r="C8" s="10"/>
      <c r="D8" s="29"/>
      <c r="E8" s="1"/>
    </row>
    <row r="9" spans="1:5" ht="15" customHeight="1" x14ac:dyDescent="0.25">
      <c r="A9" s="28"/>
      <c r="B9" s="10"/>
      <c r="C9" s="10"/>
      <c r="D9" s="29"/>
      <c r="E9" s="1"/>
    </row>
    <row r="10" spans="1:5" ht="15" customHeight="1" x14ac:dyDescent="0.25">
      <c r="A10" s="28"/>
      <c r="B10" s="10"/>
      <c r="C10" s="10"/>
      <c r="D10" s="29"/>
      <c r="E10" s="1"/>
    </row>
    <row r="11" spans="1:5" ht="15" customHeight="1" x14ac:dyDescent="0.25">
      <c r="A11" s="28"/>
      <c r="B11" s="10"/>
      <c r="C11" s="10"/>
      <c r="D11" s="29"/>
      <c r="E11" s="1"/>
    </row>
    <row r="12" spans="1:5" ht="15" customHeight="1" x14ac:dyDescent="0.25">
      <c r="A12" s="28"/>
      <c r="B12" s="10"/>
      <c r="C12" s="10"/>
      <c r="D12" s="29"/>
      <c r="E12" s="1"/>
    </row>
    <row r="13" spans="1:5" ht="15" customHeight="1" x14ac:dyDescent="0.25">
      <c r="A13" s="28"/>
      <c r="B13" s="10"/>
      <c r="C13" s="10"/>
      <c r="D13" s="29"/>
      <c r="E13" s="1"/>
    </row>
    <row r="14" spans="1:5" ht="15" customHeight="1" x14ac:dyDescent="0.25">
      <c r="A14" s="28"/>
      <c r="B14" s="10"/>
      <c r="C14" s="10"/>
      <c r="D14" s="29"/>
      <c r="E14" s="1"/>
    </row>
    <row r="15" spans="1:5" ht="15" customHeight="1" x14ac:dyDescent="0.25">
      <c r="A15" s="28"/>
      <c r="B15" s="10"/>
      <c r="C15" s="10"/>
      <c r="D15" s="29"/>
      <c r="E15" s="1"/>
    </row>
    <row r="16" spans="1:5" ht="15" customHeight="1" x14ac:dyDescent="0.25">
      <c r="A16" s="28"/>
      <c r="B16" s="10"/>
      <c r="C16" s="10"/>
      <c r="D16" s="29"/>
      <c r="E16" s="1"/>
    </row>
    <row r="17" spans="1:5" ht="15" customHeight="1" x14ac:dyDescent="0.25">
      <c r="A17" s="33" t="s">
        <v>54</v>
      </c>
      <c r="B17" s="31"/>
      <c r="C17" s="31"/>
      <c r="D17" s="32"/>
      <c r="E17" s="1"/>
    </row>
    <row r="18" spans="1:5" ht="15" customHeight="1" x14ac:dyDescent="0.25">
      <c r="A18" s="37"/>
      <c r="B18" s="38"/>
      <c r="C18" s="38"/>
      <c r="D18" s="39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&amp;R&amp;D &amp;T</oddHead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E16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2.7109375" customWidth="1"/>
    <col min="2" max="2" width="23.28515625" customWidth="1"/>
    <col min="3" max="3" width="100.7109375" customWidth="1"/>
    <col min="4" max="5" width="14.7109375" customWidth="1"/>
    <col min="6" max="6" width="2.7109375" customWidth="1"/>
  </cols>
  <sheetData>
    <row r="1" spans="1:5" ht="26.25" x14ac:dyDescent="0.4">
      <c r="A1" s="7" t="s">
        <v>50</v>
      </c>
      <c r="B1" s="2"/>
      <c r="C1" s="2"/>
      <c r="D1" s="2"/>
      <c r="E1" s="2"/>
    </row>
    <row r="2" spans="1:5" x14ac:dyDescent="0.25">
      <c r="A2" s="2"/>
      <c r="B2" s="13" t="s">
        <v>56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ht="23.25" x14ac:dyDescent="0.35">
      <c r="A5" s="2"/>
      <c r="B5" s="6" t="s">
        <v>49</v>
      </c>
      <c r="C5" s="2"/>
      <c r="D5" s="2"/>
      <c r="E5" s="2"/>
    </row>
    <row r="6" spans="1:5" x14ac:dyDescent="0.25">
      <c r="A6" s="2"/>
      <c r="B6" s="57" t="str">
        <f>"This model calculates the percentage contribution of each component of the "&amp;Output!B3&amp;"."</f>
        <v>This model calculates the percentage contribution of each component of the DPP distributors roll-forward of RAB from 2014/15 to 2019/20.</v>
      </c>
      <c r="C6" s="58"/>
      <c r="D6" s="58"/>
      <c r="E6" s="58"/>
    </row>
    <row r="7" spans="1:5" x14ac:dyDescent="0.25">
      <c r="A7" s="2"/>
      <c r="B7" s="58"/>
      <c r="C7" s="58"/>
      <c r="D7" s="58"/>
      <c r="E7" s="58"/>
    </row>
    <row r="8" spans="1:5" x14ac:dyDescent="0.25">
      <c r="A8" s="2"/>
      <c r="B8" s="10"/>
      <c r="C8" s="10"/>
      <c r="D8" s="10"/>
      <c r="E8" s="10"/>
    </row>
    <row r="9" spans="1:5" ht="23.25" x14ac:dyDescent="0.35">
      <c r="A9" s="2"/>
      <c r="B9" s="6" t="s">
        <v>8</v>
      </c>
      <c r="C9" s="2"/>
      <c r="D9" s="2"/>
      <c r="E9" s="2"/>
    </row>
    <row r="10" spans="1:5" x14ac:dyDescent="0.25">
      <c r="A10" s="2"/>
      <c r="B10" s="48" t="s">
        <v>43</v>
      </c>
      <c r="C10" s="48"/>
      <c r="D10" s="49"/>
      <c r="E10" s="50"/>
    </row>
    <row r="11" spans="1:5" x14ac:dyDescent="0.25">
      <c r="A11" s="2"/>
      <c r="B11" s="51" t="s">
        <v>9</v>
      </c>
      <c r="C11" s="51"/>
      <c r="D11" s="52"/>
      <c r="E11" s="53"/>
    </row>
    <row r="12" spans="1:5" x14ac:dyDescent="0.25">
      <c r="A12" s="2"/>
      <c r="B12" s="54" t="str">
        <f>"Data sources are  the "&amp;Inputs!B43&amp;" Information disclosures, section 4(i): Report of Value of the Regulatory Asset Base (Rolled Forward)."</f>
        <v>Data sources are  the 2019 Information disclosures, section 4(i): Report of Value of the Regulatory Asset Base (Rolled Forward).</v>
      </c>
      <c r="C12" s="54"/>
      <c r="D12" s="55"/>
      <c r="E12" s="56"/>
    </row>
    <row r="13" spans="1:5" x14ac:dyDescent="0.25">
      <c r="A13" s="2"/>
      <c r="B13" s="10"/>
      <c r="C13" s="10"/>
      <c r="D13" s="10"/>
      <c r="E13" s="10"/>
    </row>
    <row r="14" spans="1:5" ht="23.25" x14ac:dyDescent="0.35">
      <c r="A14" s="2"/>
      <c r="B14" s="6" t="s">
        <v>48</v>
      </c>
      <c r="C14" s="2"/>
      <c r="D14" s="2"/>
      <c r="E14" s="2"/>
    </row>
    <row r="15" spans="1:5" ht="15" customHeight="1" x14ac:dyDescent="0.25">
      <c r="B15" s="57" t="s">
        <v>57</v>
      </c>
      <c r="C15" s="58"/>
      <c r="D15" s="58"/>
      <c r="E15" s="58"/>
    </row>
    <row r="16" spans="1:5" ht="15" customHeight="1" x14ac:dyDescent="0.25">
      <c r="B16" s="58"/>
      <c r="C16" s="58"/>
      <c r="D16" s="58"/>
      <c r="E16" s="58"/>
    </row>
  </sheetData>
  <sheetProtection formatColumns="0" formatRows="0"/>
  <mergeCells count="2">
    <mergeCell ref="B6:E7"/>
    <mergeCell ref="B15:E1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D8"/>
  <sheetViews>
    <sheetView showGridLines="0" view="pageBreakPreview" zoomScaleNormal="100" zoomScaleSheetLayoutView="100" workbookViewId="0"/>
  </sheetViews>
  <sheetFormatPr defaultRowHeight="15" customHeight="1" x14ac:dyDescent="0.25"/>
  <cols>
    <col min="2" max="2" width="19.85546875" customWidth="1"/>
    <col min="3" max="3" width="60.7109375" customWidth="1"/>
    <col min="4" max="4" width="2.7109375" customWidth="1"/>
  </cols>
  <sheetData>
    <row r="1" spans="1:4" ht="26.25" x14ac:dyDescent="0.4">
      <c r="A1" s="7" t="s">
        <v>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ht="15.75" thickBot="1" x14ac:dyDescent="0.3">
      <c r="A3" s="2"/>
      <c r="B3" s="2"/>
      <c r="C3" s="2"/>
      <c r="D3" s="2"/>
    </row>
    <row r="4" spans="1:4" ht="15.75" x14ac:dyDescent="0.25">
      <c r="A4" s="2"/>
      <c r="B4" s="40" t="s">
        <v>1</v>
      </c>
      <c r="C4" s="41" t="s">
        <v>2</v>
      </c>
      <c r="D4" s="2"/>
    </row>
    <row r="5" spans="1:4" x14ac:dyDescent="0.25">
      <c r="A5" s="2"/>
      <c r="B5" s="42" t="s">
        <v>3</v>
      </c>
      <c r="C5" s="43" t="s">
        <v>3</v>
      </c>
      <c r="D5" s="2"/>
    </row>
    <row r="6" spans="1:4" x14ac:dyDescent="0.25">
      <c r="A6" s="2"/>
      <c r="B6" s="44" t="s">
        <v>4</v>
      </c>
      <c r="C6" s="45" t="s">
        <v>4</v>
      </c>
      <c r="D6" s="2"/>
    </row>
    <row r="7" spans="1:4" ht="15.75" thickBot="1" x14ac:dyDescent="0.3">
      <c r="A7" s="2"/>
      <c r="B7" s="46" t="s">
        <v>6</v>
      </c>
      <c r="C7" s="47" t="s">
        <v>5</v>
      </c>
      <c r="D7" s="2"/>
    </row>
    <row r="8" spans="1:4" ht="15" customHeight="1" x14ac:dyDescent="0.25">
      <c r="A8" s="2"/>
      <c r="B8" s="2"/>
      <c r="C8" s="2"/>
      <c r="D8" s="2"/>
    </row>
  </sheetData>
  <sheetProtection formatColumns="0" formatRows="0"/>
  <hyperlinks>
    <hyperlink ref="C5" location="'Inputs'!$A$1" tooltip="Section title. Click once to follow" display="Inputs" xr:uid="{42A3C895-0D13-423F-96F5-19357803ED87}"/>
    <hyperlink ref="C6" location="'Calculations'!$A$1" tooltip="Section title. Click once to follow" display="Calculations" xr:uid="{840037DD-0B53-4C73-BC66-4F488608B308}"/>
    <hyperlink ref="C7" location="'Output'!$A$1" tooltip="Section title. Click once to follow" display="Outputs" xr:uid="{38DB05CC-C6FE-43C4-B4D6-DC9BFC99021D}"/>
  </hyperlink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P43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41" bestFit="1" customWidth="1"/>
    <col min="2" max="16" width="10.42578125" customWidth="1"/>
    <col min="17" max="17" width="2.7109375" customWidth="1"/>
  </cols>
  <sheetData>
    <row r="1" spans="1:16" ht="26.25" x14ac:dyDescent="0.4">
      <c r="A1" s="34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36" t="str">
        <f>"Source: Information disclosures "&amp;B43&amp;", Section 4(i)"</f>
        <v>Source: Information disclosures 2019, Section 4(i)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9.75" customHeight="1" x14ac:dyDescent="0.4">
      <c r="A3" s="34"/>
      <c r="B3" s="23"/>
      <c r="C3" s="11" t="s">
        <v>23</v>
      </c>
      <c r="D3" s="11" t="s">
        <v>13</v>
      </c>
      <c r="E3" s="11" t="s">
        <v>22</v>
      </c>
      <c r="F3" s="11" t="s">
        <v>12</v>
      </c>
      <c r="G3" s="11" t="s">
        <v>21</v>
      </c>
      <c r="H3" s="11" t="s">
        <v>11</v>
      </c>
      <c r="I3" s="11" t="s">
        <v>20</v>
      </c>
      <c r="J3" s="11" t="s">
        <v>19</v>
      </c>
      <c r="K3" s="11" t="s">
        <v>18</v>
      </c>
      <c r="L3" s="11" t="s">
        <v>17</v>
      </c>
      <c r="M3" s="11" t="s">
        <v>10</v>
      </c>
      <c r="N3" s="11" t="s">
        <v>16</v>
      </c>
      <c r="O3" s="11" t="s">
        <v>15</v>
      </c>
      <c r="P3" s="11" t="s">
        <v>14</v>
      </c>
    </row>
    <row r="4" spans="1:16" ht="16.5" customHeight="1" x14ac:dyDescent="0.4">
      <c r="A4" s="34"/>
      <c r="B4" s="11" t="s">
        <v>24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5">
      <c r="A5" s="14" t="s">
        <v>25</v>
      </c>
      <c r="B5" s="9">
        <v>2015</v>
      </c>
      <c r="C5" s="15">
        <v>156778</v>
      </c>
      <c r="D5" s="15">
        <v>325114.39768051408</v>
      </c>
      <c r="E5" s="15">
        <v>55054</v>
      </c>
      <c r="F5" s="15">
        <v>220520.71304010149</v>
      </c>
      <c r="G5" s="15">
        <v>125598.5522749262</v>
      </c>
      <c r="H5" s="15">
        <v>64392</v>
      </c>
      <c r="I5" s="15">
        <v>110624.30894875689</v>
      </c>
      <c r="J5" s="15">
        <v>42202.595257767432</v>
      </c>
      <c r="K5" s="15">
        <v>155232</v>
      </c>
      <c r="L5" s="15">
        <v>147442.64802131549</v>
      </c>
      <c r="M5" s="15">
        <v>175959</v>
      </c>
      <c r="N5" s="15">
        <v>199303.3</v>
      </c>
      <c r="O5" s="15">
        <v>521046</v>
      </c>
      <c r="P5" s="15">
        <v>2618855</v>
      </c>
    </row>
    <row r="6" spans="1:16" x14ac:dyDescent="0.25">
      <c r="A6" s="14"/>
      <c r="B6" s="9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5">
      <c r="A7" s="14" t="s">
        <v>26</v>
      </c>
      <c r="B7" s="9">
        <v>2015</v>
      </c>
      <c r="C7" s="15">
        <v>18705</v>
      </c>
      <c r="D7" s="15">
        <v>17297.92497502414</v>
      </c>
      <c r="E7" s="15">
        <v>2274</v>
      </c>
      <c r="F7" s="15">
        <v>13833.8703</v>
      </c>
      <c r="G7" s="15">
        <v>18615.36135999898</v>
      </c>
      <c r="H7" s="15">
        <v>12354.002</v>
      </c>
      <c r="I7" s="15">
        <v>7725.5377899999958</v>
      </c>
      <c r="J7" s="15">
        <v>1093</v>
      </c>
      <c r="K7" s="15">
        <v>13773</v>
      </c>
      <c r="L7" s="15">
        <v>23814.427</v>
      </c>
      <c r="M7" s="15">
        <v>10691</v>
      </c>
      <c r="N7" s="15">
        <v>25378.57769951419</v>
      </c>
      <c r="O7" s="15">
        <v>43840</v>
      </c>
      <c r="P7" s="15">
        <v>137234</v>
      </c>
    </row>
    <row r="8" spans="1:16" x14ac:dyDescent="0.25">
      <c r="A8" s="14" t="s">
        <v>26</v>
      </c>
      <c r="B8" s="9">
        <v>2016</v>
      </c>
      <c r="C8" s="15">
        <v>11857</v>
      </c>
      <c r="D8" s="15">
        <v>20445.769093819799</v>
      </c>
      <c r="E8" s="15">
        <v>2193</v>
      </c>
      <c r="F8" s="15">
        <v>17847.961759999991</v>
      </c>
      <c r="G8" s="15">
        <v>6362.8956000000107</v>
      </c>
      <c r="H8" s="15">
        <v>5869.0259999999998</v>
      </c>
      <c r="I8" s="15">
        <v>6488.3353999999999</v>
      </c>
      <c r="J8" s="15">
        <v>580.50578999999982</v>
      </c>
      <c r="K8" s="15">
        <v>7777</v>
      </c>
      <c r="L8" s="15">
        <v>11027.054</v>
      </c>
      <c r="M8" s="15">
        <v>10848</v>
      </c>
      <c r="N8" s="15">
        <v>15017.33544337569</v>
      </c>
      <c r="O8" s="15">
        <v>33577</v>
      </c>
      <c r="P8" s="15">
        <v>116194</v>
      </c>
    </row>
    <row r="9" spans="1:16" x14ac:dyDescent="0.25">
      <c r="A9" s="14" t="s">
        <v>26</v>
      </c>
      <c r="B9" s="9">
        <v>2017</v>
      </c>
      <c r="C9" s="15">
        <v>18955</v>
      </c>
      <c r="D9" s="15">
        <v>18594.316697302329</v>
      </c>
      <c r="E9" s="15">
        <v>1350</v>
      </c>
      <c r="F9" s="15">
        <v>19679.42350999999</v>
      </c>
      <c r="G9" s="15">
        <v>7723.9944199999982</v>
      </c>
      <c r="H9" s="15">
        <v>4102.6145399999996</v>
      </c>
      <c r="I9" s="15">
        <v>8348.779330000003</v>
      </c>
      <c r="J9" s="15">
        <v>646.56188999999995</v>
      </c>
      <c r="K9" s="15">
        <v>5612</v>
      </c>
      <c r="L9" s="15">
        <v>14776.448753999999</v>
      </c>
      <c r="M9" s="15">
        <v>9767</v>
      </c>
      <c r="N9" s="15">
        <v>16729.61031</v>
      </c>
      <c r="O9" s="15">
        <v>47961</v>
      </c>
      <c r="P9" s="15">
        <v>249121</v>
      </c>
    </row>
    <row r="10" spans="1:16" x14ac:dyDescent="0.25">
      <c r="A10" s="14" t="s">
        <v>26</v>
      </c>
      <c r="B10" s="9">
        <v>2018</v>
      </c>
      <c r="C10" s="15">
        <v>30906</v>
      </c>
      <c r="D10" s="15">
        <v>50335.430605000001</v>
      </c>
      <c r="E10" s="15">
        <v>1846</v>
      </c>
      <c r="F10" s="15">
        <v>14920.593030000009</v>
      </c>
      <c r="G10" s="15">
        <v>7061.1144199999999</v>
      </c>
      <c r="H10" s="15">
        <v>5907.3</v>
      </c>
      <c r="I10" s="15">
        <v>10143.50736</v>
      </c>
      <c r="J10" s="15">
        <v>933.93456000000003</v>
      </c>
      <c r="K10" s="15">
        <v>6386</v>
      </c>
      <c r="L10" s="15">
        <v>12346.36680722554</v>
      </c>
      <c r="M10" s="15">
        <v>12034.93281632254</v>
      </c>
      <c r="N10" s="15">
        <v>19745.327750000011</v>
      </c>
      <c r="O10" s="15">
        <v>27802</v>
      </c>
      <c r="P10" s="15">
        <v>156889</v>
      </c>
    </row>
    <row r="11" spans="1:16" x14ac:dyDescent="0.25">
      <c r="A11" s="14" t="s">
        <v>26</v>
      </c>
      <c r="B11" s="9">
        <v>2019</v>
      </c>
      <c r="C11" s="15">
        <v>17961.779926267081</v>
      </c>
      <c r="D11" s="15">
        <v>63004.353999999992</v>
      </c>
      <c r="E11" s="15">
        <v>5064</v>
      </c>
      <c r="F11" s="15">
        <v>16375.665660000061</v>
      </c>
      <c r="G11" s="15">
        <v>11755.60458000001</v>
      </c>
      <c r="H11" s="15">
        <v>4533.37</v>
      </c>
      <c r="I11" s="15">
        <v>12884.01</v>
      </c>
      <c r="J11" s="15">
        <v>1659.3481999999999</v>
      </c>
      <c r="K11" s="15">
        <v>6557</v>
      </c>
      <c r="L11" s="15">
        <v>12936.768609999999</v>
      </c>
      <c r="M11" s="15">
        <v>23462.783690000011</v>
      </c>
      <c r="N11" s="15">
        <v>15378.413930000001</v>
      </c>
      <c r="O11" s="15">
        <v>53881.408000000003</v>
      </c>
      <c r="P11" s="15">
        <v>203460</v>
      </c>
    </row>
    <row r="12" spans="1:16" x14ac:dyDescent="0.25">
      <c r="A12" s="14"/>
      <c r="B12" s="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x14ac:dyDescent="0.25">
      <c r="A13" s="14" t="s">
        <v>27</v>
      </c>
      <c r="B13" s="9">
        <v>2015</v>
      </c>
      <c r="C13" s="15">
        <v>9885</v>
      </c>
      <c r="D13" s="15">
        <v>11818.393046159519</v>
      </c>
      <c r="E13" s="15">
        <v>2694</v>
      </c>
      <c r="F13" s="15">
        <v>7374.8213889701783</v>
      </c>
      <c r="G13" s="15">
        <v>5147.6911944089916</v>
      </c>
      <c r="H13" s="15">
        <v>2538.806</v>
      </c>
      <c r="I13" s="15">
        <v>5001.3573500001276</v>
      </c>
      <c r="J13" s="15">
        <v>1430</v>
      </c>
      <c r="K13" s="15">
        <v>6778</v>
      </c>
      <c r="L13" s="15">
        <v>6858</v>
      </c>
      <c r="M13" s="15">
        <v>9265</v>
      </c>
      <c r="N13" s="15">
        <v>8072.4515267208544</v>
      </c>
      <c r="O13" s="15">
        <v>22846</v>
      </c>
      <c r="P13" s="15">
        <v>92306</v>
      </c>
    </row>
    <row r="14" spans="1:16" x14ac:dyDescent="0.25">
      <c r="A14" s="14" t="s">
        <v>27</v>
      </c>
      <c r="B14" s="9">
        <v>2016</v>
      </c>
      <c r="C14" s="15">
        <v>9916</v>
      </c>
      <c r="D14" s="15">
        <v>12221.64496297669</v>
      </c>
      <c r="E14" s="15">
        <v>2741</v>
      </c>
      <c r="F14" s="15">
        <v>7615.7137381859557</v>
      </c>
      <c r="G14" s="15">
        <v>5666.9415069501229</v>
      </c>
      <c r="H14" s="15">
        <v>2788.9450000000011</v>
      </c>
      <c r="I14" s="15">
        <v>5526.4064300001664</v>
      </c>
      <c r="J14" s="15">
        <v>1394.4691276117919</v>
      </c>
      <c r="K14" s="15">
        <v>6937</v>
      </c>
      <c r="L14" s="15">
        <v>7291</v>
      </c>
      <c r="M14" s="15">
        <v>9113</v>
      </c>
      <c r="N14" s="15">
        <v>8424.7932445566203</v>
      </c>
      <c r="O14" s="15">
        <v>24802</v>
      </c>
      <c r="P14" s="15">
        <v>94495</v>
      </c>
    </row>
    <row r="15" spans="1:16" x14ac:dyDescent="0.25">
      <c r="A15" s="14" t="s">
        <v>27</v>
      </c>
      <c r="B15" s="9">
        <v>2017</v>
      </c>
      <c r="C15" s="15">
        <v>10242</v>
      </c>
      <c r="D15" s="15">
        <v>12762.40192126655</v>
      </c>
      <c r="E15" s="15">
        <v>2783</v>
      </c>
      <c r="F15" s="15">
        <v>8151.8366177310436</v>
      </c>
      <c r="G15" s="15">
        <v>6307.2607589746167</v>
      </c>
      <c r="H15" s="15">
        <v>2885.290536484104</v>
      </c>
      <c r="I15" s="15">
        <v>5523.763199999973</v>
      </c>
      <c r="J15" s="15">
        <v>1390.885537611792</v>
      </c>
      <c r="K15" s="15">
        <v>6779</v>
      </c>
      <c r="L15" s="15">
        <v>7495.5681657655568</v>
      </c>
      <c r="M15" s="15">
        <v>8597</v>
      </c>
      <c r="N15" s="15">
        <v>8307.3491690492501</v>
      </c>
      <c r="O15" s="15">
        <v>25277</v>
      </c>
      <c r="P15" s="15">
        <v>96289</v>
      </c>
    </row>
    <row r="16" spans="1:16" x14ac:dyDescent="0.25">
      <c r="A16" s="14" t="s">
        <v>27</v>
      </c>
      <c r="B16" s="9">
        <v>2018</v>
      </c>
      <c r="C16" s="15">
        <v>12244</v>
      </c>
      <c r="D16" s="15">
        <v>13710.327053624949</v>
      </c>
      <c r="E16" s="15">
        <v>2522</v>
      </c>
      <c r="F16" s="15">
        <v>9240.2748848178653</v>
      </c>
      <c r="G16" s="15">
        <v>5691.5284488785428</v>
      </c>
      <c r="H16" s="15">
        <v>2924.6</v>
      </c>
      <c r="I16" s="15">
        <v>5671.0581100000718</v>
      </c>
      <c r="J16" s="15">
        <v>1425.6</v>
      </c>
      <c r="K16" s="15">
        <v>6954</v>
      </c>
      <c r="L16" s="15">
        <v>6647.0672446840663</v>
      </c>
      <c r="M16" s="15">
        <v>8489.8754300000001</v>
      </c>
      <c r="N16" s="15">
        <v>8681.2242204192535</v>
      </c>
      <c r="O16" s="15">
        <v>26196</v>
      </c>
      <c r="P16" s="15">
        <v>108316</v>
      </c>
    </row>
    <row r="17" spans="1:16" x14ac:dyDescent="0.25">
      <c r="A17" s="14" t="s">
        <v>27</v>
      </c>
      <c r="B17" s="9">
        <v>2019</v>
      </c>
      <c r="C17" s="15">
        <v>12793.13117340678</v>
      </c>
      <c r="D17" s="15">
        <v>15058.02417019832</v>
      </c>
      <c r="E17" s="15">
        <v>2033</v>
      </c>
      <c r="F17" s="15">
        <v>9529.6230377798529</v>
      </c>
      <c r="G17" s="15">
        <v>6088.9489571422637</v>
      </c>
      <c r="H17" s="15">
        <v>3119.7714543870602</v>
      </c>
      <c r="I17" s="15">
        <v>6456.2217299999993</v>
      </c>
      <c r="J17" s="15">
        <v>1446.5562303904751</v>
      </c>
      <c r="K17" s="15">
        <v>6807</v>
      </c>
      <c r="L17" s="15">
        <v>7711.9157134074912</v>
      </c>
      <c r="M17" s="15">
        <v>8412.1005965908771</v>
      </c>
      <c r="N17" s="15">
        <v>9155.4759701400144</v>
      </c>
      <c r="O17" s="15">
        <v>27555.254000000001</v>
      </c>
      <c r="P17" s="15">
        <v>108729</v>
      </c>
    </row>
    <row r="18" spans="1:16" x14ac:dyDescent="0.25">
      <c r="A18" s="14"/>
      <c r="B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25">
      <c r="A19" s="14" t="s">
        <v>28</v>
      </c>
      <c r="B19" s="9">
        <v>2015</v>
      </c>
      <c r="C19" s="15">
        <v>131</v>
      </c>
      <c r="D19" s="15">
        <v>271.81289441837743</v>
      </c>
      <c r="E19" s="15">
        <v>46</v>
      </c>
      <c r="F19" s="15">
        <v>184.22194406968029</v>
      </c>
      <c r="G19" s="15">
        <v>105.064263003166</v>
      </c>
      <c r="H19" s="15">
        <v>53.943975671134623</v>
      </c>
      <c r="I19" s="15">
        <v>92.649049522725633</v>
      </c>
      <c r="J19" s="15">
        <v>35.404809470506947</v>
      </c>
      <c r="K19" s="15">
        <v>130.13087248320619</v>
      </c>
      <c r="L19" s="15">
        <v>122.8042349171966</v>
      </c>
      <c r="M19" s="15">
        <v>147</v>
      </c>
      <c r="N19" s="15">
        <v>167.20075503353749</v>
      </c>
      <c r="O19" s="15">
        <v>434</v>
      </c>
      <c r="P19" s="15">
        <v>6565</v>
      </c>
    </row>
    <row r="20" spans="1:16" x14ac:dyDescent="0.25">
      <c r="A20" s="14" t="s">
        <v>28</v>
      </c>
      <c r="B20" s="9">
        <v>2016</v>
      </c>
      <c r="C20" s="15">
        <v>963</v>
      </c>
      <c r="D20" s="15">
        <v>1934.8533487702391</v>
      </c>
      <c r="E20" s="15">
        <v>321</v>
      </c>
      <c r="F20" s="15">
        <v>1323.7627585118839</v>
      </c>
      <c r="G20" s="15">
        <v>814.86781818919621</v>
      </c>
      <c r="H20" s="15">
        <v>434.99461197495799</v>
      </c>
      <c r="I20" s="15">
        <v>663.05947480643113</v>
      </c>
      <c r="J20" s="15">
        <v>244.49539016820231</v>
      </c>
      <c r="K20" s="15">
        <v>947.75188600167576</v>
      </c>
      <c r="L20" s="15">
        <v>959.50758149437877</v>
      </c>
      <c r="M20" s="15">
        <v>1033</v>
      </c>
      <c r="N20" s="15">
        <v>1267.8767357494371</v>
      </c>
      <c r="O20" s="15">
        <v>3129</v>
      </c>
      <c r="P20" s="15">
        <v>11077</v>
      </c>
    </row>
    <row r="21" spans="1:16" x14ac:dyDescent="0.25">
      <c r="A21" s="14" t="s">
        <v>28</v>
      </c>
      <c r="B21" s="9">
        <v>2017</v>
      </c>
      <c r="C21" s="15">
        <v>3611</v>
      </c>
      <c r="D21" s="15">
        <v>7365.3040184405636</v>
      </c>
      <c r="E21" s="15">
        <v>1179</v>
      </c>
      <c r="F21" s="15">
        <v>5072.2428862614252</v>
      </c>
      <c r="G21" s="15">
        <v>3019.8554493347528</v>
      </c>
      <c r="H21" s="15">
        <v>1676.4586802536601</v>
      </c>
      <c r="I21" s="15">
        <v>2480.4070408828338</v>
      </c>
      <c r="J21" s="15">
        <v>890.48986259554658</v>
      </c>
      <c r="K21" s="15">
        <v>3531</v>
      </c>
      <c r="L21" s="15">
        <v>3641.0618312102679</v>
      </c>
      <c r="M21" s="15">
        <v>3872.9567609594801</v>
      </c>
      <c r="N21" s="15">
        <v>4863.6584899935951</v>
      </c>
      <c r="O21" s="15">
        <v>11807</v>
      </c>
      <c r="P21" s="15">
        <v>57761</v>
      </c>
    </row>
    <row r="22" spans="1:16" x14ac:dyDescent="0.25">
      <c r="A22" s="14" t="s">
        <v>28</v>
      </c>
      <c r="B22" s="9">
        <v>2018</v>
      </c>
      <c r="C22" s="15">
        <v>1969</v>
      </c>
      <c r="D22" s="15">
        <v>3878.207090756755</v>
      </c>
      <c r="E22" s="15">
        <v>595</v>
      </c>
      <c r="F22" s="15">
        <v>2755.8954689916618</v>
      </c>
      <c r="G22" s="15">
        <v>1665.2926925667</v>
      </c>
      <c r="H22" s="15">
        <v>882.14145807497812</v>
      </c>
      <c r="I22" s="15">
        <v>1308.8434002556619</v>
      </c>
      <c r="J22" s="15">
        <v>453.7026816825549</v>
      </c>
      <c r="K22" s="15">
        <v>1808</v>
      </c>
      <c r="L22" s="15">
        <v>1966.9555048335681</v>
      </c>
      <c r="M22" s="15">
        <v>2012.8433241505361</v>
      </c>
      <c r="N22" s="15">
        <v>2615.89276909203</v>
      </c>
      <c r="O22" s="15">
        <v>6329</v>
      </c>
      <c r="P22" s="15">
        <v>31561</v>
      </c>
    </row>
    <row r="23" spans="1:16" x14ac:dyDescent="0.25">
      <c r="A23" s="14" t="s">
        <v>28</v>
      </c>
      <c r="B23" s="9">
        <v>2019</v>
      </c>
      <c r="C23" s="15">
        <v>2961.735905044502</v>
      </c>
      <c r="D23" s="15">
        <v>5823.7153854601984</v>
      </c>
      <c r="E23" s="15">
        <v>795.40059347180784</v>
      </c>
      <c r="F23" s="15">
        <v>3831.325299843144</v>
      </c>
      <c r="G23" s="15">
        <v>2287.7923716617138</v>
      </c>
      <c r="H23" s="15">
        <v>1245.0164928643301</v>
      </c>
      <c r="I23" s="15">
        <v>1850.5004143565391</v>
      </c>
      <c r="J23" s="15">
        <v>609.95522213686763</v>
      </c>
      <c r="K23" s="15">
        <v>2452.4035608308541</v>
      </c>
      <c r="L23" s="15">
        <v>2765.756410168447</v>
      </c>
      <c r="M23" s="15">
        <v>2794.0162540700589</v>
      </c>
      <c r="N23" s="15">
        <v>3731.2783531992459</v>
      </c>
      <c r="O23" s="15">
        <v>8641.9732937685203</v>
      </c>
      <c r="P23" s="15">
        <v>44091.223180721063</v>
      </c>
    </row>
    <row r="24" spans="1:16" ht="16.5" customHeight="1" x14ac:dyDescent="0.25">
      <c r="A24" s="14"/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25">
      <c r="A25" s="14" t="s">
        <v>29</v>
      </c>
      <c r="B25" s="9">
        <v>2015</v>
      </c>
      <c r="C25" s="15">
        <v>225</v>
      </c>
      <c r="D25" s="15">
        <v>0</v>
      </c>
      <c r="E25" s="15"/>
      <c r="F25" s="15">
        <v>815.05219443856549</v>
      </c>
      <c r="G25" s="15">
        <v>7.6306751465664098</v>
      </c>
      <c r="H25" s="15">
        <v>73.459000000000003</v>
      </c>
      <c r="I25" s="15">
        <v>158.232034935</v>
      </c>
      <c r="J25" s="15">
        <v>232</v>
      </c>
      <c r="K25" s="15">
        <v>541</v>
      </c>
      <c r="L25" s="15">
        <v>879.7</v>
      </c>
      <c r="M25" s="15">
        <v>317</v>
      </c>
      <c r="N25" s="15">
        <v>54.571150000000003</v>
      </c>
      <c r="O25" s="15">
        <v>3565</v>
      </c>
      <c r="P25" s="15">
        <v>9358</v>
      </c>
    </row>
    <row r="26" spans="1:16" x14ac:dyDescent="0.25">
      <c r="A26" s="14" t="s">
        <v>29</v>
      </c>
      <c r="B26" s="9">
        <v>2016</v>
      </c>
      <c r="C26" s="15">
        <v>87</v>
      </c>
      <c r="D26" s="15">
        <v>0</v>
      </c>
      <c r="E26" s="15">
        <v>26</v>
      </c>
      <c r="F26" s="15">
        <v>647.22364464960526</v>
      </c>
      <c r="G26" s="15">
        <v>88.598694976649654</v>
      </c>
      <c r="H26" s="15">
        <v>36.01</v>
      </c>
      <c r="I26" s="15">
        <v>51.112439999999999</v>
      </c>
      <c r="J26" s="15">
        <v>0</v>
      </c>
      <c r="K26" s="15">
        <v>506</v>
      </c>
      <c r="L26" s="15">
        <v>64.8</v>
      </c>
      <c r="M26" s="15">
        <v>429</v>
      </c>
      <c r="N26" s="15">
        <v>30.972807012987008</v>
      </c>
      <c r="O26" s="15">
        <v>2815</v>
      </c>
      <c r="P26" s="15">
        <v>11139</v>
      </c>
    </row>
    <row r="27" spans="1:16" x14ac:dyDescent="0.25">
      <c r="A27" s="14" t="s">
        <v>29</v>
      </c>
      <c r="B27" s="9">
        <v>2017</v>
      </c>
      <c r="C27" s="15">
        <v>306</v>
      </c>
      <c r="D27" s="15">
        <v>0</v>
      </c>
      <c r="E27" s="15">
        <v>23</v>
      </c>
      <c r="F27" s="15">
        <v>2716.5805831725402</v>
      </c>
      <c r="G27" s="15">
        <v>313.22669437409257</v>
      </c>
      <c r="H27" s="15">
        <v>268.67522063245798</v>
      </c>
      <c r="I27" s="15">
        <v>316.00474177500001</v>
      </c>
      <c r="J27" s="15">
        <v>0</v>
      </c>
      <c r="K27" s="15">
        <v>825</v>
      </c>
      <c r="L27" s="15">
        <v>172.68640568035181</v>
      </c>
      <c r="M27" s="15">
        <v>458</v>
      </c>
      <c r="N27" s="15">
        <v>7.2685700000000004</v>
      </c>
      <c r="O27" s="15">
        <v>1493</v>
      </c>
      <c r="P27" s="15">
        <v>15950</v>
      </c>
    </row>
    <row r="28" spans="1:16" x14ac:dyDescent="0.25">
      <c r="A28" s="14" t="s">
        <v>29</v>
      </c>
      <c r="B28" s="9">
        <v>2018</v>
      </c>
      <c r="C28" s="15">
        <v>0</v>
      </c>
      <c r="D28" s="15">
        <v>570.04600000000005</v>
      </c>
      <c r="E28" s="15">
        <v>49</v>
      </c>
      <c r="F28" s="15">
        <v>218.0739880984838</v>
      </c>
      <c r="G28" s="15">
        <v>288.911</v>
      </c>
      <c r="H28" s="15">
        <v>85</v>
      </c>
      <c r="I28" s="15">
        <v>677.53088499999956</v>
      </c>
      <c r="J28" s="15">
        <v>96.97144366289362</v>
      </c>
      <c r="K28" s="15">
        <v>355</v>
      </c>
      <c r="L28" s="15">
        <v>156.98670756448891</v>
      </c>
      <c r="M28" s="15">
        <v>878.50592999999992</v>
      </c>
      <c r="N28" s="15">
        <v>21.5</v>
      </c>
      <c r="O28" s="15">
        <v>2831</v>
      </c>
      <c r="P28" s="15">
        <v>7540</v>
      </c>
    </row>
    <row r="29" spans="1:16" x14ac:dyDescent="0.25">
      <c r="A29" s="14" t="s">
        <v>29</v>
      </c>
      <c r="B29" s="9">
        <v>2019</v>
      </c>
      <c r="C29" s="15">
        <v>0</v>
      </c>
      <c r="D29" s="15">
        <v>853.06700000000001</v>
      </c>
      <c r="E29" s="15">
        <v>38</v>
      </c>
      <c r="F29" s="15">
        <v>773.18725158335349</v>
      </c>
      <c r="G29" s="15">
        <v>162.02709496968251</v>
      </c>
      <c r="H29" s="15">
        <v>125.5172148877932</v>
      </c>
      <c r="I29" s="15">
        <v>142.4</v>
      </c>
      <c r="J29" s="15">
        <v>0</v>
      </c>
      <c r="K29" s="15">
        <v>393</v>
      </c>
      <c r="L29" s="15">
        <v>79.501966691335895</v>
      </c>
      <c r="M29" s="15">
        <v>346.58528799999999</v>
      </c>
      <c r="N29" s="15">
        <v>15.95</v>
      </c>
      <c r="O29" s="15">
        <v>1812</v>
      </c>
      <c r="P29" s="15">
        <v>7412</v>
      </c>
    </row>
    <row r="30" spans="1:16" x14ac:dyDescent="0.25">
      <c r="A30" s="14"/>
      <c r="B30" s="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14" t="s">
        <v>30</v>
      </c>
      <c r="B31" s="9">
        <v>2015</v>
      </c>
      <c r="C31" s="15">
        <v>0</v>
      </c>
      <c r="D31" s="15">
        <v>0</v>
      </c>
      <c r="E31" s="15"/>
      <c r="F31" s="15">
        <v>0</v>
      </c>
      <c r="G31" s="15">
        <v>0</v>
      </c>
      <c r="H31" s="15"/>
      <c r="I31" s="15">
        <v>-5.4895254870644004E-3</v>
      </c>
      <c r="J31" s="15">
        <v>0</v>
      </c>
      <c r="K31" s="15">
        <v>-0.13087248321971859</v>
      </c>
      <c r="L31" s="15">
        <v>-0.1528672619606368</v>
      </c>
      <c r="M31" s="15">
        <v>0</v>
      </c>
      <c r="N31" s="15">
        <v>-0.3522242532344535</v>
      </c>
      <c r="O31" s="15"/>
      <c r="P31" s="15">
        <v>-195</v>
      </c>
    </row>
    <row r="32" spans="1:16" x14ac:dyDescent="0.25">
      <c r="A32" s="14" t="s">
        <v>30</v>
      </c>
      <c r="B32" s="9">
        <v>2016</v>
      </c>
      <c r="C32" s="15">
        <v>0</v>
      </c>
      <c r="D32" s="15">
        <v>0</v>
      </c>
      <c r="E32" s="15"/>
      <c r="F32" s="15">
        <v>-2.7209907770156899E-2</v>
      </c>
      <c r="G32" s="15">
        <v>0</v>
      </c>
      <c r="H32" s="15"/>
      <c r="I32" s="15">
        <v>1.6065197531133901E-2</v>
      </c>
      <c r="J32" s="15">
        <v>0</v>
      </c>
      <c r="K32" s="15">
        <v>0.24811399832833561</v>
      </c>
      <c r="L32" s="15">
        <v>0.31602953493711539</v>
      </c>
      <c r="M32" s="15">
        <v>0</v>
      </c>
      <c r="N32" s="15">
        <v>-0.25745458126184501</v>
      </c>
      <c r="O32" s="15"/>
      <c r="P32" s="15">
        <v>-34</v>
      </c>
    </row>
    <row r="33" spans="1:16" x14ac:dyDescent="0.25">
      <c r="A33" s="14" t="s">
        <v>30</v>
      </c>
      <c r="B33" s="9">
        <v>2017</v>
      </c>
      <c r="C33" s="15">
        <v>0</v>
      </c>
      <c r="D33" s="15">
        <v>0</v>
      </c>
      <c r="E33" s="15"/>
      <c r="F33" s="15">
        <v>-7.8642939828569097E-2</v>
      </c>
      <c r="G33" s="15">
        <v>7157.9974654802936</v>
      </c>
      <c r="H33" s="15"/>
      <c r="I33" s="15">
        <v>-1.3150883896742E-2</v>
      </c>
      <c r="J33" s="15">
        <v>0</v>
      </c>
      <c r="K33" s="15">
        <v>0</v>
      </c>
      <c r="L33" s="15">
        <v>-0.21650314659927969</v>
      </c>
      <c r="M33" s="15">
        <v>0</v>
      </c>
      <c r="N33" s="15">
        <v>0.39026633076719008</v>
      </c>
      <c r="O33" s="15"/>
      <c r="P33" s="15">
        <v>2095</v>
      </c>
    </row>
    <row r="34" spans="1:16" x14ac:dyDescent="0.25">
      <c r="A34" s="14" t="s">
        <v>30</v>
      </c>
      <c r="B34" s="9">
        <v>2018</v>
      </c>
      <c r="C34" s="15">
        <v>0</v>
      </c>
      <c r="D34" s="15">
        <v>0</v>
      </c>
      <c r="E34" s="15"/>
      <c r="F34" s="15">
        <v>-8.4630982019010003E-4</v>
      </c>
      <c r="G34" s="15">
        <v>-9.3978975201029996E-4</v>
      </c>
      <c r="H34" s="15"/>
      <c r="I34" s="15">
        <v>9.0797437296714998E-3</v>
      </c>
      <c r="J34" s="15">
        <v>0.21783922723261639</v>
      </c>
      <c r="K34" s="15">
        <v>0</v>
      </c>
      <c r="L34" s="15">
        <v>-0.24785838313982819</v>
      </c>
      <c r="M34" s="15">
        <v>0.18705489000421949</v>
      </c>
      <c r="N34" s="15">
        <v>-0.26884686591802159</v>
      </c>
      <c r="O34" s="15"/>
      <c r="P34" s="15">
        <v>-14</v>
      </c>
    </row>
    <row r="35" spans="1:16" x14ac:dyDescent="0.25">
      <c r="A35" s="14" t="s">
        <v>30</v>
      </c>
      <c r="B35" s="9">
        <v>2019</v>
      </c>
      <c r="C35" s="15">
        <v>-6256.8408686908369</v>
      </c>
      <c r="D35" s="15">
        <v>-4.3104263022539999E-4</v>
      </c>
      <c r="E35" s="15">
        <v>-0.40059347180795157</v>
      </c>
      <c r="F35" s="15">
        <v>-816.01699579932028</v>
      </c>
      <c r="G35" s="15">
        <v>-728.07452844068757</v>
      </c>
      <c r="H35" s="15">
        <v>0.20348141195427161</v>
      </c>
      <c r="I35" s="15">
        <v>4.2208597355056603E-2</v>
      </c>
      <c r="J35" s="15">
        <v>0</v>
      </c>
      <c r="K35" s="15">
        <v>-1859.403560830862</v>
      </c>
      <c r="L35" s="15">
        <v>-0.18190025610965679</v>
      </c>
      <c r="M35" s="15">
        <v>-0.21524407007382251</v>
      </c>
      <c r="N35" s="15">
        <v>-0.28077667497564113</v>
      </c>
      <c r="O35" s="15">
        <v>694.2027062313864</v>
      </c>
      <c r="P35" s="15">
        <v>-7655.2231807210483</v>
      </c>
    </row>
    <row r="36" spans="1:16" x14ac:dyDescent="0.25">
      <c r="A36" s="14"/>
      <c r="B36" s="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5">
      <c r="A37" s="14" t="s">
        <v>31</v>
      </c>
      <c r="B37" s="9">
        <v>2015</v>
      </c>
      <c r="C37" s="15">
        <v>817</v>
      </c>
      <c r="D37" s="15">
        <v>0</v>
      </c>
      <c r="E37" s="15"/>
      <c r="F37" s="15">
        <v>0</v>
      </c>
      <c r="G37" s="15">
        <v>0</v>
      </c>
      <c r="H37" s="15"/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/>
      <c r="P37" s="15">
        <v>0</v>
      </c>
    </row>
    <row r="38" spans="1:16" x14ac:dyDescent="0.25">
      <c r="A38" s="14" t="s">
        <v>31</v>
      </c>
      <c r="B38" s="9">
        <v>2016</v>
      </c>
      <c r="C38" s="15">
        <v>-2166</v>
      </c>
      <c r="D38" s="15">
        <v>0</v>
      </c>
      <c r="E38" s="15"/>
      <c r="F38" s="15">
        <v>0</v>
      </c>
      <c r="G38" s="15">
        <v>0</v>
      </c>
      <c r="H38" s="15"/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/>
      <c r="P38" s="15">
        <v>0</v>
      </c>
    </row>
    <row r="39" spans="1:16" x14ac:dyDescent="0.25">
      <c r="A39" s="14" t="s">
        <v>31</v>
      </c>
      <c r="B39" s="9">
        <v>2017</v>
      </c>
      <c r="C39" s="15">
        <v>0</v>
      </c>
      <c r="D39" s="15">
        <v>0</v>
      </c>
      <c r="E39" s="15"/>
      <c r="F39" s="15">
        <v>0</v>
      </c>
      <c r="G39" s="15">
        <v>0</v>
      </c>
      <c r="H39" s="15"/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139</v>
      </c>
      <c r="P39" s="15">
        <v>0</v>
      </c>
    </row>
    <row r="40" spans="1:16" x14ac:dyDescent="0.25">
      <c r="A40" s="14" t="s">
        <v>31</v>
      </c>
      <c r="B40" s="9">
        <v>2018</v>
      </c>
      <c r="C40" s="15">
        <v>0</v>
      </c>
      <c r="D40" s="15">
        <v>0</v>
      </c>
      <c r="E40" s="15">
        <v>-7</v>
      </c>
      <c r="F40" s="15">
        <v>0</v>
      </c>
      <c r="G40" s="15">
        <v>0</v>
      </c>
      <c r="H40" s="15"/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-44</v>
      </c>
      <c r="P40" s="15">
        <v>0</v>
      </c>
    </row>
    <row r="41" spans="1:16" x14ac:dyDescent="0.25">
      <c r="A41" s="14" t="s">
        <v>31</v>
      </c>
      <c r="B41" s="9">
        <v>2019</v>
      </c>
      <c r="C41" s="15">
        <v>0</v>
      </c>
      <c r="D41" s="15">
        <v>0</v>
      </c>
      <c r="E41" s="15">
        <v>47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x14ac:dyDescent="0.25">
      <c r="A42" s="14"/>
      <c r="B42" s="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4" t="s">
        <v>32</v>
      </c>
      <c r="B43" s="9">
        <v>2019</v>
      </c>
      <c r="C43" s="15">
        <v>201494.54378921399</v>
      </c>
      <c r="D43" s="15">
        <v>447072.18120423768</v>
      </c>
      <c r="E43" s="15">
        <v>57848</v>
      </c>
      <c r="F43" s="15">
        <v>268447.16463339521</v>
      </c>
      <c r="G43" s="15">
        <v>161677.5522211091</v>
      </c>
      <c r="H43" s="15">
        <v>86604.996813859601</v>
      </c>
      <c r="I43" s="15">
        <v>133085.9</v>
      </c>
      <c r="J43" s="15">
        <v>41933.729163771379</v>
      </c>
      <c r="K43" s="15">
        <v>165472</v>
      </c>
      <c r="L43" s="15">
        <v>194442.08945185869</v>
      </c>
      <c r="M43" s="15">
        <v>206316.43741173169</v>
      </c>
      <c r="N43" s="15">
        <v>261426.14654201409</v>
      </c>
      <c r="O43" s="15">
        <v>620045.32999999996</v>
      </c>
      <c r="P43" s="15">
        <v>3075471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P56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39.5703125" bestFit="1" customWidth="1"/>
    <col min="2" max="2" width="14" bestFit="1" customWidth="1"/>
    <col min="3" max="3" width="31.42578125" customWidth="1"/>
    <col min="4" max="16" width="11.140625" customWidth="1"/>
    <col min="17" max="17" width="2.7109375" customWidth="1"/>
  </cols>
  <sheetData>
    <row r="1" spans="1:16" ht="26.25" x14ac:dyDescent="0.4">
      <c r="A1" s="5" t="s">
        <v>4</v>
      </c>
      <c r="E1" s="1"/>
      <c r="F1" s="8"/>
    </row>
    <row r="2" spans="1:16" ht="26.25" x14ac:dyDescent="0.4">
      <c r="A2" s="5"/>
      <c r="B2" s="1"/>
      <c r="C2" s="1"/>
      <c r="D2" s="1"/>
      <c r="E2" s="1"/>
      <c r="F2" s="8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x14ac:dyDescent="0.3">
      <c r="A3" s="17" t="s">
        <v>3</v>
      </c>
      <c r="E3" s="1"/>
    </row>
    <row r="4" spans="1:16" ht="39.75" customHeight="1" x14ac:dyDescent="0.4">
      <c r="A4" s="5"/>
      <c r="B4" s="1"/>
      <c r="C4" s="11" t="s">
        <v>23</v>
      </c>
      <c r="D4" s="11" t="s">
        <v>13</v>
      </c>
      <c r="E4" s="11" t="s">
        <v>22</v>
      </c>
      <c r="F4" s="11" t="s">
        <v>12</v>
      </c>
      <c r="G4" s="11" t="s">
        <v>21</v>
      </c>
      <c r="H4" s="11" t="s">
        <v>11</v>
      </c>
      <c r="I4" s="11" t="s">
        <v>20</v>
      </c>
      <c r="J4" s="11" t="s">
        <v>19</v>
      </c>
      <c r="K4" s="11" t="s">
        <v>18</v>
      </c>
      <c r="L4" s="11" t="s">
        <v>17</v>
      </c>
      <c r="M4" s="11" t="s">
        <v>10</v>
      </c>
      <c r="N4" s="11" t="s">
        <v>16</v>
      </c>
      <c r="O4" s="11" t="s">
        <v>15</v>
      </c>
      <c r="P4" s="11" t="s">
        <v>14</v>
      </c>
    </row>
    <row r="5" spans="1:16" ht="16.5" customHeight="1" x14ac:dyDescent="0.4">
      <c r="A5" s="5"/>
      <c r="B5" s="11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2" t="str">
        <f>Inputs!A5</f>
        <v>Total opening RAB value</v>
      </c>
      <c r="B6" s="16">
        <f>Inputs!B5</f>
        <v>2015</v>
      </c>
      <c r="C6" s="19">
        <f>Inputs!C5</f>
        <v>156778</v>
      </c>
      <c r="D6" s="19">
        <f>Inputs!D5</f>
        <v>325114.39768051408</v>
      </c>
      <c r="E6" s="19">
        <f>Inputs!E5</f>
        <v>55054</v>
      </c>
      <c r="F6" s="19">
        <f>Inputs!F5</f>
        <v>220520.71304010149</v>
      </c>
      <c r="G6" s="19">
        <f>Inputs!G5</f>
        <v>125598.5522749262</v>
      </c>
      <c r="H6" s="19">
        <f>Inputs!H5</f>
        <v>64392</v>
      </c>
      <c r="I6" s="19">
        <f>Inputs!I5</f>
        <v>110624.30894875689</v>
      </c>
      <c r="J6" s="19">
        <f>Inputs!J5</f>
        <v>42202.595257767432</v>
      </c>
      <c r="K6" s="19">
        <f>Inputs!K5</f>
        <v>155232</v>
      </c>
      <c r="L6" s="19">
        <f>Inputs!L5</f>
        <v>147442.64802131549</v>
      </c>
      <c r="M6" s="19">
        <f>Inputs!M5</f>
        <v>175959</v>
      </c>
      <c r="N6" s="19">
        <f>Inputs!N5</f>
        <v>199303.3</v>
      </c>
      <c r="O6" s="19">
        <f>Inputs!O5</f>
        <v>521046</v>
      </c>
      <c r="P6" s="19">
        <f>Inputs!P5</f>
        <v>2618855</v>
      </c>
    </row>
    <row r="7" spans="1:16" x14ac:dyDescent="0.25">
      <c r="A7" s="12"/>
      <c r="B7" s="1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12" t="str">
        <f>Inputs!A7</f>
        <v>Assets commissioned</v>
      </c>
      <c r="B8" s="16">
        <f>Inputs!B7</f>
        <v>2015</v>
      </c>
      <c r="C8" s="19">
        <f>Inputs!C7</f>
        <v>18705</v>
      </c>
      <c r="D8" s="19">
        <f>Inputs!D7</f>
        <v>17297.92497502414</v>
      </c>
      <c r="E8" s="19">
        <f>Inputs!E7</f>
        <v>2274</v>
      </c>
      <c r="F8" s="19">
        <f>Inputs!F7</f>
        <v>13833.8703</v>
      </c>
      <c r="G8" s="19">
        <f>Inputs!G7</f>
        <v>18615.36135999898</v>
      </c>
      <c r="H8" s="19">
        <f>Inputs!H7</f>
        <v>12354.002</v>
      </c>
      <c r="I8" s="19">
        <f>Inputs!I7</f>
        <v>7725.5377899999958</v>
      </c>
      <c r="J8" s="19">
        <f>Inputs!J7</f>
        <v>1093</v>
      </c>
      <c r="K8" s="19">
        <f>Inputs!K7</f>
        <v>13773</v>
      </c>
      <c r="L8" s="19">
        <f>Inputs!L7</f>
        <v>23814.427</v>
      </c>
      <c r="M8" s="19">
        <f>Inputs!M7</f>
        <v>10691</v>
      </c>
      <c r="N8" s="19">
        <f>Inputs!N7</f>
        <v>25378.57769951419</v>
      </c>
      <c r="O8" s="19">
        <f>Inputs!O7</f>
        <v>43840</v>
      </c>
      <c r="P8" s="19">
        <f>Inputs!P7</f>
        <v>137234</v>
      </c>
    </row>
    <row r="9" spans="1:16" x14ac:dyDescent="0.25">
      <c r="A9" s="12" t="str">
        <f>Inputs!A8</f>
        <v>Assets commissioned</v>
      </c>
      <c r="B9" s="16">
        <f>Inputs!B8</f>
        <v>2016</v>
      </c>
      <c r="C9" s="19">
        <f>Inputs!C8</f>
        <v>11857</v>
      </c>
      <c r="D9" s="19">
        <f>Inputs!D8</f>
        <v>20445.769093819799</v>
      </c>
      <c r="E9" s="19">
        <f>Inputs!E8</f>
        <v>2193</v>
      </c>
      <c r="F9" s="19">
        <f>Inputs!F8</f>
        <v>17847.961759999991</v>
      </c>
      <c r="G9" s="19">
        <f>Inputs!G8</f>
        <v>6362.8956000000107</v>
      </c>
      <c r="H9" s="19">
        <f>Inputs!H8</f>
        <v>5869.0259999999998</v>
      </c>
      <c r="I9" s="19">
        <f>Inputs!I8</f>
        <v>6488.3353999999999</v>
      </c>
      <c r="J9" s="19">
        <f>Inputs!J8</f>
        <v>580.50578999999982</v>
      </c>
      <c r="K9" s="19">
        <f>Inputs!K8</f>
        <v>7777</v>
      </c>
      <c r="L9" s="19">
        <f>Inputs!L8</f>
        <v>11027.054</v>
      </c>
      <c r="M9" s="19">
        <f>Inputs!M8</f>
        <v>10848</v>
      </c>
      <c r="N9" s="19">
        <f>Inputs!N8</f>
        <v>15017.33544337569</v>
      </c>
      <c r="O9" s="19">
        <f>Inputs!O8</f>
        <v>33577</v>
      </c>
      <c r="P9" s="19">
        <f>Inputs!P8</f>
        <v>116194</v>
      </c>
    </row>
    <row r="10" spans="1:16" x14ac:dyDescent="0.25">
      <c r="A10" s="12" t="str">
        <f>Inputs!A9</f>
        <v>Assets commissioned</v>
      </c>
      <c r="B10" s="16">
        <f>Inputs!B9</f>
        <v>2017</v>
      </c>
      <c r="C10" s="19">
        <f>Inputs!C9</f>
        <v>18955</v>
      </c>
      <c r="D10" s="19">
        <f>Inputs!D9</f>
        <v>18594.316697302329</v>
      </c>
      <c r="E10" s="19">
        <f>Inputs!E9</f>
        <v>1350</v>
      </c>
      <c r="F10" s="19">
        <f>Inputs!F9</f>
        <v>19679.42350999999</v>
      </c>
      <c r="G10" s="19">
        <f>Inputs!G9</f>
        <v>7723.9944199999982</v>
      </c>
      <c r="H10" s="19">
        <f>Inputs!H9</f>
        <v>4102.6145399999996</v>
      </c>
      <c r="I10" s="19">
        <f>Inputs!I9</f>
        <v>8348.779330000003</v>
      </c>
      <c r="J10" s="19">
        <f>Inputs!J9</f>
        <v>646.56188999999995</v>
      </c>
      <c r="K10" s="19">
        <f>Inputs!K9</f>
        <v>5612</v>
      </c>
      <c r="L10" s="19">
        <f>Inputs!L9</f>
        <v>14776.448753999999</v>
      </c>
      <c r="M10" s="19">
        <f>Inputs!M9</f>
        <v>9767</v>
      </c>
      <c r="N10" s="19">
        <f>Inputs!N9</f>
        <v>16729.61031</v>
      </c>
      <c r="O10" s="19">
        <f>Inputs!O9</f>
        <v>47961</v>
      </c>
      <c r="P10" s="19">
        <f>Inputs!P9</f>
        <v>249121</v>
      </c>
    </row>
    <row r="11" spans="1:16" x14ac:dyDescent="0.25">
      <c r="A11" s="12" t="str">
        <f>Inputs!A10</f>
        <v>Assets commissioned</v>
      </c>
      <c r="B11" s="16">
        <f>Inputs!B10</f>
        <v>2018</v>
      </c>
      <c r="C11" s="19">
        <f>Inputs!C10</f>
        <v>30906</v>
      </c>
      <c r="D11" s="19">
        <f>Inputs!D10</f>
        <v>50335.430605000001</v>
      </c>
      <c r="E11" s="19">
        <f>Inputs!E10</f>
        <v>1846</v>
      </c>
      <c r="F11" s="19">
        <f>Inputs!F10</f>
        <v>14920.593030000009</v>
      </c>
      <c r="G11" s="19">
        <f>Inputs!G10</f>
        <v>7061.1144199999999</v>
      </c>
      <c r="H11" s="19">
        <f>Inputs!H10</f>
        <v>5907.3</v>
      </c>
      <c r="I11" s="19">
        <f>Inputs!I10</f>
        <v>10143.50736</v>
      </c>
      <c r="J11" s="19">
        <f>Inputs!J10</f>
        <v>933.93456000000003</v>
      </c>
      <c r="K11" s="19">
        <f>Inputs!K10</f>
        <v>6386</v>
      </c>
      <c r="L11" s="19">
        <f>Inputs!L10</f>
        <v>12346.36680722554</v>
      </c>
      <c r="M11" s="19">
        <f>Inputs!M10</f>
        <v>12034.93281632254</v>
      </c>
      <c r="N11" s="19">
        <f>Inputs!N10</f>
        <v>19745.327750000011</v>
      </c>
      <c r="O11" s="19">
        <f>Inputs!O10</f>
        <v>27802</v>
      </c>
      <c r="P11" s="19">
        <f>Inputs!P10</f>
        <v>156889</v>
      </c>
    </row>
    <row r="12" spans="1:16" x14ac:dyDescent="0.25">
      <c r="A12" s="12" t="str">
        <f>Inputs!A11</f>
        <v>Assets commissioned</v>
      </c>
      <c r="B12" s="16">
        <f>Inputs!B11</f>
        <v>2019</v>
      </c>
      <c r="C12" s="19">
        <f>Inputs!C11</f>
        <v>17961.779926267081</v>
      </c>
      <c r="D12" s="19">
        <f>Inputs!D11</f>
        <v>63004.353999999992</v>
      </c>
      <c r="E12" s="19">
        <f>Inputs!E11</f>
        <v>5064</v>
      </c>
      <c r="F12" s="19">
        <f>Inputs!F11</f>
        <v>16375.665660000061</v>
      </c>
      <c r="G12" s="19">
        <f>Inputs!G11</f>
        <v>11755.60458000001</v>
      </c>
      <c r="H12" s="19">
        <f>Inputs!H11</f>
        <v>4533.37</v>
      </c>
      <c r="I12" s="19">
        <f>Inputs!I11</f>
        <v>12884.01</v>
      </c>
      <c r="J12" s="19">
        <f>Inputs!J11</f>
        <v>1659.3481999999999</v>
      </c>
      <c r="K12" s="19">
        <f>Inputs!K11</f>
        <v>6557</v>
      </c>
      <c r="L12" s="19">
        <f>Inputs!L11</f>
        <v>12936.768609999999</v>
      </c>
      <c r="M12" s="19">
        <f>Inputs!M11</f>
        <v>23462.783690000011</v>
      </c>
      <c r="N12" s="19">
        <f>Inputs!N11</f>
        <v>15378.413930000001</v>
      </c>
      <c r="O12" s="19">
        <f>Inputs!O11</f>
        <v>53881.408000000003</v>
      </c>
      <c r="P12" s="19">
        <f>Inputs!P11</f>
        <v>203460</v>
      </c>
    </row>
    <row r="13" spans="1:16" x14ac:dyDescent="0.25">
      <c r="A13" s="12"/>
      <c r="B13" s="1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x14ac:dyDescent="0.25">
      <c r="A14" s="12" t="str">
        <f>Inputs!A13</f>
        <v>Total depreciation</v>
      </c>
      <c r="B14" s="16">
        <f>Inputs!B13</f>
        <v>2015</v>
      </c>
      <c r="C14" s="19">
        <f>Inputs!C13</f>
        <v>9885</v>
      </c>
      <c r="D14" s="19">
        <f>Inputs!D13</f>
        <v>11818.393046159519</v>
      </c>
      <c r="E14" s="19">
        <f>Inputs!E13</f>
        <v>2694</v>
      </c>
      <c r="F14" s="19">
        <f>Inputs!F13</f>
        <v>7374.8213889701783</v>
      </c>
      <c r="G14" s="19">
        <f>Inputs!G13</f>
        <v>5147.6911944089916</v>
      </c>
      <c r="H14" s="19">
        <f>Inputs!H13</f>
        <v>2538.806</v>
      </c>
      <c r="I14" s="19">
        <f>Inputs!I13</f>
        <v>5001.3573500001276</v>
      </c>
      <c r="J14" s="19">
        <f>Inputs!J13</f>
        <v>1430</v>
      </c>
      <c r="K14" s="19">
        <f>Inputs!K13</f>
        <v>6778</v>
      </c>
      <c r="L14" s="19">
        <f>Inputs!L13</f>
        <v>6858</v>
      </c>
      <c r="M14" s="19">
        <f>Inputs!M13</f>
        <v>9265</v>
      </c>
      <c r="N14" s="19">
        <f>Inputs!N13</f>
        <v>8072.4515267208544</v>
      </c>
      <c r="O14" s="19">
        <f>Inputs!O13</f>
        <v>22846</v>
      </c>
      <c r="P14" s="19">
        <f>Inputs!P13</f>
        <v>92306</v>
      </c>
    </row>
    <row r="15" spans="1:16" x14ac:dyDescent="0.25">
      <c r="A15" s="12" t="str">
        <f>Inputs!A14</f>
        <v>Total depreciation</v>
      </c>
      <c r="B15" s="16">
        <f>Inputs!B14</f>
        <v>2016</v>
      </c>
      <c r="C15" s="19">
        <f>Inputs!C14</f>
        <v>9916</v>
      </c>
      <c r="D15" s="19">
        <f>Inputs!D14</f>
        <v>12221.64496297669</v>
      </c>
      <c r="E15" s="19">
        <f>Inputs!E14</f>
        <v>2741</v>
      </c>
      <c r="F15" s="19">
        <f>Inputs!F14</f>
        <v>7615.7137381859557</v>
      </c>
      <c r="G15" s="19">
        <f>Inputs!G14</f>
        <v>5666.9415069501229</v>
      </c>
      <c r="H15" s="19">
        <f>Inputs!H14</f>
        <v>2788.9450000000011</v>
      </c>
      <c r="I15" s="19">
        <f>Inputs!I14</f>
        <v>5526.4064300001664</v>
      </c>
      <c r="J15" s="19">
        <f>Inputs!J14</f>
        <v>1394.4691276117919</v>
      </c>
      <c r="K15" s="19">
        <f>Inputs!K14</f>
        <v>6937</v>
      </c>
      <c r="L15" s="19">
        <f>Inputs!L14</f>
        <v>7291</v>
      </c>
      <c r="M15" s="19">
        <f>Inputs!M14</f>
        <v>9113</v>
      </c>
      <c r="N15" s="19">
        <f>Inputs!N14</f>
        <v>8424.7932445566203</v>
      </c>
      <c r="O15" s="19">
        <f>Inputs!O14</f>
        <v>24802</v>
      </c>
      <c r="P15" s="19">
        <f>Inputs!P14</f>
        <v>94495</v>
      </c>
    </row>
    <row r="16" spans="1:16" x14ac:dyDescent="0.25">
      <c r="A16" s="12" t="str">
        <f>Inputs!A15</f>
        <v>Total depreciation</v>
      </c>
      <c r="B16" s="16">
        <f>Inputs!B15</f>
        <v>2017</v>
      </c>
      <c r="C16" s="19">
        <f>Inputs!C15</f>
        <v>10242</v>
      </c>
      <c r="D16" s="19">
        <f>Inputs!D15</f>
        <v>12762.40192126655</v>
      </c>
      <c r="E16" s="19">
        <f>Inputs!E15</f>
        <v>2783</v>
      </c>
      <c r="F16" s="19">
        <f>Inputs!F15</f>
        <v>8151.8366177310436</v>
      </c>
      <c r="G16" s="19">
        <f>Inputs!G15</f>
        <v>6307.2607589746167</v>
      </c>
      <c r="H16" s="19">
        <f>Inputs!H15</f>
        <v>2885.290536484104</v>
      </c>
      <c r="I16" s="19">
        <f>Inputs!I15</f>
        <v>5523.763199999973</v>
      </c>
      <c r="J16" s="19">
        <f>Inputs!J15</f>
        <v>1390.885537611792</v>
      </c>
      <c r="K16" s="19">
        <f>Inputs!K15</f>
        <v>6779</v>
      </c>
      <c r="L16" s="19">
        <f>Inputs!L15</f>
        <v>7495.5681657655568</v>
      </c>
      <c r="M16" s="19">
        <f>Inputs!M15</f>
        <v>8597</v>
      </c>
      <c r="N16" s="19">
        <f>Inputs!N15</f>
        <v>8307.3491690492501</v>
      </c>
      <c r="O16" s="19">
        <f>Inputs!O15</f>
        <v>25277</v>
      </c>
      <c r="P16" s="19">
        <f>Inputs!P15</f>
        <v>96289</v>
      </c>
    </row>
    <row r="17" spans="1:16" x14ac:dyDescent="0.25">
      <c r="A17" s="12" t="str">
        <f>Inputs!A16</f>
        <v>Total depreciation</v>
      </c>
      <c r="B17" s="16">
        <f>Inputs!B16</f>
        <v>2018</v>
      </c>
      <c r="C17" s="19">
        <f>Inputs!C16</f>
        <v>12244</v>
      </c>
      <c r="D17" s="19">
        <f>Inputs!D16</f>
        <v>13710.327053624949</v>
      </c>
      <c r="E17" s="19">
        <f>Inputs!E16</f>
        <v>2522</v>
      </c>
      <c r="F17" s="19">
        <f>Inputs!F16</f>
        <v>9240.2748848178653</v>
      </c>
      <c r="G17" s="19">
        <f>Inputs!G16</f>
        <v>5691.5284488785428</v>
      </c>
      <c r="H17" s="19">
        <f>Inputs!H16</f>
        <v>2924.6</v>
      </c>
      <c r="I17" s="19">
        <f>Inputs!I16</f>
        <v>5671.0581100000718</v>
      </c>
      <c r="J17" s="19">
        <f>Inputs!J16</f>
        <v>1425.6</v>
      </c>
      <c r="K17" s="19">
        <f>Inputs!K16</f>
        <v>6954</v>
      </c>
      <c r="L17" s="19">
        <f>Inputs!L16</f>
        <v>6647.0672446840663</v>
      </c>
      <c r="M17" s="19">
        <f>Inputs!M16</f>
        <v>8489.8754300000001</v>
      </c>
      <c r="N17" s="19">
        <f>Inputs!N16</f>
        <v>8681.2242204192535</v>
      </c>
      <c r="O17" s="19">
        <f>Inputs!O16</f>
        <v>26196</v>
      </c>
      <c r="P17" s="19">
        <f>Inputs!P16</f>
        <v>108316</v>
      </c>
    </row>
    <row r="18" spans="1:16" x14ac:dyDescent="0.25">
      <c r="A18" s="12" t="str">
        <f>Inputs!A17</f>
        <v>Total depreciation</v>
      </c>
      <c r="B18" s="16">
        <f>Inputs!B17</f>
        <v>2019</v>
      </c>
      <c r="C18" s="19">
        <f>Inputs!C17</f>
        <v>12793.13117340678</v>
      </c>
      <c r="D18" s="19">
        <f>Inputs!D17</f>
        <v>15058.02417019832</v>
      </c>
      <c r="E18" s="19">
        <f>Inputs!E17</f>
        <v>2033</v>
      </c>
      <c r="F18" s="19">
        <f>Inputs!F17</f>
        <v>9529.6230377798529</v>
      </c>
      <c r="G18" s="19">
        <f>Inputs!G17</f>
        <v>6088.9489571422637</v>
      </c>
      <c r="H18" s="19">
        <f>Inputs!H17</f>
        <v>3119.7714543870602</v>
      </c>
      <c r="I18" s="19">
        <f>Inputs!I17</f>
        <v>6456.2217299999993</v>
      </c>
      <c r="J18" s="19">
        <f>Inputs!J17</f>
        <v>1446.5562303904751</v>
      </c>
      <c r="K18" s="19">
        <f>Inputs!K17</f>
        <v>6807</v>
      </c>
      <c r="L18" s="19">
        <f>Inputs!L17</f>
        <v>7711.9157134074912</v>
      </c>
      <c r="M18" s="19">
        <f>Inputs!M17</f>
        <v>8412.1005965908771</v>
      </c>
      <c r="N18" s="19">
        <f>Inputs!N17</f>
        <v>9155.4759701400144</v>
      </c>
      <c r="O18" s="19">
        <f>Inputs!O17</f>
        <v>27555.254000000001</v>
      </c>
      <c r="P18" s="19">
        <f>Inputs!P17</f>
        <v>108729</v>
      </c>
    </row>
    <row r="19" spans="1:16" x14ac:dyDescent="0.25">
      <c r="A19" s="12"/>
      <c r="B19" s="1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5">
      <c r="A20" s="12" t="str">
        <f>Inputs!A19</f>
        <v>Total revaluations</v>
      </c>
      <c r="B20" s="16">
        <f>Inputs!B19</f>
        <v>2015</v>
      </c>
      <c r="C20" s="19">
        <f>Inputs!C19</f>
        <v>131</v>
      </c>
      <c r="D20" s="19">
        <f>Inputs!D19</f>
        <v>271.81289441837743</v>
      </c>
      <c r="E20" s="19">
        <f>Inputs!E19</f>
        <v>46</v>
      </c>
      <c r="F20" s="19">
        <f>Inputs!F19</f>
        <v>184.22194406968029</v>
      </c>
      <c r="G20" s="19">
        <f>Inputs!G19</f>
        <v>105.064263003166</v>
      </c>
      <c r="H20" s="19">
        <f>Inputs!H19</f>
        <v>53.943975671134623</v>
      </c>
      <c r="I20" s="19">
        <f>Inputs!I19</f>
        <v>92.649049522725633</v>
      </c>
      <c r="J20" s="19">
        <f>Inputs!J19</f>
        <v>35.404809470506947</v>
      </c>
      <c r="K20" s="19">
        <f>Inputs!K19</f>
        <v>130.13087248320619</v>
      </c>
      <c r="L20" s="19">
        <f>Inputs!L19</f>
        <v>122.8042349171966</v>
      </c>
      <c r="M20" s="19">
        <f>Inputs!M19</f>
        <v>147</v>
      </c>
      <c r="N20" s="19">
        <f>Inputs!N19</f>
        <v>167.20075503353749</v>
      </c>
      <c r="O20" s="19">
        <f>Inputs!O19</f>
        <v>434</v>
      </c>
      <c r="P20" s="19">
        <f>Inputs!P19</f>
        <v>6565</v>
      </c>
    </row>
    <row r="21" spans="1:16" x14ac:dyDescent="0.25">
      <c r="A21" s="12" t="str">
        <f>Inputs!A20</f>
        <v>Total revaluations</v>
      </c>
      <c r="B21" s="16">
        <f>Inputs!B20</f>
        <v>2016</v>
      </c>
      <c r="C21" s="19">
        <f>Inputs!C20</f>
        <v>963</v>
      </c>
      <c r="D21" s="19">
        <f>Inputs!D20</f>
        <v>1934.8533487702391</v>
      </c>
      <c r="E21" s="19">
        <f>Inputs!E20</f>
        <v>321</v>
      </c>
      <c r="F21" s="19">
        <f>Inputs!F20</f>
        <v>1323.7627585118839</v>
      </c>
      <c r="G21" s="19">
        <f>Inputs!G20</f>
        <v>814.86781818919621</v>
      </c>
      <c r="H21" s="19">
        <f>Inputs!H20</f>
        <v>434.99461197495799</v>
      </c>
      <c r="I21" s="19">
        <f>Inputs!I20</f>
        <v>663.05947480643113</v>
      </c>
      <c r="J21" s="19">
        <f>Inputs!J20</f>
        <v>244.49539016820231</v>
      </c>
      <c r="K21" s="19">
        <f>Inputs!K20</f>
        <v>947.75188600167576</v>
      </c>
      <c r="L21" s="19">
        <f>Inputs!L20</f>
        <v>959.50758149437877</v>
      </c>
      <c r="M21" s="19">
        <f>Inputs!M20</f>
        <v>1033</v>
      </c>
      <c r="N21" s="19">
        <f>Inputs!N20</f>
        <v>1267.8767357494371</v>
      </c>
      <c r="O21" s="19">
        <f>Inputs!O20</f>
        <v>3129</v>
      </c>
      <c r="P21" s="19">
        <f>Inputs!P20</f>
        <v>11077</v>
      </c>
    </row>
    <row r="22" spans="1:16" ht="16.5" customHeight="1" x14ac:dyDescent="0.25">
      <c r="A22" s="12" t="str">
        <f>Inputs!A21</f>
        <v>Total revaluations</v>
      </c>
      <c r="B22" s="16">
        <f>Inputs!B21</f>
        <v>2017</v>
      </c>
      <c r="C22" s="19">
        <f>Inputs!C21</f>
        <v>3611</v>
      </c>
      <c r="D22" s="19">
        <f>Inputs!D21</f>
        <v>7365.3040184405636</v>
      </c>
      <c r="E22" s="19">
        <f>Inputs!E21</f>
        <v>1179</v>
      </c>
      <c r="F22" s="19">
        <f>Inputs!F21</f>
        <v>5072.2428862614252</v>
      </c>
      <c r="G22" s="19">
        <f>Inputs!G21</f>
        <v>3019.8554493347528</v>
      </c>
      <c r="H22" s="19">
        <f>Inputs!H21</f>
        <v>1676.4586802536601</v>
      </c>
      <c r="I22" s="19">
        <f>Inputs!I21</f>
        <v>2480.4070408828338</v>
      </c>
      <c r="J22" s="19">
        <f>Inputs!J21</f>
        <v>890.48986259554658</v>
      </c>
      <c r="K22" s="19">
        <f>Inputs!K21</f>
        <v>3531</v>
      </c>
      <c r="L22" s="19">
        <f>Inputs!L21</f>
        <v>3641.0618312102679</v>
      </c>
      <c r="M22" s="19">
        <f>Inputs!M21</f>
        <v>3872.9567609594801</v>
      </c>
      <c r="N22" s="19">
        <f>Inputs!N21</f>
        <v>4863.6584899935951</v>
      </c>
      <c r="O22" s="19">
        <f>Inputs!O21</f>
        <v>11807</v>
      </c>
      <c r="P22" s="19">
        <f>Inputs!P21</f>
        <v>57761</v>
      </c>
    </row>
    <row r="23" spans="1:16" x14ac:dyDescent="0.25">
      <c r="A23" s="12" t="str">
        <f>Inputs!A22</f>
        <v>Total revaluations</v>
      </c>
      <c r="B23" s="16">
        <f>Inputs!B22</f>
        <v>2018</v>
      </c>
      <c r="C23" s="19">
        <f>Inputs!C22</f>
        <v>1969</v>
      </c>
      <c r="D23" s="19">
        <f>Inputs!D22</f>
        <v>3878.207090756755</v>
      </c>
      <c r="E23" s="19">
        <f>Inputs!E22</f>
        <v>595</v>
      </c>
      <c r="F23" s="19">
        <f>Inputs!F22</f>
        <v>2755.8954689916618</v>
      </c>
      <c r="G23" s="19">
        <f>Inputs!G22</f>
        <v>1665.2926925667</v>
      </c>
      <c r="H23" s="19">
        <f>Inputs!H22</f>
        <v>882.14145807497812</v>
      </c>
      <c r="I23" s="19">
        <f>Inputs!I22</f>
        <v>1308.8434002556619</v>
      </c>
      <c r="J23" s="19">
        <f>Inputs!J22</f>
        <v>453.7026816825549</v>
      </c>
      <c r="K23" s="19">
        <f>Inputs!K22</f>
        <v>1808</v>
      </c>
      <c r="L23" s="19">
        <f>Inputs!L22</f>
        <v>1966.9555048335681</v>
      </c>
      <c r="M23" s="19">
        <f>Inputs!M22</f>
        <v>2012.8433241505361</v>
      </c>
      <c r="N23" s="19">
        <f>Inputs!N22</f>
        <v>2615.89276909203</v>
      </c>
      <c r="O23" s="19">
        <f>Inputs!O22</f>
        <v>6329</v>
      </c>
      <c r="P23" s="19">
        <f>Inputs!P22</f>
        <v>31561</v>
      </c>
    </row>
    <row r="24" spans="1:16" x14ac:dyDescent="0.25">
      <c r="A24" s="12" t="str">
        <f>Inputs!A23</f>
        <v>Total revaluations</v>
      </c>
      <c r="B24" s="16">
        <f>Inputs!B23</f>
        <v>2019</v>
      </c>
      <c r="C24" s="19">
        <f>Inputs!C23</f>
        <v>2961.735905044502</v>
      </c>
      <c r="D24" s="19">
        <f>Inputs!D23</f>
        <v>5823.7153854601984</v>
      </c>
      <c r="E24" s="19">
        <f>Inputs!E23</f>
        <v>795.40059347180784</v>
      </c>
      <c r="F24" s="19">
        <f>Inputs!F23</f>
        <v>3831.325299843144</v>
      </c>
      <c r="G24" s="19">
        <f>Inputs!G23</f>
        <v>2287.7923716617138</v>
      </c>
      <c r="H24" s="19">
        <f>Inputs!H23</f>
        <v>1245.0164928643301</v>
      </c>
      <c r="I24" s="19">
        <f>Inputs!I23</f>
        <v>1850.5004143565391</v>
      </c>
      <c r="J24" s="19">
        <f>Inputs!J23</f>
        <v>609.95522213686763</v>
      </c>
      <c r="K24" s="19">
        <f>Inputs!K23</f>
        <v>2452.4035608308541</v>
      </c>
      <c r="L24" s="19">
        <f>Inputs!L23</f>
        <v>2765.756410168447</v>
      </c>
      <c r="M24" s="19">
        <f>Inputs!M23</f>
        <v>2794.0162540700589</v>
      </c>
      <c r="N24" s="19">
        <f>Inputs!N23</f>
        <v>3731.2783531992459</v>
      </c>
      <c r="O24" s="19">
        <f>Inputs!O23</f>
        <v>8641.9732937685203</v>
      </c>
      <c r="P24" s="19">
        <f>Inputs!P23</f>
        <v>44091.223180721063</v>
      </c>
    </row>
    <row r="25" spans="1:16" x14ac:dyDescent="0.25">
      <c r="A25" s="12"/>
      <c r="B25" s="1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25">
      <c r="A26" s="12" t="str">
        <f>Inputs!A25</f>
        <v>Asset disposals</v>
      </c>
      <c r="B26" s="16">
        <f>Inputs!B25</f>
        <v>2015</v>
      </c>
      <c r="C26" s="19">
        <f>Inputs!C25</f>
        <v>225</v>
      </c>
      <c r="D26" s="19">
        <f>Inputs!D25</f>
        <v>0</v>
      </c>
      <c r="E26" s="19">
        <f>Inputs!E25</f>
        <v>0</v>
      </c>
      <c r="F26" s="19">
        <f>Inputs!F25</f>
        <v>815.05219443856549</v>
      </c>
      <c r="G26" s="19">
        <f>Inputs!G25</f>
        <v>7.6306751465664098</v>
      </c>
      <c r="H26" s="19">
        <f>Inputs!H25</f>
        <v>73.459000000000003</v>
      </c>
      <c r="I26" s="19">
        <f>Inputs!I25</f>
        <v>158.232034935</v>
      </c>
      <c r="J26" s="19">
        <f>Inputs!J25</f>
        <v>232</v>
      </c>
      <c r="K26" s="19">
        <f>Inputs!K25</f>
        <v>541</v>
      </c>
      <c r="L26" s="19">
        <f>Inputs!L25</f>
        <v>879.7</v>
      </c>
      <c r="M26" s="19">
        <f>Inputs!M25</f>
        <v>317</v>
      </c>
      <c r="N26" s="19">
        <f>Inputs!N25</f>
        <v>54.571150000000003</v>
      </c>
      <c r="O26" s="19">
        <f>Inputs!O25</f>
        <v>3565</v>
      </c>
      <c r="P26" s="19">
        <f>Inputs!P25</f>
        <v>9358</v>
      </c>
    </row>
    <row r="27" spans="1:16" x14ac:dyDescent="0.25">
      <c r="A27" s="12" t="str">
        <f>Inputs!A26</f>
        <v>Asset disposals</v>
      </c>
      <c r="B27" s="16">
        <f>Inputs!B26</f>
        <v>2016</v>
      </c>
      <c r="C27" s="19">
        <f>Inputs!C26</f>
        <v>87</v>
      </c>
      <c r="D27" s="19">
        <f>Inputs!D26</f>
        <v>0</v>
      </c>
      <c r="E27" s="19">
        <f>Inputs!E26</f>
        <v>26</v>
      </c>
      <c r="F27" s="19">
        <f>Inputs!F26</f>
        <v>647.22364464960526</v>
      </c>
      <c r="G27" s="19">
        <f>Inputs!G26</f>
        <v>88.598694976649654</v>
      </c>
      <c r="H27" s="19">
        <f>Inputs!H26</f>
        <v>36.01</v>
      </c>
      <c r="I27" s="19">
        <f>Inputs!I26</f>
        <v>51.112439999999999</v>
      </c>
      <c r="J27" s="19">
        <f>Inputs!J26</f>
        <v>0</v>
      </c>
      <c r="K27" s="19">
        <f>Inputs!K26</f>
        <v>506</v>
      </c>
      <c r="L27" s="19">
        <f>Inputs!L26</f>
        <v>64.8</v>
      </c>
      <c r="M27" s="19">
        <f>Inputs!M26</f>
        <v>429</v>
      </c>
      <c r="N27" s="19">
        <f>Inputs!N26</f>
        <v>30.972807012987008</v>
      </c>
      <c r="O27" s="19">
        <f>Inputs!O26</f>
        <v>2815</v>
      </c>
      <c r="P27" s="19">
        <f>Inputs!P26</f>
        <v>11139</v>
      </c>
    </row>
    <row r="28" spans="1:16" x14ac:dyDescent="0.25">
      <c r="A28" s="12" t="str">
        <f>Inputs!A27</f>
        <v>Asset disposals</v>
      </c>
      <c r="B28" s="16">
        <f>Inputs!B27</f>
        <v>2017</v>
      </c>
      <c r="C28" s="19">
        <f>Inputs!C27</f>
        <v>306</v>
      </c>
      <c r="D28" s="19">
        <f>Inputs!D27</f>
        <v>0</v>
      </c>
      <c r="E28" s="19">
        <f>Inputs!E27</f>
        <v>23</v>
      </c>
      <c r="F28" s="19">
        <f>Inputs!F27</f>
        <v>2716.5805831725402</v>
      </c>
      <c r="G28" s="19">
        <f>Inputs!G27</f>
        <v>313.22669437409257</v>
      </c>
      <c r="H28" s="19">
        <f>Inputs!H27</f>
        <v>268.67522063245798</v>
      </c>
      <c r="I28" s="19">
        <f>Inputs!I27</f>
        <v>316.00474177500001</v>
      </c>
      <c r="J28" s="19">
        <f>Inputs!J27</f>
        <v>0</v>
      </c>
      <c r="K28" s="19">
        <f>Inputs!K27</f>
        <v>825</v>
      </c>
      <c r="L28" s="19">
        <f>Inputs!L27</f>
        <v>172.68640568035181</v>
      </c>
      <c r="M28" s="19">
        <f>Inputs!M27</f>
        <v>458</v>
      </c>
      <c r="N28" s="19">
        <f>Inputs!N27</f>
        <v>7.2685700000000004</v>
      </c>
      <c r="O28" s="19">
        <f>Inputs!O27</f>
        <v>1493</v>
      </c>
      <c r="P28" s="19">
        <f>Inputs!P27</f>
        <v>15950</v>
      </c>
    </row>
    <row r="29" spans="1:16" x14ac:dyDescent="0.25">
      <c r="A29" s="12" t="str">
        <f>Inputs!A28</f>
        <v>Asset disposals</v>
      </c>
      <c r="B29" s="16">
        <f>Inputs!B28</f>
        <v>2018</v>
      </c>
      <c r="C29" s="19">
        <f>Inputs!C28</f>
        <v>0</v>
      </c>
      <c r="D29" s="19">
        <f>Inputs!D28</f>
        <v>570.04600000000005</v>
      </c>
      <c r="E29" s="19">
        <f>Inputs!E28</f>
        <v>49</v>
      </c>
      <c r="F29" s="19">
        <f>Inputs!F28</f>
        <v>218.0739880984838</v>
      </c>
      <c r="G29" s="19">
        <f>Inputs!G28</f>
        <v>288.911</v>
      </c>
      <c r="H29" s="19">
        <f>Inputs!H28</f>
        <v>85</v>
      </c>
      <c r="I29" s="19">
        <f>Inputs!I28</f>
        <v>677.53088499999956</v>
      </c>
      <c r="J29" s="19">
        <f>Inputs!J28</f>
        <v>96.97144366289362</v>
      </c>
      <c r="K29" s="19">
        <f>Inputs!K28</f>
        <v>355</v>
      </c>
      <c r="L29" s="19">
        <f>Inputs!L28</f>
        <v>156.98670756448891</v>
      </c>
      <c r="M29" s="19">
        <f>Inputs!M28</f>
        <v>878.50592999999992</v>
      </c>
      <c r="N29" s="19">
        <f>Inputs!N28</f>
        <v>21.5</v>
      </c>
      <c r="O29" s="19">
        <f>Inputs!O28</f>
        <v>2831</v>
      </c>
      <c r="P29" s="19">
        <f>Inputs!P28</f>
        <v>7540</v>
      </c>
    </row>
    <row r="30" spans="1:16" x14ac:dyDescent="0.25">
      <c r="A30" s="12" t="str">
        <f>Inputs!A29</f>
        <v>Asset disposals</v>
      </c>
      <c r="B30" s="16">
        <f>Inputs!B29</f>
        <v>2019</v>
      </c>
      <c r="C30" s="19">
        <f>Inputs!C29</f>
        <v>0</v>
      </c>
      <c r="D30" s="19">
        <f>Inputs!D29</f>
        <v>853.06700000000001</v>
      </c>
      <c r="E30" s="19">
        <f>Inputs!E29</f>
        <v>38</v>
      </c>
      <c r="F30" s="19">
        <f>Inputs!F29</f>
        <v>773.18725158335349</v>
      </c>
      <c r="G30" s="19">
        <f>Inputs!G29</f>
        <v>162.02709496968251</v>
      </c>
      <c r="H30" s="19">
        <f>Inputs!H29</f>
        <v>125.5172148877932</v>
      </c>
      <c r="I30" s="19">
        <f>Inputs!I29</f>
        <v>142.4</v>
      </c>
      <c r="J30" s="19">
        <f>Inputs!J29</f>
        <v>0</v>
      </c>
      <c r="K30" s="19">
        <f>Inputs!K29</f>
        <v>393</v>
      </c>
      <c r="L30" s="19">
        <f>Inputs!L29</f>
        <v>79.501966691335895</v>
      </c>
      <c r="M30" s="19">
        <f>Inputs!M29</f>
        <v>346.58528799999999</v>
      </c>
      <c r="N30" s="19">
        <f>Inputs!N29</f>
        <v>15.95</v>
      </c>
      <c r="O30" s="19">
        <f>Inputs!O29</f>
        <v>1812</v>
      </c>
      <c r="P30" s="19">
        <f>Inputs!P29</f>
        <v>7412</v>
      </c>
    </row>
    <row r="31" spans="1:16" x14ac:dyDescent="0.25">
      <c r="A31" s="12"/>
      <c r="B31" s="16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x14ac:dyDescent="0.25">
      <c r="A32" s="12" t="str">
        <f>Inputs!A31</f>
        <v>Adjustment resulting from asset allocation</v>
      </c>
      <c r="B32" s="16">
        <f>Inputs!B31</f>
        <v>2015</v>
      </c>
      <c r="C32" s="19">
        <f>Inputs!C31</f>
        <v>0</v>
      </c>
      <c r="D32" s="19">
        <f>Inputs!D31</f>
        <v>0</v>
      </c>
      <c r="E32" s="19">
        <f>Inputs!E31</f>
        <v>0</v>
      </c>
      <c r="F32" s="19">
        <f>Inputs!F31</f>
        <v>0</v>
      </c>
      <c r="G32" s="19">
        <f>Inputs!G31</f>
        <v>0</v>
      </c>
      <c r="H32" s="19">
        <f>Inputs!H31</f>
        <v>0</v>
      </c>
      <c r="I32" s="19">
        <f>Inputs!I31</f>
        <v>-5.4895254870644004E-3</v>
      </c>
      <c r="J32" s="19">
        <f>Inputs!J31</f>
        <v>0</v>
      </c>
      <c r="K32" s="19">
        <f>Inputs!K31</f>
        <v>-0.13087248321971859</v>
      </c>
      <c r="L32" s="19">
        <f>Inputs!L31</f>
        <v>-0.1528672619606368</v>
      </c>
      <c r="M32" s="19">
        <f>Inputs!M31</f>
        <v>0</v>
      </c>
      <c r="N32" s="19">
        <f>Inputs!N31</f>
        <v>-0.3522242532344535</v>
      </c>
      <c r="O32" s="19">
        <f>Inputs!O31</f>
        <v>0</v>
      </c>
      <c r="P32" s="19">
        <f>Inputs!P31</f>
        <v>-195</v>
      </c>
    </row>
    <row r="33" spans="1:16" x14ac:dyDescent="0.25">
      <c r="A33" s="12" t="str">
        <f>Inputs!A32</f>
        <v>Adjustment resulting from asset allocation</v>
      </c>
      <c r="B33" s="16">
        <f>Inputs!B32</f>
        <v>2016</v>
      </c>
      <c r="C33" s="19">
        <f>Inputs!C32</f>
        <v>0</v>
      </c>
      <c r="D33" s="19">
        <f>Inputs!D32</f>
        <v>0</v>
      </c>
      <c r="E33" s="19">
        <f>Inputs!E32</f>
        <v>0</v>
      </c>
      <c r="F33" s="19">
        <f>Inputs!F32</f>
        <v>-2.7209907770156899E-2</v>
      </c>
      <c r="G33" s="19">
        <f>Inputs!G32</f>
        <v>0</v>
      </c>
      <c r="H33" s="19">
        <f>Inputs!H32</f>
        <v>0</v>
      </c>
      <c r="I33" s="19">
        <f>Inputs!I32</f>
        <v>1.6065197531133901E-2</v>
      </c>
      <c r="J33" s="19">
        <f>Inputs!J32</f>
        <v>0</v>
      </c>
      <c r="K33" s="19">
        <f>Inputs!K32</f>
        <v>0.24811399832833561</v>
      </c>
      <c r="L33" s="19">
        <f>Inputs!L32</f>
        <v>0.31602953493711539</v>
      </c>
      <c r="M33" s="19">
        <f>Inputs!M32</f>
        <v>0</v>
      </c>
      <c r="N33" s="19">
        <f>Inputs!N32</f>
        <v>-0.25745458126184501</v>
      </c>
      <c r="O33" s="19">
        <f>Inputs!O32</f>
        <v>0</v>
      </c>
      <c r="P33" s="19">
        <f>Inputs!P32</f>
        <v>-34</v>
      </c>
    </row>
    <row r="34" spans="1:16" x14ac:dyDescent="0.25">
      <c r="A34" s="12" t="str">
        <f>Inputs!A33</f>
        <v>Adjustment resulting from asset allocation</v>
      </c>
      <c r="B34" s="16">
        <f>Inputs!B33</f>
        <v>2017</v>
      </c>
      <c r="C34" s="19">
        <f>Inputs!C33</f>
        <v>0</v>
      </c>
      <c r="D34" s="19">
        <f>Inputs!D33</f>
        <v>0</v>
      </c>
      <c r="E34" s="19">
        <f>Inputs!E33</f>
        <v>0</v>
      </c>
      <c r="F34" s="19">
        <f>Inputs!F33</f>
        <v>-7.8642939828569097E-2</v>
      </c>
      <c r="G34" s="19">
        <f>Inputs!G33</f>
        <v>7157.9974654802936</v>
      </c>
      <c r="H34" s="19">
        <f>Inputs!H33</f>
        <v>0</v>
      </c>
      <c r="I34" s="19">
        <f>Inputs!I33</f>
        <v>-1.3150883896742E-2</v>
      </c>
      <c r="J34" s="19">
        <f>Inputs!J33</f>
        <v>0</v>
      </c>
      <c r="K34" s="19">
        <f>Inputs!K33</f>
        <v>0</v>
      </c>
      <c r="L34" s="19">
        <f>Inputs!L33</f>
        <v>-0.21650314659927969</v>
      </c>
      <c r="M34" s="19">
        <f>Inputs!M33</f>
        <v>0</v>
      </c>
      <c r="N34" s="19">
        <f>Inputs!N33</f>
        <v>0.39026633076719008</v>
      </c>
      <c r="O34" s="19">
        <f>Inputs!O33</f>
        <v>0</v>
      </c>
      <c r="P34" s="19">
        <f>Inputs!P33</f>
        <v>2095</v>
      </c>
    </row>
    <row r="35" spans="1:16" x14ac:dyDescent="0.25">
      <c r="A35" s="12" t="str">
        <f>Inputs!A34</f>
        <v>Adjustment resulting from asset allocation</v>
      </c>
      <c r="B35" s="16">
        <f>Inputs!B34</f>
        <v>2018</v>
      </c>
      <c r="C35" s="19">
        <f>Inputs!C34</f>
        <v>0</v>
      </c>
      <c r="D35" s="19">
        <f>Inputs!D34</f>
        <v>0</v>
      </c>
      <c r="E35" s="19">
        <f>Inputs!E34</f>
        <v>0</v>
      </c>
      <c r="F35" s="19">
        <f>Inputs!F34</f>
        <v>-8.4630982019010003E-4</v>
      </c>
      <c r="G35" s="19">
        <f>Inputs!G34</f>
        <v>-9.3978975201029996E-4</v>
      </c>
      <c r="H35" s="19">
        <f>Inputs!H34</f>
        <v>0</v>
      </c>
      <c r="I35" s="19">
        <f>Inputs!I34</f>
        <v>9.0797437296714998E-3</v>
      </c>
      <c r="J35" s="19">
        <f>Inputs!J34</f>
        <v>0.21783922723261639</v>
      </c>
      <c r="K35" s="19">
        <f>Inputs!K34</f>
        <v>0</v>
      </c>
      <c r="L35" s="19">
        <f>Inputs!L34</f>
        <v>-0.24785838313982819</v>
      </c>
      <c r="M35" s="19">
        <f>Inputs!M34</f>
        <v>0.18705489000421949</v>
      </c>
      <c r="N35" s="19">
        <f>Inputs!N34</f>
        <v>-0.26884686591802159</v>
      </c>
      <c r="O35" s="19">
        <f>Inputs!O34</f>
        <v>0</v>
      </c>
      <c r="P35" s="19">
        <f>Inputs!P34</f>
        <v>-14</v>
      </c>
    </row>
    <row r="36" spans="1:16" x14ac:dyDescent="0.25">
      <c r="A36" s="12" t="str">
        <f>Inputs!A35</f>
        <v>Adjustment resulting from asset allocation</v>
      </c>
      <c r="B36" s="16">
        <f>Inputs!B35</f>
        <v>2019</v>
      </c>
      <c r="C36" s="19">
        <f>Inputs!C35</f>
        <v>-6256.8408686908369</v>
      </c>
      <c r="D36" s="19">
        <f>Inputs!D35</f>
        <v>-4.3104263022539999E-4</v>
      </c>
      <c r="E36" s="19">
        <f>Inputs!E35</f>
        <v>-0.40059347180795157</v>
      </c>
      <c r="F36" s="19">
        <f>Inputs!F35</f>
        <v>-816.01699579932028</v>
      </c>
      <c r="G36" s="19">
        <f>Inputs!G35</f>
        <v>-728.07452844068757</v>
      </c>
      <c r="H36" s="19">
        <f>Inputs!H35</f>
        <v>0.20348141195427161</v>
      </c>
      <c r="I36" s="19">
        <f>Inputs!I35</f>
        <v>4.2208597355056603E-2</v>
      </c>
      <c r="J36" s="19">
        <f>Inputs!J35</f>
        <v>0</v>
      </c>
      <c r="K36" s="19">
        <f>Inputs!K35</f>
        <v>-1859.403560830862</v>
      </c>
      <c r="L36" s="19">
        <f>Inputs!L35</f>
        <v>-0.18190025610965679</v>
      </c>
      <c r="M36" s="19">
        <f>Inputs!M35</f>
        <v>-0.21524407007382251</v>
      </c>
      <c r="N36" s="19">
        <f>Inputs!N35</f>
        <v>-0.28077667497564113</v>
      </c>
      <c r="O36" s="19">
        <f>Inputs!O35</f>
        <v>694.2027062313864</v>
      </c>
      <c r="P36" s="19">
        <f>Inputs!P35</f>
        <v>-7655.2231807210483</v>
      </c>
    </row>
    <row r="37" spans="1:16" x14ac:dyDescent="0.25">
      <c r="A37" s="12"/>
      <c r="B37" s="1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x14ac:dyDescent="0.25">
      <c r="A38" s="12" t="str">
        <f>Inputs!A37</f>
        <v>Lost and found assets adjustment</v>
      </c>
      <c r="B38" s="16">
        <f>Inputs!B37</f>
        <v>2015</v>
      </c>
      <c r="C38" s="19">
        <f>Inputs!C37</f>
        <v>817</v>
      </c>
      <c r="D38" s="19">
        <f>Inputs!D37</f>
        <v>0</v>
      </c>
      <c r="E38" s="19">
        <f>Inputs!E37</f>
        <v>0</v>
      </c>
      <c r="F38" s="19">
        <f>Inputs!F37</f>
        <v>0</v>
      </c>
      <c r="G38" s="19">
        <f>Inputs!G37</f>
        <v>0</v>
      </c>
      <c r="H38" s="19">
        <f>Inputs!H37</f>
        <v>0</v>
      </c>
      <c r="I38" s="19">
        <f>Inputs!I37</f>
        <v>0</v>
      </c>
      <c r="J38" s="19">
        <f>Inputs!J37</f>
        <v>0</v>
      </c>
      <c r="K38" s="19">
        <f>Inputs!K37</f>
        <v>0</v>
      </c>
      <c r="L38" s="19">
        <f>Inputs!L37</f>
        <v>0</v>
      </c>
      <c r="M38" s="19">
        <f>Inputs!M37</f>
        <v>0</v>
      </c>
      <c r="N38" s="19">
        <f>Inputs!N37</f>
        <v>0</v>
      </c>
      <c r="O38" s="19">
        <f>Inputs!O37</f>
        <v>0</v>
      </c>
      <c r="P38" s="19">
        <f>Inputs!P37</f>
        <v>0</v>
      </c>
    </row>
    <row r="39" spans="1:16" x14ac:dyDescent="0.25">
      <c r="A39" s="12" t="str">
        <f>Inputs!A38</f>
        <v>Lost and found assets adjustment</v>
      </c>
      <c r="B39" s="16">
        <f>Inputs!B38</f>
        <v>2016</v>
      </c>
      <c r="C39" s="19">
        <f>Inputs!C38</f>
        <v>-2166</v>
      </c>
      <c r="D39" s="19">
        <f>Inputs!D38</f>
        <v>0</v>
      </c>
      <c r="E39" s="19">
        <f>Inputs!E38</f>
        <v>0</v>
      </c>
      <c r="F39" s="19">
        <f>Inputs!F38</f>
        <v>0</v>
      </c>
      <c r="G39" s="19">
        <f>Inputs!G38</f>
        <v>0</v>
      </c>
      <c r="H39" s="19">
        <f>Inputs!H38</f>
        <v>0</v>
      </c>
      <c r="I39" s="19">
        <f>Inputs!I38</f>
        <v>0</v>
      </c>
      <c r="J39" s="19">
        <f>Inputs!J38</f>
        <v>0</v>
      </c>
      <c r="K39" s="19">
        <f>Inputs!K38</f>
        <v>0</v>
      </c>
      <c r="L39" s="19">
        <f>Inputs!L38</f>
        <v>0</v>
      </c>
      <c r="M39" s="19">
        <f>Inputs!M38</f>
        <v>0</v>
      </c>
      <c r="N39" s="19">
        <f>Inputs!N38</f>
        <v>0</v>
      </c>
      <c r="O39" s="19">
        <f>Inputs!O38</f>
        <v>0</v>
      </c>
      <c r="P39" s="19">
        <f>Inputs!P38</f>
        <v>0</v>
      </c>
    </row>
    <row r="40" spans="1:16" x14ac:dyDescent="0.25">
      <c r="A40" s="12" t="str">
        <f>Inputs!A39</f>
        <v>Lost and found assets adjustment</v>
      </c>
      <c r="B40" s="16">
        <f>Inputs!B39</f>
        <v>2017</v>
      </c>
      <c r="C40" s="19">
        <f>Inputs!C39</f>
        <v>0</v>
      </c>
      <c r="D40" s="19">
        <f>Inputs!D39</f>
        <v>0</v>
      </c>
      <c r="E40" s="19">
        <f>Inputs!E39</f>
        <v>0</v>
      </c>
      <c r="F40" s="19">
        <f>Inputs!F39</f>
        <v>0</v>
      </c>
      <c r="G40" s="19">
        <f>Inputs!G39</f>
        <v>0</v>
      </c>
      <c r="H40" s="19">
        <f>Inputs!H39</f>
        <v>0</v>
      </c>
      <c r="I40" s="19">
        <f>Inputs!I39</f>
        <v>0</v>
      </c>
      <c r="J40" s="19">
        <f>Inputs!J39</f>
        <v>0</v>
      </c>
      <c r="K40" s="19">
        <f>Inputs!K39</f>
        <v>0</v>
      </c>
      <c r="L40" s="19">
        <f>Inputs!L39</f>
        <v>0</v>
      </c>
      <c r="M40" s="19">
        <f>Inputs!M39</f>
        <v>0</v>
      </c>
      <c r="N40" s="19">
        <f>Inputs!N39</f>
        <v>0</v>
      </c>
      <c r="O40" s="19">
        <f>Inputs!O39</f>
        <v>139</v>
      </c>
      <c r="P40" s="19">
        <f>Inputs!P39</f>
        <v>0</v>
      </c>
    </row>
    <row r="41" spans="1:16" x14ac:dyDescent="0.25">
      <c r="A41" s="12" t="str">
        <f>Inputs!A40</f>
        <v>Lost and found assets adjustment</v>
      </c>
      <c r="B41" s="16">
        <f>Inputs!B40</f>
        <v>2018</v>
      </c>
      <c r="C41" s="19">
        <f>Inputs!C40</f>
        <v>0</v>
      </c>
      <c r="D41" s="19">
        <f>Inputs!D40</f>
        <v>0</v>
      </c>
      <c r="E41" s="19">
        <f>Inputs!E40</f>
        <v>-7</v>
      </c>
      <c r="F41" s="19">
        <f>Inputs!F40</f>
        <v>0</v>
      </c>
      <c r="G41" s="19">
        <f>Inputs!G40</f>
        <v>0</v>
      </c>
      <c r="H41" s="19">
        <f>Inputs!H40</f>
        <v>0</v>
      </c>
      <c r="I41" s="19">
        <f>Inputs!I40</f>
        <v>0</v>
      </c>
      <c r="J41" s="19">
        <f>Inputs!J40</f>
        <v>0</v>
      </c>
      <c r="K41" s="19">
        <f>Inputs!K40</f>
        <v>0</v>
      </c>
      <c r="L41" s="19">
        <f>Inputs!L40</f>
        <v>0</v>
      </c>
      <c r="M41" s="19">
        <f>Inputs!M40</f>
        <v>0</v>
      </c>
      <c r="N41" s="19">
        <f>Inputs!N40</f>
        <v>0</v>
      </c>
      <c r="O41" s="19">
        <f>Inputs!O40</f>
        <v>-44</v>
      </c>
      <c r="P41" s="19">
        <f>Inputs!P40</f>
        <v>0</v>
      </c>
    </row>
    <row r="42" spans="1:16" x14ac:dyDescent="0.25">
      <c r="A42" s="12" t="str">
        <f>Inputs!A41</f>
        <v>Lost and found assets adjustment</v>
      </c>
      <c r="B42" s="16">
        <f>Inputs!B41</f>
        <v>2019</v>
      </c>
      <c r="C42" s="19">
        <f>Inputs!C41</f>
        <v>0</v>
      </c>
      <c r="D42" s="19">
        <f>Inputs!D41</f>
        <v>0</v>
      </c>
      <c r="E42" s="19">
        <f>Inputs!E41</f>
        <v>47</v>
      </c>
      <c r="F42" s="19">
        <f>Inputs!F41</f>
        <v>0</v>
      </c>
      <c r="G42" s="19">
        <f>Inputs!G41</f>
        <v>0</v>
      </c>
      <c r="H42" s="19">
        <f>Inputs!H41</f>
        <v>0</v>
      </c>
      <c r="I42" s="19">
        <f>Inputs!I41</f>
        <v>0</v>
      </c>
      <c r="J42" s="19">
        <f>Inputs!J41</f>
        <v>0</v>
      </c>
      <c r="K42" s="19">
        <f>Inputs!K41</f>
        <v>0</v>
      </c>
      <c r="L42" s="19">
        <f>Inputs!L41</f>
        <v>0</v>
      </c>
      <c r="M42" s="19">
        <f>Inputs!M41</f>
        <v>0</v>
      </c>
      <c r="N42" s="19">
        <f>Inputs!N41</f>
        <v>0</v>
      </c>
      <c r="O42" s="19">
        <f>Inputs!O41</f>
        <v>0</v>
      </c>
      <c r="P42" s="19">
        <f>Inputs!P41</f>
        <v>0</v>
      </c>
    </row>
    <row r="43" spans="1:16" x14ac:dyDescent="0.25">
      <c r="A43" s="12"/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x14ac:dyDescent="0.25">
      <c r="A44" s="12" t="str">
        <f>Inputs!A43</f>
        <v>Total closing RAB value</v>
      </c>
      <c r="B44" s="16">
        <f>Inputs!B43</f>
        <v>2019</v>
      </c>
      <c r="C44" s="19">
        <f>Inputs!C43</f>
        <v>201494.54378921399</v>
      </c>
      <c r="D44" s="19">
        <f>Inputs!D43</f>
        <v>447072.18120423768</v>
      </c>
      <c r="E44" s="19">
        <f>Inputs!E43</f>
        <v>57848</v>
      </c>
      <c r="F44" s="19">
        <f>Inputs!F43</f>
        <v>268447.16463339521</v>
      </c>
      <c r="G44" s="19">
        <f>Inputs!G43</f>
        <v>161677.5522211091</v>
      </c>
      <c r="H44" s="19">
        <f>Inputs!H43</f>
        <v>86604.996813859601</v>
      </c>
      <c r="I44" s="19">
        <f>Inputs!I43</f>
        <v>133085.9</v>
      </c>
      <c r="J44" s="19">
        <f>Inputs!J43</f>
        <v>41933.729163771379</v>
      </c>
      <c r="K44" s="19">
        <f>Inputs!K43</f>
        <v>165472</v>
      </c>
      <c r="L44" s="19">
        <f>Inputs!L43</f>
        <v>194442.08945185869</v>
      </c>
      <c r="M44" s="19">
        <f>Inputs!M43</f>
        <v>206316.43741173169</v>
      </c>
      <c r="N44" s="19">
        <f>Inputs!N43</f>
        <v>261426.14654201409</v>
      </c>
      <c r="O44" s="19">
        <f>Inputs!O43</f>
        <v>620045.32999999996</v>
      </c>
      <c r="P44" s="19">
        <f>Inputs!P43</f>
        <v>3075471</v>
      </c>
    </row>
    <row r="45" spans="1:16" x14ac:dyDescent="0.25">
      <c r="E45" s="1"/>
    </row>
    <row r="46" spans="1:16" ht="18.75" x14ac:dyDescent="0.3">
      <c r="A46" s="17"/>
      <c r="E46" s="1"/>
    </row>
    <row r="47" spans="1:16" ht="18.75" x14ac:dyDescent="0.3">
      <c r="A47" s="17" t="s">
        <v>4</v>
      </c>
      <c r="E47" s="1"/>
    </row>
    <row r="48" spans="1:16" ht="26.25" x14ac:dyDescent="0.25">
      <c r="A48" s="11" t="s">
        <v>46</v>
      </c>
      <c r="B48" s="11" t="s">
        <v>33</v>
      </c>
      <c r="C48" s="11" t="s">
        <v>44</v>
      </c>
      <c r="D48" s="11" t="s">
        <v>45</v>
      </c>
      <c r="E48" s="1"/>
    </row>
    <row r="49" spans="1:6" x14ac:dyDescent="0.25">
      <c r="A49" s="14" t="str">
        <f>A6</f>
        <v>Total opening RAB value</v>
      </c>
      <c r="B49" s="18">
        <f t="shared" ref="B49:B56" si="0">SUMPRODUCT($C$6:$P$44*($A$6:$A$44=A49))</f>
        <v>4918122.515223382</v>
      </c>
      <c r="C49" s="18">
        <f>B49</f>
        <v>4918122.515223382</v>
      </c>
      <c r="D49" s="20">
        <f>(C49/$C$49)</f>
        <v>1</v>
      </c>
      <c r="E49" s="1"/>
      <c r="F49" s="1"/>
    </row>
    <row r="50" spans="1:6" x14ac:dyDescent="0.25">
      <c r="A50" s="14" t="str">
        <f>A8</f>
        <v>Assets commissioned</v>
      </c>
      <c r="B50" s="18">
        <f t="shared" si="0"/>
        <v>1842254.3476078503</v>
      </c>
      <c r="C50" s="18">
        <f>C49+B50</f>
        <v>6760376.8628312321</v>
      </c>
      <c r="D50" s="20">
        <f>(C50/$C$49)</f>
        <v>1.3745848831348551</v>
      </c>
      <c r="E50" s="1"/>
      <c r="F50" s="1"/>
    </row>
    <row r="51" spans="1:6" x14ac:dyDescent="0.25">
      <c r="A51" s="14" t="str">
        <f>A14</f>
        <v>Total depreciation</v>
      </c>
      <c r="B51" s="18">
        <f t="shared" si="0"/>
        <v>1037350.3688492917</v>
      </c>
      <c r="C51" s="18">
        <f>C50-B51</f>
        <v>5723026.4939819407</v>
      </c>
      <c r="D51" s="20">
        <f t="shared" ref="D51:D56" si="1">(C51/$C$49)</f>
        <v>1.1636608230614605</v>
      </c>
      <c r="E51" s="1"/>
      <c r="F51" s="1"/>
    </row>
    <row r="52" spans="1:6" x14ac:dyDescent="0.25">
      <c r="A52" s="14" t="str">
        <f>A20</f>
        <v>Total revaluations</v>
      </c>
      <c r="B52" s="18">
        <f t="shared" si="0"/>
        <v>288055.70455218985</v>
      </c>
      <c r="C52" s="18">
        <f>C51+B52</f>
        <v>6011082.1985341301</v>
      </c>
      <c r="D52" s="20">
        <f t="shared" si="1"/>
        <v>1.2222310810533166</v>
      </c>
      <c r="E52" s="1"/>
    </row>
    <row r="53" spans="1:6" x14ac:dyDescent="0.25">
      <c r="A53" s="14" t="str">
        <f>A26</f>
        <v>Asset disposals</v>
      </c>
      <c r="B53" s="18">
        <f t="shared" si="0"/>
        <v>80918.566627251843</v>
      </c>
      <c r="C53" s="18">
        <f>C52-B53</f>
        <v>5930163.6319068782</v>
      </c>
      <c r="D53" s="20">
        <f t="shared" si="1"/>
        <v>1.2057779393560977</v>
      </c>
      <c r="E53" s="1"/>
    </row>
    <row r="54" spans="1:6" x14ac:dyDescent="0.25">
      <c r="A54" s="14" t="str">
        <f>A32</f>
        <v>Adjustment resulting from asset allocation</v>
      </c>
      <c r="B54" s="18">
        <f t="shared" si="0"/>
        <v>-7612.5606756867219</v>
      </c>
      <c r="C54" s="18">
        <f>C53+B54</f>
        <v>5922551.071231191</v>
      </c>
      <c r="D54" s="20">
        <f t="shared" si="1"/>
        <v>1.2042300802590291</v>
      </c>
      <c r="E54" s="1"/>
    </row>
    <row r="55" spans="1:6" x14ac:dyDescent="0.25">
      <c r="A55" s="14" t="str">
        <f>A38</f>
        <v>Lost and found assets adjustment</v>
      </c>
      <c r="B55" s="18">
        <f t="shared" si="0"/>
        <v>-1214</v>
      </c>
      <c r="C55" s="18">
        <f>C54+B55</f>
        <v>5921337.071231191</v>
      </c>
      <c r="D55" s="20">
        <f t="shared" si="1"/>
        <v>1.203983238095939</v>
      </c>
      <c r="E55" s="1"/>
    </row>
    <row r="56" spans="1:6" x14ac:dyDescent="0.25">
      <c r="A56" s="14" t="str">
        <f>A44</f>
        <v>Total closing RAB value</v>
      </c>
      <c r="B56" s="18">
        <f t="shared" si="0"/>
        <v>5921337.071231192</v>
      </c>
      <c r="C56" s="18">
        <f>IF(B56=C55,B56,"ERROR: Check calculations")</f>
        <v>5921337.071231192</v>
      </c>
      <c r="D56" s="20">
        <f t="shared" si="1"/>
        <v>1.203983238095939</v>
      </c>
      <c r="E56" s="1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37" fitToHeight="0" orientation="portrait" r:id="rId1"/>
  <headerFoot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G13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32.7109375" customWidth="1"/>
    <col min="2" max="2" width="18.28515625" customWidth="1"/>
    <col min="3" max="3" width="9.5703125" bestFit="1" customWidth="1"/>
    <col min="4" max="4" width="35.7109375" bestFit="1" customWidth="1"/>
    <col min="5" max="5" width="7.28515625" customWidth="1"/>
    <col min="8" max="8" width="2.7109375" customWidth="1"/>
  </cols>
  <sheetData>
    <row r="1" spans="1:7" ht="26.25" x14ac:dyDescent="0.4">
      <c r="A1" s="5" t="s">
        <v>5</v>
      </c>
      <c r="B1" s="1"/>
      <c r="C1" s="1"/>
      <c r="D1" s="1"/>
      <c r="E1" s="1"/>
      <c r="F1" s="1"/>
      <c r="G1" s="1"/>
    </row>
    <row r="2" spans="1:7" x14ac:dyDescent="0.25">
      <c r="B2" s="1"/>
      <c r="C2" s="1"/>
      <c r="D2" s="1"/>
      <c r="E2" s="1"/>
      <c r="F2" s="1"/>
      <c r="G2" s="1"/>
    </row>
    <row r="3" spans="1:7" ht="18.75" x14ac:dyDescent="0.3">
      <c r="A3" s="17" t="s">
        <v>55</v>
      </c>
      <c r="B3" s="35" t="str">
        <f>"DPP distributors roll-forward of RAB from "&amp;Inputs!B5-1&amp;"/"&amp;RIGHT(Inputs!B5,2)&amp;" to "&amp;Inputs!B43&amp;"/"&amp;RIGHT(Inputs!B43,2)+1</f>
        <v>DPP distributors roll-forward of RAB from 2014/15 to 2019/20</v>
      </c>
      <c r="C3" s="1"/>
      <c r="D3" s="1"/>
      <c r="E3" s="1"/>
      <c r="F3" s="1"/>
      <c r="G3" s="1"/>
    </row>
    <row r="4" spans="1:7" x14ac:dyDescent="0.25">
      <c r="A4" s="22" t="str">
        <f>Inputs!A2</f>
        <v>Source: Information disclosures 2019, Section 4(i)</v>
      </c>
      <c r="B4" s="1"/>
      <c r="C4" s="1"/>
      <c r="D4" s="1"/>
      <c r="E4" s="1"/>
      <c r="F4" s="1"/>
      <c r="G4" s="1"/>
    </row>
    <row r="5" spans="1:7" ht="77.25" x14ac:dyDescent="0.25">
      <c r="A5" s="11" t="str">
        <f>Calculations!A48</f>
        <v>RAB component</v>
      </c>
      <c r="B5" s="11" t="str">
        <f>Calculations!C48</f>
        <v>RAB Balance</v>
      </c>
      <c r="C5" s="11" t="str">
        <f>Calculations!D48</f>
        <v>Balance as a Percentage of Opening RAB</v>
      </c>
      <c r="D5" s="23" t="s">
        <v>51</v>
      </c>
      <c r="E5" s="23" t="s">
        <v>34</v>
      </c>
      <c r="F5" s="23" t="s">
        <v>35</v>
      </c>
      <c r="G5" s="23" t="s">
        <v>36</v>
      </c>
    </row>
    <row r="6" spans="1:7" x14ac:dyDescent="0.25">
      <c r="A6" s="14" t="str">
        <f>"Opening RAB "&amp;Inputs!B5</f>
        <v>Opening RAB 2015</v>
      </c>
      <c r="B6" s="18">
        <f>Calculations!B49</f>
        <v>4918122.515223382</v>
      </c>
      <c r="C6" s="20">
        <f>Calculations!D49</f>
        <v>1</v>
      </c>
      <c r="D6" s="21" t="str">
        <f>Calculations!A49</f>
        <v>Total opening RAB value</v>
      </c>
      <c r="E6" s="24">
        <v>0</v>
      </c>
      <c r="F6" s="24">
        <v>0</v>
      </c>
      <c r="G6" s="24">
        <v>1</v>
      </c>
    </row>
    <row r="7" spans="1:7" x14ac:dyDescent="0.25">
      <c r="A7" s="14" t="s">
        <v>37</v>
      </c>
      <c r="B7" s="18">
        <f>Calculations!B50</f>
        <v>1842254.3476078503</v>
      </c>
      <c r="C7" s="20">
        <f>Calculations!D50</f>
        <v>1.3745848831348551</v>
      </c>
      <c r="D7" s="21" t="str">
        <f>Calculations!A50</f>
        <v>Assets commissioned</v>
      </c>
      <c r="E7" s="25">
        <f t="shared" ref="E7:E13" si="0">E6+G6-F7-0.00002%*0</f>
        <v>0.99999000000000005</v>
      </c>
      <c r="F7" s="26">
        <f t="shared" ref="F7:F12" si="1">IF(C7&lt;C6,C6-C7+0.00001,0.00001)</f>
        <v>1.0000000000000001E-5</v>
      </c>
      <c r="G7" s="26">
        <f t="shared" ref="G7:G12" si="2">IF(C7&gt;=C6,C7-C6+0.00001,0.00001)</f>
        <v>0.37459488313485506</v>
      </c>
    </row>
    <row r="8" spans="1:7" x14ac:dyDescent="0.25">
      <c r="A8" s="14" t="s">
        <v>38</v>
      </c>
      <c r="B8" s="18">
        <f>Calculations!B51</f>
        <v>1037350.3688492917</v>
      </c>
      <c r="C8" s="20">
        <f>Calculations!D51</f>
        <v>1.1636608230614605</v>
      </c>
      <c r="D8" s="21" t="str">
        <f>Calculations!A51</f>
        <v>Total depreciation</v>
      </c>
      <c r="E8" s="25">
        <f t="shared" si="0"/>
        <v>1.1636508230614604</v>
      </c>
      <c r="F8" s="26">
        <f t="shared" si="1"/>
        <v>0.2109340600733946</v>
      </c>
      <c r="G8" s="26">
        <f t="shared" si="2"/>
        <v>1.0000000000000001E-5</v>
      </c>
    </row>
    <row r="9" spans="1:7" x14ac:dyDescent="0.25">
      <c r="A9" s="14" t="s">
        <v>39</v>
      </c>
      <c r="B9" s="18">
        <f>Calculations!B52</f>
        <v>288055.70455218985</v>
      </c>
      <c r="C9" s="20">
        <f>Calculations!D52</f>
        <v>1.2222310810533166</v>
      </c>
      <c r="D9" s="21" t="str">
        <f>Calculations!A52</f>
        <v>Total revaluations</v>
      </c>
      <c r="E9" s="25">
        <f t="shared" si="0"/>
        <v>1.1636508230614604</v>
      </c>
      <c r="F9" s="26">
        <f t="shared" si="1"/>
        <v>1.0000000000000001E-5</v>
      </c>
      <c r="G9" s="26">
        <f t="shared" si="2"/>
        <v>5.8580257991856115E-2</v>
      </c>
    </row>
    <row r="10" spans="1:7" x14ac:dyDescent="0.25">
      <c r="A10" s="14" t="s">
        <v>40</v>
      </c>
      <c r="B10" s="18">
        <f>Calculations!B53</f>
        <v>80918.566627251843</v>
      </c>
      <c r="C10" s="20">
        <f>Calculations!D53</f>
        <v>1.2057779393560977</v>
      </c>
      <c r="D10" s="21" t="str">
        <f>Calculations!A53</f>
        <v>Asset disposals</v>
      </c>
      <c r="E10" s="25">
        <f t="shared" si="0"/>
        <v>1.2057679393560976</v>
      </c>
      <c r="F10" s="26">
        <f t="shared" si="1"/>
        <v>1.6463141697218898E-2</v>
      </c>
      <c r="G10" s="26">
        <f t="shared" si="2"/>
        <v>1.0000000000000001E-5</v>
      </c>
    </row>
    <row r="11" spans="1:7" x14ac:dyDescent="0.25">
      <c r="A11" s="14" t="s">
        <v>41</v>
      </c>
      <c r="B11" s="18">
        <f>Calculations!B54</f>
        <v>-7612.5606756867219</v>
      </c>
      <c r="C11" s="20">
        <f>Calculations!D54</f>
        <v>1.2042300802590291</v>
      </c>
      <c r="D11" s="21" t="str">
        <f>Calculations!A54</f>
        <v>Adjustment resulting from asset allocation</v>
      </c>
      <c r="E11" s="25">
        <f t="shared" si="0"/>
        <v>1.204220080259029</v>
      </c>
      <c r="F11" s="26">
        <f t="shared" si="1"/>
        <v>1.5578590970685602E-3</v>
      </c>
      <c r="G11" s="26">
        <f t="shared" si="2"/>
        <v>1.0000000000000001E-5</v>
      </c>
    </row>
    <row r="12" spans="1:7" x14ac:dyDescent="0.25">
      <c r="A12" s="14" t="s">
        <v>42</v>
      </c>
      <c r="B12" s="18">
        <f>Calculations!B55</f>
        <v>-1214</v>
      </c>
      <c r="C12" s="20">
        <f>Calculations!D55</f>
        <v>1.203983238095939</v>
      </c>
      <c r="D12" s="21" t="str">
        <f>Calculations!A55</f>
        <v>Lost and found assets adjustment</v>
      </c>
      <c r="E12" s="25">
        <f t="shared" si="0"/>
        <v>1.2039732380959389</v>
      </c>
      <c r="F12" s="26">
        <f t="shared" si="1"/>
        <v>2.5684216309012188E-4</v>
      </c>
      <c r="G12" s="26">
        <f t="shared" si="2"/>
        <v>1.0000000000000001E-5</v>
      </c>
    </row>
    <row r="13" spans="1:7" x14ac:dyDescent="0.25">
      <c r="A13" s="14" t="str">
        <f>"Opening RAB "&amp;Inputs!B43+1</f>
        <v>Opening RAB 2020</v>
      </c>
      <c r="B13" s="18">
        <f>Calculations!B56</f>
        <v>5921337.071231192</v>
      </c>
      <c r="C13" s="20">
        <f>Calculations!D56</f>
        <v>1.203983238095939</v>
      </c>
      <c r="D13" s="21" t="str">
        <f>Calculations!A56</f>
        <v>Total closing RAB value</v>
      </c>
      <c r="E13" s="25">
        <f t="shared" si="0"/>
        <v>1.203983238095939</v>
      </c>
      <c r="F13" s="23"/>
      <c r="G13" s="23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CoverSheet</vt:lpstr>
      <vt:lpstr>Description</vt:lpstr>
      <vt:lpstr>Table of Contents</vt:lpstr>
      <vt:lpstr>Inputs</vt:lpstr>
      <vt:lpstr>Calculations</vt:lpstr>
      <vt:lpstr>Output</vt:lpstr>
      <vt:lpstr>Calculations!Print_Area</vt:lpstr>
      <vt:lpstr>CoverSheet!Print_Area</vt:lpstr>
      <vt:lpstr>Description!Print_Area</vt:lpstr>
      <vt:lpstr>Inputs!Print_Area</vt:lpstr>
      <vt:lpstr>Output!Print_Area</vt:lpstr>
      <vt:lpstr>'Table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2019-05-27T08:31:25Z</dcterms:created>
  <dcterms:modified xsi:type="dcterms:W3CDTF">2019-11-24T08:18:41Z</dcterms:modified>
</cp:coreProperties>
</file>