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xr:revisionPtr revIDLastSave="0" documentId="13_ncr:1_{6F367663-A55F-4318-8D74-7162F9E94024}" xr6:coauthVersionLast="47" xr6:coauthVersionMax="47" xr10:uidLastSave="{00000000-0000-0000-0000-000000000000}"/>
  <bookViews>
    <workbookView xWindow="15315" yWindow="-16320" windowWidth="29040" windowHeight="15840" xr2:uid="{5A7E12FD-11B4-47F0-9E6E-DAF5591EBF63}"/>
  </bookViews>
  <sheets>
    <sheet name="Utilisatio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1" i="1" l="1"/>
  <c r="AG11" i="1"/>
  <c r="Y11" i="1"/>
  <c r="Y10" i="1"/>
  <c r="I11" i="1"/>
  <c r="H12" i="1"/>
  <c r="P12" i="1"/>
  <c r="X12" i="1"/>
  <c r="AF12" i="1"/>
  <c r="AN12" i="1"/>
  <c r="AN9" i="1"/>
  <c r="AM9" i="1"/>
  <c r="AE12" i="1"/>
  <c r="AE10" i="1"/>
  <c r="AF9" i="1"/>
  <c r="AE9" i="1"/>
  <c r="AF8" i="1"/>
  <c r="AE8" i="1"/>
  <c r="AF7" i="1"/>
  <c r="AE7" i="1"/>
  <c r="W12" i="1"/>
  <c r="X11" i="1"/>
  <c r="X9" i="1"/>
  <c r="W9" i="1"/>
  <c r="V9" i="1"/>
  <c r="X8" i="1"/>
  <c r="W8" i="1"/>
  <c r="X7" i="1"/>
  <c r="W7" i="1"/>
  <c r="O12" i="1"/>
  <c r="O10" i="1"/>
  <c r="P8" i="1"/>
  <c r="P9" i="1"/>
  <c r="O9" i="1"/>
  <c r="P7" i="1"/>
  <c r="O7" i="1"/>
  <c r="O8" i="1"/>
  <c r="AK7" i="1" l="1"/>
  <c r="AO7" i="1" s="1"/>
  <c r="AK8" i="1"/>
  <c r="AO8" i="1" s="1"/>
  <c r="AK9" i="1"/>
  <c r="AO9" i="1" s="1"/>
  <c r="AK10" i="1"/>
  <c r="AO10" i="1" s="1"/>
  <c r="AK12" i="1"/>
  <c r="AO12" i="1" s="1"/>
  <c r="AC7" i="1"/>
  <c r="AC8" i="1"/>
  <c r="AG8" i="1" s="1"/>
  <c r="AC9" i="1"/>
  <c r="AG9" i="1" s="1"/>
  <c r="AC10" i="1"/>
  <c r="AG10" i="1" s="1"/>
  <c r="AC12" i="1"/>
  <c r="AD12" i="1"/>
  <c r="U8" i="1"/>
  <c r="Y8" i="1" s="1"/>
  <c r="U7" i="1"/>
  <c r="Y7" i="1" s="1"/>
  <c r="U9" i="1"/>
  <c r="Y9" i="1" s="1"/>
  <c r="U12" i="1"/>
  <c r="Y12" i="1" s="1"/>
  <c r="E9" i="1"/>
  <c r="I9" i="1" s="1"/>
  <c r="M7" i="1"/>
  <c r="Q7" i="1" s="1"/>
  <c r="M8" i="1"/>
  <c r="M9" i="1"/>
  <c r="M10" i="1"/>
  <c r="M12" i="1"/>
  <c r="E8" i="1"/>
  <c r="I8" i="1" s="1"/>
  <c r="E10" i="1"/>
  <c r="I10" i="1" s="1"/>
  <c r="E12" i="1"/>
  <c r="I12" i="1" s="1"/>
  <c r="G12" i="1"/>
  <c r="H11" i="1"/>
  <c r="H8" i="1"/>
  <c r="G8" i="1"/>
  <c r="H7" i="1"/>
  <c r="G7" i="1"/>
  <c r="AD7" i="1"/>
  <c r="S12" i="1"/>
  <c r="S11" i="1"/>
  <c r="S10" i="1"/>
  <c r="S9" i="1"/>
  <c r="S8" i="1"/>
  <c r="S7" i="1"/>
  <c r="N12" i="1"/>
  <c r="N11" i="1"/>
  <c r="Q11" i="1" s="1"/>
  <c r="N10" i="1"/>
  <c r="N9" i="1"/>
  <c r="N8" i="1"/>
  <c r="N7" i="1"/>
  <c r="AI12" i="1"/>
  <c r="AI7" i="1"/>
  <c r="AB12" i="1"/>
  <c r="T12" i="1"/>
  <c r="L12" i="1"/>
  <c r="Q12" i="1" l="1"/>
  <c r="AG7" i="1"/>
  <c r="Q10" i="1"/>
  <c r="Q9" i="1"/>
  <c r="Q8" i="1"/>
  <c r="AG12" i="1"/>
  <c r="E7" i="1"/>
  <c r="I7" i="1" s="1"/>
  <c r="AN13" i="1" l="1"/>
  <c r="AF13" i="1"/>
  <c r="X13" i="1"/>
  <c r="P13" i="1"/>
  <c r="H13" i="1"/>
  <c r="AR13" i="1"/>
  <c r="AQ13" i="1"/>
  <c r="AP13" i="1"/>
  <c r="AJ13" i="1"/>
  <c r="AI13" i="1"/>
  <c r="AH13" i="1"/>
  <c r="AB13" i="1"/>
  <c r="AA13" i="1"/>
  <c r="Z13" i="1"/>
  <c r="T13" i="1"/>
  <c r="S13" i="1"/>
  <c r="R13" i="1"/>
  <c r="L13" i="1"/>
  <c r="K13" i="1"/>
  <c r="J13" i="1"/>
  <c r="M13" i="1"/>
  <c r="N13" i="1"/>
  <c r="O13" i="1"/>
  <c r="U13" i="1"/>
  <c r="V13" i="1"/>
  <c r="W13" i="1"/>
  <c r="AC13" i="1"/>
  <c r="AD13" i="1"/>
  <c r="AE13" i="1"/>
  <c r="AK13" i="1"/>
  <c r="AL13" i="1"/>
  <c r="AM13" i="1"/>
  <c r="F13" i="1"/>
  <c r="G13" i="1"/>
  <c r="E13" i="1"/>
  <c r="I13" i="1" s="1"/>
  <c r="D13" i="1"/>
  <c r="Y13" i="1" l="1"/>
  <c r="AO13" i="1"/>
  <c r="Q13" i="1"/>
  <c r="AG13" i="1"/>
</calcChain>
</file>

<file path=xl/sharedStrings.xml><?xml version="1.0" encoding="utf-8"?>
<sst xmlns="http://schemas.openxmlformats.org/spreadsheetml/2006/main" count="67" uniqueCount="27">
  <si>
    <t>Deepwater Quota Utilisation</t>
  </si>
  <si>
    <t>Company</t>
  </si>
  <si>
    <t>Vessels</t>
  </si>
  <si>
    <t>FY18</t>
  </si>
  <si>
    <t>FY19</t>
  </si>
  <si>
    <t>FY20</t>
  </si>
  <si>
    <t>FY21</t>
  </si>
  <si>
    <t>FY22</t>
  </si>
  <si>
    <t>Total</t>
  </si>
  <si>
    <t>Hoki</t>
  </si>
  <si>
    <t>Catch</t>
  </si>
  <si>
    <t>Quota</t>
  </si>
  <si>
    <t>ACE In</t>
  </si>
  <si>
    <t>Utilisation %</t>
  </si>
  <si>
    <t xml:space="preserve">Quota </t>
  </si>
  <si>
    <t>ACE</t>
  </si>
  <si>
    <t>ACE Out</t>
  </si>
  <si>
    <t>Sealord</t>
  </si>
  <si>
    <t>Sanford</t>
  </si>
  <si>
    <t xml:space="preserve">Talleys </t>
  </si>
  <si>
    <t>IFL</t>
  </si>
  <si>
    <t xml:space="preserve">Maruha </t>
  </si>
  <si>
    <t>Notes</t>
  </si>
  <si>
    <t>1. Vela fishing does no fishing and supplies significant ACE to deepwater fishers including hoki to Sanford and Talleys.  These are long standing arrangements and typically as long as the fisher pays the ACE price requested by Vela they receive the ACE every year.</t>
  </si>
  <si>
    <t xml:space="preserve">2. Both IFL and Sealord have enough hoki for their fleet, other deepwater fishers purchase hoki ACE from others to supplement their holdings.  </t>
  </si>
  <si>
    <t>Vela (see note 1)</t>
  </si>
  <si>
    <t>Hoki (see 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</si>
</sst>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 #,##0_-;_-* &quot;-&quot;??_-;_-@_-"/>
  </numFmts>
  <fonts count="4"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double">
        <color indexed="64"/>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0" fillId="0" borderId="1" xfId="0" applyBorder="1"/>
    <xf numFmtId="0" fontId="0" fillId="0" borderId="3"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164" fontId="0" fillId="0" borderId="1" xfId="1" applyNumberFormat="1" applyFont="1" applyBorder="1" applyAlignment="1">
      <alignment horizontal="center"/>
    </xf>
    <xf numFmtId="164" fontId="0" fillId="0" borderId="1" xfId="1" applyNumberFormat="1" applyFont="1" applyBorder="1"/>
    <xf numFmtId="164" fontId="0" fillId="0" borderId="0" xfId="1" applyNumberFormat="1" applyFont="1"/>
    <xf numFmtId="164" fontId="1" fillId="0" borderId="1" xfId="1" applyNumberFormat="1" applyFont="1" applyBorder="1" applyAlignment="1">
      <alignment horizontal="center"/>
    </xf>
    <xf numFmtId="164" fontId="0" fillId="0" borderId="2" xfId="1" applyNumberFormat="1" applyFont="1" applyBorder="1" applyAlignment="1">
      <alignment horizontal="center"/>
    </xf>
    <xf numFmtId="164" fontId="0" fillId="0" borderId="13" xfId="1" applyNumberFormat="1" applyFont="1" applyFill="1" applyBorder="1"/>
    <xf numFmtId="43" fontId="0" fillId="0" borderId="2" xfId="1" applyFont="1" applyBorder="1"/>
    <xf numFmtId="9" fontId="0" fillId="0" borderId="1" xfId="0" applyNumberFormat="1" applyBorder="1" applyAlignment="1">
      <alignment horizontal="center"/>
    </xf>
    <xf numFmtId="9" fontId="0" fillId="0" borderId="2" xfId="2"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center"/>
    </xf>
    <xf numFmtId="0" fontId="1"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A4C6A-776A-40A8-BF7C-9A9C327607D0}">
  <sheetPr>
    <pageSetUpPr fitToPage="1"/>
  </sheetPr>
  <dimension ref="B1:AS22"/>
  <sheetViews>
    <sheetView showGridLines="0" tabSelected="1" workbookViewId="0">
      <selection activeCell="N25" sqref="N25"/>
    </sheetView>
  </sheetViews>
  <sheetFormatPr defaultRowHeight="14.5" x14ac:dyDescent="0.35"/>
  <cols>
    <col min="1" max="1" width="3.81640625" customWidth="1"/>
    <col min="2" max="2" width="1.26953125" customWidth="1"/>
    <col min="3" max="3" width="16.1796875" customWidth="1"/>
    <col min="4" max="4" width="10.26953125" customWidth="1"/>
    <col min="5" max="5" width="11.1796875" customWidth="1"/>
    <col min="6" max="6" width="12" bestFit="1" customWidth="1"/>
    <col min="7" max="7" width="10.7265625" bestFit="1" customWidth="1"/>
    <col min="8" max="8" width="10" customWidth="1"/>
    <col min="9" max="9" width="12.453125" customWidth="1"/>
    <col min="10" max="10" width="9.26953125" bestFit="1" customWidth="1"/>
    <col min="11" max="11" width="11.54296875" bestFit="1" customWidth="1"/>
    <col min="12" max="12" width="9.26953125" bestFit="1" customWidth="1"/>
    <col min="13" max="13" width="10.54296875" bestFit="1" customWidth="1"/>
    <col min="14" max="14" width="11.81640625" bestFit="1" customWidth="1"/>
    <col min="15" max="16" width="9.26953125" bestFit="1" customWidth="1"/>
    <col min="17" max="17" width="11.453125" bestFit="1" customWidth="1"/>
    <col min="18" max="18" width="9.26953125" bestFit="1" customWidth="1"/>
    <col min="19" max="19" width="11.54296875" bestFit="1" customWidth="1"/>
    <col min="20" max="21" width="9.26953125" bestFit="1" customWidth="1"/>
    <col min="22" max="22" width="11.7265625" bestFit="1" customWidth="1"/>
    <col min="23" max="24" width="9.26953125" bestFit="1" customWidth="1"/>
    <col min="25" max="25" width="11.453125" bestFit="1" customWidth="1"/>
    <col min="26" max="26" width="9.26953125" bestFit="1" customWidth="1"/>
    <col min="27" max="27" width="11.54296875" bestFit="1" customWidth="1"/>
    <col min="28" max="29" width="9.26953125" bestFit="1" customWidth="1"/>
    <col min="30" max="30" width="11.7265625" bestFit="1" customWidth="1"/>
    <col min="31" max="32" width="9.26953125" bestFit="1" customWidth="1"/>
    <col min="33" max="33" width="11.453125" customWidth="1"/>
    <col min="34" max="34" width="9.26953125" bestFit="1" customWidth="1"/>
    <col min="35" max="35" width="10.7265625" bestFit="1" customWidth="1"/>
    <col min="36" max="36" width="9.26953125" bestFit="1" customWidth="1"/>
    <col min="37" max="37" width="12.54296875" bestFit="1" customWidth="1"/>
    <col min="38" max="38" width="12" bestFit="1" customWidth="1"/>
    <col min="39" max="40" width="9.26953125" bestFit="1" customWidth="1"/>
    <col min="41" max="41" width="11.453125" bestFit="1" customWidth="1"/>
    <col min="42" max="42" width="9.26953125" bestFit="1" customWidth="1"/>
    <col min="43" max="43" width="10.7265625" bestFit="1" customWidth="1"/>
    <col min="44" max="44" width="9.26953125" bestFit="1" customWidth="1"/>
    <col min="45" max="45" width="1.7265625" customWidth="1"/>
  </cols>
  <sheetData>
    <row r="1" spans="2:45" ht="15" thickBot="1" x14ac:dyDescent="0.4"/>
    <row r="2" spans="2:45" ht="7.9" customHeight="1" thickTop="1" x14ac:dyDescent="0.3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7"/>
    </row>
    <row r="3" spans="2:45" x14ac:dyDescent="0.35">
      <c r="B3" s="8"/>
      <c r="C3" s="22" t="s">
        <v>0</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9"/>
    </row>
    <row r="4" spans="2:45" x14ac:dyDescent="0.35">
      <c r="B4" s="8"/>
      <c r="C4" s="23" t="s">
        <v>1</v>
      </c>
      <c r="D4" s="23" t="s">
        <v>2</v>
      </c>
      <c r="E4" s="23" t="s">
        <v>3</v>
      </c>
      <c r="F4" s="23"/>
      <c r="G4" s="23"/>
      <c r="H4" s="23"/>
      <c r="I4" s="23"/>
      <c r="J4" s="23"/>
      <c r="K4" s="23"/>
      <c r="L4" s="23"/>
      <c r="M4" s="23" t="s">
        <v>4</v>
      </c>
      <c r="N4" s="23"/>
      <c r="O4" s="23"/>
      <c r="P4" s="23"/>
      <c r="Q4" s="23"/>
      <c r="R4" s="23"/>
      <c r="S4" s="23"/>
      <c r="T4" s="23"/>
      <c r="U4" s="23" t="s">
        <v>5</v>
      </c>
      <c r="V4" s="23"/>
      <c r="W4" s="23"/>
      <c r="X4" s="23"/>
      <c r="Y4" s="23"/>
      <c r="Z4" s="23"/>
      <c r="AA4" s="23"/>
      <c r="AB4" s="23"/>
      <c r="AC4" s="23" t="s">
        <v>6</v>
      </c>
      <c r="AD4" s="23"/>
      <c r="AE4" s="23"/>
      <c r="AF4" s="23"/>
      <c r="AG4" s="23"/>
      <c r="AH4" s="23"/>
      <c r="AI4" s="23"/>
      <c r="AJ4" s="23"/>
      <c r="AK4" s="23" t="s">
        <v>7</v>
      </c>
      <c r="AL4" s="23"/>
      <c r="AM4" s="23"/>
      <c r="AN4" s="23"/>
      <c r="AO4" s="23"/>
      <c r="AP4" s="23"/>
      <c r="AQ4" s="23"/>
      <c r="AR4" s="23"/>
      <c r="AS4" s="9"/>
    </row>
    <row r="5" spans="2:45" x14ac:dyDescent="0.35">
      <c r="B5" s="8"/>
      <c r="C5" s="23"/>
      <c r="D5" s="23"/>
      <c r="E5" s="23" t="s">
        <v>8</v>
      </c>
      <c r="F5" s="23"/>
      <c r="G5" s="23"/>
      <c r="H5" s="23"/>
      <c r="I5" s="23"/>
      <c r="J5" s="23" t="s">
        <v>26</v>
      </c>
      <c r="K5" s="23"/>
      <c r="L5" s="23"/>
      <c r="M5" s="23" t="s">
        <v>8</v>
      </c>
      <c r="N5" s="23"/>
      <c r="O5" s="23"/>
      <c r="P5" s="23"/>
      <c r="Q5" s="23"/>
      <c r="R5" s="23" t="s">
        <v>9</v>
      </c>
      <c r="S5" s="23"/>
      <c r="T5" s="23"/>
      <c r="U5" s="23" t="s">
        <v>8</v>
      </c>
      <c r="V5" s="23"/>
      <c r="W5" s="23"/>
      <c r="X5" s="23"/>
      <c r="Y5" s="23"/>
      <c r="Z5" s="23" t="s">
        <v>9</v>
      </c>
      <c r="AA5" s="23"/>
      <c r="AB5" s="23"/>
      <c r="AC5" s="23" t="s">
        <v>8</v>
      </c>
      <c r="AD5" s="23"/>
      <c r="AE5" s="23"/>
      <c r="AF5" s="23"/>
      <c r="AG5" s="23"/>
      <c r="AH5" s="23" t="s">
        <v>9</v>
      </c>
      <c r="AI5" s="23"/>
      <c r="AJ5" s="23"/>
      <c r="AK5" s="23" t="s">
        <v>8</v>
      </c>
      <c r="AL5" s="23"/>
      <c r="AM5" s="23"/>
      <c r="AN5" s="23"/>
      <c r="AO5" s="23"/>
      <c r="AP5" s="23" t="s">
        <v>9</v>
      </c>
      <c r="AQ5" s="23"/>
      <c r="AR5" s="23"/>
      <c r="AS5" s="9"/>
    </row>
    <row r="6" spans="2:45" x14ac:dyDescent="0.35">
      <c r="B6" s="8"/>
      <c r="C6" s="23"/>
      <c r="D6" s="23"/>
      <c r="E6" s="4" t="s">
        <v>10</v>
      </c>
      <c r="F6" s="4" t="s">
        <v>11</v>
      </c>
      <c r="G6" s="4" t="s">
        <v>12</v>
      </c>
      <c r="H6" s="4" t="s">
        <v>16</v>
      </c>
      <c r="I6" s="4" t="s">
        <v>13</v>
      </c>
      <c r="J6" s="16" t="s">
        <v>10</v>
      </c>
      <c r="K6" s="16" t="s">
        <v>14</v>
      </c>
      <c r="L6" s="16" t="s">
        <v>15</v>
      </c>
      <c r="M6" s="16" t="s">
        <v>10</v>
      </c>
      <c r="N6" s="16" t="s">
        <v>14</v>
      </c>
      <c r="O6" s="16" t="s">
        <v>12</v>
      </c>
      <c r="P6" s="16" t="s">
        <v>16</v>
      </c>
      <c r="Q6" s="4" t="s">
        <v>13</v>
      </c>
      <c r="R6" s="4" t="s">
        <v>10</v>
      </c>
      <c r="S6" s="4" t="s">
        <v>14</v>
      </c>
      <c r="T6" s="4" t="s">
        <v>15</v>
      </c>
      <c r="U6" s="4" t="s">
        <v>10</v>
      </c>
      <c r="V6" s="4" t="s">
        <v>14</v>
      </c>
      <c r="W6" s="4" t="s">
        <v>12</v>
      </c>
      <c r="X6" s="4" t="s">
        <v>16</v>
      </c>
      <c r="Y6" s="4" t="s">
        <v>13</v>
      </c>
      <c r="Z6" s="4" t="s">
        <v>10</v>
      </c>
      <c r="AA6" s="4" t="s">
        <v>14</v>
      </c>
      <c r="AB6" s="4" t="s">
        <v>15</v>
      </c>
      <c r="AC6" s="4" t="s">
        <v>10</v>
      </c>
      <c r="AD6" s="4" t="s">
        <v>14</v>
      </c>
      <c r="AE6" s="4" t="s">
        <v>12</v>
      </c>
      <c r="AF6" s="4" t="s">
        <v>16</v>
      </c>
      <c r="AG6" s="4" t="s">
        <v>13</v>
      </c>
      <c r="AH6" s="4" t="s">
        <v>10</v>
      </c>
      <c r="AI6" s="4" t="s">
        <v>14</v>
      </c>
      <c r="AJ6" s="4" t="s">
        <v>15</v>
      </c>
      <c r="AK6" s="4" t="s">
        <v>10</v>
      </c>
      <c r="AL6" s="4" t="s">
        <v>14</v>
      </c>
      <c r="AM6" s="4" t="s">
        <v>12</v>
      </c>
      <c r="AN6" s="4" t="s">
        <v>16</v>
      </c>
      <c r="AO6" s="4" t="s">
        <v>13</v>
      </c>
      <c r="AP6" s="4" t="s">
        <v>10</v>
      </c>
      <c r="AQ6" s="4" t="s">
        <v>14</v>
      </c>
      <c r="AR6" s="4" t="s">
        <v>15</v>
      </c>
      <c r="AS6" s="9"/>
    </row>
    <row r="7" spans="2:45" x14ac:dyDescent="0.35">
      <c r="B7" s="8"/>
      <c r="C7" s="1" t="s">
        <v>17</v>
      </c>
      <c r="D7" s="3">
        <v>7</v>
      </c>
      <c r="E7" s="13">
        <f>53057+33882+1197+1900</f>
        <v>90036</v>
      </c>
      <c r="F7" s="13">
        <v>122317</v>
      </c>
      <c r="G7" s="13">
        <f>39061+217</f>
        <v>39278</v>
      </c>
      <c r="H7" s="13">
        <f>19560+1030</f>
        <v>20590</v>
      </c>
      <c r="I7" s="20">
        <f>E7/F7</f>
        <v>0.73608737951388603</v>
      </c>
      <c r="J7" s="14">
        <v>46418</v>
      </c>
      <c r="K7" s="14">
        <v>43783</v>
      </c>
      <c r="L7" s="14">
        <v>58507</v>
      </c>
      <c r="M7" s="13">
        <f>29377+54731+7050</f>
        <v>91158</v>
      </c>
      <c r="N7" s="13">
        <f>121821</f>
        <v>121821</v>
      </c>
      <c r="O7" s="13">
        <f>31847+13</f>
        <v>31860</v>
      </c>
      <c r="P7" s="13">
        <f>21710+1416</f>
        <v>23126</v>
      </c>
      <c r="Q7" s="20">
        <f>M7/N7</f>
        <v>0.74829462900485133</v>
      </c>
      <c r="R7" s="14">
        <v>40325</v>
      </c>
      <c r="S7" s="14">
        <f>43783</f>
        <v>43783</v>
      </c>
      <c r="T7" s="14">
        <v>44954</v>
      </c>
      <c r="U7" s="13">
        <f>27705+54812+4121+1933</f>
        <v>88571</v>
      </c>
      <c r="V7" s="13">
        <v>122489</v>
      </c>
      <c r="W7" s="13">
        <f>32228+1166</f>
        <v>33394</v>
      </c>
      <c r="X7" s="13">
        <f>15124+1126</f>
        <v>16250</v>
      </c>
      <c r="Y7" s="20">
        <f>U7/V7</f>
        <v>0.72309350227367353</v>
      </c>
      <c r="Z7" s="14">
        <v>36258</v>
      </c>
      <c r="AA7" s="14">
        <v>43783</v>
      </c>
      <c r="AB7" s="14">
        <v>38892</v>
      </c>
      <c r="AC7" s="13">
        <f>25104+52748+3796+1139</f>
        <v>82787</v>
      </c>
      <c r="AD7" s="13">
        <f>111990</f>
        <v>111990</v>
      </c>
      <c r="AE7" s="13">
        <f>30661+629</f>
        <v>31290</v>
      </c>
      <c r="AF7" s="13">
        <f>13035+1146</f>
        <v>14181</v>
      </c>
      <c r="AG7" s="20">
        <f>AC7/AD7</f>
        <v>0.73923564603982495</v>
      </c>
      <c r="AH7" s="14">
        <v>38077</v>
      </c>
      <c r="AI7" s="14">
        <f>33567</f>
        <v>33567</v>
      </c>
      <c r="AJ7" s="14">
        <v>38247</v>
      </c>
      <c r="AK7" s="13">
        <f>51496+15075+1736+1822</f>
        <v>70129</v>
      </c>
      <c r="AL7" s="13">
        <v>112762</v>
      </c>
      <c r="AM7" s="13">
        <v>25835</v>
      </c>
      <c r="AN7" s="13">
        <v>16756</v>
      </c>
      <c r="AO7" s="20">
        <f>AK7/AL7</f>
        <v>0.62192050513470853</v>
      </c>
      <c r="AP7" s="14">
        <v>29358</v>
      </c>
      <c r="AQ7" s="14">
        <v>33567</v>
      </c>
      <c r="AR7" s="14">
        <v>32571</v>
      </c>
      <c r="AS7" s="9"/>
    </row>
    <row r="8" spans="2:45" x14ac:dyDescent="0.35">
      <c r="B8" s="8"/>
      <c r="C8" s="1" t="s">
        <v>18</v>
      </c>
      <c r="D8" s="3">
        <v>4</v>
      </c>
      <c r="E8" s="13">
        <f>84948+263</f>
        <v>85211</v>
      </c>
      <c r="F8" s="13">
        <v>132089</v>
      </c>
      <c r="G8" s="13">
        <f>32627+55</f>
        <v>32682</v>
      </c>
      <c r="H8" s="13">
        <f>42732+2615</f>
        <v>45347</v>
      </c>
      <c r="I8" s="20">
        <f t="shared" ref="I8:I12" si="0">E8/F8</f>
        <v>0.64510292302916972</v>
      </c>
      <c r="J8" s="14">
        <v>30434</v>
      </c>
      <c r="K8" s="14">
        <v>23072</v>
      </c>
      <c r="L8" s="14">
        <v>37640</v>
      </c>
      <c r="M8" s="13">
        <f>83253+5152</f>
        <v>88405</v>
      </c>
      <c r="N8" s="13">
        <f>131632</f>
        <v>131632</v>
      </c>
      <c r="O8" s="13">
        <f>27445+227</f>
        <v>27672</v>
      </c>
      <c r="P8" s="13">
        <f>43048+403</f>
        <v>43451</v>
      </c>
      <c r="Q8" s="20">
        <f t="shared" ref="Q8:Q12" si="1">M8/N8</f>
        <v>0.67160720797374496</v>
      </c>
      <c r="R8" s="14">
        <v>25619</v>
      </c>
      <c r="S8" s="14">
        <f>23072</f>
        <v>23072</v>
      </c>
      <c r="T8" s="14">
        <v>30816</v>
      </c>
      <c r="U8" s="13">
        <f>80789+362</f>
        <v>81151</v>
      </c>
      <c r="V8" s="13">
        <v>117415</v>
      </c>
      <c r="W8" s="13">
        <f>29695+977</f>
        <v>30672</v>
      </c>
      <c r="X8" s="13">
        <f>26610+86</f>
        <v>26696</v>
      </c>
      <c r="Y8" s="20">
        <f t="shared" ref="Y8:Y12" si="2">U8/V8</f>
        <v>0.69114678703743138</v>
      </c>
      <c r="Z8" s="14">
        <v>30718</v>
      </c>
      <c r="AA8" s="14">
        <v>23072</v>
      </c>
      <c r="AB8" s="14">
        <v>32209</v>
      </c>
      <c r="AC8" s="13">
        <f>79567+2530</f>
        <v>82097</v>
      </c>
      <c r="AD8" s="13">
        <v>111943</v>
      </c>
      <c r="AE8" s="13">
        <f>23243+92</f>
        <v>23335</v>
      </c>
      <c r="AF8" s="13">
        <f>25632+307</f>
        <v>25939</v>
      </c>
      <c r="AG8" s="20">
        <f t="shared" ref="AG8:AG12" si="3">AC8/AD8</f>
        <v>0.73338216771035258</v>
      </c>
      <c r="AH8" s="14">
        <v>24168</v>
      </c>
      <c r="AI8" s="14">
        <v>17689</v>
      </c>
      <c r="AJ8" s="14">
        <v>25463</v>
      </c>
      <c r="AK8" s="13">
        <f>76153+3763</f>
        <v>79916</v>
      </c>
      <c r="AL8" s="13">
        <v>112675</v>
      </c>
      <c r="AM8" s="13">
        <v>23839</v>
      </c>
      <c r="AN8" s="13">
        <v>22031</v>
      </c>
      <c r="AO8" s="20">
        <f t="shared" ref="AO8:AO12" si="4">AK8/AL8</f>
        <v>0.70926114932327489</v>
      </c>
      <c r="AP8" s="14">
        <v>22847</v>
      </c>
      <c r="AQ8" s="14">
        <v>17689</v>
      </c>
      <c r="AR8" s="14">
        <v>25481</v>
      </c>
      <c r="AS8" s="9"/>
    </row>
    <row r="9" spans="2:45" x14ac:dyDescent="0.35">
      <c r="B9" s="8"/>
      <c r="C9" s="1" t="s">
        <v>19</v>
      </c>
      <c r="D9" s="3">
        <v>5</v>
      </c>
      <c r="E9" s="13">
        <f>44191+1463</f>
        <v>45654</v>
      </c>
      <c r="F9" s="13">
        <v>81145</v>
      </c>
      <c r="G9" s="13">
        <v>24519</v>
      </c>
      <c r="H9" s="13">
        <v>32028</v>
      </c>
      <c r="I9" s="20">
        <f t="shared" si="0"/>
        <v>0.56262246595600474</v>
      </c>
      <c r="J9" s="14">
        <v>28489</v>
      </c>
      <c r="K9" s="14">
        <v>30537</v>
      </c>
      <c r="L9" s="14">
        <v>33399</v>
      </c>
      <c r="M9" s="13">
        <f>46595+2290</f>
        <v>48885</v>
      </c>
      <c r="N9" s="13">
        <f>81016</f>
        <v>81016</v>
      </c>
      <c r="O9" s="13">
        <f>31705+608+24</f>
        <v>32337</v>
      </c>
      <c r="P9" s="13">
        <f>29638+20</f>
        <v>29658</v>
      </c>
      <c r="Q9" s="20">
        <f t="shared" si="1"/>
        <v>0.60339932852769829</v>
      </c>
      <c r="R9" s="14">
        <v>29403</v>
      </c>
      <c r="S9" s="14">
        <f>30537</f>
        <v>30537</v>
      </c>
      <c r="T9" s="14">
        <v>29427</v>
      </c>
      <c r="U9" s="13">
        <f>36055+6500</f>
        <v>42555</v>
      </c>
      <c r="V9" s="13">
        <f>81361+606</f>
        <v>81967</v>
      </c>
      <c r="W9" s="13">
        <f>15001+5878+32</f>
        <v>20911</v>
      </c>
      <c r="X9" s="13">
        <f>27568+24</f>
        <v>27592</v>
      </c>
      <c r="Y9" s="20">
        <f t="shared" si="2"/>
        <v>0.51917234984810956</v>
      </c>
      <c r="Z9" s="14">
        <v>19457</v>
      </c>
      <c r="AA9" s="14">
        <v>30537</v>
      </c>
      <c r="AB9" s="14">
        <v>21230</v>
      </c>
      <c r="AC9" s="13">
        <f>37610+1200</f>
        <v>38810</v>
      </c>
      <c r="AD9" s="13">
        <v>74330</v>
      </c>
      <c r="AE9" s="13">
        <f>21020+8380+601+28</f>
        <v>30029</v>
      </c>
      <c r="AF9" s="13">
        <f>26353+900+226</f>
        <v>27479</v>
      </c>
      <c r="AG9" s="20">
        <f t="shared" si="3"/>
        <v>0.5221310372662451</v>
      </c>
      <c r="AH9" s="14">
        <v>22020</v>
      </c>
      <c r="AI9" s="14">
        <v>23411</v>
      </c>
      <c r="AJ9" s="14">
        <v>22219</v>
      </c>
      <c r="AK9" s="13">
        <f>35808+1090</f>
        <v>36898</v>
      </c>
      <c r="AL9" s="13">
        <v>74722</v>
      </c>
      <c r="AM9" s="13">
        <f>13183+9457</f>
        <v>22640</v>
      </c>
      <c r="AN9" s="13">
        <f>24849+1335</f>
        <v>26184</v>
      </c>
      <c r="AO9" s="20">
        <f t="shared" si="4"/>
        <v>0.49380369904445814</v>
      </c>
      <c r="AP9" s="14">
        <v>20261</v>
      </c>
      <c r="AQ9" s="14">
        <v>23411</v>
      </c>
      <c r="AR9" s="14">
        <v>21790</v>
      </c>
      <c r="AS9" s="9"/>
    </row>
    <row r="10" spans="2:45" x14ac:dyDescent="0.35">
      <c r="B10" s="8"/>
      <c r="C10" s="1" t="s">
        <v>20</v>
      </c>
      <c r="D10" s="3">
        <v>3</v>
      </c>
      <c r="E10" s="13">
        <f>37228+8342</f>
        <v>45570</v>
      </c>
      <c r="F10" s="13">
        <v>50291</v>
      </c>
      <c r="G10" s="13">
        <v>15676</v>
      </c>
      <c r="H10" s="13">
        <v>7324</v>
      </c>
      <c r="I10" s="20">
        <f t="shared" si="0"/>
        <v>0.90612634467399733</v>
      </c>
      <c r="J10" s="14">
        <v>10300</v>
      </c>
      <c r="K10" s="14">
        <v>13723</v>
      </c>
      <c r="L10" s="14">
        <v>14450</v>
      </c>
      <c r="M10" s="18">
        <f>33912+11545</f>
        <v>45457</v>
      </c>
      <c r="N10" s="13">
        <f>50337</f>
        <v>50337</v>
      </c>
      <c r="O10" s="13">
        <f>9352+1552</f>
        <v>10904</v>
      </c>
      <c r="P10" s="13">
        <v>6742</v>
      </c>
      <c r="Q10" s="20">
        <f t="shared" si="1"/>
        <v>0.90305341994954014</v>
      </c>
      <c r="R10" s="14">
        <v>10765</v>
      </c>
      <c r="S10" s="14">
        <f>13723</f>
        <v>13723</v>
      </c>
      <c r="T10" s="14">
        <v>11409</v>
      </c>
      <c r="U10" s="13">
        <v>29947</v>
      </c>
      <c r="V10" s="13">
        <v>50838</v>
      </c>
      <c r="W10" s="13">
        <v>12089</v>
      </c>
      <c r="X10" s="13">
        <v>9906</v>
      </c>
      <c r="Y10" s="20">
        <f t="shared" si="2"/>
        <v>0.58906723317203669</v>
      </c>
      <c r="Z10" s="14">
        <v>6839</v>
      </c>
      <c r="AA10" s="14">
        <v>13834</v>
      </c>
      <c r="AB10" s="14">
        <v>7600</v>
      </c>
      <c r="AC10" s="13">
        <f>30732+7719</f>
        <v>38451</v>
      </c>
      <c r="AD10" s="13">
        <v>47429</v>
      </c>
      <c r="AE10" s="13">
        <f>10400+25</f>
        <v>10425</v>
      </c>
      <c r="AF10" s="13">
        <v>6213</v>
      </c>
      <c r="AG10" s="20">
        <f t="shared" si="3"/>
        <v>0.81070652976027324</v>
      </c>
      <c r="AH10" s="14">
        <v>7037</v>
      </c>
      <c r="AI10" s="14">
        <v>10606</v>
      </c>
      <c r="AJ10" s="14">
        <v>7043</v>
      </c>
      <c r="AK10" s="13">
        <f>34149+10352</f>
        <v>44501</v>
      </c>
      <c r="AL10" s="13">
        <v>47377</v>
      </c>
      <c r="AM10" s="13">
        <v>12759</v>
      </c>
      <c r="AN10" s="13">
        <v>6487</v>
      </c>
      <c r="AO10" s="20">
        <f t="shared" si="4"/>
        <v>0.93929543871498833</v>
      </c>
      <c r="AP10" s="14">
        <v>8793</v>
      </c>
      <c r="AQ10" s="14">
        <v>10606</v>
      </c>
      <c r="AR10" s="14">
        <v>8901</v>
      </c>
      <c r="AS10" s="9"/>
    </row>
    <row r="11" spans="2:45" x14ac:dyDescent="0.35">
      <c r="B11" s="8"/>
      <c r="C11" s="1" t="s">
        <v>25</v>
      </c>
      <c r="D11" s="3">
        <v>0</v>
      </c>
      <c r="E11" s="13">
        <v>0</v>
      </c>
      <c r="F11" s="13">
        <v>27577</v>
      </c>
      <c r="G11" s="13">
        <v>119</v>
      </c>
      <c r="H11" s="13">
        <f>22894+1468</f>
        <v>24362</v>
      </c>
      <c r="I11" s="20">
        <f t="shared" si="0"/>
        <v>0</v>
      </c>
      <c r="J11" s="13">
        <v>0</v>
      </c>
      <c r="K11" s="13">
        <v>10754</v>
      </c>
      <c r="L11" s="13">
        <v>0</v>
      </c>
      <c r="M11" s="13">
        <v>0</v>
      </c>
      <c r="N11" s="13">
        <f>27251</f>
        <v>27251</v>
      </c>
      <c r="O11" s="13">
        <v>117</v>
      </c>
      <c r="P11" s="13">
        <v>22691</v>
      </c>
      <c r="Q11" s="20">
        <f t="shared" si="1"/>
        <v>0</v>
      </c>
      <c r="R11" s="13">
        <v>0</v>
      </c>
      <c r="S11" s="14">
        <f>10754</f>
        <v>10754</v>
      </c>
      <c r="T11" s="13">
        <v>0</v>
      </c>
      <c r="U11" s="13">
        <v>0</v>
      </c>
      <c r="V11" s="13">
        <v>27351</v>
      </c>
      <c r="W11" s="13">
        <v>116</v>
      </c>
      <c r="X11" s="15">
        <f>20657+1646</f>
        <v>22303</v>
      </c>
      <c r="Y11" s="20">
        <f t="shared" si="2"/>
        <v>0</v>
      </c>
      <c r="Z11" s="13">
        <v>0</v>
      </c>
      <c r="AA11" s="13">
        <v>10754</v>
      </c>
      <c r="AB11" s="13">
        <v>0</v>
      </c>
      <c r="AC11" s="13">
        <v>0</v>
      </c>
      <c r="AD11" s="13">
        <v>24430</v>
      </c>
      <c r="AE11" s="13">
        <v>60</v>
      </c>
      <c r="AF11" s="13">
        <v>20821</v>
      </c>
      <c r="AG11" s="20">
        <f t="shared" si="3"/>
        <v>0</v>
      </c>
      <c r="AH11" s="13">
        <v>0</v>
      </c>
      <c r="AI11" s="13">
        <v>8245</v>
      </c>
      <c r="AJ11" s="13">
        <v>0</v>
      </c>
      <c r="AK11" s="13">
        <v>0</v>
      </c>
      <c r="AL11" s="13">
        <v>24584</v>
      </c>
      <c r="AM11" s="13">
        <v>58</v>
      </c>
      <c r="AN11" s="13">
        <v>20540</v>
      </c>
      <c r="AO11" s="20">
        <f t="shared" si="4"/>
        <v>0</v>
      </c>
      <c r="AP11" s="13">
        <v>0</v>
      </c>
      <c r="AQ11" s="13">
        <v>8245</v>
      </c>
      <c r="AR11" s="13">
        <v>0</v>
      </c>
      <c r="AS11" s="9"/>
    </row>
    <row r="12" spans="2:45" ht="15" thickBot="1" x14ac:dyDescent="0.4">
      <c r="B12" s="8"/>
      <c r="C12" s="1" t="s">
        <v>21</v>
      </c>
      <c r="D12" s="3">
        <v>1</v>
      </c>
      <c r="E12" s="13">
        <f>27642+1363</f>
        <v>29005</v>
      </c>
      <c r="F12" s="13">
        <v>10564</v>
      </c>
      <c r="G12" s="13">
        <f>33212+2664</f>
        <v>35876</v>
      </c>
      <c r="H12" s="13">
        <f>11035+3608+2020</f>
        <v>16663</v>
      </c>
      <c r="I12" s="20">
        <f t="shared" si="0"/>
        <v>2.7456455887921241</v>
      </c>
      <c r="J12" s="14">
        <v>3941</v>
      </c>
      <c r="K12" s="14">
        <v>6382</v>
      </c>
      <c r="L12" s="14">
        <f>4023+1390</f>
        <v>5413</v>
      </c>
      <c r="M12" s="13">
        <f>18314+3457</f>
        <v>21771</v>
      </c>
      <c r="N12" s="13">
        <f>10536</f>
        <v>10536</v>
      </c>
      <c r="O12" s="13">
        <f>16722+1710</f>
        <v>18432</v>
      </c>
      <c r="P12" s="13">
        <f>4790+231+4102</f>
        <v>9123</v>
      </c>
      <c r="Q12" s="20">
        <f t="shared" si="1"/>
        <v>2.0663439635535306</v>
      </c>
      <c r="R12" s="14">
        <v>1140</v>
      </c>
      <c r="S12" s="14">
        <f>6382</f>
        <v>6382</v>
      </c>
      <c r="T12" s="14">
        <f>1141+1052</f>
        <v>2193</v>
      </c>
      <c r="U12" s="13">
        <f>17060+743</f>
        <v>17803</v>
      </c>
      <c r="V12" s="13">
        <v>10536</v>
      </c>
      <c r="W12" s="13">
        <f>17140+24</f>
        <v>17164</v>
      </c>
      <c r="X12" s="13">
        <f>2756+2550</f>
        <v>5306</v>
      </c>
      <c r="Y12" s="20">
        <f t="shared" si="2"/>
        <v>1.6897304479878512</v>
      </c>
      <c r="Z12" s="14">
        <v>1841</v>
      </c>
      <c r="AA12" s="14">
        <v>6382</v>
      </c>
      <c r="AB12" s="14">
        <f>1842</f>
        <v>1842</v>
      </c>
      <c r="AC12" s="13">
        <f>9930+2360</f>
        <v>12290</v>
      </c>
      <c r="AD12" s="13">
        <f>8968</f>
        <v>8968</v>
      </c>
      <c r="AE12" s="13">
        <f>12560+455</f>
        <v>13015</v>
      </c>
      <c r="AF12" s="13">
        <f>5672+2851</f>
        <v>8523</v>
      </c>
      <c r="AG12" s="20">
        <f t="shared" si="3"/>
        <v>1.3704281891168599</v>
      </c>
      <c r="AH12" s="14">
        <v>600</v>
      </c>
      <c r="AI12" s="14">
        <f>4893</f>
        <v>4893</v>
      </c>
      <c r="AJ12" s="14">
        <v>602</v>
      </c>
      <c r="AK12" s="13">
        <f>14471+2868</f>
        <v>17339</v>
      </c>
      <c r="AL12" s="13">
        <v>8938</v>
      </c>
      <c r="AM12" s="13">
        <v>14347</v>
      </c>
      <c r="AN12" s="13">
        <f>4075+1275</f>
        <v>5350</v>
      </c>
      <c r="AO12" s="20">
        <f t="shared" si="4"/>
        <v>1.9399194450660102</v>
      </c>
      <c r="AP12" s="14">
        <v>1830</v>
      </c>
      <c r="AQ12" s="14">
        <v>4893</v>
      </c>
      <c r="AR12" s="14">
        <v>2068</v>
      </c>
      <c r="AS12" s="9"/>
    </row>
    <row r="13" spans="2:45" ht="15" thickBot="1" x14ac:dyDescent="0.4">
      <c r="B13" s="8"/>
      <c r="D13" s="2">
        <f>SUM(D7:D12)</f>
        <v>20</v>
      </c>
      <c r="E13" s="17">
        <f>SUM(E7:E12)</f>
        <v>295476</v>
      </c>
      <c r="F13" s="17">
        <f>SUM(F7:F12)</f>
        <v>423983</v>
      </c>
      <c r="G13" s="17">
        <f>SUM(G7:G12)</f>
        <v>148150</v>
      </c>
      <c r="H13" s="17">
        <f>SUM(H7:H12)</f>
        <v>146314</v>
      </c>
      <c r="I13" s="21">
        <f>E13/F13</f>
        <v>0.69690530044836707</v>
      </c>
      <c r="J13" s="17">
        <f t="shared" ref="J13:P13" si="5">SUM(J7:J12)</f>
        <v>119582</v>
      </c>
      <c r="K13" s="17">
        <f t="shared" si="5"/>
        <v>128251</v>
      </c>
      <c r="L13" s="17">
        <f t="shared" si="5"/>
        <v>149409</v>
      </c>
      <c r="M13" s="17">
        <f t="shared" si="5"/>
        <v>295676</v>
      </c>
      <c r="N13" s="17">
        <f t="shared" si="5"/>
        <v>422593</v>
      </c>
      <c r="O13" s="17">
        <f t="shared" si="5"/>
        <v>121322</v>
      </c>
      <c r="P13" s="17">
        <f t="shared" si="5"/>
        <v>134791</v>
      </c>
      <c r="Q13" s="19">
        <f t="shared" ref="Q13" si="6">N13/M13</f>
        <v>1.4292434962594192</v>
      </c>
      <c r="R13" s="17">
        <f t="shared" ref="R13:X13" si="7">SUM(R7:R12)</f>
        <v>107252</v>
      </c>
      <c r="S13" s="17">
        <f t="shared" si="7"/>
        <v>128251</v>
      </c>
      <c r="T13" s="17">
        <f t="shared" si="7"/>
        <v>118799</v>
      </c>
      <c r="U13" s="17">
        <f t="shared" si="7"/>
        <v>260027</v>
      </c>
      <c r="V13" s="17">
        <f t="shared" si="7"/>
        <v>410596</v>
      </c>
      <c r="W13" s="17">
        <f t="shared" si="7"/>
        <v>114346</v>
      </c>
      <c r="X13" s="17">
        <f t="shared" si="7"/>
        <v>108053</v>
      </c>
      <c r="Y13" s="21">
        <f>U13/V13</f>
        <v>0.63329160537365192</v>
      </c>
      <c r="Z13" s="17">
        <f t="shared" ref="Z13:AF13" si="8">SUM(Z7:Z12)</f>
        <v>95113</v>
      </c>
      <c r="AA13" s="17">
        <f t="shared" si="8"/>
        <v>128362</v>
      </c>
      <c r="AB13" s="17">
        <f t="shared" si="8"/>
        <v>101773</v>
      </c>
      <c r="AC13" s="17">
        <f t="shared" si="8"/>
        <v>254435</v>
      </c>
      <c r="AD13" s="17">
        <f t="shared" si="8"/>
        <v>379090</v>
      </c>
      <c r="AE13" s="17">
        <f t="shared" si="8"/>
        <v>108154</v>
      </c>
      <c r="AF13" s="17">
        <f t="shared" si="8"/>
        <v>103156</v>
      </c>
      <c r="AG13" s="19">
        <f t="shared" ref="AG13" si="9">AD13/AC13</f>
        <v>1.4899286654744828</v>
      </c>
      <c r="AH13" s="17">
        <f t="shared" ref="AH13:AN13" si="10">SUM(AH7:AH12)</f>
        <v>91902</v>
      </c>
      <c r="AI13" s="17">
        <f t="shared" si="10"/>
        <v>98411</v>
      </c>
      <c r="AJ13" s="17">
        <f t="shared" si="10"/>
        <v>93574</v>
      </c>
      <c r="AK13" s="17">
        <f t="shared" si="10"/>
        <v>248783</v>
      </c>
      <c r="AL13" s="17">
        <f t="shared" si="10"/>
        <v>381058</v>
      </c>
      <c r="AM13" s="17">
        <f t="shared" si="10"/>
        <v>99478</v>
      </c>
      <c r="AN13" s="17">
        <f t="shared" si="10"/>
        <v>97348</v>
      </c>
      <c r="AO13" s="21">
        <f>AK13/AL13</f>
        <v>0.6528743655821424</v>
      </c>
      <c r="AP13" s="17">
        <f>SUM(AP7:AP12)</f>
        <v>83089</v>
      </c>
      <c r="AQ13" s="17">
        <f>SUM(AQ7:AQ12)</f>
        <v>98411</v>
      </c>
      <c r="AR13" s="17">
        <f>SUM(AR7:AR12)</f>
        <v>90811</v>
      </c>
      <c r="AS13" s="9"/>
    </row>
    <row r="14" spans="2:45" ht="7.15" customHeight="1" thickTop="1" x14ac:dyDescent="0.35">
      <c r="B14" s="8"/>
      <c r="AS14" s="9"/>
    </row>
    <row r="15" spans="2:45" x14ac:dyDescent="0.35">
      <c r="B15" s="8"/>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9"/>
    </row>
    <row r="16" spans="2:45" x14ac:dyDescent="0.35">
      <c r="B16" s="8"/>
      <c r="C16" s="27" t="s">
        <v>22</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9"/>
    </row>
    <row r="17" spans="2:45" x14ac:dyDescent="0.35">
      <c r="B17" s="8"/>
      <c r="C17" s="24" t="s">
        <v>23</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9"/>
    </row>
    <row r="18" spans="2:45" x14ac:dyDescent="0.35">
      <c r="B18" s="8"/>
      <c r="C18" s="25" t="s">
        <v>24</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9"/>
    </row>
    <row r="19" spans="2:45" x14ac:dyDescent="0.35">
      <c r="B19" s="8"/>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9"/>
    </row>
    <row r="20" spans="2:45" x14ac:dyDescent="0.35">
      <c r="B20" s="8"/>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9"/>
    </row>
    <row r="21" spans="2:45" ht="7.15" customHeight="1" thickBot="1" x14ac:dyDescent="0.4">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2"/>
    </row>
    <row r="22" spans="2:45" ht="15" thickTop="1" x14ac:dyDescent="0.35"/>
  </sheetData>
  <mergeCells count="24">
    <mergeCell ref="C20:AR20"/>
    <mergeCell ref="C18:AR18"/>
    <mergeCell ref="C19:AR19"/>
    <mergeCell ref="J5:L5"/>
    <mergeCell ref="E4:L4"/>
    <mergeCell ref="C15:AR15"/>
    <mergeCell ref="C16:AR16"/>
    <mergeCell ref="C17:AR17"/>
    <mergeCell ref="AC5:AG5"/>
    <mergeCell ref="AH5:AJ5"/>
    <mergeCell ref="AP5:AR5"/>
    <mergeCell ref="C3:AR3"/>
    <mergeCell ref="D4:D6"/>
    <mergeCell ref="C4:C6"/>
    <mergeCell ref="M4:T4"/>
    <mergeCell ref="U4:AB4"/>
    <mergeCell ref="AC4:AJ4"/>
    <mergeCell ref="M5:Q5"/>
    <mergeCell ref="R5:T5"/>
    <mergeCell ref="U5:Y5"/>
    <mergeCell ref="Z5:AB5"/>
    <mergeCell ref="AK5:AO5"/>
    <mergeCell ref="AK4:AR4"/>
    <mergeCell ref="E5:I5"/>
  </mergeCells>
  <phoneticPr fontId="2" type="noConversion"/>
  <pageMargins left="0.25" right="0.25" top="0.75" bottom="0.75" header="0.3" footer="0.3"/>
  <pageSetup paperSize="155"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Manager/>
  <Company/>
  <LinksUpToDate>false</LinksUpToDate>
  <SharedDoc>false</SharedDoc>
  <HyperlinkBase/>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2023-09-21T00:52:00Z</dcterms:created>
  <dcterms:modified xsi:type="dcterms:W3CDTF">2023-09-21T00:52:00Z</dcterms:modified>
  <cp:category/>
  <cp:contentStatus/>
</cp:coreProperties>
</file>