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codeName="ThisWorkbook" hidePivotFieldList="1"/>
  <xr:revisionPtr revIDLastSave="0" documentId="13_ncr:1_{A91EFAF2-0345-4749-BB68-9C6ABF716633}" xr6:coauthVersionLast="43" xr6:coauthVersionMax="43" xr10:uidLastSave="{00000000-0000-0000-0000-000000000000}"/>
  <bookViews>
    <workbookView xWindow="-120" yWindow="-120" windowWidth="57840" windowHeight="32040" tabRatio="738" xr2:uid="{00000000-000D-0000-FFFF-FFFF00000000}"/>
  </bookViews>
  <sheets>
    <sheet name="CoverSheet" sheetId="46" r:id="rId1"/>
    <sheet name="Table of Contents" sheetId="27" r:id="rId2"/>
    <sheet name="Description" sheetId="37" r:id="rId3"/>
    <sheet name="Inputs" sheetId="29" r:id="rId4"/>
    <sheet name="EDB data" sheetId="30" r:id="rId5"/>
    <sheet name="Network opex" sheetId="33" r:id="rId6"/>
    <sheet name="Non-network opex" sheetId="56" r:id="rId7"/>
    <sheet name="Total opex" sheetId="35" r:id="rId8"/>
    <sheet name="Outputs" sheetId="32" r:id="rId9"/>
  </sheets>
  <definedNames>
    <definedName name="EDB_Name">Outputs!$B$3</definedName>
    <definedName name="_xlnm.Print_Area" localSheetId="0">CoverSheet!$A$1:$D$18</definedName>
    <definedName name="_xlnm.Print_Area" localSheetId="2">Description!$A$1:$F$27</definedName>
    <definedName name="_xlnm.Print_Area" localSheetId="4">'EDB data'!$A$1:$L$51</definedName>
    <definedName name="_xlnm.Print_Area" localSheetId="3">Inputs!$A$1:$Q$69</definedName>
    <definedName name="_xlnm.Print_Area" localSheetId="5">'Network opex'!$A$1:$N$52</definedName>
    <definedName name="_xlnm.Print_Area" localSheetId="6">'Non-network opex'!$A$1:$N$52</definedName>
    <definedName name="_xlnm.Print_Area" localSheetId="8">Outputs!$A$1:$C$136</definedName>
    <definedName name="_xlnm.Print_Area" localSheetId="1">'Table of Contents'!$A$1:$D$26</definedName>
    <definedName name="_xlnm.Print_Area" localSheetId="7">'Total opex'!$A$1:$N$36</definedName>
    <definedName name="_xlnm.Print_Titles" localSheetId="8">Outputs!$5:$5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2" i="29" l="1"/>
  <c r="D52" i="29"/>
  <c r="D44" i="29"/>
  <c r="B36" i="30" l="1"/>
  <c r="B35" i="30"/>
  <c r="B34" i="30"/>
  <c r="B33" i="30"/>
  <c r="B32" i="30"/>
  <c r="B31" i="30"/>
  <c r="B30" i="30"/>
  <c r="B27" i="30"/>
  <c r="B26" i="30"/>
  <c r="B25" i="30"/>
  <c r="B24" i="30"/>
  <c r="B23" i="30"/>
  <c r="B22" i="30"/>
  <c r="B21" i="30"/>
  <c r="B6" i="30" l="1"/>
  <c r="B5" i="30"/>
  <c r="B9" i="30"/>
  <c r="B10" i="30"/>
  <c r="B11" i="30"/>
  <c r="B8" i="30"/>
  <c r="A52" i="29" l="1"/>
  <c r="A44" i="29"/>
  <c r="C14" i="30" l="1"/>
  <c r="D14" i="30"/>
  <c r="E14" i="30"/>
  <c r="F14" i="30"/>
  <c r="G14" i="30"/>
  <c r="H14" i="30"/>
  <c r="I14" i="30"/>
  <c r="J14" i="30"/>
  <c r="C15" i="30"/>
  <c r="D15" i="30"/>
  <c r="E15" i="30"/>
  <c r="F15" i="30"/>
  <c r="G15" i="30"/>
  <c r="H15" i="30"/>
  <c r="I15" i="30"/>
  <c r="J15" i="30"/>
  <c r="B37" i="30" l="1"/>
  <c r="B28" i="30"/>
  <c r="B17" i="30" l="1"/>
  <c r="E13" i="30" l="1"/>
  <c r="E11" i="56" s="1"/>
  <c r="E28" i="56" s="1"/>
  <c r="F40" i="29"/>
  <c r="F31" i="29"/>
  <c r="E11" i="33" l="1"/>
  <c r="E28" i="33" s="1"/>
  <c r="A40" i="29"/>
  <c r="A37" i="30" s="1"/>
  <c r="A31" i="29"/>
  <c r="A28" i="30" s="1"/>
  <c r="A49" i="33" l="1"/>
  <c r="F51" i="29" l="1"/>
  <c r="F50" i="29"/>
  <c r="F42" i="29"/>
  <c r="F43" i="29"/>
  <c r="M30" i="35" l="1"/>
  <c r="M31" i="35"/>
  <c r="F39" i="29" l="1"/>
  <c r="C12" i="30" l="1"/>
  <c r="M36" i="56" l="1"/>
  <c r="M30" i="56"/>
  <c r="M29" i="56"/>
  <c r="M36" i="33"/>
  <c r="M29" i="33"/>
  <c r="M30" i="33"/>
  <c r="A31" i="35" l="1"/>
  <c r="A30" i="35"/>
  <c r="C15" i="35"/>
  <c r="A48" i="56"/>
  <c r="A15" i="35" s="1"/>
  <c r="A47" i="56"/>
  <c r="A14" i="35" s="1"/>
  <c r="C8" i="35"/>
  <c r="A48" i="33"/>
  <c r="A8" i="35" s="1"/>
  <c r="A47" i="33"/>
  <c r="A7" i="35" s="1"/>
  <c r="C23" i="35" l="1"/>
  <c r="C31" i="35" s="1"/>
  <c r="M11" i="35" l="1"/>
  <c r="A28" i="32" s="1"/>
  <c r="M12" i="35"/>
  <c r="M13" i="35"/>
  <c r="A88" i="32" s="1"/>
  <c r="M16" i="35"/>
  <c r="M10" i="35"/>
  <c r="A58" i="32" s="1"/>
  <c r="M4" i="35"/>
  <c r="A18" i="32" s="1"/>
  <c r="M5" i="35"/>
  <c r="M6" i="35"/>
  <c r="A78" i="32" s="1"/>
  <c r="M9" i="35"/>
  <c r="M24" i="35" s="1"/>
  <c r="M3" i="35"/>
  <c r="A48" i="32" s="1"/>
  <c r="A49" i="56"/>
  <c r="A16" i="35" s="1"/>
  <c r="C13" i="35"/>
  <c r="A46" i="56"/>
  <c r="A13" i="35" s="1"/>
  <c r="A87" i="32" s="1"/>
  <c r="C12" i="35"/>
  <c r="A45" i="56"/>
  <c r="A12" i="35" s="1"/>
  <c r="C11" i="35"/>
  <c r="A44" i="56"/>
  <c r="A11" i="35" s="1"/>
  <c r="A27" i="32" s="1"/>
  <c r="C10" i="35"/>
  <c r="A43" i="56"/>
  <c r="A10" i="35" s="1"/>
  <c r="A57" i="32" s="1"/>
  <c r="A25" i="56"/>
  <c r="A24" i="56"/>
  <c r="K1" i="56"/>
  <c r="C6" i="35"/>
  <c r="C5" i="35"/>
  <c r="A45" i="33"/>
  <c r="A5" i="35" s="1"/>
  <c r="A46" i="33"/>
  <c r="A6" i="35" s="1"/>
  <c r="A77" i="32" s="1"/>
  <c r="C21" i="35" l="1"/>
  <c r="C29" i="35" s="1"/>
  <c r="C20" i="35"/>
  <c r="C28" i="35" s="1"/>
  <c r="A9" i="35"/>
  <c r="C4" i="35"/>
  <c r="C19" i="35" s="1"/>
  <c r="C27" i="35" s="1"/>
  <c r="C3" i="35"/>
  <c r="C18" i="35" s="1"/>
  <c r="C26" i="35" s="1"/>
  <c r="A63" i="29" l="1"/>
  <c r="A64" i="29"/>
  <c r="A65" i="29"/>
  <c r="A66" i="29"/>
  <c r="A67" i="29"/>
  <c r="A68" i="29"/>
  <c r="A62" i="29"/>
  <c r="A55" i="29"/>
  <c r="A56" i="29"/>
  <c r="A57" i="29"/>
  <c r="A58" i="29"/>
  <c r="A59" i="29"/>
  <c r="A60" i="29"/>
  <c r="A54" i="29"/>
  <c r="A50" i="30"/>
  <c r="A49" i="30"/>
  <c r="A51" i="29"/>
  <c r="A50" i="29"/>
  <c r="A47" i="30"/>
  <c r="A48" i="30"/>
  <c r="A43" i="29"/>
  <c r="A42" i="29"/>
  <c r="A46" i="29"/>
  <c r="A47" i="29"/>
  <c r="A48" i="29"/>
  <c r="A49" i="29"/>
  <c r="A14" i="56" l="1"/>
  <c r="A15" i="56"/>
  <c r="A15" i="33"/>
  <c r="A14" i="33"/>
  <c r="D12" i="30" l="1"/>
  <c r="M32" i="35" l="1"/>
  <c r="A98" i="32" s="1"/>
  <c r="M27" i="35"/>
  <c r="A8" i="32" s="1"/>
  <c r="M26" i="35"/>
  <c r="A38" i="32" s="1"/>
  <c r="M29" i="35"/>
  <c r="A68" i="32" s="1"/>
  <c r="M28" i="35"/>
  <c r="A29" i="35"/>
  <c r="A67" i="32" s="1"/>
  <c r="A28" i="35"/>
  <c r="E4" i="29" l="1"/>
  <c r="A32" i="35"/>
  <c r="A99" i="32" s="1"/>
  <c r="A27" i="35"/>
  <c r="A7" i="32" s="1"/>
  <c r="A26" i="35"/>
  <c r="D10" i="56" l="1"/>
  <c r="D20" i="56" l="1"/>
  <c r="D42" i="56"/>
  <c r="D38" i="56"/>
  <c r="D22" i="56"/>
  <c r="D27" i="56"/>
  <c r="D34" i="56"/>
  <c r="E12" i="30"/>
  <c r="E10" i="56" s="1"/>
  <c r="E27" i="56" s="1"/>
  <c r="M33" i="56" s="1"/>
  <c r="M31" i="56" l="1"/>
  <c r="D25" i="56"/>
  <c r="E38" i="56"/>
  <c r="E42" i="56"/>
  <c r="E22" i="56"/>
  <c r="E20" i="56"/>
  <c r="M21" i="56" s="1"/>
  <c r="E34" i="56"/>
  <c r="F12" i="30"/>
  <c r="F10" i="56" s="1"/>
  <c r="E25" i="56" l="1"/>
  <c r="A32" i="56"/>
  <c r="F20" i="56"/>
  <c r="F22" i="56"/>
  <c r="F25" i="56" s="1"/>
  <c r="F42" i="56"/>
  <c r="F34" i="56"/>
  <c r="F38" i="56"/>
  <c r="G12" i="30"/>
  <c r="G10" i="56" s="1"/>
  <c r="A129" i="32"/>
  <c r="G42" i="56" l="1"/>
  <c r="G20" i="56"/>
  <c r="G38" i="56"/>
  <c r="G34" i="56"/>
  <c r="G22" i="56"/>
  <c r="G25" i="56" s="1"/>
  <c r="H12" i="30"/>
  <c r="H10" i="56" s="1"/>
  <c r="H22" i="56" l="1"/>
  <c r="H25" i="56" s="1"/>
  <c r="H42" i="56"/>
  <c r="H34" i="56"/>
  <c r="H20" i="56"/>
  <c r="H38" i="56"/>
  <c r="I12" i="30"/>
  <c r="I10" i="56" s="1"/>
  <c r="I38" i="56" l="1"/>
  <c r="I20" i="56"/>
  <c r="I42" i="56"/>
  <c r="I22" i="56"/>
  <c r="I24" i="56" s="1"/>
  <c r="I34" i="56"/>
  <c r="J12" i="30"/>
  <c r="A44" i="33"/>
  <c r="A4" i="35" s="1"/>
  <c r="A17" i="32" s="1"/>
  <c r="A43" i="33"/>
  <c r="A3" i="35" s="1"/>
  <c r="A47" i="32" s="1"/>
  <c r="J10" i="56" l="1"/>
  <c r="J38" i="56" s="1"/>
  <c r="K12" i="30"/>
  <c r="K10" i="56" s="1"/>
  <c r="A29" i="30"/>
  <c r="A12" i="56" s="1"/>
  <c r="I1" i="30"/>
  <c r="A34" i="29"/>
  <c r="A35" i="29"/>
  <c r="A36" i="29"/>
  <c r="A37" i="29"/>
  <c r="A38" i="29"/>
  <c r="A39" i="29"/>
  <c r="A33" i="29"/>
  <c r="A25" i="29"/>
  <c r="A26" i="29"/>
  <c r="A27" i="29"/>
  <c r="A28" i="29"/>
  <c r="A29" i="29"/>
  <c r="A30" i="29"/>
  <c r="A24" i="29"/>
  <c r="D13" i="30"/>
  <c r="D11" i="56" s="1"/>
  <c r="D28" i="56" s="1"/>
  <c r="F34" i="29"/>
  <c r="F35" i="29"/>
  <c r="F36" i="29"/>
  <c r="F37" i="29"/>
  <c r="F38" i="29"/>
  <c r="F33" i="29"/>
  <c r="F25" i="29"/>
  <c r="F26" i="29"/>
  <c r="F27" i="29"/>
  <c r="F28" i="29"/>
  <c r="F29" i="29"/>
  <c r="F30" i="29"/>
  <c r="F24" i="29"/>
  <c r="J22" i="56" l="1"/>
  <c r="J24" i="56" s="1"/>
  <c r="J42" i="56"/>
  <c r="J20" i="56"/>
  <c r="J34" i="56"/>
  <c r="A51" i="56" s="1"/>
  <c r="A104" i="32" s="1"/>
  <c r="M51" i="56"/>
  <c r="K42" i="56"/>
  <c r="K34" i="56"/>
  <c r="K38" i="56"/>
  <c r="K20" i="56"/>
  <c r="K22" i="56"/>
  <c r="A27" i="30"/>
  <c r="A23" i="30"/>
  <c r="A26" i="30"/>
  <c r="A22" i="30"/>
  <c r="A25" i="30"/>
  <c r="A36" i="30"/>
  <c r="A24" i="30"/>
  <c r="A121" i="32"/>
  <c r="A128" i="32" l="1"/>
  <c r="A120" i="32"/>
  <c r="A45" i="30"/>
  <c r="A136" i="32" s="1"/>
  <c r="E6" i="29"/>
  <c r="F6" i="29" l="1"/>
  <c r="C46" i="30"/>
  <c r="D46" i="30" l="1"/>
  <c r="G6" i="29"/>
  <c r="E46" i="30" l="1"/>
  <c r="H6" i="29"/>
  <c r="F46" i="30" l="1"/>
  <c r="I6" i="29"/>
  <c r="G46" i="30" l="1"/>
  <c r="J6" i="29"/>
  <c r="H46" i="30" l="1"/>
  <c r="K6" i="29"/>
  <c r="L6" i="29" l="1"/>
  <c r="I46" i="30"/>
  <c r="M6" i="29" l="1"/>
  <c r="J46" i="30"/>
  <c r="N6" i="29" l="1"/>
  <c r="K2" i="35"/>
  <c r="K10" i="33"/>
  <c r="K20" i="33" s="1"/>
  <c r="O6" i="29" l="1"/>
  <c r="K38" i="33"/>
  <c r="K34" i="33"/>
  <c r="K42" i="33"/>
  <c r="K22" i="33"/>
  <c r="K25" i="35"/>
  <c r="K17" i="35"/>
  <c r="P6" i="29" l="1"/>
  <c r="B120" i="32"/>
  <c r="A30" i="30" l="1"/>
  <c r="A31" i="30"/>
  <c r="A32" i="30"/>
  <c r="A33" i="30"/>
  <c r="A21" i="30"/>
  <c r="B40" i="30" l="1"/>
  <c r="A40" i="30"/>
  <c r="A131" i="32" s="1"/>
  <c r="B42" i="30"/>
  <c r="A42" i="30"/>
  <c r="A133" i="32" s="1"/>
  <c r="B41" i="30"/>
  <c r="A41" i="30"/>
  <c r="A132" i="32" s="1"/>
  <c r="B39" i="30"/>
  <c r="A39" i="30"/>
  <c r="A130" i="32" s="1"/>
  <c r="A116" i="32"/>
  <c r="A115" i="32"/>
  <c r="A124" i="32"/>
  <c r="A123" i="32"/>
  <c r="A114" i="32"/>
  <c r="A122" i="32"/>
  <c r="A117" i="32"/>
  <c r="A125" i="32"/>
  <c r="B130" i="32" l="1"/>
  <c r="B133" i="32"/>
  <c r="B132" i="32"/>
  <c r="B131" i="32"/>
  <c r="A15" i="30" l="1"/>
  <c r="A13" i="56" s="1"/>
  <c r="A20" i="56" s="1"/>
  <c r="A21" i="56" s="1"/>
  <c r="A14" i="30"/>
  <c r="A37" i="32" l="1"/>
  <c r="A25" i="33"/>
  <c r="A24" i="33"/>
  <c r="A13" i="33"/>
  <c r="A20" i="33" s="1"/>
  <c r="A13" i="30"/>
  <c r="A28" i="56" l="1"/>
  <c r="A11" i="56"/>
  <c r="A28" i="33"/>
  <c r="A11" i="33"/>
  <c r="E2" i="35" l="1"/>
  <c r="E10" i="33"/>
  <c r="E20" i="33" l="1"/>
  <c r="E27" i="33"/>
  <c r="M31" i="33" s="1"/>
  <c r="A71" i="32"/>
  <c r="A11" i="32"/>
  <c r="A81" i="32"/>
  <c r="A31" i="32"/>
  <c r="A21" i="32"/>
  <c r="A91" i="32"/>
  <c r="A51" i="32"/>
  <c r="A61" i="32"/>
  <c r="A41" i="32"/>
  <c r="E25" i="35"/>
  <c r="E17" i="35"/>
  <c r="E42" i="33"/>
  <c r="E22" i="33"/>
  <c r="E34" i="33"/>
  <c r="E38" i="33"/>
  <c r="A107" i="32" l="1"/>
  <c r="A106" i="32"/>
  <c r="E25" i="33"/>
  <c r="A32" i="33"/>
  <c r="M21" i="33"/>
  <c r="A21" i="33"/>
  <c r="C13" i="30"/>
  <c r="A34" i="30"/>
  <c r="A35" i="30"/>
  <c r="K1" i="33"/>
  <c r="K1" i="35"/>
  <c r="A17" i="30"/>
  <c r="A20" i="30"/>
  <c r="A19" i="30"/>
  <c r="A18" i="30"/>
  <c r="A5" i="30"/>
  <c r="A6" i="30"/>
  <c r="A8" i="30"/>
  <c r="A9" i="30"/>
  <c r="A10" i="30"/>
  <c r="A11" i="30"/>
  <c r="E12" i="56" l="1"/>
  <c r="A6" i="33"/>
  <c r="A7" i="56"/>
  <c r="A8" i="56"/>
  <c r="A6" i="56"/>
  <c r="B4" i="56"/>
  <c r="A4" i="56"/>
  <c r="A23" i="56" s="1"/>
  <c r="M23" i="56" s="1"/>
  <c r="A5" i="56"/>
  <c r="A5" i="33"/>
  <c r="A9" i="56"/>
  <c r="A44" i="30"/>
  <c r="A135" i="32" s="1"/>
  <c r="B43" i="30"/>
  <c r="A43" i="30"/>
  <c r="A134" i="32" s="1"/>
  <c r="A12" i="33"/>
  <c r="E12" i="33" s="1"/>
  <c r="A113" i="32"/>
  <c r="A4" i="33"/>
  <c r="A127" i="32"/>
  <c r="A118" i="32"/>
  <c r="A126" i="32"/>
  <c r="A119" i="32"/>
  <c r="A9" i="33"/>
  <c r="A8" i="33"/>
  <c r="A7" i="33"/>
  <c r="C2" i="35"/>
  <c r="D10" i="33"/>
  <c r="D20" i="33" s="1"/>
  <c r="D2" i="35"/>
  <c r="D11" i="33"/>
  <c r="B134" i="32" l="1"/>
  <c r="A89" i="32"/>
  <c r="A19" i="32"/>
  <c r="A49" i="32"/>
  <c r="B49" i="32" s="1"/>
  <c r="A29" i="32"/>
  <c r="A69" i="32"/>
  <c r="B69" i="32" s="1"/>
  <c r="A79" i="32"/>
  <c r="B79" i="32" s="1"/>
  <c r="A59" i="32"/>
  <c r="B59" i="32" s="1"/>
  <c r="A39" i="32"/>
  <c r="B39" i="32" s="1"/>
  <c r="A20" i="32"/>
  <c r="A70" i="32"/>
  <c r="A50" i="32"/>
  <c r="A60" i="32"/>
  <c r="A80" i="32"/>
  <c r="A90" i="32"/>
  <c r="A30" i="32"/>
  <c r="A40" i="32"/>
  <c r="B5" i="56"/>
  <c r="B6" i="56"/>
  <c r="B5" i="33"/>
  <c r="A23" i="33"/>
  <c r="M23" i="33" s="1"/>
  <c r="B4" i="33"/>
  <c r="D12" i="33"/>
  <c r="B6" i="33"/>
  <c r="J23" i="56"/>
  <c r="K23" i="56"/>
  <c r="G23" i="56"/>
  <c r="F23" i="56"/>
  <c r="E23" i="56"/>
  <c r="I23" i="56"/>
  <c r="D23" i="56"/>
  <c r="H23" i="56"/>
  <c r="D17" i="35"/>
  <c r="C17" i="35"/>
  <c r="D28" i="33"/>
  <c r="D34" i="33"/>
  <c r="D22" i="33"/>
  <c r="D27" i="33"/>
  <c r="C25" i="35"/>
  <c r="D25" i="35"/>
  <c r="D42" i="33"/>
  <c r="D38" i="33"/>
  <c r="M33" i="33" l="1"/>
  <c r="B19" i="32"/>
  <c r="B89" i="32"/>
  <c r="B29" i="32"/>
  <c r="E23" i="33"/>
  <c r="K23" i="33"/>
  <c r="F23" i="33"/>
  <c r="H23" i="33"/>
  <c r="J23" i="33"/>
  <c r="I23" i="33"/>
  <c r="D23" i="33"/>
  <c r="G23" i="33"/>
  <c r="F10" i="33"/>
  <c r="F20" i="33" s="1"/>
  <c r="F2" i="35"/>
  <c r="A82" i="32" l="1"/>
  <c r="A52" i="32"/>
  <c r="A72" i="32"/>
  <c r="A12" i="32"/>
  <c r="A92" i="32"/>
  <c r="A62" i="32"/>
  <c r="A22" i="32"/>
  <c r="A32" i="32"/>
  <c r="A42" i="32"/>
  <c r="F22" i="33"/>
  <c r="F17" i="35"/>
  <c r="F38" i="33"/>
  <c r="F42" i="33"/>
  <c r="F34" i="33"/>
  <c r="G10" i="33"/>
  <c r="G20" i="33" s="1"/>
  <c r="G2" i="35"/>
  <c r="F25" i="35"/>
  <c r="B116" i="32"/>
  <c r="B114" i="32"/>
  <c r="B122" i="32"/>
  <c r="B124" i="32"/>
  <c r="B115" i="32"/>
  <c r="B123" i="32"/>
  <c r="B119" i="32"/>
  <c r="B125" i="32"/>
  <c r="B117" i="32"/>
  <c r="B126" i="32"/>
  <c r="B118" i="32"/>
  <c r="A93" i="32" l="1"/>
  <c r="A73" i="32"/>
  <c r="A83" i="32"/>
  <c r="A63" i="32"/>
  <c r="A13" i="32"/>
  <c r="A23" i="32"/>
  <c r="A53" i="32"/>
  <c r="A33" i="32"/>
  <c r="A43" i="32"/>
  <c r="G22" i="33"/>
  <c r="G17" i="35"/>
  <c r="G34" i="33"/>
  <c r="G38" i="33"/>
  <c r="G42" i="33"/>
  <c r="H10" i="33"/>
  <c r="H20" i="33" s="1"/>
  <c r="H2" i="35"/>
  <c r="G25" i="35"/>
  <c r="A34" i="32" l="1"/>
  <c r="A24" i="32"/>
  <c r="A14" i="32"/>
  <c r="A84" i="32"/>
  <c r="A94" i="32"/>
  <c r="A74" i="32"/>
  <c r="A54" i="32"/>
  <c r="A64" i="32"/>
  <c r="A44" i="32"/>
  <c r="H22" i="33"/>
  <c r="H25" i="33" s="1"/>
  <c r="H17" i="35"/>
  <c r="H25" i="35"/>
  <c r="H38" i="33"/>
  <c r="H34" i="33"/>
  <c r="H42" i="33"/>
  <c r="I10" i="33"/>
  <c r="I20" i="33" s="1"/>
  <c r="I2" i="35"/>
  <c r="G25" i="33"/>
  <c r="F25" i="33"/>
  <c r="D25" i="33"/>
  <c r="M34" i="35" l="1"/>
  <c r="A34" i="35"/>
  <c r="A35" i="32"/>
  <c r="A65" i="32"/>
  <c r="A15" i="32"/>
  <c r="A95" i="32"/>
  <c r="A75" i="32"/>
  <c r="A85" i="32"/>
  <c r="A55" i="32"/>
  <c r="A25" i="32"/>
  <c r="A45" i="32"/>
  <c r="I22" i="33"/>
  <c r="I17" i="35"/>
  <c r="I25" i="35"/>
  <c r="I42" i="33"/>
  <c r="I34" i="33"/>
  <c r="I38" i="33"/>
  <c r="J10" i="33"/>
  <c r="J20" i="33" s="1"/>
  <c r="J2" i="35"/>
  <c r="A26" i="32" l="1"/>
  <c r="A96" i="32"/>
  <c r="A36" i="32"/>
  <c r="A86" i="32"/>
  <c r="A56" i="32"/>
  <c r="A76" i="32"/>
  <c r="A16" i="32"/>
  <c r="A66" i="32"/>
  <c r="A46" i="32"/>
  <c r="A109" i="32"/>
  <c r="J22" i="33"/>
  <c r="J17" i="35"/>
  <c r="J25" i="35"/>
  <c r="M35" i="35" s="1"/>
  <c r="I24" i="33"/>
  <c r="J34" i="33"/>
  <c r="J38" i="33"/>
  <c r="J42" i="33"/>
  <c r="M51" i="33" l="1"/>
  <c r="A51" i="33"/>
  <c r="A103" i="32" s="1"/>
  <c r="A35" i="35"/>
  <c r="J24" i="33"/>
  <c r="A110" i="32" l="1"/>
  <c r="B128" i="32" l="1"/>
  <c r="B45" i="30"/>
  <c r="B136" i="32" s="1"/>
  <c r="D12" i="56"/>
  <c r="B44" i="30"/>
  <c r="B135" i="32" s="1"/>
  <c r="B127" i="32"/>
  <c r="B18" i="30" l="1"/>
  <c r="B19" i="30"/>
  <c r="B8" i="56" l="1"/>
  <c r="B9" i="56"/>
  <c r="B8" i="33" l="1"/>
  <c r="B9" i="33"/>
  <c r="E48" i="30" l="1"/>
  <c r="E14" i="56" s="1"/>
  <c r="E47" i="30"/>
  <c r="E14" i="33" s="1"/>
  <c r="B7" i="33"/>
  <c r="B7" i="56"/>
  <c r="I49" i="30"/>
  <c r="I15" i="33" s="1"/>
  <c r="F50" i="30"/>
  <c r="F15" i="56" s="1"/>
  <c r="G49" i="30"/>
  <c r="G15" i="33" s="1"/>
  <c r="F49" i="30"/>
  <c r="F15" i="33" s="1"/>
  <c r="H49" i="30"/>
  <c r="H15" i="33" s="1"/>
  <c r="J49" i="30"/>
  <c r="J15" i="33" s="1"/>
  <c r="C50" i="30"/>
  <c r="H50" i="30"/>
  <c r="H15" i="56" s="1"/>
  <c r="J50" i="30"/>
  <c r="J15" i="56" s="1"/>
  <c r="I50" i="30"/>
  <c r="I15" i="56" s="1"/>
  <c r="D49" i="30"/>
  <c r="D15" i="33" s="1"/>
  <c r="C49" i="30"/>
  <c r="D50" i="30"/>
  <c r="D15" i="56" s="1"/>
  <c r="K15" i="56"/>
  <c r="C48" i="30"/>
  <c r="C47" i="30"/>
  <c r="K15" i="33"/>
  <c r="E49" i="30"/>
  <c r="E15" i="33" s="1"/>
  <c r="G50" i="30"/>
  <c r="G15" i="56" s="1"/>
  <c r="D48" i="30"/>
  <c r="D14" i="56" s="1"/>
  <c r="D47" i="30"/>
  <c r="D14" i="33" s="1"/>
  <c r="E50" i="30"/>
  <c r="E15" i="56" s="1"/>
  <c r="B18" i="56" l="1"/>
  <c r="K24" i="56" s="1"/>
  <c r="B19" i="56"/>
  <c r="B18" i="33"/>
  <c r="K24" i="33" s="1"/>
  <c r="B19" i="33"/>
  <c r="K25" i="33" l="1"/>
  <c r="K26" i="33" s="1"/>
  <c r="I25" i="33"/>
  <c r="I26" i="33" s="1"/>
  <c r="J25" i="33"/>
  <c r="J26" i="33" s="1"/>
  <c r="E24" i="33"/>
  <c r="E26" i="33" s="1"/>
  <c r="D31" i="33" s="1"/>
  <c r="G24" i="33"/>
  <c r="G26" i="33" s="1"/>
  <c r="F24" i="33"/>
  <c r="F26" i="33" s="1"/>
  <c r="D24" i="33"/>
  <c r="D26" i="33" s="1"/>
  <c r="H24" i="33"/>
  <c r="H26" i="33" s="1"/>
  <c r="K25" i="56"/>
  <c r="K26" i="56" s="1"/>
  <c r="J25" i="56"/>
  <c r="J26" i="56" s="1"/>
  <c r="I25" i="56"/>
  <c r="I26" i="56" s="1"/>
  <c r="G24" i="56"/>
  <c r="G26" i="56" s="1"/>
  <c r="F24" i="56"/>
  <c r="F26" i="56" s="1"/>
  <c r="D24" i="56"/>
  <c r="D26" i="56" s="1"/>
  <c r="E24" i="56"/>
  <c r="E26" i="56" s="1"/>
  <c r="D31" i="56" s="1"/>
  <c r="H24" i="56"/>
  <c r="H26" i="56" s="1"/>
  <c r="K14" i="30" l="1"/>
  <c r="K15" i="30" l="1"/>
  <c r="K13" i="56" s="1"/>
  <c r="K13" i="33"/>
  <c r="C14" i="35" l="1"/>
  <c r="D35" i="56" l="1"/>
  <c r="D45" i="56" l="1"/>
  <c r="D12" i="35" s="1"/>
  <c r="C7" i="35" l="1"/>
  <c r="C22" i="35" s="1"/>
  <c r="C30" i="35" s="1"/>
  <c r="D45" i="33" l="1"/>
  <c r="D5" i="35" s="1"/>
  <c r="D20" i="35" s="1"/>
  <c r="D28" i="35" s="1"/>
  <c r="E13" i="56" l="1"/>
  <c r="E21" i="56" s="1"/>
  <c r="D13" i="56"/>
  <c r="E30" i="56" l="1"/>
  <c r="E47" i="56" s="1"/>
  <c r="E14" i="35" s="1"/>
  <c r="E36" i="56"/>
  <c r="E48" i="56" s="1"/>
  <c r="E15" i="35" s="1"/>
  <c r="E29" i="56"/>
  <c r="D21" i="56"/>
  <c r="D30" i="56" s="1"/>
  <c r="D47" i="56" s="1"/>
  <c r="D14" i="35" s="1"/>
  <c r="K21" i="56"/>
  <c r="K36" i="56" s="1"/>
  <c r="K48" i="56" s="1"/>
  <c r="K15" i="35" s="1"/>
  <c r="E32" i="56" l="1"/>
  <c r="D40" i="56"/>
  <c r="D46" i="56" s="1"/>
  <c r="D13" i="35" s="1"/>
  <c r="B90" i="32" s="1"/>
  <c r="D36" i="56"/>
  <c r="D48" i="56" s="1"/>
  <c r="D15" i="35" s="1"/>
  <c r="D29" i="56"/>
  <c r="D32" i="56" s="1"/>
  <c r="F13" i="56"/>
  <c r="F21" i="56" s="1"/>
  <c r="F36" i="56" s="1"/>
  <c r="F48" i="56" s="1"/>
  <c r="F15" i="35" s="1"/>
  <c r="E33" i="56" l="1"/>
  <c r="E35" i="56" s="1"/>
  <c r="D37" i="56"/>
  <c r="D39" i="56" s="1"/>
  <c r="D44" i="56" s="1"/>
  <c r="D11" i="35" s="1"/>
  <c r="B30" i="32" s="1"/>
  <c r="G13" i="56"/>
  <c r="G21" i="56" s="1"/>
  <c r="G36" i="56" s="1"/>
  <c r="G48" i="56" s="1"/>
  <c r="G15" i="35" s="1"/>
  <c r="E49" i="56" l="1"/>
  <c r="E16" i="35" s="1"/>
  <c r="D43" i="56"/>
  <c r="D10" i="35" s="1"/>
  <c r="B60" i="32" s="1"/>
  <c r="H13" i="56"/>
  <c r="H21" i="56" s="1"/>
  <c r="H36" i="56" s="1"/>
  <c r="H48" i="56" s="1"/>
  <c r="H15" i="35" s="1"/>
  <c r="E37" i="56"/>
  <c r="E40" i="56"/>
  <c r="E46" i="56" s="1"/>
  <c r="E13" i="35" s="1"/>
  <c r="B91" i="32" s="1"/>
  <c r="F35" i="56"/>
  <c r="E45" i="56"/>
  <c r="E12" i="35" s="1"/>
  <c r="J13" i="56" l="1"/>
  <c r="J21" i="56" s="1"/>
  <c r="J36" i="56" s="1"/>
  <c r="J48" i="56" s="1"/>
  <c r="J15" i="35" s="1"/>
  <c r="I13" i="56"/>
  <c r="I21" i="56" s="1"/>
  <c r="I36" i="56" s="1"/>
  <c r="I48" i="56" s="1"/>
  <c r="I15" i="35" s="1"/>
  <c r="F45" i="56"/>
  <c r="F12" i="35" s="1"/>
  <c r="F37" i="56"/>
  <c r="G35" i="56"/>
  <c r="F40" i="56"/>
  <c r="F46" i="56" s="1"/>
  <c r="F13" i="35" s="1"/>
  <c r="B92" i="32" s="1"/>
  <c r="E43" i="56"/>
  <c r="E10" i="35" s="1"/>
  <c r="B61" i="32" s="1"/>
  <c r="E39" i="56"/>
  <c r="E44" i="56" s="1"/>
  <c r="E11" i="35" s="1"/>
  <c r="B31" i="32" s="1"/>
  <c r="G40" i="56" l="1"/>
  <c r="G46" i="56" s="1"/>
  <c r="G13" i="35" s="1"/>
  <c r="B93" i="32" s="1"/>
  <c r="G37" i="56"/>
  <c r="H35" i="56"/>
  <c r="G45" i="56"/>
  <c r="G12" i="35" s="1"/>
  <c r="F39" i="56"/>
  <c r="F44" i="56" s="1"/>
  <c r="F11" i="35" s="1"/>
  <c r="B32" i="32" s="1"/>
  <c r="F43" i="56"/>
  <c r="F10" i="35" s="1"/>
  <c r="B62" i="32" s="1"/>
  <c r="H40" i="56" l="1"/>
  <c r="H46" i="56" s="1"/>
  <c r="H13" i="35" s="1"/>
  <c r="B94" i="32" s="1"/>
  <c r="I35" i="56"/>
  <c r="H45" i="56"/>
  <c r="H12" i="35" s="1"/>
  <c r="H37" i="56"/>
  <c r="G39" i="56"/>
  <c r="G44" i="56" s="1"/>
  <c r="G11" i="35" s="1"/>
  <c r="B33" i="32" s="1"/>
  <c r="G43" i="56"/>
  <c r="G10" i="35" s="1"/>
  <c r="B63" i="32" s="1"/>
  <c r="J35" i="56" l="1"/>
  <c r="I45" i="56"/>
  <c r="I12" i="35" s="1"/>
  <c r="I40" i="56"/>
  <c r="I46" i="56" s="1"/>
  <c r="I13" i="35" s="1"/>
  <c r="B95" i="32" s="1"/>
  <c r="I37" i="56"/>
  <c r="H39" i="56"/>
  <c r="H44" i="56" s="1"/>
  <c r="H11" i="35" s="1"/>
  <c r="B34" i="32" s="1"/>
  <c r="H43" i="56"/>
  <c r="H10" i="35" s="1"/>
  <c r="B64" i="32" s="1"/>
  <c r="K35" i="56" l="1"/>
  <c r="J37" i="56"/>
  <c r="B51" i="56"/>
  <c r="B104" i="32" s="1"/>
  <c r="J45" i="56"/>
  <c r="J12" i="35" s="1"/>
  <c r="J40" i="56"/>
  <c r="J46" i="56" s="1"/>
  <c r="J13" i="35" s="1"/>
  <c r="B96" i="32" s="1"/>
  <c r="I43" i="56"/>
  <c r="I10" i="35" s="1"/>
  <c r="B65" i="32" s="1"/>
  <c r="I39" i="56"/>
  <c r="I44" i="56" s="1"/>
  <c r="I11" i="35" s="1"/>
  <c r="B35" i="32" s="1"/>
  <c r="J43" i="56" l="1"/>
  <c r="J10" i="35" s="1"/>
  <c r="B66" i="32" s="1"/>
  <c r="J39" i="56"/>
  <c r="J44" i="56" s="1"/>
  <c r="J11" i="35" s="1"/>
  <c r="B36" i="32" s="1"/>
  <c r="K45" i="56"/>
  <c r="K12" i="35" s="1"/>
  <c r="K40" i="56"/>
  <c r="K46" i="56" s="1"/>
  <c r="K13" i="35" s="1"/>
  <c r="K37" i="56"/>
  <c r="K39" i="56" l="1"/>
  <c r="K44" i="56" s="1"/>
  <c r="K11" i="35" s="1"/>
  <c r="K43" i="56"/>
  <c r="K10" i="35" s="1"/>
  <c r="D13" i="33" l="1"/>
  <c r="K21" i="33" s="1"/>
  <c r="K36" i="33" s="1"/>
  <c r="K48" i="33" s="1"/>
  <c r="K8" i="35" s="1"/>
  <c r="K23" i="35" s="1"/>
  <c r="K31" i="35" s="1"/>
  <c r="E13" i="33" l="1"/>
  <c r="F13" i="33" l="1"/>
  <c r="F21" i="33" s="1"/>
  <c r="F36" i="33" s="1"/>
  <c r="F48" i="33" s="1"/>
  <c r="F8" i="35" s="1"/>
  <c r="F23" i="35" s="1"/>
  <c r="F31" i="35" s="1"/>
  <c r="E21" i="33"/>
  <c r="D21" i="33"/>
  <c r="E36" i="33" l="1"/>
  <c r="E48" i="33" s="1"/>
  <c r="E8" i="35" s="1"/>
  <c r="E23" i="35" s="1"/>
  <c r="E31" i="35" s="1"/>
  <c r="B107" i="32" s="1"/>
  <c r="E30" i="33"/>
  <c r="E47" i="33" s="1"/>
  <c r="E7" i="35" s="1"/>
  <c r="E22" i="35" s="1"/>
  <c r="E30" i="35" s="1"/>
  <c r="B106" i="32" s="1"/>
  <c r="E29" i="33"/>
  <c r="G13" i="33"/>
  <c r="G21" i="33" s="1"/>
  <c r="G36" i="33" s="1"/>
  <c r="G48" i="33" s="1"/>
  <c r="G8" i="35" s="1"/>
  <c r="G23" i="35" s="1"/>
  <c r="G31" i="35" s="1"/>
  <c r="D40" i="33"/>
  <c r="D46" i="33" s="1"/>
  <c r="D6" i="35" s="1"/>
  <c r="D29" i="33"/>
  <c r="D30" i="33"/>
  <c r="D47" i="33" s="1"/>
  <c r="D7" i="35" s="1"/>
  <c r="D22" i="35" s="1"/>
  <c r="D30" i="35" s="1"/>
  <c r="D36" i="33"/>
  <c r="E32" i="33" l="1"/>
  <c r="D37" i="33"/>
  <c r="D48" i="33"/>
  <c r="D8" i="35" s="1"/>
  <c r="D23" i="35" s="1"/>
  <c r="D31" i="35" s="1"/>
  <c r="H13" i="33"/>
  <c r="H21" i="33" s="1"/>
  <c r="H36" i="33" s="1"/>
  <c r="H48" i="33" s="1"/>
  <c r="H8" i="35" s="1"/>
  <c r="H23" i="35" s="1"/>
  <c r="H31" i="35" s="1"/>
  <c r="D21" i="35"/>
  <c r="B80" i="32"/>
  <c r="D32" i="33"/>
  <c r="E33" i="33" l="1"/>
  <c r="E49" i="33" s="1"/>
  <c r="E9" i="35" s="1"/>
  <c r="E24" i="35" s="1"/>
  <c r="E32" i="35" s="1"/>
  <c r="B99" i="32" s="1"/>
  <c r="I13" i="33"/>
  <c r="I21" i="33" s="1"/>
  <c r="I36" i="33" s="1"/>
  <c r="I48" i="33" s="1"/>
  <c r="I8" i="35" s="1"/>
  <c r="I23" i="35" s="1"/>
  <c r="I31" i="35" s="1"/>
  <c r="B70" i="32"/>
  <c r="D29" i="35"/>
  <c r="J13" i="33"/>
  <c r="J21" i="33" s="1"/>
  <c r="J36" i="33" s="1"/>
  <c r="J48" i="33" s="1"/>
  <c r="J8" i="35" s="1"/>
  <c r="J23" i="35" s="1"/>
  <c r="J31" i="35" s="1"/>
  <c r="D39" i="33"/>
  <c r="D44" i="33" s="1"/>
  <c r="D4" i="35" s="1"/>
  <c r="D43" i="33"/>
  <c r="D3" i="35" s="1"/>
  <c r="E35" i="33" l="1"/>
  <c r="E45" i="33" s="1"/>
  <c r="E5" i="35" s="1"/>
  <c r="E20" i="35" s="1"/>
  <c r="E28" i="35" s="1"/>
  <c r="B50" i="32"/>
  <c r="D18" i="35"/>
  <c r="D19" i="35"/>
  <c r="B20" i="32"/>
  <c r="E37" i="33" l="1"/>
  <c r="E39" i="33" s="1"/>
  <c r="E44" i="33" s="1"/>
  <c r="E4" i="35" s="1"/>
  <c r="F35" i="33"/>
  <c r="F40" i="33" s="1"/>
  <c r="F46" i="33" s="1"/>
  <c r="F6" i="35" s="1"/>
  <c r="E40" i="33"/>
  <c r="E46" i="33" s="1"/>
  <c r="E6" i="35" s="1"/>
  <c r="E21" i="35" s="1"/>
  <c r="D27" i="35"/>
  <c r="B40" i="32"/>
  <c r="D26" i="35"/>
  <c r="E43" i="33" l="1"/>
  <c r="E3" i="35" s="1"/>
  <c r="F45" i="33"/>
  <c r="F5" i="35" s="1"/>
  <c r="F20" i="35" s="1"/>
  <c r="F28" i="35" s="1"/>
  <c r="B81" i="32"/>
  <c r="F37" i="33"/>
  <c r="F43" i="33" s="1"/>
  <c r="F3" i="35" s="1"/>
  <c r="G35" i="33"/>
  <c r="H35" i="33" s="1"/>
  <c r="B82" i="32"/>
  <c r="F21" i="35"/>
  <c r="E19" i="35"/>
  <c r="B21" i="32"/>
  <c r="B71" i="32"/>
  <c r="E29" i="35"/>
  <c r="F39" i="33"/>
  <c r="F44" i="33" s="1"/>
  <c r="F4" i="35" s="1"/>
  <c r="E18" i="35"/>
  <c r="B51" i="32"/>
  <c r="G40" i="33" l="1"/>
  <c r="G46" i="33" s="1"/>
  <c r="G6" i="35" s="1"/>
  <c r="G45" i="33"/>
  <c r="G5" i="35" s="1"/>
  <c r="G20" i="35" s="1"/>
  <c r="G28" i="35" s="1"/>
  <c r="G37" i="33"/>
  <c r="G43" i="33" s="1"/>
  <c r="G3" i="35" s="1"/>
  <c r="E26" i="35"/>
  <c r="B41" i="32"/>
  <c r="B22" i="32"/>
  <c r="F19" i="35"/>
  <c r="F18" i="35"/>
  <c r="B52" i="32"/>
  <c r="I35" i="33"/>
  <c r="H37" i="33"/>
  <c r="H40" i="33"/>
  <c r="H46" i="33" s="1"/>
  <c r="H6" i="35" s="1"/>
  <c r="H45" i="33"/>
  <c r="H5" i="35" s="1"/>
  <c r="H20" i="35" s="1"/>
  <c r="H28" i="35" s="1"/>
  <c r="G21" i="35"/>
  <c r="B83" i="32"/>
  <c r="E27" i="35"/>
  <c r="B11" i="32"/>
  <c r="B72" i="32"/>
  <c r="F29" i="35"/>
  <c r="G39" i="33" l="1"/>
  <c r="G44" i="33" s="1"/>
  <c r="G4" i="35" s="1"/>
  <c r="H43" i="33"/>
  <c r="H3" i="35" s="1"/>
  <c r="H39" i="33"/>
  <c r="H44" i="33" s="1"/>
  <c r="H4" i="35" s="1"/>
  <c r="H21" i="35"/>
  <c r="B84" i="32"/>
  <c r="F26" i="35"/>
  <c r="B42" i="32"/>
  <c r="B23" i="32"/>
  <c r="G19" i="35"/>
  <c r="B73" i="32"/>
  <c r="G29" i="35"/>
  <c r="I37" i="33"/>
  <c r="I40" i="33"/>
  <c r="I46" i="33" s="1"/>
  <c r="I6" i="35" s="1"/>
  <c r="I45" i="33"/>
  <c r="I5" i="35" s="1"/>
  <c r="I20" i="35" s="1"/>
  <c r="I28" i="35" s="1"/>
  <c r="J35" i="33"/>
  <c r="B53" i="32"/>
  <c r="G18" i="35"/>
  <c r="B12" i="32"/>
  <c r="F27" i="35"/>
  <c r="I21" i="35" l="1"/>
  <c r="B85" i="32"/>
  <c r="B13" i="32"/>
  <c r="G27" i="35"/>
  <c r="I39" i="33"/>
  <c r="I44" i="33" s="1"/>
  <c r="I4" i="35" s="1"/>
  <c r="I43" i="33"/>
  <c r="I3" i="35" s="1"/>
  <c r="B74" i="32"/>
  <c r="H29" i="35"/>
  <c r="H19" i="35"/>
  <c r="B24" i="32"/>
  <c r="G26" i="35"/>
  <c r="B43" i="32"/>
  <c r="J40" i="33"/>
  <c r="J46" i="33" s="1"/>
  <c r="J6" i="35" s="1"/>
  <c r="K35" i="33"/>
  <c r="B51" i="33"/>
  <c r="B103" i="32" s="1"/>
  <c r="J45" i="33"/>
  <c r="J5" i="35" s="1"/>
  <c r="J20" i="35" s="1"/>
  <c r="J28" i="35" s="1"/>
  <c r="J37" i="33"/>
  <c r="H18" i="35"/>
  <c r="B54" i="32"/>
  <c r="H26" i="35" l="1"/>
  <c r="B44" i="32"/>
  <c r="J43" i="33"/>
  <c r="J3" i="35" s="1"/>
  <c r="J39" i="33"/>
  <c r="J44" i="33" s="1"/>
  <c r="J4" i="35" s="1"/>
  <c r="J21" i="35"/>
  <c r="B86" i="32"/>
  <c r="B14" i="32"/>
  <c r="H27" i="35"/>
  <c r="B25" i="32"/>
  <c r="I19" i="35"/>
  <c r="K37" i="33"/>
  <c r="K45" i="33"/>
  <c r="K5" i="35" s="1"/>
  <c r="K20" i="35" s="1"/>
  <c r="K28" i="35" s="1"/>
  <c r="K40" i="33"/>
  <c r="K46" i="33" s="1"/>
  <c r="K6" i="35" s="1"/>
  <c r="K21" i="35" s="1"/>
  <c r="K29" i="35" s="1"/>
  <c r="B55" i="32"/>
  <c r="I18" i="35"/>
  <c r="B75" i="32"/>
  <c r="I29" i="35"/>
  <c r="C34" i="35" l="1"/>
  <c r="B109" i="32" s="1"/>
  <c r="B15" i="32"/>
  <c r="I27" i="35"/>
  <c r="B45" i="32"/>
  <c r="I26" i="35"/>
  <c r="K39" i="33"/>
  <c r="K44" i="33" s="1"/>
  <c r="K4" i="35" s="1"/>
  <c r="K19" i="35" s="1"/>
  <c r="K27" i="35" s="1"/>
  <c r="K43" i="33"/>
  <c r="K3" i="35" s="1"/>
  <c r="K18" i="35" s="1"/>
  <c r="K26" i="35" s="1"/>
  <c r="B76" i="32"/>
  <c r="J29" i="35"/>
  <c r="B56" i="32"/>
  <c r="J18" i="35"/>
  <c r="B26" i="32"/>
  <c r="J19" i="35"/>
  <c r="J26" i="35" l="1"/>
  <c r="B46" i="32"/>
  <c r="B16" i="32"/>
  <c r="J27" i="35"/>
  <c r="C35" i="35" l="1"/>
  <c r="B11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C8A5FE9E-895A-4497-8F3B-BBDC1E701E09}">
      <text>
        <r>
          <rPr>
            <b/>
            <sz val="9"/>
            <color indexed="81"/>
            <rFont val="Tahoma"/>
            <family val="2"/>
          </rPr>
          <t>Author:</t>
        </r>
        <r>
          <rPr>
            <sz val="9"/>
            <color indexed="81"/>
            <rFont val="Tahoma"/>
            <family val="2"/>
          </rPr>
          <t xml:space="preserve">
Was blank in DPP3 opex model. These three changed cells are some of the changes to reflect the change in base year from 2019 to 2020.</t>
        </r>
      </text>
    </comment>
    <comment ref="E5" authorId="0" shapeId="0" xr:uid="{87233450-B94C-45FD-AC4D-7235B6E85723}">
      <text>
        <r>
          <rPr>
            <b/>
            <sz val="9"/>
            <color indexed="81"/>
            <rFont val="Tahoma"/>
            <family val="2"/>
          </rPr>
          <t>Author:</t>
        </r>
        <r>
          <rPr>
            <sz val="9"/>
            <color indexed="81"/>
            <rFont val="Tahoma"/>
            <family val="2"/>
          </rPr>
          <t xml:space="preserve">
Was 100% in DPP3 opex model</t>
        </r>
      </text>
    </comment>
    <comment ref="F5" authorId="0" shapeId="0" xr:uid="{0D385EEA-695E-4015-988A-DA9D5F27A3AC}">
      <text>
        <r>
          <rPr>
            <b/>
            <sz val="9"/>
            <color indexed="81"/>
            <rFont val="Tahoma"/>
            <family val="2"/>
          </rPr>
          <t>Author:</t>
        </r>
        <r>
          <rPr>
            <sz val="9"/>
            <color indexed="81"/>
            <rFont val="Tahoma"/>
            <family val="2"/>
          </rPr>
          <t xml:space="preserve">
Was blank in DPP3 opex model</t>
        </r>
      </text>
    </comment>
    <comment ref="A31" authorId="0" shapeId="0" xr:uid="{97EAD8F1-1D9B-4D0A-8644-0F9C57BA6E5E}">
      <text>
        <r>
          <rPr>
            <b/>
            <sz val="9"/>
            <color indexed="81"/>
            <rFont val="Tahoma"/>
            <family val="2"/>
          </rPr>
          <t>Author:</t>
        </r>
        <r>
          <rPr>
            <sz val="9"/>
            <color indexed="81"/>
            <rFont val="Tahoma"/>
            <family val="2"/>
          </rPr>
          <t xml:space="preserve">
New row for 2020 value</t>
        </r>
      </text>
    </comment>
    <comment ref="A40" authorId="0" shapeId="0" xr:uid="{6EA4CAF2-B45E-425D-9A5D-DF00D694181F}">
      <text>
        <r>
          <rPr>
            <b/>
            <sz val="9"/>
            <color indexed="81"/>
            <rFont val="Tahoma"/>
            <family val="2"/>
          </rPr>
          <t>Author:</t>
        </r>
        <r>
          <rPr>
            <sz val="9"/>
            <color indexed="81"/>
            <rFont val="Tahoma"/>
            <family val="2"/>
          </rPr>
          <t xml:space="preserve">
New row for 2020 value</t>
        </r>
      </text>
    </comment>
    <comment ref="A44" authorId="0" shapeId="0" xr:uid="{448E4B0E-5043-437B-B50A-AFC64C08358C}">
      <text>
        <r>
          <rPr>
            <b/>
            <sz val="9"/>
            <color indexed="81"/>
            <rFont val="Tahoma"/>
            <family val="2"/>
          </rPr>
          <t>Author:</t>
        </r>
        <r>
          <rPr>
            <sz val="9"/>
            <color indexed="81"/>
            <rFont val="Tahoma"/>
            <family val="2"/>
          </rPr>
          <t xml:space="preserve">
Additional row for 2020 data</t>
        </r>
      </text>
    </comment>
    <comment ref="A52" authorId="0" shapeId="0" xr:uid="{770A0CF8-4519-4088-B069-060E79064CA1}">
      <text>
        <r>
          <rPr>
            <b/>
            <sz val="9"/>
            <color indexed="81"/>
            <rFont val="Tahoma"/>
            <family val="2"/>
          </rPr>
          <t>Author:</t>
        </r>
        <r>
          <rPr>
            <sz val="9"/>
            <color indexed="81"/>
            <rFont val="Tahoma"/>
            <family val="2"/>
          </rPr>
          <t xml:space="preserve">
Additional row for 2020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3" authorId="0" shapeId="0" xr:uid="{AC09315B-63BC-4C9E-9B88-0EE37B412E5C}">
      <text>
        <r>
          <rPr>
            <b/>
            <sz val="9"/>
            <color indexed="81"/>
            <rFont val="Tahoma"/>
            <family val="2"/>
          </rPr>
          <t>Author:</t>
        </r>
        <r>
          <rPr>
            <sz val="9"/>
            <color indexed="81"/>
            <rFont val="Tahoma"/>
            <family val="2"/>
          </rPr>
          <t xml:space="preserve">
This cell was blank in the DPP3 model. Reflects change in base year to 2020.</t>
        </r>
      </text>
    </comment>
    <comment ref="A28" authorId="0" shapeId="0" xr:uid="{8218D719-9154-4F1E-A01A-2CD32E08D2A3}">
      <text>
        <r>
          <rPr>
            <b/>
            <sz val="9"/>
            <color indexed="81"/>
            <rFont val="Tahoma"/>
            <family val="2"/>
          </rPr>
          <t>Author:</t>
        </r>
        <r>
          <rPr>
            <sz val="9"/>
            <color indexed="81"/>
            <rFont val="Tahoma"/>
            <family val="2"/>
          </rPr>
          <t xml:space="preserve">
New row for 2020 value</t>
        </r>
      </text>
    </comment>
    <comment ref="A37" authorId="0" shapeId="0" xr:uid="{0D3B3B34-A472-4EB2-BFEB-30DA96B8D125}">
      <text>
        <r>
          <rPr>
            <b/>
            <sz val="9"/>
            <color indexed="81"/>
            <rFont val="Tahoma"/>
            <family val="2"/>
          </rPr>
          <t>Author:</t>
        </r>
        <r>
          <rPr>
            <sz val="9"/>
            <color indexed="81"/>
            <rFont val="Tahoma"/>
            <family val="2"/>
          </rPr>
          <t xml:space="preserve">
New row for 2020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 authorId="0" shapeId="0" xr:uid="{44199656-E42A-43C2-9DD1-171ED23CD890}">
      <text>
        <r>
          <rPr>
            <b/>
            <sz val="9"/>
            <color indexed="81"/>
            <rFont val="Tahoma"/>
            <family val="2"/>
          </rPr>
          <t>Author:</t>
        </r>
        <r>
          <rPr>
            <sz val="9"/>
            <color indexed="81"/>
            <rFont val="Tahoma"/>
            <family val="2"/>
          </rPr>
          <t xml:space="preserve">
In the DPP3 model, cells in this column related to the 2018 year. With the change in base year to 2020, there is no need for any of the values in this column, and they have been deleted.</t>
        </r>
      </text>
    </comment>
    <comment ref="E11" authorId="0" shapeId="0" xr:uid="{BD437993-42A9-416E-A162-D88B17C150B6}">
      <text>
        <r>
          <rPr>
            <b/>
            <sz val="9"/>
            <color indexed="81"/>
            <rFont val="Tahoma"/>
            <family val="2"/>
          </rPr>
          <t>Author:</t>
        </r>
        <r>
          <rPr>
            <sz val="9"/>
            <color indexed="81"/>
            <rFont val="Tahoma"/>
            <family val="2"/>
          </rPr>
          <t xml:space="preserve">
This cell and E12 was blank in the DPP3 model. Reflects change in base year to 2020.</t>
        </r>
      </text>
    </comment>
    <comment ref="D27" authorId="0" shapeId="0" xr:uid="{AF61DDB1-165C-4321-B279-F5D12E5B0C4B}">
      <text>
        <r>
          <rPr>
            <b/>
            <sz val="9"/>
            <color indexed="81"/>
            <rFont val="Tahoma"/>
            <family val="2"/>
          </rPr>
          <t>Author:</t>
        </r>
        <r>
          <rPr>
            <sz val="9"/>
            <color indexed="81"/>
            <rFont val="Tahoma"/>
            <family val="2"/>
          </rPr>
          <t xml:space="preserve">
The function of this range D27:E33 was performed by C27:D33 in the DPP3 model - the formulas have been moved one column to the right.</t>
        </r>
      </text>
    </comment>
    <comment ref="E35" authorId="0" shapeId="0" xr:uid="{AB22447B-7CB3-4451-A758-6CAA8828EE10}">
      <text>
        <r>
          <rPr>
            <b/>
            <sz val="9"/>
            <color indexed="81"/>
            <rFont val="Tahoma"/>
            <family val="2"/>
          </rPr>
          <t>Author:</t>
        </r>
        <r>
          <rPr>
            <sz val="9"/>
            <color indexed="81"/>
            <rFont val="Tahoma"/>
            <family val="2"/>
          </rPr>
          <t xml:space="preserve">
The function of this cell was in D35 in the DPP3 model - moved one cell to the right because of the change in base year.</t>
        </r>
      </text>
    </comment>
    <comment ref="E49" authorId="0" shapeId="0" xr:uid="{118FC386-2BEA-4A63-97B5-32B66389609C}">
      <text>
        <r>
          <rPr>
            <b/>
            <sz val="9"/>
            <color indexed="81"/>
            <rFont val="Tahoma"/>
            <family val="2"/>
          </rPr>
          <t>Author:</t>
        </r>
        <r>
          <rPr>
            <sz val="9"/>
            <color indexed="81"/>
            <rFont val="Tahoma"/>
            <family val="2"/>
          </rPr>
          <t xml:space="preserve">
The function of this cell was in D49 in the DPP3 model - moved one cell to the right because of the change in base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 authorId="0" shapeId="0" xr:uid="{1DE98687-BDB0-445A-B40B-D9477206E707}">
      <text>
        <r>
          <rPr>
            <b/>
            <sz val="9"/>
            <color indexed="81"/>
            <rFont val="Tahoma"/>
            <family val="2"/>
          </rPr>
          <t>Author:</t>
        </r>
        <r>
          <rPr>
            <sz val="9"/>
            <color indexed="81"/>
            <rFont val="Tahoma"/>
            <family val="2"/>
          </rPr>
          <t xml:space="preserve">
In the DPP3 model, cells in this column related to the 2018 year. With the change in base year to 2020, there is no need for any of the values in this column, and they have been deleted.</t>
        </r>
      </text>
    </comment>
    <comment ref="E11" authorId="0" shapeId="0" xr:uid="{4684F795-9C3D-4C64-9249-5825F06E52DC}">
      <text>
        <r>
          <rPr>
            <b/>
            <sz val="9"/>
            <color indexed="81"/>
            <rFont val="Tahoma"/>
            <family val="2"/>
          </rPr>
          <t>Author:</t>
        </r>
        <r>
          <rPr>
            <sz val="9"/>
            <color indexed="81"/>
            <rFont val="Tahoma"/>
            <family val="2"/>
          </rPr>
          <t xml:space="preserve">
This cell and E12 was blank in the DPP3 model. Reflects change in base year to 2020.</t>
        </r>
      </text>
    </comment>
    <comment ref="D27" authorId="0" shapeId="0" xr:uid="{2D9EC3D4-7AD6-4CAF-8C8B-25D642E5D068}">
      <text>
        <r>
          <rPr>
            <b/>
            <sz val="9"/>
            <color indexed="81"/>
            <rFont val="Tahoma"/>
            <family val="2"/>
          </rPr>
          <t>Author:</t>
        </r>
        <r>
          <rPr>
            <sz val="9"/>
            <color indexed="81"/>
            <rFont val="Tahoma"/>
            <family val="2"/>
          </rPr>
          <t xml:space="preserve">
The function of this range D27:E33 was performed by C27:D33 in the DPP3 model - the formulas have been moved one column to the right.</t>
        </r>
      </text>
    </comment>
    <comment ref="E35" authorId="0" shapeId="0" xr:uid="{33725C2A-ABFE-43E2-8F4B-2A8C07567914}">
      <text>
        <r>
          <rPr>
            <b/>
            <sz val="9"/>
            <color indexed="81"/>
            <rFont val="Tahoma"/>
            <family val="2"/>
          </rPr>
          <t>Author:</t>
        </r>
        <r>
          <rPr>
            <sz val="9"/>
            <color indexed="81"/>
            <rFont val="Tahoma"/>
            <family val="2"/>
          </rPr>
          <t xml:space="preserve">
The function of this cell was in D35 in the DPP3 model - moved one cell to the right because of the change in base year.</t>
        </r>
      </text>
    </comment>
    <comment ref="E49" authorId="0" shapeId="0" xr:uid="{72F7801B-F2F2-4DBD-9BE5-09AB1F012342}">
      <text>
        <r>
          <rPr>
            <b/>
            <sz val="9"/>
            <color indexed="81"/>
            <rFont val="Tahoma"/>
            <family val="2"/>
          </rPr>
          <t>Author:</t>
        </r>
        <r>
          <rPr>
            <sz val="9"/>
            <color indexed="81"/>
            <rFont val="Tahoma"/>
            <family val="2"/>
          </rPr>
          <t xml:space="preserve">
The function of this cell was in D49 in the DPP3 model - moved one cell to the right because of the change in base year.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 authorId="0" shapeId="0" xr:uid="{A59AEAE5-852C-4E0C-8081-A22AA45945AF}">
      <text>
        <r>
          <rPr>
            <b/>
            <sz val="9"/>
            <color indexed="81"/>
            <rFont val="Tahoma"/>
            <family val="2"/>
          </rPr>
          <t>Author:</t>
        </r>
        <r>
          <rPr>
            <sz val="9"/>
            <color indexed="81"/>
            <rFont val="Tahoma"/>
            <family val="2"/>
          </rPr>
          <t xml:space="preserve">
The function of this cell was in D9 in the DPP3 model - moved one cell to the right because of the change in base year.</t>
        </r>
      </text>
    </comment>
    <comment ref="E16" authorId="0" shapeId="0" xr:uid="{7DAE02E8-B41C-409D-8931-A5FAC91CFCC6}">
      <text>
        <r>
          <rPr>
            <b/>
            <sz val="9"/>
            <color indexed="81"/>
            <rFont val="Tahoma"/>
            <family val="2"/>
          </rPr>
          <t>Author:</t>
        </r>
        <r>
          <rPr>
            <sz val="9"/>
            <color indexed="81"/>
            <rFont val="Tahoma"/>
            <family val="2"/>
          </rPr>
          <t xml:space="preserve">
The function of this cell was in D16 in the DPP3 model - moved one cell to the right because of the change in base year.</t>
        </r>
      </text>
    </comment>
    <comment ref="E24" authorId="0" shapeId="0" xr:uid="{48BE5C85-D23A-40C2-AD64-4B974B3C0ED2}">
      <text>
        <r>
          <rPr>
            <b/>
            <sz val="9"/>
            <color indexed="81"/>
            <rFont val="Tahoma"/>
            <family val="2"/>
          </rPr>
          <t>Author:</t>
        </r>
        <r>
          <rPr>
            <sz val="9"/>
            <color indexed="81"/>
            <rFont val="Tahoma"/>
            <family val="2"/>
          </rPr>
          <t xml:space="preserve">
The function of this cell was in D24 in the DPP3 model - moved one cell to the right because of the change in base year.</t>
        </r>
      </text>
    </comment>
    <comment ref="E32" authorId="0" shapeId="0" xr:uid="{C19201A4-CB20-4EB1-8381-8B363BD120CB}">
      <text>
        <r>
          <rPr>
            <b/>
            <sz val="9"/>
            <color indexed="81"/>
            <rFont val="Tahoma"/>
            <family val="2"/>
          </rPr>
          <t>Author:</t>
        </r>
        <r>
          <rPr>
            <sz val="9"/>
            <color indexed="81"/>
            <rFont val="Tahoma"/>
            <family val="2"/>
          </rPr>
          <t xml:space="preserve">
The function of this cell was in D32 in the DPP3 model - moved one cell to the right because of the change in base year.</t>
        </r>
      </text>
    </comment>
    <comment ref="A34" authorId="0" shapeId="0" xr:uid="{56D89D3C-52A9-4DF8-9F74-486595EE01B3}">
      <text>
        <r>
          <rPr>
            <b/>
            <sz val="9"/>
            <color indexed="81"/>
            <rFont val="Tahoma"/>
            <family val="2"/>
          </rPr>
          <t>Author:</t>
        </r>
        <r>
          <rPr>
            <sz val="9"/>
            <color indexed="81"/>
            <rFont val="Tahoma"/>
            <family val="2"/>
          </rPr>
          <t xml:space="preserve">
Because of the change in base year, in this row references to Column D in the DPP3 model have been changed to references to Column E in this workbook.</t>
        </r>
      </text>
    </comment>
  </commentList>
</comments>
</file>

<file path=xl/sharedStrings.xml><?xml version="1.0" encoding="utf-8"?>
<sst xmlns="http://schemas.openxmlformats.org/spreadsheetml/2006/main" count="277" uniqueCount="167">
  <si>
    <t>Network opex partial productivity factor</t>
  </si>
  <si>
    <t>Non-network opex partial productivity factor</t>
  </si>
  <si>
    <t>Table of Contents</t>
  </si>
  <si>
    <t>Sheet Name</t>
  </si>
  <si>
    <t>Link</t>
  </si>
  <si>
    <t>Outputs</t>
  </si>
  <si>
    <t>Electricity Distribution Business</t>
  </si>
  <si>
    <t>Network opex</t>
  </si>
  <si>
    <t>Description</t>
  </si>
  <si>
    <t>Inputs</t>
  </si>
  <si>
    <t>Calculations</t>
  </si>
  <si>
    <t>Name</t>
  </si>
  <si>
    <t>Source</t>
  </si>
  <si>
    <t>Value</t>
  </si>
  <si>
    <t>Active EDB outputs</t>
  </si>
  <si>
    <t>Elasticities</t>
  </si>
  <si>
    <t>Productivity factors</t>
  </si>
  <si>
    <t>Non-network opex projection calculations</t>
  </si>
  <si>
    <t>Total opex projection calculations</t>
  </si>
  <si>
    <t>Non-network opex</t>
  </si>
  <si>
    <t>Weighting used in determining initial level</t>
  </si>
  <si>
    <t>Wellington Electricity</t>
  </si>
  <si>
    <t>Source: Opex policy memo</t>
  </si>
  <si>
    <t>Scale growth</t>
  </si>
  <si>
    <t>Outputs for chartbook</t>
  </si>
  <si>
    <t>Nominal actual opex</t>
  </si>
  <si>
    <t>Trend factors</t>
  </si>
  <si>
    <t>Aggregate trend</t>
  </si>
  <si>
    <t>Source: Input cost inflators model</t>
  </si>
  <si>
    <t>General description</t>
  </si>
  <si>
    <t>Model suite</t>
  </si>
  <si>
    <t>Opex projections model</t>
  </si>
  <si>
    <t>Source: Opex projections circuit length model</t>
  </si>
  <si>
    <t>Network opex index of cost inflator</t>
  </si>
  <si>
    <t>Non-network opex index of cost inflator</t>
  </si>
  <si>
    <t>Circuit length growth</t>
  </si>
  <si>
    <t>Cost inflators</t>
  </si>
  <si>
    <t>Inputs that are the same for all distributors</t>
  </si>
  <si>
    <t>Inputs that are specific to individual distributors</t>
  </si>
  <si>
    <t>Select distributor</t>
  </si>
  <si>
    <t>Actual</t>
  </si>
  <si>
    <t>Distributor-specific data</t>
  </si>
  <si>
    <t>Source: 53ZD response 9 August 2019</t>
  </si>
  <si>
    <t>Network opex (nominal)</t>
  </si>
  <si>
    <t>Non-network opex (nominal)</t>
  </si>
  <si>
    <t>Non-network opex (constant)</t>
  </si>
  <si>
    <t>Total opex series (constant)</t>
  </si>
  <si>
    <t>Total opex series (nominal)</t>
  </si>
  <si>
    <t>Total opex (nominal)</t>
  </si>
  <si>
    <t>- a tan font is used for cells containing a formula that links to another sheet.
- a right hand border is applied to cells containing a formula that differs from neighbouring cell on the right.
- a red font is applied to input cells.</t>
  </si>
  <si>
    <t>All input data is entered into this sheet.</t>
  </si>
  <si>
    <t>Initial level of total opex (constant)</t>
  </si>
  <si>
    <t>Opex projections output tables</t>
  </si>
  <si>
    <t xml:space="preserve">- Financial quantities in this model are expressed in NZD'000. 
- Annual quantities relate to years ending on 31 March. 
- All data used by the model are entered in the 'Input' worksheet.
- The 'Outputs' sheet uses Excel's data table facility to display the calculated results for all distributors.
</t>
  </si>
  <si>
    <t>The distributor's name is user-selected in cell B3 of the Outputs sheet.</t>
  </si>
  <si>
    <t>This sheet uses Excel's data table facility to display the calculated results for all distributors.</t>
  </si>
  <si>
    <t>Years to set determine initial level</t>
  </si>
  <si>
    <t>FENZ levies</t>
  </si>
  <si>
    <t>Pecuniary Penalties</t>
  </si>
  <si>
    <t>Non-network opex step factors (nominal)</t>
  </si>
  <si>
    <t>Added to initial value prior to trending. Source: Opex memo.</t>
  </si>
  <si>
    <t>Operating leases</t>
  </si>
  <si>
    <t>Added to opex projection after trending.</t>
  </si>
  <si>
    <t>Opex expenditure reductions attributable to IFRS 16 capitalisation</t>
  </si>
  <si>
    <t>Trend and Step factors (nominal)</t>
  </si>
  <si>
    <t>Non-network opex trend factors (constant)</t>
  </si>
  <si>
    <t>Non-network opex series (constant)</t>
  </si>
  <si>
    <t>Non-network opex series (nominal)</t>
  </si>
  <si>
    <t>Network opex trend factors (nominal)</t>
  </si>
  <si>
    <t>Network opex step factors (nominal)</t>
  </si>
  <si>
    <t>Network opex projection calculations</t>
  </si>
  <si>
    <t>Percentage change in network scale</t>
  </si>
  <si>
    <t>Percentage change in network scale from 2018 to 2023</t>
  </si>
  <si>
    <t>Percentage change in network scale from 2023 to 2028</t>
  </si>
  <si>
    <t>Network opex (constant)</t>
  </si>
  <si>
    <t>Network opex trend factors (constant)</t>
  </si>
  <si>
    <t>Index of the scaled trend in Network opex</t>
  </si>
  <si>
    <t>Network opex series (constant)</t>
  </si>
  <si>
    <t>Network opex series (nominal)</t>
  </si>
  <si>
    <t>Network opex allowance (constant) 'as if IFRS 16 never happened'.</t>
  </si>
  <si>
    <t>Network opex allowance (constant) 'under IFRS 16'.</t>
  </si>
  <si>
    <t>Network opex allowance (nominal) 'under IFRS 16'.</t>
  </si>
  <si>
    <t>Network opex allowance (nominal) 'as if IFRS 16 never happened'.</t>
  </si>
  <si>
    <t>Initial level after trend factors added but before step factors added (constant).</t>
  </si>
  <si>
    <t>Non-network opex allowance (constant) 'as if IFRS 16 never happened'.</t>
  </si>
  <si>
    <t>Non-network opex allowance (constant) 'under IFRS 16'.</t>
  </si>
  <si>
    <t>Non-network opex allowance (nominal) 'under IFRS 16'.</t>
  </si>
  <si>
    <t>Non-network opex allowance (nominal) 'as if IFRS 16 never happened'.</t>
  </si>
  <si>
    <t>Percentage change in non-network scale from 2018 to 2023</t>
  </si>
  <si>
    <t>Percentage change in non-network scale from 2023 to 2028</t>
  </si>
  <si>
    <t>Product of annual non-network scaling factors</t>
  </si>
  <si>
    <t>Product of annual network scaling factors</t>
  </si>
  <si>
    <t>Total trend in opex series (constant)</t>
  </si>
  <si>
    <t>Total trend in opex series (nominal)</t>
  </si>
  <si>
    <t>This distributor's data will be calculated in the 'EDB data', 'Network opex', 'Non-network opex', and 'Total opex' tabs.</t>
  </si>
  <si>
    <t>Total trend factors (constant)</t>
  </si>
  <si>
    <t>Total step factors (constant)</t>
  </si>
  <si>
    <t>Network opex step factors (constant)</t>
  </si>
  <si>
    <t>Non-network opex step factors (constant)</t>
  </si>
  <si>
    <t>Trend &amp; Step factors</t>
  </si>
  <si>
    <t>Total opex allowance (constant) 'under IFRS 16'.</t>
  </si>
  <si>
    <t>Total opex allowance (nominal) 'under IFRS 16'.</t>
  </si>
  <si>
    <t>Total opex allowance (constant) 'as if IFRS 16 never happened'.</t>
  </si>
  <si>
    <t>Total opex allowance (nominal) 'as if IFRS 16 never happened'.</t>
  </si>
  <si>
    <t>Total initial level of opex (constant)</t>
  </si>
  <si>
    <t>Sum of trend factors.</t>
  </si>
  <si>
    <t>Sum of step factors.</t>
  </si>
  <si>
    <t>Calculation of initial level of non-network operating expenditure</t>
  </si>
  <si>
    <t>Constant price non-network opex series</t>
  </si>
  <si>
    <t>Nominal price non-network opex series</t>
  </si>
  <si>
    <t>Percentage change in non-network scale</t>
  </si>
  <si>
    <t>Elasticity of network opex to circuit length</t>
  </si>
  <si>
    <t>Elasticity of non-network opex to circuit length</t>
  </si>
  <si>
    <t>Elasticity of network opex to number of connections</t>
  </si>
  <si>
    <t>Elasticity of non-network opex to number of connections</t>
  </si>
  <si>
    <t>Initial level of network opex (constant)</t>
  </si>
  <si>
    <t>Calculation of initial level of network operating expenditure</t>
  </si>
  <si>
    <t>Constant price network opex series</t>
  </si>
  <si>
    <t>Trend in network opex (constant)</t>
  </si>
  <si>
    <t>Nominal price network opex series</t>
  </si>
  <si>
    <t>Trend in network opex series (nominal)</t>
  </si>
  <si>
    <t>Index of the scaled trend in non-network opex</t>
  </si>
  <si>
    <t>Trend in non-network opex (constant)</t>
  </si>
  <si>
    <t>Trend in non-network opex series (nominal)</t>
  </si>
  <si>
    <t>Network opex adjustment values added to base opex prior to trending.</t>
  </si>
  <si>
    <t>Network opex adjustment values added to trended network opex.</t>
  </si>
  <si>
    <t>Non-network opex adjustment values added to base non-network opex prior to trending.</t>
  </si>
  <si>
    <t>Non-network opex adjustment values added to trended non-network opex.</t>
  </si>
  <si>
    <t>For each distributor, outputs include:
- nominal price total opex projections;
- nominal price network opex projections;
- nominal price non-network opex projections;
- constant price total opex projections;
- constant price network opex projections;
- constant price non-network opex projections;
- the nominal price total opex trend (prior to addition of step factors);
- the nominal price network opex trend (prior to addition of step factors); and
- the nominal price non-network opex trend (prior to addition of step factors</t>
  </si>
  <si>
    <t>Source: Source: Econometric model for opex</t>
  </si>
  <si>
    <t>The model appears to include an extra year (e.g.2026) when populated for the final determination.  This extra year is used when the model is populated for draft determinations.  For instance, when 2018 is the 'initial level' year for the model, the last column produced 2025 results, which are needed to provide a full DPP period.  This 'extra year' is unnecessary when 2019 is the 'initial level' year, but leaving it in the model allows the model to function for both draft and final determinations without requiring structural updates.</t>
  </si>
  <si>
    <t>Non-network opex trend factors (nominal)</t>
  </si>
  <si>
    <t>Values should be negative or zero.</t>
  </si>
  <si>
    <t>Inputs and calculations for selected distributor</t>
  </si>
  <si>
    <t>Calculates constant price weighted average of Y-1 and Y-2 scaled operating expenditures.</t>
  </si>
  <si>
    <t>Initial level of non-network opex (constant)</t>
  </si>
  <si>
    <r>
      <t xml:space="preserve">This model forecasts total opex allowances for each EDB, in nominal terms, for use in the EDB DPP3 Financial model and Incremental Rolling Incentive Scheme (IRIS) model.
The Financial model inputs require operating leases to be treated as 'right of use' assets and capitalised according to New Zealand GAAP.  These are the nominal price total opex projections, and are labelled 'under IFRS 16' in the comments.  The IRIS model inputs require operating leases to be treated as opex payments and not capitalised according to New Zealand GAAP.  These are the nominal price total opex </t>
    </r>
    <r>
      <rPr>
        <sz val="11"/>
        <color theme="1"/>
        <rFont val="Calibri"/>
        <family val="2"/>
      </rPr>
      <t>trends</t>
    </r>
    <r>
      <rPr>
        <sz val="11"/>
        <color theme="1"/>
        <rFont val="Calibri"/>
        <family val="2"/>
        <scheme val="minor"/>
      </rPr>
      <t xml:space="preserve">, and are labelled 'as if IFRS 16 never happened' in the comments. 
FENZ levies are treated as recoverable costs. These costs are treated as 'non-network opex trend factors' which are deducted from the base year.
Pecuniary penalties are excluded from opex from 1st April 2020. These costs are treated as 'non-network opex trend factors' which are deducted from the base year.
</t>
    </r>
  </si>
  <si>
    <t>Annual change in households, 2018-23</t>
  </si>
  <si>
    <t>Annual change in households, 2023-28</t>
  </si>
  <si>
    <t>Source: Household growth model</t>
  </si>
  <si>
    <t>Follow the link 'Model map – EDB DPP3 final determination – 27 November 2019' on the Commission's EDB 2020-2025 default price-quality path determination web page for a graphical depiction of interconnections between the models and data sources.</t>
  </si>
  <si>
    <t>EDB data</t>
  </si>
  <si>
    <t>Total opex</t>
  </si>
  <si>
    <t>Wellington Electricity CPP to DPP transition</t>
  </si>
  <si>
    <t>Draft determination</t>
  </si>
  <si>
    <t>This Excel workbook is one of a suite of models that accompanies the draft determination of the Wellington Electricity CPP to DPP transition.</t>
  </si>
  <si>
    <t>Changes from the DPP3 financial model</t>
  </si>
  <si>
    <t>a</t>
  </si>
  <si>
    <t>b</t>
  </si>
  <si>
    <t>Structural changes to the model have been made with an objective of changing as few cells as possible, to assist with review processes.</t>
  </si>
  <si>
    <t>c</t>
  </si>
  <si>
    <t>d</t>
  </si>
  <si>
    <t>All of the text below this row comprises the description that was published in the DPP3 financial model.</t>
  </si>
  <si>
    <t>e</t>
  </si>
  <si>
    <t>A thick right hand border is applied to cells containing a formula that differs from an adjacent cell cell on the right.</t>
  </si>
  <si>
    <t>Cells that are different in this model from the equivalent cell in the DPP3 model are marked with a light brown fill colour. This is</t>
  </si>
  <si>
    <t>to assist model reviews by both the author and reviewer.</t>
  </si>
  <si>
    <t>model to determine the sum of all opex allowances across all EDBs except Powerco and Wellington Electricity. Corresponding rows in 'EDB data' and 'Outputs' have been deleted.</t>
  </si>
  <si>
    <t>The 'Chartbook calculations' sheet and 'Chartbook' sheets have been deleted.</t>
  </si>
  <si>
    <t>Op. leases+resilience opex</t>
  </si>
  <si>
    <t>f</t>
  </si>
  <si>
    <t>The DPP3 inputs sheet contained "Prior publication opex allowances and AMP forecasts" starting from Row 69, and these inputs have been deleted. They were used in the DPP3</t>
  </si>
  <si>
    <t>Input data has been updated with more recently available data from 2020 information disclosures, which has required additional input sheet rows to be inserted. Step and</t>
  </si>
  <si>
    <t>trend factors have been added for 2020. Updated cost inflators have been linked from the cost inflators model.</t>
  </si>
  <si>
    <t>g</t>
  </si>
  <si>
    <t>A number of calculations have been effectively moved one column to the right on a number of sheets to reflect the change in base year from 2019 to 2020.</t>
  </si>
  <si>
    <t>Published 25 September 2020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</si>
</sst>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 @_)"/>
    <numFmt numFmtId="169" formatCode="_(* #,##0.00_);_(* \(#,##0.00\);_(* &quot;–&quot;???_);_(* @_)"/>
    <numFmt numFmtId="170" formatCode="_(* #,##0%_);_(* \(#,##0%\);_(* &quot;–&quot;???_);_(* @_)"/>
    <numFmt numFmtId="171" formatCode="_(* #,##0.00%_);_(* \(#,##0.00%\);_(* &quot;–&quot;???_);_(* @_)"/>
    <numFmt numFmtId="172" formatCode="_(@_)"/>
    <numFmt numFmtId="173" formatCode="_(* #,##0.0%_);_(* \(#,##0.0%\);_(* &quot;–&quot;??_);_(* @_)"/>
    <numFmt numFmtId="174" formatCode="_(* #,##0_);_(* \(#,##0\);_(* &quot;–&quot;???_);_(* @_)"/>
    <numFmt numFmtId="175" formatCode="_(* #,##0.000_);_(* \(#,##0.000\);_(* &quot;–&quot;???_);_(* @_)"/>
    <numFmt numFmtId="176" formatCode="#,##0;\-#,##0;&quot;&quot;"/>
    <numFmt numFmtId="177" formatCode="_(* #,##0.00%_);_(* \(#,##0.00%\);_(* &quot;–&quot;??_);_(* @_)"/>
    <numFmt numFmtId="178" formatCode="[$-1409]d\ mmm\ yy;@"/>
    <numFmt numFmtId="179" formatCode="_(* 0_);_(* \(0\);_(* &quot;–&quot;??_);_(@_)"/>
    <numFmt numFmtId="180" formatCode="_(* #,##0.0000_);_(* \(#,##0.0000\);_(* &quot;–&quot;???_);_(* @_)"/>
    <numFmt numFmtId="181" formatCode="_(* #,##0%_);_(* \(#,##0%\);_(* &quot;–&quot;??_);_(* @_)"/>
    <numFmt numFmtId="182" formatCode="_(* #,##0.0000_);_(* \(#,##0.0000\);_(* &quot;–&quot;??_);_(* @_)"/>
    <numFmt numFmtId="183" formatCode="_(* #,##0.000%_);_(* \(#,##0.000%\);_(* &quot;–&quot;???_);_(* @_)"/>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sz val="10"/>
      <color theme="1"/>
      <name val="Cambria"/>
      <family val="1"/>
      <scheme val="major"/>
    </font>
    <font>
      <u/>
      <sz val="10"/>
      <color theme="11"/>
      <name val="Cambria"/>
      <family val="1"/>
      <scheme val="major"/>
    </font>
    <font>
      <b/>
      <sz val="12"/>
      <color theme="1"/>
      <name val="Calibri"/>
      <family val="2"/>
      <scheme val="minor"/>
    </font>
    <font>
      <i/>
      <sz val="9"/>
      <color theme="1"/>
      <name val="Calibri"/>
      <family val="4"/>
      <scheme val="minor"/>
    </font>
    <font>
      <b/>
      <sz val="18"/>
      <name val="Calibri"/>
      <family val="2"/>
      <scheme val="minor"/>
    </font>
    <font>
      <b/>
      <sz val="16"/>
      <name val="Calibri"/>
      <family val="2"/>
      <scheme val="minor"/>
    </font>
    <font>
      <b/>
      <sz val="14"/>
      <name val="Calibri"/>
      <family val="2"/>
      <scheme val="minor"/>
    </font>
    <font>
      <sz val="11"/>
      <color indexed="12"/>
      <name val="Calibri"/>
      <family val="2"/>
      <scheme val="minor"/>
    </font>
    <font>
      <sz val="10"/>
      <name val="Calibri"/>
      <family val="2"/>
      <scheme val="minor"/>
    </font>
    <font>
      <b/>
      <sz val="20"/>
      <name val="Calibri"/>
      <family val="2"/>
      <scheme val="minor"/>
    </font>
    <font>
      <b/>
      <sz val="20"/>
      <color theme="2"/>
      <name val="Calibri"/>
      <family val="2"/>
      <scheme val="minor"/>
    </font>
    <font>
      <sz val="11"/>
      <name val="Calibri"/>
      <family val="2"/>
    </font>
    <font>
      <i/>
      <sz val="10"/>
      <name val="Calibri"/>
      <family val="4"/>
      <scheme val="minor"/>
    </font>
    <font>
      <sz val="11"/>
      <color theme="2"/>
      <name val="Calibri"/>
      <family val="2"/>
      <scheme val="minor"/>
    </font>
    <font>
      <b/>
      <sz val="10"/>
      <name val="Calibri"/>
      <family val="4"/>
      <scheme val="minor"/>
    </font>
    <font>
      <sz val="11"/>
      <color theme="9"/>
      <name val="Calibri"/>
      <family val="2"/>
      <scheme val="minor"/>
    </font>
    <font>
      <u/>
      <sz val="10"/>
      <color theme="10"/>
      <name val="Arial"/>
      <family val="2"/>
    </font>
    <font>
      <sz val="10"/>
      <color theme="9"/>
      <name val="Calibri"/>
      <family val="2"/>
      <scheme val="minor"/>
    </font>
    <font>
      <sz val="11"/>
      <color theme="9"/>
      <name val="Calibri"/>
      <family val="4"/>
      <scheme val="minor"/>
    </font>
    <font>
      <sz val="11"/>
      <color indexed="8"/>
      <name val="Calibri"/>
      <family val="2"/>
    </font>
    <font>
      <u/>
      <sz val="11"/>
      <color theme="11"/>
      <name val="Calibri"/>
      <family val="2"/>
      <scheme val="minor"/>
    </font>
    <font>
      <b/>
      <sz val="10"/>
      <color theme="1"/>
      <name val="Calibri"/>
      <family val="2"/>
      <scheme val="minor"/>
    </font>
    <font>
      <u/>
      <sz val="10"/>
      <color theme="10"/>
      <name val="Calibri"/>
      <family val="2"/>
      <scheme val="minor"/>
    </font>
    <font>
      <sz val="11"/>
      <color theme="1"/>
      <name val="Calibri"/>
      <family val="2"/>
    </font>
    <font>
      <sz val="9"/>
      <color indexed="81"/>
      <name val="Tahoma"/>
      <family val="2"/>
    </font>
    <font>
      <b/>
      <sz val="9"/>
      <color indexed="81"/>
      <name val="Tahoma"/>
      <family val="2"/>
    </font>
    <font>
      <i/>
      <sz val="11"/>
      <color theme="1"/>
      <name val="Calibri"/>
      <family val="2"/>
      <scheme val="minor"/>
    </font>
    <font>
      <b/>
      <sz val="11"/>
      <color rgb="FF0070C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6"/>
        <bgColor indexed="64"/>
      </patternFill>
    </fill>
    <fill>
      <patternFill patternType="solid">
        <fgColor theme="4"/>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theme="8" tint="0.59999389629810485"/>
        <bgColor indexed="64"/>
      </patternFill>
    </fill>
  </fills>
  <borders count="36">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top/>
      <bottom style="thin">
        <color theme="7"/>
      </bottom>
      <diagonal/>
    </border>
    <border>
      <left/>
      <right/>
      <top/>
      <bottom style="thin">
        <color rgb="FFB0A978"/>
      </bottom>
      <diagonal/>
    </border>
    <border>
      <left/>
      <right/>
      <top style="thin">
        <color theme="7"/>
      </top>
      <bottom/>
      <diagonal/>
    </border>
    <border>
      <left/>
      <right style="thin">
        <color theme="7"/>
      </right>
      <top style="thin">
        <color theme="7"/>
      </top>
      <bottom style="thin">
        <color theme="7"/>
      </bottom>
      <diagonal/>
    </border>
    <border>
      <left/>
      <right/>
      <top style="thin">
        <color indexed="51"/>
      </top>
      <bottom style="thin">
        <color indexed="51"/>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B0A978"/>
      </top>
      <bottom style="thin">
        <color theme="7"/>
      </bottom>
      <diagonal/>
    </border>
    <border>
      <left/>
      <right/>
      <top style="thin">
        <color rgb="FFB0A978"/>
      </top>
      <bottom/>
      <diagonal/>
    </border>
    <border>
      <left/>
      <right style="thick">
        <color rgb="FFFF6600"/>
      </right>
      <top style="thin">
        <color theme="7"/>
      </top>
      <bottom style="thin">
        <color theme="7"/>
      </bottom>
      <diagonal/>
    </border>
    <border>
      <left style="thick">
        <color rgb="FFFF6600"/>
      </left>
      <right/>
      <top style="thin">
        <color theme="7"/>
      </top>
      <bottom style="thin">
        <color theme="7"/>
      </bottom>
      <diagonal/>
    </border>
    <border>
      <left/>
      <right/>
      <top style="thin">
        <color theme="7"/>
      </top>
      <bottom style="thin">
        <color rgb="FFB0A978"/>
      </bottom>
      <diagonal/>
    </border>
    <border>
      <left style="thick">
        <color rgb="FFFF6600"/>
      </left>
      <right style="thick">
        <color rgb="FFFF6600"/>
      </right>
      <top style="thin">
        <color theme="7"/>
      </top>
      <bottom style="thin">
        <color theme="7"/>
      </bottom>
      <diagonal/>
    </border>
    <border>
      <left style="thick">
        <color rgb="FFFF6600"/>
      </left>
      <right/>
      <top/>
      <bottom/>
      <diagonal/>
    </border>
    <border>
      <left/>
      <right style="thick">
        <color rgb="FFFF6600"/>
      </right>
      <top/>
      <bottom style="thin">
        <color theme="7"/>
      </bottom>
      <diagonal/>
    </border>
    <border>
      <left style="thick">
        <color rgb="FFFF6600"/>
      </left>
      <right/>
      <top/>
      <bottom style="thin">
        <color theme="7"/>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85">
    <xf numFmtId="0" fontId="0" fillId="0" borderId="0"/>
    <xf numFmtId="167" fontId="1" fillId="0" borderId="0" applyFont="0" applyFill="0" applyBorder="0" applyAlignment="0" applyProtection="0"/>
    <xf numFmtId="9" fontId="1" fillId="0" borderId="0" applyFont="0" applyFill="0" applyBorder="0" applyAlignment="0" applyProtection="0"/>
    <xf numFmtId="172" fontId="13" fillId="0" borderId="0" applyFont="0" applyFill="0" applyBorder="0" applyAlignment="0" applyProtection="0">
      <alignment horizontal="left"/>
      <protection locked="0"/>
    </xf>
    <xf numFmtId="49" fontId="22" fillId="0" borderId="0" applyFill="0" applyAlignment="0"/>
    <xf numFmtId="49" fontId="17" fillId="0" borderId="0" applyFill="0" applyAlignment="0"/>
    <xf numFmtId="49" fontId="18" fillId="0" borderId="0" applyFill="0" applyAlignment="0"/>
    <xf numFmtId="49" fontId="19" fillId="33" borderId="0" applyFill="0" applyBorder="0">
      <alignment horizontal="left"/>
    </xf>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20" fillId="33" borderId="3" applyNumberFormat="0" applyAlignment="0">
      <protection locked="0"/>
    </xf>
    <xf numFmtId="0" fontId="1" fillId="0" borderId="3" applyNumberFormat="0" applyAlignment="0"/>
    <xf numFmtId="0" fontId="9" fillId="5" borderId="4" applyNumberFormat="0" applyAlignment="0" applyProtection="0"/>
    <xf numFmtId="0" fontId="10" fillId="0" borderId="5" applyNumberFormat="0" applyFill="0" applyAlignment="0" applyProtection="0"/>
    <xf numFmtId="0" fontId="11" fillId="6" borderId="6" applyNumberFormat="0" applyAlignment="0" applyProtection="0"/>
    <xf numFmtId="0" fontId="2" fillId="0" borderId="0" applyNumberFormat="0" applyFill="0" applyBorder="0" applyAlignment="0" applyProtection="0"/>
    <xf numFmtId="0" fontId="1" fillId="7" borderId="7" applyNumberFormat="0" applyFont="0" applyAlignment="0" applyProtection="0"/>
    <xf numFmtId="49" fontId="16" fillId="0" borderId="0" applyFill="0" applyProtection="0">
      <alignment horizontal="left" indent="1"/>
    </xf>
    <xf numFmtId="0" fontId="3" fillId="0" borderId="8" applyNumberFormat="0" applyFill="0" applyAlignment="0" applyProtection="0"/>
    <xf numFmtId="0" fontId="1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 fillId="31" borderId="0" applyNumberFormat="0" applyBorder="0" applyAlignment="0" applyProtection="0"/>
    <xf numFmtId="0" fontId="1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6" fontId="1" fillId="0" borderId="0" applyFont="0" applyFill="0" applyBorder="0" applyAlignment="0" applyProtection="0"/>
    <xf numFmtId="164" fontId="1" fillId="0" borderId="0" applyFont="0" applyFill="0" applyBorder="0" applyAlignment="0" applyProtection="0"/>
    <xf numFmtId="49" fontId="23" fillId="0" borderId="0" applyFill="0" applyAlignment="0"/>
    <xf numFmtId="169" fontId="24" fillId="0" borderId="0" applyFont="0" applyFill="0" applyBorder="0" applyAlignment="0" applyProtection="0">
      <protection locked="0"/>
    </xf>
    <xf numFmtId="49" fontId="19" fillId="33" borderId="0" applyFill="0" applyBorder="0">
      <alignment horizontal="left"/>
    </xf>
    <xf numFmtId="174" fontId="4" fillId="0" borderId="0" applyFont="0" applyFill="0" applyBorder="0" applyAlignment="0" applyProtection="0"/>
    <xf numFmtId="0" fontId="26" fillId="35" borderId="9" applyNumberFormat="0" applyFill="0" applyAlignment="0">
      <protection locked="0"/>
    </xf>
    <xf numFmtId="49" fontId="18" fillId="0" borderId="0" applyFill="0" applyAlignment="0"/>
    <xf numFmtId="0" fontId="27" fillId="34" borderId="9" applyNumberFormat="0" applyFill="0">
      <alignment horizontal="centerContinuous" wrapText="1"/>
    </xf>
    <xf numFmtId="173" fontId="4" fillId="0" borderId="0" applyFont="0" applyFill="0" applyBorder="0" applyAlignment="0" applyProtection="0">
      <alignment horizontal="center" vertical="top" wrapText="1"/>
    </xf>
    <xf numFmtId="0" fontId="1" fillId="36" borderId="9" applyNumberFormat="0" applyFill="0" applyAlignment="0"/>
    <xf numFmtId="167" fontId="1" fillId="0" borderId="0" applyFont="0" applyFill="0" applyBorder="0" applyAlignment="0" applyProtection="0"/>
    <xf numFmtId="168" fontId="24" fillId="0" borderId="0" applyFont="0" applyFill="0" applyBorder="0" applyAlignment="0" applyProtection="0">
      <protection locked="0"/>
    </xf>
    <xf numFmtId="49" fontId="25" fillId="0" borderId="0" applyFill="0" applyProtection="0">
      <alignment horizontal="left" indent="1"/>
    </xf>
    <xf numFmtId="170" fontId="28" fillId="35" borderId="9" applyNumberFormat="0" applyFill="0" applyAlignment="0"/>
    <xf numFmtId="171" fontId="24" fillId="0" borderId="0" applyFont="0" applyFill="0" applyBorder="0" applyAlignment="0" applyProtection="0">
      <protection locked="0"/>
    </xf>
    <xf numFmtId="165" fontId="1" fillId="0" borderId="0" applyFont="0" applyFill="0" applyBorder="0" applyAlignment="0" applyProtection="0"/>
    <xf numFmtId="175" fontId="32" fillId="0" borderId="14" applyFont="0" applyFill="0" applyBorder="0" applyAlignment="0" applyProtection="0"/>
    <xf numFmtId="175" fontId="1" fillId="0" borderId="9" applyFon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alignment vertical="top"/>
      <protection locked="0"/>
    </xf>
    <xf numFmtId="172" fontId="36" fillId="0" borderId="0" applyFont="0" applyFill="0" applyBorder="0" applyAlignment="0" applyProtection="0">
      <alignment horizontal="left"/>
      <protection locked="0"/>
    </xf>
    <xf numFmtId="178" fontId="24" fillId="0" borderId="0" applyFont="0" applyFill="0" applyBorder="0" applyAlignment="0" applyProtection="0">
      <alignment wrapText="1"/>
    </xf>
    <xf numFmtId="49" fontId="18" fillId="0" borderId="0" applyFill="0" applyAlignment="0"/>
    <xf numFmtId="172" fontId="13" fillId="0" borderId="0" applyFont="0" applyFill="0" applyBorder="0" applyAlignment="0" applyProtection="0">
      <alignment horizontal="left"/>
      <protection locked="0"/>
    </xf>
    <xf numFmtId="9" fontId="1" fillId="0" borderId="0" applyFont="0" applyFill="0" applyBorder="0" applyAlignment="0" applyProtection="0"/>
    <xf numFmtId="182" fontId="24" fillId="0" borderId="0" applyFont="0" applyFill="0" applyBorder="0" applyAlignment="0" applyProtection="0"/>
    <xf numFmtId="179" fontId="24" fillId="0" borderId="0" applyFont="0" applyFill="0" applyBorder="0" applyAlignment="0" applyProtection="0">
      <alignment horizontal="left"/>
      <protection locked="0"/>
    </xf>
    <xf numFmtId="174" fontId="4" fillId="0" borderId="0" applyFont="0" applyFill="0" applyBorder="0" applyAlignment="0" applyProtection="0"/>
    <xf numFmtId="0" fontId="1" fillId="36" borderId="9" applyNumberFormat="0" applyFill="0" applyAlignment="0"/>
    <xf numFmtId="49" fontId="17" fillId="0" borderId="0" applyFill="0" applyAlignment="0"/>
    <xf numFmtId="172" fontId="25" fillId="0" borderId="0" applyFill="0" applyProtection="0">
      <alignment horizontal="left" indent="1"/>
    </xf>
    <xf numFmtId="172" fontId="24" fillId="0" borderId="0" applyFont="0" applyFill="0" applyBorder="0" applyAlignment="0" applyProtection="0">
      <alignment horizontal="left"/>
      <protection locked="0"/>
    </xf>
    <xf numFmtId="49" fontId="25" fillId="0" borderId="0" applyFill="0" applyProtection="0">
      <alignment horizontal="left" indent="1"/>
    </xf>
    <xf numFmtId="175" fontId="1" fillId="0" borderId="9" applyFont="0" applyFill="0" applyBorder="0" applyAlignment="0" applyProtection="0"/>
    <xf numFmtId="181" fontId="1" fillId="0" borderId="0" applyFont="0" applyFill="0" applyBorder="0" applyAlignment="0" applyProtection="0"/>
    <xf numFmtId="183" fontId="4" fillId="32" borderId="0" applyFont="0" applyBorder="0"/>
    <xf numFmtId="165" fontId="1" fillId="36" borderId="13" applyNumberFormat="0" applyFont="0" applyFill="0" applyAlignment="0" applyProtection="0"/>
  </cellStyleXfs>
  <cellXfs count="226">
    <xf numFmtId="0" fontId="0" fillId="0" borderId="0" xfId="0"/>
    <xf numFmtId="172" fontId="23" fillId="0" borderId="0" xfId="49" applyNumberFormat="1" applyFill="1" applyBorder="1" applyAlignment="1">
      <alignment vertical="center"/>
    </xf>
    <xf numFmtId="174" fontId="26" fillId="0" borderId="0" xfId="53" applyNumberFormat="1" applyFill="1" applyBorder="1">
      <protection locked="0"/>
    </xf>
    <xf numFmtId="0" fontId="21" fillId="0" borderId="0" xfId="55" applyFont="1" applyFill="1" applyBorder="1" applyAlignment="1">
      <alignment horizontal="right" wrapText="1"/>
    </xf>
    <xf numFmtId="0" fontId="18" fillId="0" borderId="0" xfId="54" applyNumberFormat="1" applyFill="1" applyBorder="1" applyAlignment="1">
      <alignment horizontal="left"/>
    </xf>
    <xf numFmtId="176" fontId="0" fillId="0" borderId="12" xfId="57" applyNumberFormat="1" applyFont="1" applyFill="1" applyBorder="1" applyProtection="1"/>
    <xf numFmtId="0" fontId="0" fillId="0" borderId="0" xfId="0" applyBorder="1"/>
    <xf numFmtId="177" fontId="26" fillId="0" borderId="9" xfId="56" applyNumberFormat="1" applyFont="1" applyFill="1" applyBorder="1" applyAlignment="1" applyProtection="1">
      <protection locked="0"/>
    </xf>
    <xf numFmtId="0" fontId="0" fillId="0" borderId="0" xfId="0" applyFill="1" applyBorder="1"/>
    <xf numFmtId="49" fontId="23" fillId="0" borderId="0" xfId="49" applyBorder="1"/>
    <xf numFmtId="0" fontId="27" fillId="0" borderId="0" xfId="55" applyNumberFormat="1" applyFill="1" applyBorder="1" applyProtection="1">
      <alignment horizontal="centerContinuous" wrapText="1"/>
    </xf>
    <xf numFmtId="174" fontId="4" fillId="0" borderId="9" xfId="53" applyNumberFormat="1" applyFont="1" applyFill="1" applyBorder="1" applyProtection="1"/>
    <xf numFmtId="177" fontId="28" fillId="0" borderId="9" xfId="56" applyNumberFormat="1" applyFont="1" applyFill="1" applyBorder="1" applyAlignment="1" applyProtection="1"/>
    <xf numFmtId="180" fontId="28" fillId="0" borderId="9" xfId="52" applyNumberFormat="1" applyFont="1" applyFill="1" applyBorder="1" applyProtection="1"/>
    <xf numFmtId="0" fontId="27" fillId="0" borderId="11" xfId="55" applyNumberFormat="1" applyFill="1" applyBorder="1" applyAlignment="1">
      <alignment horizontal="right" wrapText="1"/>
    </xf>
    <xf numFmtId="0" fontId="27" fillId="0" borderId="11" xfId="55" applyFill="1" applyBorder="1" applyAlignment="1">
      <alignment horizontal="right" wrapText="1"/>
    </xf>
    <xf numFmtId="170" fontId="28" fillId="0" borderId="9" xfId="62" applyNumberFormat="1" applyFont="1" applyFill="1" applyBorder="1" applyProtection="1"/>
    <xf numFmtId="174" fontId="26" fillId="0" borderId="9" xfId="52" applyFont="1" applyFill="1" applyBorder="1" applyProtection="1">
      <protection locked="0"/>
    </xf>
    <xf numFmtId="10" fontId="28" fillId="0" borderId="9" xfId="72" applyNumberFormat="1" applyFont="1" applyFill="1" applyBorder="1"/>
    <xf numFmtId="171" fontId="1" fillId="0" borderId="9" xfId="62" applyFont="1" applyFill="1" applyBorder="1" applyProtection="1"/>
    <xf numFmtId="49" fontId="23" fillId="0" borderId="1" xfId="49" applyFill="1" applyBorder="1" applyAlignment="1">
      <alignment horizontal="centerContinuous"/>
    </xf>
    <xf numFmtId="0" fontId="0" fillId="0" borderId="15" xfId="0" applyFill="1" applyBorder="1"/>
    <xf numFmtId="0" fontId="0" fillId="0" borderId="2" xfId="0" applyFill="1" applyBorder="1"/>
    <xf numFmtId="0" fontId="0" fillId="0" borderId="1" xfId="0" applyFill="1" applyBorder="1"/>
    <xf numFmtId="0" fontId="0" fillId="0" borderId="0" xfId="0" applyFill="1" applyBorder="1" applyAlignment="1">
      <alignment horizontal="centerContinuous"/>
    </xf>
    <xf numFmtId="15" fontId="34" fillId="0" borderId="1" xfId="0" applyNumberFormat="1" applyFont="1" applyFill="1" applyBorder="1" applyAlignment="1">
      <alignment horizontal="centerContinuous"/>
    </xf>
    <xf numFmtId="171" fontId="26" fillId="0" borderId="9" xfId="62" applyNumberFormat="1" applyFont="1" applyFill="1" applyBorder="1" applyProtection="1"/>
    <xf numFmtId="0" fontId="23" fillId="0" borderId="0" xfId="49" applyNumberFormat="1" applyFill="1" applyBorder="1" applyAlignment="1">
      <alignment vertical="center"/>
    </xf>
    <xf numFmtId="179" fontId="1" fillId="0" borderId="9" xfId="74" applyFont="1" applyFill="1" applyBorder="1" applyAlignment="1" applyProtection="1"/>
    <xf numFmtId="179" fontId="1" fillId="0" borderId="9" xfId="74" applyFont="1" applyFill="1" applyBorder="1" applyAlignment="1" applyProtection="1">
      <alignment horizontal="center"/>
    </xf>
    <xf numFmtId="174" fontId="28" fillId="0" borderId="9" xfId="75" applyFont="1" applyFill="1" applyBorder="1" applyAlignment="1" applyProtection="1"/>
    <xf numFmtId="181" fontId="28" fillId="0" borderId="9" xfId="82" applyFont="1" applyFill="1" applyBorder="1"/>
    <xf numFmtId="182" fontId="28" fillId="0" borderId="9" xfId="73" applyFont="1" applyFill="1" applyBorder="1" applyAlignment="1" applyProtection="1"/>
    <xf numFmtId="2" fontId="18" fillId="0" borderId="0" xfId="54" applyNumberFormat="1" applyFill="1" applyBorder="1" applyAlignment="1">
      <alignment horizontal="left"/>
    </xf>
    <xf numFmtId="176" fontId="0" fillId="0" borderId="0" xfId="57" applyNumberFormat="1" applyFont="1" applyFill="1" applyBorder="1" applyProtection="1"/>
    <xf numFmtId="172" fontId="25" fillId="0" borderId="0" xfId="78" applyFill="1" applyBorder="1">
      <alignment horizontal="left" indent="1"/>
    </xf>
    <xf numFmtId="176" fontId="0" fillId="32" borderId="0" xfId="57" applyNumberFormat="1" applyFont="1" applyFill="1" applyBorder="1" applyProtection="1"/>
    <xf numFmtId="0" fontId="0" fillId="32" borderId="0" xfId="0" applyFill="1" applyBorder="1"/>
    <xf numFmtId="0" fontId="28" fillId="0" borderId="0" xfId="61" applyNumberFormat="1" applyFill="1" applyBorder="1" applyAlignment="1">
      <alignment horizontal="center" wrapText="1"/>
    </xf>
    <xf numFmtId="0" fontId="27" fillId="0" borderId="10" xfId="55" applyFill="1" applyBorder="1">
      <alignment horizontal="centerContinuous" wrapText="1"/>
    </xf>
    <xf numFmtId="179" fontId="26" fillId="0" borderId="9" xfId="74" applyFont="1" applyFill="1" applyBorder="1" applyAlignment="1">
      <protection locked="0"/>
    </xf>
    <xf numFmtId="49" fontId="25" fillId="0" borderId="0" xfId="60">
      <alignment horizontal="left" indent="1"/>
    </xf>
    <xf numFmtId="0" fontId="0" fillId="0" borderId="16" xfId="0" applyBorder="1"/>
    <xf numFmtId="0" fontId="0" fillId="0" borderId="17" xfId="0" applyBorder="1"/>
    <xf numFmtId="0" fontId="0" fillId="0" borderId="0" xfId="0"/>
    <xf numFmtId="180" fontId="26" fillId="0" borderId="9" xfId="52" applyNumberFormat="1" applyFont="1" applyFill="1" applyBorder="1" applyProtection="1">
      <protection locked="0"/>
    </xf>
    <xf numFmtId="9" fontId="26" fillId="40" borderId="0" xfId="53" applyNumberFormat="1" applyFill="1" applyBorder="1">
      <protection locked="0"/>
    </xf>
    <xf numFmtId="179" fontId="1" fillId="40" borderId="9" xfId="74" applyFont="1" applyFill="1" applyBorder="1" applyAlignment="1" applyProtection="1">
      <alignment horizontal="center"/>
    </xf>
    <xf numFmtId="181" fontId="28" fillId="40" borderId="9" xfId="82" applyFont="1" applyFill="1" applyBorder="1"/>
    <xf numFmtId="174" fontId="28" fillId="40" borderId="9" xfId="75" applyFont="1" applyFill="1" applyBorder="1" applyAlignment="1" applyProtection="1"/>
    <xf numFmtId="170" fontId="28" fillId="40" borderId="9" xfId="62" applyNumberFormat="1" applyFont="1" applyFill="1" applyBorder="1" applyProtection="1"/>
    <xf numFmtId="180" fontId="28" fillId="40" borderId="9" xfId="52" applyNumberFormat="1" applyFont="1" applyFill="1" applyBorder="1" applyProtection="1"/>
    <xf numFmtId="169" fontId="1" fillId="40" borderId="9" xfId="50" applyFont="1" applyFill="1" applyBorder="1" applyProtection="1"/>
    <xf numFmtId="174" fontId="4" fillId="40" borderId="18" xfId="53" applyNumberFormat="1" applyFont="1" applyFill="1" applyBorder="1" applyProtection="1"/>
    <xf numFmtId="171" fontId="1" fillId="40" borderId="9" xfId="62" applyFont="1" applyFill="1" applyBorder="1" applyProtection="1"/>
    <xf numFmtId="0" fontId="18" fillId="40" borderId="0" xfId="54" applyNumberFormat="1" applyFill="1" applyBorder="1" applyAlignment="1">
      <alignment horizontal="left"/>
    </xf>
    <xf numFmtId="0" fontId="17" fillId="0" borderId="0" xfId="5" applyNumberFormat="1" applyBorder="1" applyAlignment="1">
      <alignment horizontal="right"/>
    </xf>
    <xf numFmtId="49" fontId="17" fillId="0" borderId="0" xfId="5" applyFill="1" applyBorder="1"/>
    <xf numFmtId="172" fontId="27" fillId="0" borderId="10" xfId="55" applyNumberFormat="1" applyFill="1" applyBorder="1" applyAlignment="1">
      <alignment horizontal="right" wrapText="1"/>
    </xf>
    <xf numFmtId="0" fontId="1" fillId="0" borderId="9" xfId="57" applyFill="1" applyBorder="1"/>
    <xf numFmtId="0" fontId="0" fillId="0" borderId="0" xfId="0" applyBorder="1" applyProtection="1"/>
    <xf numFmtId="0" fontId="27" fillId="0" borderId="9" xfId="55" applyFill="1" applyBorder="1">
      <alignment horizontal="centerContinuous" wrapText="1"/>
    </xf>
    <xf numFmtId="172" fontId="27" fillId="0" borderId="9" xfId="55" applyNumberFormat="1" applyFill="1" applyBorder="1" applyAlignment="1">
      <alignment horizontal="right" wrapText="1"/>
    </xf>
    <xf numFmtId="0" fontId="27" fillId="40" borderId="10" xfId="55" applyNumberFormat="1" applyFill="1" applyBorder="1" applyAlignment="1">
      <alignment horizontal="right" wrapText="1"/>
    </xf>
    <xf numFmtId="0" fontId="27" fillId="0" borderId="10" xfId="55" applyNumberFormat="1" applyFill="1" applyBorder="1" applyAlignment="1">
      <alignment horizontal="right" wrapText="1"/>
    </xf>
    <xf numFmtId="171" fontId="1" fillId="0" borderId="9" xfId="57" applyNumberFormat="1" applyFill="1" applyBorder="1" applyProtection="1"/>
    <xf numFmtId="0" fontId="0" fillId="0" borderId="19" xfId="0" applyBorder="1" applyProtection="1"/>
    <xf numFmtId="171" fontId="31" fillId="0" borderId="9" xfId="57" applyNumberFormat="1" applyFont="1" applyFill="1" applyBorder="1" applyProtection="1"/>
    <xf numFmtId="0" fontId="0" fillId="0" borderId="10" xfId="0" applyBorder="1" applyProtection="1"/>
    <xf numFmtId="49" fontId="1" fillId="0" borderId="9" xfId="57" applyNumberFormat="1" applyFill="1" applyBorder="1"/>
    <xf numFmtId="174" fontId="28" fillId="40" borderId="9" xfId="53" applyNumberFormat="1" applyFont="1" applyFill="1" applyBorder="1" applyProtection="1"/>
    <xf numFmtId="174" fontId="28" fillId="0" borderId="9" xfId="53" applyNumberFormat="1" applyFont="1" applyFill="1" applyBorder="1" applyProtection="1"/>
    <xf numFmtId="0" fontId="0" fillId="0" borderId="9" xfId="0" applyBorder="1"/>
    <xf numFmtId="49" fontId="17" fillId="0" borderId="12" xfId="5" applyFill="1" applyBorder="1"/>
    <xf numFmtId="0" fontId="0" fillId="0" borderId="12" xfId="0" applyBorder="1"/>
    <xf numFmtId="0" fontId="0" fillId="40" borderId="12" xfId="0" applyFill="1" applyBorder="1"/>
    <xf numFmtId="49" fontId="18" fillId="0" borderId="10" xfId="54" applyFill="1" applyBorder="1" applyAlignment="1">
      <alignment horizontal="left"/>
    </xf>
    <xf numFmtId="171" fontId="1" fillId="0" borderId="9" xfId="57" applyNumberFormat="1" applyFill="1" applyBorder="1"/>
    <xf numFmtId="0" fontId="0" fillId="40" borderId="0" xfId="0" applyFill="1" applyBorder="1"/>
    <xf numFmtId="0" fontId="18" fillId="0" borderId="9" xfId="54" applyNumberFormat="1" applyFill="1" applyBorder="1" applyAlignment="1">
      <alignment horizontal="left"/>
    </xf>
    <xf numFmtId="0" fontId="18" fillId="0" borderId="9" xfId="54" applyNumberFormat="1" applyFill="1" applyBorder="1" applyAlignment="1">
      <alignment horizontal="right"/>
    </xf>
    <xf numFmtId="180" fontId="1" fillId="40" borderId="9" xfId="76" applyNumberFormat="1" applyFill="1" applyBorder="1"/>
    <xf numFmtId="180" fontId="1" fillId="0" borderId="9" xfId="76" applyNumberFormat="1" applyFill="1" applyBorder="1"/>
    <xf numFmtId="0" fontId="25" fillId="40" borderId="0" xfId="78" applyNumberFormat="1" applyFill="1" applyBorder="1">
      <alignment horizontal="left" indent="1"/>
    </xf>
    <xf numFmtId="49" fontId="18" fillId="0" borderId="9" xfId="54" applyFill="1" applyBorder="1" applyAlignment="1">
      <alignment horizontal="left"/>
    </xf>
    <xf numFmtId="0" fontId="27" fillId="40" borderId="9" xfId="55" applyNumberFormat="1" applyFill="1" applyBorder="1" applyAlignment="1">
      <alignment horizontal="right" wrapText="1"/>
    </xf>
    <xf numFmtId="0" fontId="27" fillId="0" borderId="9" xfId="55" applyNumberFormat="1" applyFill="1" applyBorder="1" applyAlignment="1">
      <alignment horizontal="right" wrapText="1"/>
    </xf>
    <xf numFmtId="171" fontId="1" fillId="40" borderId="9" xfId="57" applyNumberFormat="1" applyFill="1" applyBorder="1"/>
    <xf numFmtId="49" fontId="25" fillId="0" borderId="0" xfId="60" applyFill="1" applyBorder="1">
      <alignment horizontal="left" indent="1"/>
    </xf>
    <xf numFmtId="49" fontId="25" fillId="0" borderId="0" xfId="60" applyBorder="1">
      <alignment horizontal="left" indent="1"/>
    </xf>
    <xf numFmtId="0" fontId="18" fillId="0" borderId="12" xfId="54" applyNumberFormat="1" applyFill="1" applyBorder="1" applyAlignment="1">
      <alignment horizontal="left"/>
    </xf>
    <xf numFmtId="0" fontId="25" fillId="0" borderId="0" xfId="60" applyNumberFormat="1" applyBorder="1" applyAlignment="1">
      <alignment horizontal="left" wrapText="1" indent="1"/>
    </xf>
    <xf numFmtId="170" fontId="1" fillId="40" borderId="9" xfId="57" applyNumberFormat="1" applyFill="1" applyBorder="1" applyProtection="1"/>
    <xf numFmtId="170" fontId="1" fillId="0" borderId="9" xfId="57" applyNumberFormat="1" applyFill="1" applyBorder="1" applyProtection="1"/>
    <xf numFmtId="0" fontId="0" fillId="0" borderId="9" xfId="57" applyFont="1" applyFill="1" applyBorder="1"/>
    <xf numFmtId="174" fontId="4" fillId="40" borderId="9" xfId="53" applyNumberFormat="1" applyFont="1" applyFill="1" applyBorder="1" applyProtection="1"/>
    <xf numFmtId="0" fontId="25" fillId="0" borderId="0" xfId="78" applyNumberFormat="1" applyBorder="1">
      <alignment horizontal="left" indent="1"/>
    </xf>
    <xf numFmtId="174" fontId="4" fillId="0" borderId="12" xfId="53" applyNumberFormat="1" applyFont="1" applyFill="1" applyBorder="1" applyProtection="1"/>
    <xf numFmtId="169" fontId="1" fillId="40" borderId="20" xfId="50" applyFont="1" applyFill="1" applyBorder="1" applyProtection="1"/>
    <xf numFmtId="169" fontId="26" fillId="40" borderId="21" xfId="50" applyFont="1" applyFill="1" applyBorder="1" applyProtection="1"/>
    <xf numFmtId="172" fontId="25" fillId="0" borderId="0" xfId="78" applyBorder="1">
      <alignment horizontal="left" indent="1"/>
    </xf>
    <xf numFmtId="0" fontId="18" fillId="40" borderId="9" xfId="54" applyNumberFormat="1" applyFill="1" applyBorder="1" applyAlignment="1">
      <alignment horizontal="left"/>
    </xf>
    <xf numFmtId="0" fontId="27" fillId="0" borderId="22" xfId="55" applyNumberFormat="1" applyFill="1" applyBorder="1" applyAlignment="1">
      <alignment horizontal="right" wrapText="1"/>
    </xf>
    <xf numFmtId="0" fontId="27" fillId="0" borderId="12" xfId="55" applyNumberFormat="1" applyFill="1" applyBorder="1" applyAlignment="1">
      <alignment horizontal="right" wrapText="1"/>
    </xf>
    <xf numFmtId="174" fontId="4" fillId="40" borderId="20" xfId="53" applyNumberFormat="1" applyFont="1" applyFill="1" applyBorder="1" applyProtection="1"/>
    <xf numFmtId="174" fontId="4" fillId="0" borderId="21" xfId="53" applyNumberFormat="1" applyFont="1" applyFill="1" applyBorder="1" applyProtection="1"/>
    <xf numFmtId="174" fontId="1" fillId="0" borderId="9" xfId="57" applyNumberFormat="1" applyFill="1" applyBorder="1" applyAlignment="1">
      <alignment horizontal="right"/>
    </xf>
    <xf numFmtId="174" fontId="1" fillId="0" borderId="9" xfId="84" applyNumberFormat="1" applyFill="1" applyBorder="1" applyAlignment="1">
      <alignment horizontal="right"/>
    </xf>
    <xf numFmtId="174" fontId="4" fillId="0" borderId="9" xfId="84" applyNumberFormat="1" applyFont="1" applyFill="1" applyBorder="1" applyProtection="1"/>
    <xf numFmtId="0" fontId="0" fillId="40" borderId="12" xfId="0" applyFill="1" applyBorder="1" applyProtection="1"/>
    <xf numFmtId="0" fontId="0" fillId="0" borderId="12" xfId="0" applyBorder="1" applyProtection="1"/>
    <xf numFmtId="172" fontId="27" fillId="0" borderId="10" xfId="55" applyNumberFormat="1" applyFill="1" applyBorder="1" applyAlignment="1">
      <alignment horizontal="center" wrapText="1"/>
    </xf>
    <xf numFmtId="0" fontId="27" fillId="40" borderId="10" xfId="55" applyNumberFormat="1" applyFill="1" applyBorder="1" applyAlignment="1" applyProtection="1">
      <alignment horizontal="right" wrapText="1"/>
    </xf>
    <xf numFmtId="0" fontId="27" fillId="0" borderId="10" xfId="55" applyNumberFormat="1" applyFill="1" applyBorder="1" applyAlignment="1" applyProtection="1">
      <alignment horizontal="right" wrapText="1"/>
    </xf>
    <xf numFmtId="172" fontId="25" fillId="0" borderId="9" xfId="78" applyBorder="1">
      <alignment horizontal="left" indent="1"/>
    </xf>
    <xf numFmtId="0" fontId="0" fillId="40" borderId="9" xfId="57" applyFont="1" applyFill="1" applyBorder="1"/>
    <xf numFmtId="10" fontId="1" fillId="40" borderId="9" xfId="57" applyNumberFormat="1" applyFill="1" applyBorder="1"/>
    <xf numFmtId="49" fontId="23" fillId="0" borderId="0" xfId="49" applyFill="1" applyBorder="1" applyAlignment="1">
      <alignment vertical="top"/>
    </xf>
    <xf numFmtId="179" fontId="23" fillId="0" borderId="0" xfId="74" applyFont="1" applyFill="1" applyBorder="1" applyAlignment="1" applyProtection="1">
      <alignment vertical="top"/>
    </xf>
    <xf numFmtId="49" fontId="25" fillId="0" borderId="0" xfId="60" quotePrefix="1" applyFill="1" applyBorder="1" applyAlignment="1" applyProtection="1">
      <alignment horizontal="left"/>
    </xf>
    <xf numFmtId="179" fontId="25" fillId="0" borderId="0" xfId="74" quotePrefix="1" applyFont="1" applyFill="1" applyBorder="1" applyAlignment="1" applyProtection="1">
      <alignment horizontal="left"/>
    </xf>
    <xf numFmtId="0" fontId="0" fillId="0" borderId="0" xfId="0" applyFill="1" applyBorder="1" applyAlignment="1">
      <alignment vertical="center"/>
    </xf>
    <xf numFmtId="49" fontId="17" fillId="0" borderId="10" xfId="5" applyFill="1" applyBorder="1" applyAlignment="1">
      <alignment horizontal="left"/>
    </xf>
    <xf numFmtId="179" fontId="17" fillId="0" borderId="10" xfId="74" applyFont="1" applyFill="1" applyBorder="1" applyAlignment="1" applyProtection="1">
      <alignment horizontal="left"/>
    </xf>
    <xf numFmtId="179" fontId="1" fillId="0" borderId="23" xfId="57" applyNumberFormat="1" applyFill="1" applyBorder="1" applyAlignment="1"/>
    <xf numFmtId="173" fontId="26" fillId="40" borderId="9" xfId="53" applyNumberFormat="1" applyFill="1" applyBorder="1" applyAlignment="1">
      <protection locked="0"/>
    </xf>
    <xf numFmtId="179" fontId="27" fillId="0" borderId="9" xfId="74" applyFont="1" applyFill="1" applyBorder="1" applyAlignment="1" applyProtection="1">
      <alignment horizontal="centerContinuous" wrapText="1"/>
    </xf>
    <xf numFmtId="173" fontId="26" fillId="0" borderId="12" xfId="53" applyNumberFormat="1" applyFill="1" applyBorder="1" applyAlignment="1">
      <protection locked="0"/>
    </xf>
    <xf numFmtId="179" fontId="27" fillId="0" borderId="20" xfId="74" applyFont="1" applyFill="1" applyBorder="1" applyAlignment="1" applyProtection="1">
      <alignment horizontal="right" wrapText="1"/>
    </xf>
    <xf numFmtId="179" fontId="27" fillId="0" borderId="21" xfId="74" applyFont="1" applyFill="1" applyBorder="1" applyAlignment="1" applyProtection="1">
      <alignment horizontal="right" wrapText="1"/>
    </xf>
    <xf numFmtId="179" fontId="27" fillId="0" borderId="10" xfId="74" applyFont="1" applyFill="1" applyBorder="1" applyAlignment="1" applyProtection="1">
      <alignment horizontal="right" wrapText="1"/>
    </xf>
    <xf numFmtId="0" fontId="1" fillId="0" borderId="9" xfId="57" applyNumberFormat="1" applyFill="1" applyBorder="1"/>
    <xf numFmtId="179" fontId="18" fillId="0" borderId="9" xfId="74" applyFont="1" applyFill="1" applyBorder="1" applyAlignment="1" applyProtection="1">
      <alignment horizontal="left"/>
    </xf>
    <xf numFmtId="0" fontId="21" fillId="0" borderId="9" xfId="55" applyFont="1" applyFill="1" applyBorder="1" applyAlignment="1">
      <alignment horizontal="right" wrapText="1"/>
    </xf>
    <xf numFmtId="0" fontId="21" fillId="0" borderId="12" xfId="55" applyFont="1" applyFill="1" applyBorder="1" applyAlignment="1">
      <alignment horizontal="right" wrapText="1"/>
    </xf>
    <xf numFmtId="49" fontId="17" fillId="0" borderId="9" xfId="5" applyFill="1" applyBorder="1" applyAlignment="1">
      <alignment horizontal="left"/>
    </xf>
    <xf numFmtId="179" fontId="17" fillId="0" borderId="9" xfId="74" applyFont="1" applyFill="1" applyBorder="1" applyAlignment="1" applyProtection="1">
      <alignment horizontal="left"/>
    </xf>
    <xf numFmtId="0" fontId="0" fillId="0" borderId="9" xfId="0" applyFill="1" applyBorder="1"/>
    <xf numFmtId="0" fontId="0" fillId="0" borderId="10" xfId="0" applyBorder="1"/>
    <xf numFmtId="0" fontId="1" fillId="0" borderId="9" xfId="57" applyFill="1" applyBorder="1" applyAlignment="1"/>
    <xf numFmtId="0" fontId="26" fillId="0" borderId="9" xfId="53" applyNumberFormat="1" applyFill="1" applyBorder="1" applyAlignment="1">
      <alignment horizontal="left" vertical="top" wrapText="1"/>
      <protection locked="0"/>
    </xf>
    <xf numFmtId="0" fontId="0" fillId="0" borderId="9" xfId="57" applyFont="1" applyFill="1" applyBorder="1" applyAlignment="1">
      <alignment horizontal="left"/>
    </xf>
    <xf numFmtId="0" fontId="1" fillId="0" borderId="9" xfId="57" applyFill="1" applyBorder="1" applyAlignment="1">
      <alignment horizontal="center"/>
    </xf>
    <xf numFmtId="0" fontId="25" fillId="0" borderId="0" xfId="60" applyNumberFormat="1" applyFill="1" applyBorder="1">
      <alignment horizontal="left" indent="1"/>
    </xf>
    <xf numFmtId="174" fontId="26" fillId="0" borderId="9" xfId="53" applyNumberFormat="1" applyFill="1" applyBorder="1">
      <protection locked="0"/>
    </xf>
    <xf numFmtId="0" fontId="1" fillId="40" borderId="9" xfId="57" applyFill="1" applyBorder="1"/>
    <xf numFmtId="0" fontId="1" fillId="40" borderId="9" xfId="57" applyFill="1" applyBorder="1" applyAlignment="1">
      <alignment horizontal="center"/>
    </xf>
    <xf numFmtId="0" fontId="25" fillId="40" borderId="0" xfId="60" applyNumberFormat="1" applyFill="1" applyBorder="1">
      <alignment horizontal="left" indent="1"/>
    </xf>
    <xf numFmtId="0" fontId="27" fillId="0" borderId="9" xfId="55" applyFill="1" applyBorder="1" applyAlignment="1">
      <alignment horizontal="centerContinuous"/>
    </xf>
    <xf numFmtId="169" fontId="26" fillId="0" borderId="9" xfId="53" applyNumberFormat="1" applyFill="1" applyBorder="1">
      <protection locked="0"/>
    </xf>
    <xf numFmtId="49" fontId="25" fillId="0" borderId="0" xfId="60" quotePrefix="1" applyBorder="1">
      <alignment horizontal="left" indent="1"/>
    </xf>
    <xf numFmtId="49" fontId="18" fillId="0" borderId="9" xfId="54" applyBorder="1"/>
    <xf numFmtId="182" fontId="28" fillId="0" borderId="9" xfId="61" applyNumberFormat="1" applyFill="1" applyBorder="1" applyAlignment="1"/>
    <xf numFmtId="172" fontId="27" fillId="0" borderId="9" xfId="3" applyFont="1" applyFill="1" applyBorder="1" applyAlignment="1" applyProtection="1">
      <alignment horizontal="left" wrapText="1" indent="1"/>
    </xf>
    <xf numFmtId="0" fontId="27" fillId="0" borderId="10" xfId="55" applyFill="1" applyBorder="1" applyAlignment="1">
      <alignment horizontal="right" wrapText="1"/>
    </xf>
    <xf numFmtId="0" fontId="27" fillId="0" borderId="25" xfId="55" applyFill="1" applyBorder="1" applyAlignment="1">
      <alignment horizontal="right" wrapText="1"/>
    </xf>
    <xf numFmtId="0" fontId="27" fillId="0" borderId="26" xfId="55" applyFill="1" applyBorder="1" applyAlignment="1">
      <alignment horizontal="right" wrapText="1"/>
    </xf>
    <xf numFmtId="0" fontId="0" fillId="0" borderId="18" xfId="0" applyBorder="1"/>
    <xf numFmtId="0" fontId="30" fillId="0" borderId="9" xfId="55" applyFont="1" applyFill="1" applyBorder="1" applyAlignment="1" applyProtection="1">
      <alignment horizontal="right" wrapText="1"/>
    </xf>
    <xf numFmtId="0" fontId="39" fillId="40" borderId="9" xfId="57" applyFont="1" applyFill="1" applyBorder="1"/>
    <xf numFmtId="174" fontId="1" fillId="0" borderId="9" xfId="57" applyNumberFormat="1" applyFill="1" applyBorder="1" applyAlignment="1"/>
    <xf numFmtId="0" fontId="0" fillId="0" borderId="19" xfId="0" applyBorder="1"/>
    <xf numFmtId="0" fontId="0" fillId="32" borderId="12" xfId="0" applyFill="1" applyBorder="1"/>
    <xf numFmtId="49" fontId="19" fillId="0" borderId="10" xfId="51" applyFill="1" applyBorder="1">
      <alignment horizontal="left"/>
    </xf>
    <xf numFmtId="49" fontId="19" fillId="0" borderId="9" xfId="51" applyFill="1" applyBorder="1">
      <alignment horizontal="left"/>
    </xf>
    <xf numFmtId="49" fontId="17" fillId="0" borderId="10" xfId="5" applyFill="1" applyBorder="1"/>
    <xf numFmtId="0" fontId="28" fillId="0" borderId="9" xfId="61" applyNumberFormat="1" applyFill="1" applyBorder="1" applyAlignment="1">
      <alignment horizontal="left"/>
    </xf>
    <xf numFmtId="172" fontId="0" fillId="0" borderId="9" xfId="57" applyNumberFormat="1" applyFont="1" applyFill="1" applyBorder="1" applyAlignment="1"/>
    <xf numFmtId="0" fontId="25" fillId="0" borderId="9" xfId="78" applyNumberFormat="1" applyBorder="1">
      <alignment horizontal="left" indent="1"/>
    </xf>
    <xf numFmtId="0" fontId="25" fillId="0" borderId="12" xfId="78" applyNumberFormat="1" applyBorder="1">
      <alignment horizontal="left" indent="1"/>
    </xf>
    <xf numFmtId="49" fontId="17" fillId="0" borderId="9" xfId="5" applyFill="1" applyBorder="1"/>
    <xf numFmtId="172" fontId="25" fillId="0" borderId="0" xfId="78" applyNumberFormat="1" applyBorder="1">
      <alignment horizontal="left" indent="1"/>
    </xf>
    <xf numFmtId="174" fontId="28" fillId="0" borderId="12" xfId="53" applyNumberFormat="1" applyFont="1" applyFill="1" applyBorder="1" applyProtection="1"/>
    <xf numFmtId="172" fontId="25" fillId="0" borderId="9" xfId="78" applyNumberFormat="1" applyBorder="1">
      <alignment horizontal="left" indent="1"/>
    </xf>
    <xf numFmtId="0" fontId="28" fillId="0" borderId="12" xfId="61" applyNumberFormat="1" applyFill="1" applyBorder="1" applyAlignment="1">
      <alignment horizontal="center" wrapText="1"/>
    </xf>
    <xf numFmtId="0" fontId="28" fillId="0" borderId="9" xfId="61" applyNumberFormat="1" applyFill="1" applyBorder="1" applyAlignment="1">
      <alignment horizontal="center" wrapText="1"/>
    </xf>
    <xf numFmtId="49" fontId="25" fillId="0" borderId="10" xfId="60" quotePrefix="1" applyFill="1" applyBorder="1" applyAlignment="1" applyProtection="1">
      <alignment horizontal="left" vertical="top"/>
    </xf>
    <xf numFmtId="172" fontId="26" fillId="0" borderId="9" xfId="53" applyNumberFormat="1" applyFill="1" applyBorder="1" applyAlignment="1">
      <protection locked="0"/>
    </xf>
    <xf numFmtId="0" fontId="27" fillId="0" borderId="9" xfId="55" applyFill="1" applyBorder="1" applyAlignment="1">
      <alignment horizontal="center" vertical="top" wrapText="1"/>
    </xf>
    <xf numFmtId="0" fontId="25" fillId="0" borderId="10" xfId="78" applyNumberFormat="1" applyFill="1" applyBorder="1">
      <alignment horizontal="left" indent="1"/>
    </xf>
    <xf numFmtId="2" fontId="18" fillId="0" borderId="12" xfId="54" applyNumberFormat="1" applyFill="1" applyBorder="1" applyAlignment="1">
      <alignment horizontal="left"/>
    </xf>
    <xf numFmtId="2" fontId="18" fillId="32" borderId="12" xfId="54" applyNumberFormat="1" applyFill="1" applyBorder="1" applyAlignment="1">
      <alignment horizontal="left"/>
    </xf>
    <xf numFmtId="176" fontId="0" fillId="32" borderId="12" xfId="57" applyNumberFormat="1" applyFont="1" applyFill="1" applyBorder="1" applyProtection="1"/>
    <xf numFmtId="0" fontId="25" fillId="32" borderId="10" xfId="78" applyNumberFormat="1" applyFill="1" applyBorder="1">
      <alignment horizontal="left" indent="1"/>
    </xf>
    <xf numFmtId="0" fontId="0" fillId="32" borderId="9" xfId="57" applyFont="1" applyFill="1" applyBorder="1" applyAlignment="1">
      <alignment horizontal="left"/>
    </xf>
    <xf numFmtId="0" fontId="1" fillId="0" borderId="9" xfId="57" applyFill="1" applyBorder="1" applyAlignment="1">
      <alignment horizontal="left"/>
    </xf>
    <xf numFmtId="0" fontId="0" fillId="0" borderId="12" xfId="0" applyFill="1" applyBorder="1"/>
    <xf numFmtId="49" fontId="18" fillId="0" borderId="0" xfId="54" applyFill="1" applyBorder="1" applyAlignment="1">
      <alignment horizontal="left"/>
    </xf>
    <xf numFmtId="10" fontId="28" fillId="0" borderId="9" xfId="61" applyNumberFormat="1" applyFill="1" applyBorder="1"/>
    <xf numFmtId="174" fontId="28" fillId="0" borderId="9" xfId="61" applyNumberFormat="1" applyFill="1" applyBorder="1"/>
    <xf numFmtId="49" fontId="18" fillId="0" borderId="0" xfId="54" applyFill="1" applyBorder="1"/>
    <xf numFmtId="49" fontId="19" fillId="0" borderId="9" xfId="51" applyNumberFormat="1" applyFill="1" applyBorder="1">
      <alignment horizontal="left"/>
    </xf>
    <xf numFmtId="0" fontId="0" fillId="0" borderId="27" xfId="0" applyBorder="1"/>
    <xf numFmtId="49" fontId="17" fillId="0" borderId="10" xfId="5" applyFill="1" applyBorder="1" applyAlignment="1">
      <alignment horizontal="left" indent="1"/>
    </xf>
    <xf numFmtId="49" fontId="17" fillId="0" borderId="9" xfId="5" applyFill="1" applyBorder="1" applyAlignment="1">
      <alignment horizontal="left" indent="1"/>
    </xf>
    <xf numFmtId="49" fontId="17" fillId="0" borderId="0" xfId="5" applyAlignment="1">
      <alignment horizontal="left" indent="1"/>
    </xf>
    <xf numFmtId="49" fontId="23" fillId="0" borderId="0" xfId="49"/>
    <xf numFmtId="174" fontId="0" fillId="0" borderId="0" xfId="52" applyFont="1" applyAlignment="1">
      <alignment vertical="top"/>
    </xf>
    <xf numFmtId="0" fontId="0" fillId="0" borderId="0" xfId="0" applyAlignment="1">
      <alignment vertical="top"/>
    </xf>
    <xf numFmtId="0" fontId="40" fillId="0" borderId="0" xfId="0" applyFont="1"/>
    <xf numFmtId="174" fontId="26" fillId="40" borderId="9" xfId="53" applyNumberFormat="1" applyFill="1" applyBorder="1">
      <protection locked="0"/>
    </xf>
    <xf numFmtId="180" fontId="26" fillId="40" borderId="9" xfId="53" applyNumberFormat="1" applyFill="1" applyBorder="1" applyProtection="1"/>
    <xf numFmtId="0" fontId="1" fillId="40" borderId="9" xfId="57" applyNumberFormat="1" applyFill="1" applyBorder="1"/>
    <xf numFmtId="174" fontId="28" fillId="0" borderId="12" xfId="61" applyNumberFormat="1" applyFill="1" applyBorder="1"/>
    <xf numFmtId="0" fontId="27" fillId="0" borderId="0" xfId="55" applyFill="1" applyBorder="1" applyAlignment="1">
      <alignment horizontal="center" vertical="top" wrapText="1"/>
    </xf>
    <xf numFmtId="179" fontId="26" fillId="40" borderId="24" xfId="74" applyFont="1" applyFill="1" applyBorder="1" applyAlignment="1">
      <protection locked="0"/>
    </xf>
    <xf numFmtId="0" fontId="1" fillId="0" borderId="9" xfId="57" applyFill="1" applyBorder="1" applyAlignment="1">
      <alignment horizontal="center" wrapText="1"/>
    </xf>
    <xf numFmtId="0" fontId="1" fillId="0" borderId="9" xfId="57" applyFill="1" applyBorder="1" applyAlignment="1">
      <alignment vertical="top" wrapText="1"/>
    </xf>
    <xf numFmtId="0" fontId="1" fillId="0" borderId="9" xfId="57" applyFill="1" applyBorder="1" applyAlignment="1">
      <alignment wrapText="1"/>
    </xf>
    <xf numFmtId="0" fontId="0" fillId="0" borderId="9" xfId="57" applyFont="1" applyFill="1" applyBorder="1" applyAlignment="1">
      <alignment vertical="top" wrapText="1"/>
    </xf>
    <xf numFmtId="0" fontId="0" fillId="0" borderId="9" xfId="57" quotePrefix="1" applyFont="1" applyFill="1" applyBorder="1" applyAlignment="1">
      <alignment horizontal="left" vertical="top" wrapText="1"/>
    </xf>
    <xf numFmtId="0" fontId="0" fillId="0" borderId="9" xfId="57" applyFont="1" applyFill="1" applyBorder="1" applyAlignment="1">
      <alignment horizontal="left" vertical="top" wrapText="1"/>
    </xf>
    <xf numFmtId="0" fontId="1" fillId="0" borderId="9" xfId="57" applyFont="1" applyFill="1" applyBorder="1" applyAlignment="1">
      <alignment horizontal="left" vertical="top" wrapText="1"/>
    </xf>
    <xf numFmtId="0" fontId="0" fillId="0" borderId="9" xfId="57" quotePrefix="1" applyFont="1" applyFill="1" applyBorder="1" applyAlignment="1">
      <alignment vertical="top" wrapText="1"/>
    </xf>
    <xf numFmtId="0" fontId="15" fillId="37" borderId="28" xfId="0" applyFont="1" applyFill="1" applyBorder="1"/>
    <xf numFmtId="0" fontId="15" fillId="37" borderId="29" xfId="0" applyFont="1" applyFill="1" applyBorder="1"/>
    <xf numFmtId="49" fontId="0" fillId="38" borderId="30" xfId="0" applyNumberFormat="1" applyFill="1" applyBorder="1"/>
    <xf numFmtId="0" fontId="29" fillId="38" borderId="31" xfId="46" applyFill="1" applyBorder="1" applyAlignment="1" applyProtection="1"/>
    <xf numFmtId="49" fontId="0" fillId="38" borderId="32" xfId="0" applyNumberFormat="1" applyFill="1" applyBorder="1"/>
    <xf numFmtId="0" fontId="29" fillId="38" borderId="33" xfId="46" applyFill="1" applyBorder="1" applyAlignment="1" applyProtection="1">
      <alignment horizontal="left" indent="1"/>
    </xf>
    <xf numFmtId="49" fontId="0" fillId="39" borderId="30" xfId="0" applyNumberFormat="1" applyFill="1" applyBorder="1"/>
    <xf numFmtId="0" fontId="29" fillId="39" borderId="31" xfId="46" applyFill="1" applyBorder="1" applyAlignment="1" applyProtection="1"/>
    <xf numFmtId="49" fontId="0" fillId="39" borderId="32" xfId="0" applyNumberFormat="1" applyFill="1" applyBorder="1"/>
    <xf numFmtId="0" fontId="29" fillId="39" borderId="33" xfId="46" applyFill="1" applyBorder="1" applyAlignment="1" applyProtection="1">
      <alignment horizontal="left" indent="1"/>
    </xf>
    <xf numFmtId="49" fontId="0" fillId="39" borderId="34" xfId="0" applyNumberFormat="1" applyFill="1" applyBorder="1"/>
    <xf numFmtId="0" fontId="29" fillId="39" borderId="35" xfId="46" applyFill="1" applyBorder="1" applyAlignment="1" applyProtection="1">
      <alignment horizontal="left" indent="1"/>
    </xf>
  </cellXfs>
  <cellStyles count="85">
    <cellStyle name="20% - Accent1" xfId="22" builtinId="30" hidden="1" customBuiltin="1"/>
    <cellStyle name="20% - Accent2" xfId="26" builtinId="34" hidden="1" customBuiltin="1"/>
    <cellStyle name="20% - Accent3" xfId="30" builtinId="38" hidden="1" customBuiltin="1"/>
    <cellStyle name="20% - Accent4" xfId="34" builtinId="42" hidden="1" customBuiltin="1"/>
    <cellStyle name="20% - Accent5" xfId="38" builtinId="46" hidden="1" customBuiltin="1"/>
    <cellStyle name="20% - Accent6" xfId="42" builtinId="50" hidden="1" customBuiltin="1"/>
    <cellStyle name="40% - Accent1" xfId="23" builtinId="31" hidden="1" customBuiltin="1"/>
    <cellStyle name="40% - Accent2" xfId="27" builtinId="35" hidden="1" customBuiltin="1"/>
    <cellStyle name="40% - Accent3" xfId="31" builtinId="39" hidden="1" customBuiltin="1"/>
    <cellStyle name="40% - Accent4" xfId="35" builtinId="43" hidden="1" customBuiltin="1"/>
    <cellStyle name="40% - Accent5" xfId="39" builtinId="47" hidden="1" customBuiltin="1"/>
    <cellStyle name="40% - Accent6" xfId="43" builtinId="51" hidden="1" customBuiltin="1"/>
    <cellStyle name="60% - Accent1" xfId="24" builtinId="32" hidden="1" customBuiltin="1"/>
    <cellStyle name="60% - Accent2" xfId="28" builtinId="36" hidden="1" customBuiltin="1"/>
    <cellStyle name="60% - Accent3" xfId="32" builtinId="40" hidden="1" customBuiltin="1"/>
    <cellStyle name="60% - Accent4" xfId="36" builtinId="44" hidden="1" customBuiltin="1"/>
    <cellStyle name="60% - Accent5" xfId="40" builtinId="48" hidden="1" customBuiltin="1"/>
    <cellStyle name="60% - Accent6" xfId="44" builtinId="52" hidden="1" customBuiltin="1"/>
    <cellStyle name="Accent1" xfId="21" builtinId="29" hidden="1" customBuiltin="1"/>
    <cellStyle name="Accent2" xfId="25" builtinId="33" hidden="1" customBuiltin="1"/>
    <cellStyle name="Accent3" xfId="29" builtinId="37" hidden="1" customBuiltin="1"/>
    <cellStyle name="Accent4" xfId="33" builtinId="41" hidden="1" customBuiltin="1"/>
    <cellStyle name="Accent5" xfId="37" builtinId="45" hidden="1" customBuiltin="1"/>
    <cellStyle name="Accent6" xfId="41" builtinId="49" hidden="1" customBuiltin="1"/>
    <cellStyle name="Bad" xfId="10" builtinId="27" hidden="1" customBuiltin="1"/>
    <cellStyle name="Calculation" xfId="14" builtinId="22" hidden="1" customBuiltin="1"/>
    <cellStyle name="Check Cell" xfId="16" builtinId="23" hidden="1" customBuiltin="1"/>
    <cellStyle name="Comma" xfId="1" builtinId="3" hidden="1"/>
    <cellStyle name="Comma" xfId="58" builtinId="3" hidden="1"/>
    <cellStyle name="Comma [0]" xfId="63" builtinId="6" hidden="1"/>
    <cellStyle name="Comma [0]" xfId="52" xr:uid="{00000000-0005-0000-0000-00001E000000}"/>
    <cellStyle name="Comma [0] 2" xfId="75" xr:uid="{1E6DDA97-2C4F-48C5-A0F6-91854CC33BF3}"/>
    <cellStyle name="Comma [1]" xfId="59" xr:uid="{00000000-0005-0000-0000-00001F000000}"/>
    <cellStyle name="Comma [2]" xfId="50" xr:uid="{00000000-0005-0000-0000-000020000000}"/>
    <cellStyle name="Comma [3]" xfId="81" xr:uid="{00000000-0005-0000-0000-000020000000}"/>
    <cellStyle name="Comma [3] 3" xfId="65" xr:uid="{00000000-0005-0000-0000-000021000000}"/>
    <cellStyle name="Comma [3] 4" xfId="64" xr:uid="{00000000-0005-0000-0000-000022000000}"/>
    <cellStyle name="Comma [4]" xfId="73" xr:uid="{AA1CD625-18BB-4E69-8603-7A0E8BC5FE18}"/>
    <cellStyle name="Currency" xfId="47" builtinId="4" hidden="1"/>
    <cellStyle name="Currency [0]" xfId="48" builtinId="7" hidden="1"/>
    <cellStyle name="Date (short)" xfId="69" xr:uid="{A1E01ADE-7903-4D03-AADE-3B8866DDFDDA}"/>
    <cellStyle name="Explanatory Text" xfId="19" builtinId="53" hidden="1" customBuiltin="1"/>
    <cellStyle name="Explanatory Text" xfId="60" xr:uid="{00000000-0005-0000-0000-000026000000}"/>
    <cellStyle name="Explanatory Text 16" xfId="78" xr:uid="{00000000-0005-0000-0000-000026000000}"/>
    <cellStyle name="Explanatory Text 2" xfId="80" xr:uid="{00000000-0005-0000-0000-00004F000000}"/>
    <cellStyle name="Followed Hyperlink" xfId="45" builtinId="9" hidden="1" customBuiltin="1"/>
    <cellStyle name="Followed Hyperlink" xfId="66" builtinId="9" hidden="1"/>
    <cellStyle name="Good" xfId="9" builtinId="26" hidden="1" customBuiltin="1"/>
    <cellStyle name="Heading 1" xfId="5" builtinId="16" customBuiltin="1"/>
    <cellStyle name="Heading 1 2" xfId="77" xr:uid="{00000000-0005-0000-0000-000029000000}"/>
    <cellStyle name="Heading 2" xfId="6" builtinId="17" hidden="1" customBuiltin="1"/>
    <cellStyle name="Heading 2" xfId="54" xr:uid="{00000000-0005-0000-0000-00002C000000}"/>
    <cellStyle name="Heading 2 2" xfId="70" xr:uid="{015DF9B1-D781-43BA-86DD-394703853096}"/>
    <cellStyle name="Heading 3" xfId="7" builtinId="18" hidden="1" customBuiltin="1"/>
    <cellStyle name="Heading 3" xfId="51" xr:uid="{00000000-0005-0000-0000-00002E000000}"/>
    <cellStyle name="Heading 4" xfId="8" builtinId="19" hidden="1" customBuiltin="1"/>
    <cellStyle name="Hyperlink" xfId="46" builtinId="8" customBuiltin="1"/>
    <cellStyle name="Hyperlink 4" xfId="67" xr:uid="{24BD8E7E-4E0B-4C41-A42F-353411887640}"/>
    <cellStyle name="Input" xfId="12" builtinId="20" hidden="1" customBuiltin="1"/>
    <cellStyle name="Input" xfId="53" xr:uid="{00000000-0005-0000-0000-000032000000}"/>
    <cellStyle name="Label" xfId="55" xr:uid="{00000000-0005-0000-0000-000033000000}"/>
    <cellStyle name="Link" xfId="61" xr:uid="{00000000-0005-0000-0000-000034000000}"/>
    <cellStyle name="Linked Cell" xfId="15" builtinId="24" hidden="1" customBuiltin="1"/>
    <cellStyle name="Neutral" xfId="11" builtinId="28" hidden="1" customBuiltin="1"/>
    <cellStyle name="Normal" xfId="0" builtinId="0"/>
    <cellStyle name="Note" xfId="18" builtinId="10" hidden="1" customBuiltin="1"/>
    <cellStyle name="Output" xfId="13" builtinId="21" hidden="1" customBuiltin="1"/>
    <cellStyle name="Output" xfId="57" xr:uid="{00000000-0005-0000-0000-00003A000000}"/>
    <cellStyle name="Output 3" xfId="76" xr:uid="{4B9F9019-AD1D-4E2F-90BA-6A5C9D96D70D}"/>
    <cellStyle name="Percent" xfId="2" builtinId="5" hidden="1"/>
    <cellStyle name="Percent" xfId="72" builtinId="5"/>
    <cellStyle name="Percent [0]" xfId="82" xr:uid="{00000000-0005-0000-0000-00003A000000}"/>
    <cellStyle name="Percent [1]" xfId="56" xr:uid="{00000000-0005-0000-0000-00003C000000}"/>
    <cellStyle name="Percent [2]" xfId="62" xr:uid="{00000000-0005-0000-0000-00003D000000}"/>
    <cellStyle name="Percent [3]" xfId="83" xr:uid="{00000000-0005-0000-0000-00003D000000}"/>
    <cellStyle name="Rt border" xfId="84" xr:uid="{00000000-0005-0000-0000-00003E000000}"/>
    <cellStyle name="Text" xfId="3" xr:uid="{00000000-0005-0000-0000-00003E000000}"/>
    <cellStyle name="Text 2" xfId="68" xr:uid="{69891220-D268-403A-939D-9D3E4897FBAE}"/>
    <cellStyle name="Text 2 2" xfId="71" xr:uid="{F7551790-D925-4E02-B2DA-C6C06A14AE14}"/>
    <cellStyle name="Text 3" xfId="79" xr:uid="{00000000-0005-0000-0000-00003F000000}"/>
    <cellStyle name="Title" xfId="4" builtinId="15" hidden="1" customBuiltin="1"/>
    <cellStyle name="Title" xfId="49" xr:uid="{00000000-0005-0000-0000-000040000000}"/>
    <cellStyle name="Total" xfId="20" builtinId="25" hidden="1" customBuiltin="1"/>
    <cellStyle name="Warning Text" xfId="17" builtinId="11" hidden="1" customBuiltin="1"/>
    <cellStyle name="Year" xfId="74" xr:uid="{8133CB1E-7966-4D3A-8081-3D38CD258FBE}"/>
  </cellStyles>
  <dxfs count="0"/>
  <tableStyles count="0" defaultTableStyle="TableStyleMedium9"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4A0F5DD8-27B2-4252-8DC2-E22DD8551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000BF285-E53A-4AB9-871D-6C559389E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Com standard">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71CA-3E9A-451D-BACE-3A11C5C558C3}">
  <sheetPr codeName="Sheet15">
    <pageSetUpPr fitToPage="1"/>
  </sheetPr>
  <dimension ref="A1:D18"/>
  <sheetViews>
    <sheetView showGridLines="0" tabSelected="1"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4" ht="15" customHeight="1" x14ac:dyDescent="0.25">
      <c r="A1" s="22"/>
      <c r="B1" s="21"/>
      <c r="C1" s="21"/>
      <c r="D1" s="21"/>
    </row>
    <row r="2" spans="1:4" ht="189" customHeight="1" x14ac:dyDescent="0.25">
      <c r="A2" s="23"/>
      <c r="B2" s="8"/>
      <c r="C2" s="8"/>
      <c r="D2" s="8"/>
    </row>
    <row r="3" spans="1:4" ht="22.5" customHeight="1" x14ac:dyDescent="0.4">
      <c r="A3" s="20" t="s">
        <v>6</v>
      </c>
      <c r="B3" s="24"/>
      <c r="C3" s="24"/>
      <c r="D3" s="24"/>
    </row>
    <row r="4" spans="1:4" ht="22.5" customHeight="1" x14ac:dyDescent="0.4">
      <c r="A4" s="20" t="s">
        <v>143</v>
      </c>
      <c r="B4" s="24"/>
      <c r="C4" s="24"/>
      <c r="D4" s="24"/>
    </row>
    <row r="5" spans="1:4" ht="22.5" customHeight="1" x14ac:dyDescent="0.4">
      <c r="A5" s="20" t="s">
        <v>31</v>
      </c>
      <c r="B5" s="24"/>
      <c r="C5" s="24"/>
      <c r="D5" s="24"/>
    </row>
    <row r="6" spans="1:4" ht="22.5" customHeight="1" x14ac:dyDescent="0.4">
      <c r="A6" s="20" t="s">
        <v>144</v>
      </c>
      <c r="B6" s="24"/>
      <c r="C6" s="24"/>
      <c r="D6" s="24"/>
    </row>
    <row r="7" spans="1:4" ht="42" customHeight="1" x14ac:dyDescent="0.25">
      <c r="A7" s="23"/>
      <c r="B7" s="8"/>
      <c r="C7" s="8"/>
      <c r="D7" s="8"/>
    </row>
    <row r="8" spans="1:4" ht="15" customHeight="1" x14ac:dyDescent="0.25">
      <c r="A8" s="23"/>
      <c r="B8" s="8"/>
      <c r="C8" s="8"/>
      <c r="D8" s="8"/>
    </row>
    <row r="9" spans="1:4" ht="15" customHeight="1" x14ac:dyDescent="0.25">
      <c r="A9" s="23"/>
      <c r="B9" s="8"/>
      <c r="C9" s="8"/>
      <c r="D9" s="8"/>
    </row>
    <row r="10" spans="1:4" ht="15" customHeight="1" x14ac:dyDescent="0.25">
      <c r="A10" s="23"/>
      <c r="B10" s="8"/>
      <c r="C10" s="8"/>
      <c r="D10" s="8"/>
    </row>
    <row r="11" spans="1:4" ht="15" customHeight="1" x14ac:dyDescent="0.25">
      <c r="A11" s="23"/>
      <c r="B11" s="8"/>
      <c r="C11" s="8"/>
      <c r="D11" s="8"/>
    </row>
    <row r="12" spans="1:4" ht="15" customHeight="1" x14ac:dyDescent="0.25">
      <c r="A12" s="23"/>
      <c r="B12" s="8"/>
      <c r="C12" s="8"/>
      <c r="D12" s="8"/>
    </row>
    <row r="13" spans="1:4" ht="15" customHeight="1" x14ac:dyDescent="0.25">
      <c r="A13" s="23"/>
      <c r="B13" s="8"/>
      <c r="C13" s="8"/>
      <c r="D13" s="8"/>
    </row>
    <row r="14" spans="1:4" ht="15" customHeight="1" x14ac:dyDescent="0.25">
      <c r="A14" s="23"/>
      <c r="B14" s="8"/>
      <c r="C14" s="8"/>
      <c r="D14" s="8"/>
    </row>
    <row r="15" spans="1:4" ht="15" customHeight="1" x14ac:dyDescent="0.25">
      <c r="A15" s="23"/>
      <c r="B15" s="8"/>
      <c r="C15" s="8"/>
      <c r="D15" s="8"/>
    </row>
    <row r="16" spans="1:4" ht="15" customHeight="1" x14ac:dyDescent="0.25">
      <c r="A16" s="23"/>
      <c r="B16" s="8"/>
      <c r="C16" s="8"/>
      <c r="D16" s="8"/>
    </row>
    <row r="17" spans="1:4" ht="15" customHeight="1" x14ac:dyDescent="0.25">
      <c r="A17" s="25" t="s">
        <v>166</v>
      </c>
      <c r="B17" s="24"/>
      <c r="C17" s="24"/>
      <c r="D17" s="24"/>
    </row>
    <row r="18" spans="1:4" ht="15" customHeight="1" x14ac:dyDescent="0.25">
      <c r="A18" s="42"/>
      <c r="B18" s="43"/>
      <c r="C18" s="43"/>
      <c r="D18" s="43"/>
    </row>
  </sheetData>
  <sheetProtection formatColumns="0" formatRows="0"/>
  <pageMargins left="0.7" right="0.7" top="0.75" bottom="0.75" header="0.3" footer="0.3"/>
  <pageSetup paperSize="9" scale="97" fitToHeight="0"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88.42578125" customWidth="1"/>
    <col min="4" max="4" width="2.7109375" customWidth="1"/>
  </cols>
  <sheetData>
    <row r="1" spans="1:4" ht="39.950000000000003" customHeight="1" x14ac:dyDescent="0.25">
      <c r="A1" s="1" t="s">
        <v>2</v>
      </c>
      <c r="B1" s="6"/>
      <c r="C1" s="6"/>
      <c r="D1" s="6"/>
    </row>
    <row r="2" spans="1:4" x14ac:dyDescent="0.25">
      <c r="A2" s="6"/>
      <c r="B2" s="6"/>
      <c r="C2" s="6"/>
      <c r="D2" s="6"/>
    </row>
    <row r="3" spans="1:4" ht="15.75" thickBot="1" x14ac:dyDescent="0.3">
      <c r="A3" s="6"/>
      <c r="B3" s="192"/>
      <c r="C3" s="192"/>
      <c r="D3" s="6"/>
    </row>
    <row r="4" spans="1:4" ht="15.75" x14ac:dyDescent="0.25">
      <c r="A4" s="6"/>
      <c r="B4" s="214" t="s">
        <v>3</v>
      </c>
      <c r="C4" s="215" t="s">
        <v>4</v>
      </c>
      <c r="D4" s="6"/>
    </row>
    <row r="5" spans="1:4" x14ac:dyDescent="0.25">
      <c r="A5" s="6"/>
      <c r="B5" s="216" t="s">
        <v>9</v>
      </c>
      <c r="C5" s="217" t="s">
        <v>9</v>
      </c>
      <c r="D5" s="6"/>
    </row>
    <row r="6" spans="1:4" x14ac:dyDescent="0.25">
      <c r="A6" s="6"/>
      <c r="B6" s="218"/>
      <c r="C6" s="219" t="s">
        <v>37</v>
      </c>
      <c r="D6" s="6"/>
    </row>
    <row r="7" spans="1:4" x14ac:dyDescent="0.25">
      <c r="A7" s="6"/>
      <c r="B7" s="218"/>
      <c r="C7" s="219" t="s">
        <v>38</v>
      </c>
      <c r="D7" s="6"/>
    </row>
    <row r="8" spans="1:4" x14ac:dyDescent="0.25">
      <c r="A8" s="6"/>
      <c r="B8" s="220" t="s">
        <v>141</v>
      </c>
      <c r="C8" s="221" t="s">
        <v>133</v>
      </c>
      <c r="D8" s="6"/>
    </row>
    <row r="9" spans="1:4" x14ac:dyDescent="0.25">
      <c r="A9" s="6"/>
      <c r="B9" s="222"/>
      <c r="C9" s="223" t="s">
        <v>37</v>
      </c>
      <c r="D9" s="6"/>
    </row>
    <row r="10" spans="1:4" x14ac:dyDescent="0.25">
      <c r="A10" s="6"/>
      <c r="B10" s="222"/>
      <c r="C10" s="223" t="s">
        <v>41</v>
      </c>
      <c r="D10" s="6"/>
    </row>
    <row r="11" spans="1:4" x14ac:dyDescent="0.25">
      <c r="A11" s="6"/>
      <c r="B11" s="216" t="s">
        <v>7</v>
      </c>
      <c r="C11" s="217" t="s">
        <v>70</v>
      </c>
      <c r="D11" s="6"/>
    </row>
    <row r="12" spans="1:4" x14ac:dyDescent="0.25">
      <c r="A12" s="6"/>
      <c r="B12" s="218"/>
      <c r="C12" s="219" t="s">
        <v>9</v>
      </c>
      <c r="D12" s="6"/>
    </row>
    <row r="13" spans="1:4" x14ac:dyDescent="0.25">
      <c r="A13" s="6"/>
      <c r="B13" s="218"/>
      <c r="C13" s="219" t="s">
        <v>10</v>
      </c>
      <c r="D13" s="6"/>
    </row>
    <row r="14" spans="1:4" x14ac:dyDescent="0.25">
      <c r="A14" s="6"/>
      <c r="B14" s="218"/>
      <c r="C14" s="219" t="s">
        <v>5</v>
      </c>
      <c r="D14" s="6"/>
    </row>
    <row r="15" spans="1:4" x14ac:dyDescent="0.25">
      <c r="A15" s="6"/>
      <c r="B15" s="220" t="s">
        <v>19</v>
      </c>
      <c r="C15" s="221" t="s">
        <v>17</v>
      </c>
      <c r="D15" s="6"/>
    </row>
    <row r="16" spans="1:4" x14ac:dyDescent="0.25">
      <c r="A16" s="6"/>
      <c r="B16" s="222"/>
      <c r="C16" s="223" t="s">
        <v>9</v>
      </c>
      <c r="D16" s="6"/>
    </row>
    <row r="17" spans="1:4" x14ac:dyDescent="0.25">
      <c r="A17" s="6"/>
      <c r="B17" s="222"/>
      <c r="C17" s="223" t="s">
        <v>10</v>
      </c>
      <c r="D17" s="6"/>
    </row>
    <row r="18" spans="1:4" x14ac:dyDescent="0.25">
      <c r="A18" s="6"/>
      <c r="B18" s="222"/>
      <c r="C18" s="223" t="s">
        <v>5</v>
      </c>
      <c r="D18" s="6"/>
    </row>
    <row r="19" spans="1:4" x14ac:dyDescent="0.25">
      <c r="A19" s="6"/>
      <c r="B19" s="216" t="s">
        <v>142</v>
      </c>
      <c r="C19" s="217" t="s">
        <v>18</v>
      </c>
      <c r="D19" s="6"/>
    </row>
    <row r="20" spans="1:4" x14ac:dyDescent="0.25">
      <c r="A20" s="6"/>
      <c r="B20" s="218"/>
      <c r="C20" s="219" t="s">
        <v>9</v>
      </c>
      <c r="D20" s="6"/>
    </row>
    <row r="21" spans="1:4" x14ac:dyDescent="0.25">
      <c r="A21" s="6"/>
      <c r="B21" s="218"/>
      <c r="C21" s="219" t="s">
        <v>10</v>
      </c>
      <c r="D21" s="6"/>
    </row>
    <row r="22" spans="1:4" x14ac:dyDescent="0.25">
      <c r="A22" s="6"/>
      <c r="B22" s="218"/>
      <c r="C22" s="219" t="s">
        <v>5</v>
      </c>
      <c r="D22" s="6"/>
    </row>
    <row r="23" spans="1:4" x14ac:dyDescent="0.25">
      <c r="A23" s="6"/>
      <c r="B23" s="220" t="s">
        <v>5</v>
      </c>
      <c r="C23" s="221" t="s">
        <v>52</v>
      </c>
      <c r="D23" s="6"/>
    </row>
    <row r="24" spans="1:4" ht="15" customHeight="1" x14ac:dyDescent="0.25">
      <c r="A24" s="6"/>
      <c r="B24" s="222"/>
      <c r="C24" s="223" t="s">
        <v>5</v>
      </c>
      <c r="D24" s="6"/>
    </row>
    <row r="25" spans="1:4" ht="15" customHeight="1" thickBot="1" x14ac:dyDescent="0.3">
      <c r="A25" s="6"/>
      <c r="B25" s="224"/>
      <c r="C25" s="225" t="s">
        <v>24</v>
      </c>
      <c r="D25" s="6"/>
    </row>
    <row r="26" spans="1:4" ht="15" customHeight="1" x14ac:dyDescent="0.25">
      <c r="A26" s="6"/>
      <c r="D26" s="6"/>
    </row>
  </sheetData>
  <sheetProtection formatColumns="0" formatRows="0"/>
  <hyperlinks>
    <hyperlink ref="C5" location="'Inputs'!$A$1" tooltip="Section title. Click once to follow" display="Inputs" xr:uid="{6F628529-B0B6-4455-BD8B-37B21CDE5274}"/>
    <hyperlink ref="C6" location="'Inputs'!$A$3" tooltip="Section subtitle. Click once to follow" display="Inputs that are the same for all distributors" xr:uid="{BED3DF60-3212-491E-A462-CD8C15F9BF1A}"/>
    <hyperlink ref="C7" location="'Inputs'!$A$17" tooltip="Section subtitle. Click once to follow" display="Inputs that are specific to individual distributors" xr:uid="{A8942146-622F-44AD-A5E5-2E920B0790B1}"/>
    <hyperlink ref="C8" location="'EDB data'!$A$1" tooltip="Section title. Click once to follow" display="Inputs and calculations for selected distributor" xr:uid="{37407E9A-D756-4325-8D00-C9AC2711742A}"/>
    <hyperlink ref="C9" location="'EDB data'!$A$4" tooltip="Section subtitle. Click once to follow" display="Inputs that are the same for all distributors" xr:uid="{CBA23295-5D23-404E-A5D0-DF3A503BE8D4}"/>
    <hyperlink ref="C10" location="'EDB data'!$A$16" tooltip="Section subtitle. Click once to follow" display="Distributor-specific data" xr:uid="{C4B992C8-9629-4D52-BD34-BFF183D0228E}"/>
    <hyperlink ref="C11" location="'Network opex'!$A$1" tooltip="Section title. Click once to follow" display="Network opex projection calculations" xr:uid="{01D99012-696D-47B7-B09D-7F6428BB32A0}"/>
    <hyperlink ref="C12" location="'Network opex'!$A$2" tooltip="Section subtitle. Click once to follow" display="Inputs" xr:uid="{3D66B77B-695D-4F98-A904-66AC4F343285}"/>
    <hyperlink ref="C13" location="'Network opex'!$A$16" tooltip="Section subtitle. Click once to follow" display="Calculations" xr:uid="{964445D9-2E3A-49C2-8AA6-D597C60C9BB7}"/>
    <hyperlink ref="C14" location="'Network opex'!$A$41" tooltip="Section subtitle. Click once to follow" display="Outputs" xr:uid="{D494748A-EE73-4B64-846A-7F834FFA7C9E}"/>
    <hyperlink ref="C15" location="'Non-network opex'!$A$1" tooltip="Section title. Click once to follow" display="Non-network opex projection calculations" xr:uid="{076B819B-ACC5-4D9B-887F-B8A899A03559}"/>
    <hyperlink ref="C16" location="'Non-network opex'!$A$2" tooltip="Section subtitle. Click once to follow" display="Inputs" xr:uid="{EB29C700-1527-4A80-A11F-BC32B0D44402}"/>
    <hyperlink ref="C17" location="'Non-network opex'!$A$16" tooltip="Section subtitle. Click once to follow" display="Calculations" xr:uid="{BB4F54BF-3528-4476-8120-353F2A1D4BC1}"/>
    <hyperlink ref="C18" location="'Non-network opex'!$A$41" tooltip="Section subtitle. Click once to follow" display="Outputs" xr:uid="{17085AE8-0EAD-4353-A5BD-C1E4224CF44E}"/>
    <hyperlink ref="C19" location="'Total opex'!$A$1" tooltip="Section title. Click once to follow" display="Total opex projection calculations" xr:uid="{136D891A-0C88-403B-814B-E5B6D9499BA6}"/>
    <hyperlink ref="C20" location="'Total opex'!$A$2" tooltip="Section subtitle. Click once to follow" display="Inputs" xr:uid="{5FC69E67-784C-4854-9868-98BA66D34F4F}"/>
    <hyperlink ref="C21" location="'Total opex'!$A$17" tooltip="Section subtitle. Click once to follow" display="Calculations" xr:uid="{FA5222CB-CECA-4164-8F90-289A18BB68A3}"/>
    <hyperlink ref="C22" location="'Total opex'!$A$25" tooltip="Section subtitle. Click once to follow" display="Outputs" xr:uid="{C7A27490-5C75-4F26-849A-BD115CA4B30C}"/>
    <hyperlink ref="C23" location="'Outputs'!$A$1" tooltip="Section title. Click once to follow" display="Opex projections output tables" xr:uid="{EB2EB782-15D8-43B1-A92F-392A9786E7AB}"/>
    <hyperlink ref="C24" location="'Outputs'!$A$6" tooltip="Section subtitle. Click once to follow" display="Outputs" xr:uid="{51951B4F-43B7-4942-B470-BA5BD81FCB50}"/>
    <hyperlink ref="C25" location="'Outputs'!$A$111" tooltip="Section subtitle. Click once to follow" display="Outputs for chartbook" xr:uid="{349F9A74-18B9-41A3-B7A6-47B2B7730BCA}"/>
  </hyperlinks>
  <pageMargins left="0.25" right="0.25" top="0.75" bottom="0.75" header="0.3" footer="0.3"/>
  <pageSetup paperSize="9" scale="82" fitToHeight="0" orientation="portrait" r:id="rId1"/>
  <headerFooter>
    <oddHeader>&amp;R&amp;D &amp;T</oddHead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F62B-7490-43AA-963B-44ECF59DE3FE}">
  <sheetPr codeName="Sheet3">
    <pageSetUpPr fitToPage="1"/>
  </sheetPr>
  <dimension ref="A1:F27"/>
  <sheetViews>
    <sheetView showGridLines="0" view="pageBreakPreview" zoomScaleNormal="100" zoomScaleSheetLayoutView="100" workbookViewId="0"/>
  </sheetViews>
  <sheetFormatPr defaultColWidth="9.140625" defaultRowHeight="15" customHeight="1" x14ac:dyDescent="0.25"/>
  <cols>
    <col min="1" max="1" width="2.7109375" customWidth="1"/>
    <col min="2" max="2" width="5" customWidth="1"/>
    <col min="3" max="5" width="50" customWidth="1"/>
    <col min="6" max="6" width="2.7109375" customWidth="1"/>
  </cols>
  <sheetData>
    <row r="1" spans="1:6" ht="26.25" x14ac:dyDescent="0.4">
      <c r="A1" s="9" t="s">
        <v>8</v>
      </c>
      <c r="B1" s="6"/>
      <c r="C1" s="6"/>
      <c r="D1" s="6"/>
      <c r="E1" s="6"/>
      <c r="F1" s="6"/>
    </row>
    <row r="2" spans="1:6" x14ac:dyDescent="0.25">
      <c r="A2" s="6"/>
      <c r="B2" s="89" t="s">
        <v>145</v>
      </c>
      <c r="C2" s="6"/>
      <c r="D2" s="6"/>
      <c r="E2" s="6"/>
      <c r="F2" s="6"/>
    </row>
    <row r="3" spans="1:6" s="44" customFormat="1" ht="23.25" x14ac:dyDescent="0.35">
      <c r="A3" s="195" t="s">
        <v>146</v>
      </c>
      <c r="B3" s="195" t="s">
        <v>146</v>
      </c>
      <c r="C3" s="41"/>
      <c r="D3" s="6"/>
      <c r="E3" s="6"/>
      <c r="F3" s="6"/>
    </row>
    <row r="4" spans="1:6" s="44" customFormat="1" ht="15.95" customHeight="1" x14ac:dyDescent="0.4">
      <c r="A4" s="196"/>
      <c r="B4" s="197" t="s">
        <v>147</v>
      </c>
      <c r="C4" s="198" t="s">
        <v>155</v>
      </c>
      <c r="D4" s="6"/>
      <c r="E4" s="6"/>
      <c r="F4" s="6"/>
    </row>
    <row r="5" spans="1:6" s="44" customFormat="1" ht="15.95" customHeight="1" x14ac:dyDescent="0.4">
      <c r="A5" s="196"/>
      <c r="B5" s="197"/>
      <c r="C5" s="198" t="s">
        <v>156</v>
      </c>
      <c r="D5" s="6"/>
      <c r="E5" s="6"/>
      <c r="F5" s="6"/>
    </row>
    <row r="6" spans="1:6" s="44" customFormat="1" ht="15.95" customHeight="1" x14ac:dyDescent="0.4">
      <c r="A6" s="196"/>
      <c r="B6" s="197" t="s">
        <v>148</v>
      </c>
      <c r="C6" s="198" t="s">
        <v>149</v>
      </c>
      <c r="D6" s="6"/>
      <c r="E6" s="6"/>
      <c r="F6" s="6"/>
    </row>
    <row r="7" spans="1:6" s="44" customFormat="1" ht="15.95" customHeight="1" x14ac:dyDescent="0.4">
      <c r="A7" s="196"/>
      <c r="B7" s="197" t="s">
        <v>150</v>
      </c>
      <c r="C7" s="198" t="s">
        <v>154</v>
      </c>
      <c r="D7" s="6"/>
      <c r="E7" s="6"/>
      <c r="F7" s="6"/>
    </row>
    <row r="8" spans="1:6" s="44" customFormat="1" ht="15.95" customHeight="1" x14ac:dyDescent="0.4">
      <c r="A8" s="196"/>
      <c r="B8" s="197" t="s">
        <v>151</v>
      </c>
      <c r="C8" s="198" t="s">
        <v>161</v>
      </c>
      <c r="D8" s="6"/>
      <c r="E8" s="6"/>
      <c r="F8" s="6"/>
    </row>
    <row r="9" spans="1:6" s="44" customFormat="1" ht="15.95" customHeight="1" x14ac:dyDescent="0.4">
      <c r="A9" s="196"/>
      <c r="B9" s="197"/>
      <c r="C9" s="198" t="s">
        <v>157</v>
      </c>
      <c r="D9" s="6"/>
      <c r="E9" s="6"/>
      <c r="F9" s="6"/>
    </row>
    <row r="10" spans="1:6" s="44" customFormat="1" ht="15.95" customHeight="1" x14ac:dyDescent="0.4">
      <c r="A10" s="196"/>
      <c r="B10" s="197" t="s">
        <v>153</v>
      </c>
      <c r="C10" s="198" t="s">
        <v>158</v>
      </c>
      <c r="D10" s="6"/>
      <c r="E10" s="6"/>
      <c r="F10" s="6"/>
    </row>
    <row r="11" spans="1:6" s="44" customFormat="1" ht="15.95" customHeight="1" x14ac:dyDescent="0.4">
      <c r="A11" s="196"/>
      <c r="B11" s="197" t="s">
        <v>160</v>
      </c>
      <c r="C11" s="198" t="s">
        <v>162</v>
      </c>
      <c r="D11" s="6"/>
      <c r="E11" s="6"/>
      <c r="F11" s="6"/>
    </row>
    <row r="12" spans="1:6" s="44" customFormat="1" ht="15.95" customHeight="1" x14ac:dyDescent="0.4">
      <c r="A12" s="196"/>
      <c r="B12" s="197"/>
      <c r="C12" s="198" t="s">
        <v>163</v>
      </c>
      <c r="D12" s="6"/>
      <c r="E12" s="6"/>
      <c r="F12" s="6"/>
    </row>
    <row r="13" spans="1:6" s="44" customFormat="1" ht="15.95" customHeight="1" x14ac:dyDescent="0.4">
      <c r="A13" s="196"/>
      <c r="B13" s="197" t="s">
        <v>164</v>
      </c>
      <c r="C13" s="198" t="s">
        <v>165</v>
      </c>
      <c r="D13" s="6"/>
      <c r="E13" s="6"/>
      <c r="F13" s="6"/>
    </row>
    <row r="14" spans="1:6" s="44" customFormat="1" ht="15.95" customHeight="1" x14ac:dyDescent="0.4">
      <c r="A14" s="196"/>
      <c r="D14" s="6"/>
      <c r="E14" s="6"/>
      <c r="F14" s="6"/>
    </row>
    <row r="15" spans="1:6" s="44" customFormat="1" x14ac:dyDescent="0.25">
      <c r="A15" s="6"/>
      <c r="B15" s="89"/>
      <c r="C15" s="6"/>
      <c r="D15" s="6"/>
      <c r="E15" s="6"/>
      <c r="F15" s="6"/>
    </row>
    <row r="16" spans="1:6" s="44" customFormat="1" x14ac:dyDescent="0.25">
      <c r="A16" s="6"/>
      <c r="C16" s="199" t="s">
        <v>152</v>
      </c>
      <c r="D16" s="6"/>
      <c r="E16" s="6"/>
      <c r="F16" s="6"/>
    </row>
    <row r="17" spans="1:6" x14ac:dyDescent="0.25">
      <c r="A17" s="6"/>
      <c r="B17" s="6"/>
      <c r="C17" s="6"/>
      <c r="D17" s="6"/>
      <c r="E17" s="6"/>
      <c r="F17" s="6"/>
    </row>
    <row r="18" spans="1:6" ht="23.25" x14ac:dyDescent="0.35">
      <c r="A18" s="6"/>
      <c r="B18" s="193" t="s">
        <v>29</v>
      </c>
      <c r="C18" s="138"/>
      <c r="D18" s="138"/>
      <c r="E18" s="138"/>
      <c r="F18" s="6"/>
    </row>
    <row r="19" spans="1:6" ht="108.75" customHeight="1" x14ac:dyDescent="0.25">
      <c r="A19" s="6"/>
      <c r="B19" s="211" t="s">
        <v>136</v>
      </c>
      <c r="C19" s="212"/>
      <c r="D19" s="212"/>
      <c r="E19" s="212"/>
      <c r="F19" s="6"/>
    </row>
    <row r="20" spans="1:6" ht="158.25" customHeight="1" x14ac:dyDescent="0.25">
      <c r="A20" s="6"/>
      <c r="B20" s="209" t="s">
        <v>128</v>
      </c>
      <c r="C20" s="208"/>
      <c r="D20" s="208"/>
      <c r="E20" s="208"/>
      <c r="F20" s="6"/>
    </row>
    <row r="21" spans="1:6" ht="67.5" customHeight="1" x14ac:dyDescent="0.25">
      <c r="A21" s="6"/>
      <c r="B21" s="210" t="s">
        <v>53</v>
      </c>
      <c r="C21" s="211"/>
      <c r="D21" s="211"/>
      <c r="E21" s="211"/>
      <c r="F21" s="6"/>
    </row>
    <row r="22" spans="1:6" ht="46.5" customHeight="1" x14ac:dyDescent="0.25">
      <c r="A22" s="6"/>
      <c r="B22" s="213" t="s">
        <v>49</v>
      </c>
      <c r="C22" s="208"/>
      <c r="D22" s="208"/>
      <c r="E22" s="208"/>
      <c r="F22" s="6"/>
    </row>
    <row r="23" spans="1:6" ht="71.25" customHeight="1" x14ac:dyDescent="0.25">
      <c r="A23" s="6"/>
      <c r="B23" s="210" t="s">
        <v>130</v>
      </c>
      <c r="C23" s="210"/>
      <c r="D23" s="210"/>
      <c r="E23" s="210"/>
      <c r="F23" s="6"/>
    </row>
    <row r="24" spans="1:6" ht="23.25" x14ac:dyDescent="0.35">
      <c r="A24" s="6"/>
      <c r="B24" s="194" t="s">
        <v>30</v>
      </c>
      <c r="C24" s="72"/>
      <c r="D24" s="72"/>
      <c r="E24" s="72"/>
      <c r="F24" s="6"/>
    </row>
    <row r="25" spans="1:6" ht="15" customHeight="1" x14ac:dyDescent="0.25">
      <c r="A25" s="6"/>
      <c r="B25" s="207" t="s">
        <v>140</v>
      </c>
      <c r="C25" s="208"/>
      <c r="D25" s="208"/>
      <c r="E25" s="208"/>
      <c r="F25" s="6"/>
    </row>
    <row r="26" spans="1:6" ht="15" customHeight="1" x14ac:dyDescent="0.25">
      <c r="A26" s="6"/>
      <c r="B26" s="208"/>
      <c r="C26" s="208"/>
      <c r="D26" s="208"/>
      <c r="E26" s="208"/>
      <c r="F26" s="6"/>
    </row>
    <row r="27" spans="1:6" ht="15" customHeight="1" x14ac:dyDescent="0.25">
      <c r="A27" s="6"/>
      <c r="B27" s="74"/>
      <c r="C27" s="74"/>
      <c r="D27" s="74"/>
      <c r="E27" s="74"/>
      <c r="F27" s="6"/>
    </row>
  </sheetData>
  <sheetProtection formatColumns="0" formatRows="0"/>
  <mergeCells count="6">
    <mergeCell ref="B25:E26"/>
    <mergeCell ref="B20:E20"/>
    <mergeCell ref="B21:E21"/>
    <mergeCell ref="B19:E19"/>
    <mergeCell ref="B22:E22"/>
    <mergeCell ref="B23:E23"/>
  </mergeCells>
  <pageMargins left="0.25" right="0.25" top="0.75" bottom="0.75" header="0.3" footer="0.3"/>
  <pageSetup paperSize="9" scale="88" fitToHeight="0" orientation="landscape" r:id="rId1"/>
  <headerFooter>
    <oddHeader>&amp;R&amp;D &amp;T</oddHeader>
    <oddFooter>&amp;L&amp;F&amp;C&amp;A&amp;R&amp;P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D97E55"/>
    <pageSetUpPr fitToPage="1"/>
  </sheetPr>
  <dimension ref="A1:Q68"/>
  <sheetViews>
    <sheetView showGridLines="0" view="pageBreakPreview" zoomScaleNormal="85" zoomScaleSheetLayoutView="100" workbookViewId="0"/>
  </sheetViews>
  <sheetFormatPr defaultColWidth="9.140625" defaultRowHeight="15" customHeight="1" x14ac:dyDescent="0.25"/>
  <cols>
    <col min="1" max="1" width="55.42578125" customWidth="1"/>
    <col min="2" max="2" width="10.7109375" customWidth="1"/>
    <col min="3" max="3" width="21.85546875" customWidth="1"/>
    <col min="4" max="4" width="13.28515625" customWidth="1"/>
    <col min="5" max="10" width="9.140625" customWidth="1"/>
  </cols>
  <sheetData>
    <row r="1" spans="1:17" ht="26.25" x14ac:dyDescent="0.25">
      <c r="A1" s="117" t="s">
        <v>9</v>
      </c>
      <c r="B1" s="118"/>
      <c r="C1" s="117"/>
      <c r="D1" s="8"/>
      <c r="E1" s="8"/>
      <c r="F1" s="88" t="s">
        <v>28</v>
      </c>
      <c r="G1" s="6"/>
    </row>
    <row r="2" spans="1:17" x14ac:dyDescent="0.25">
      <c r="A2" s="119" t="s">
        <v>50</v>
      </c>
      <c r="B2" s="120"/>
      <c r="C2" s="119"/>
      <c r="D2" s="8"/>
      <c r="E2" s="121"/>
      <c r="F2" s="88" t="s">
        <v>28</v>
      </c>
      <c r="G2" s="6"/>
    </row>
    <row r="3" spans="1:17" ht="33" customHeight="1" x14ac:dyDescent="0.35">
      <c r="A3" s="122" t="s">
        <v>37</v>
      </c>
      <c r="B3" s="123"/>
      <c r="C3" s="122"/>
      <c r="D3" s="8"/>
      <c r="E3" s="8"/>
      <c r="F3" s="88"/>
      <c r="G3" s="6"/>
    </row>
    <row r="4" spans="1:17" x14ac:dyDescent="0.25">
      <c r="A4" s="59" t="s">
        <v>56</v>
      </c>
      <c r="B4" s="28"/>
      <c r="C4" s="59"/>
      <c r="D4" s="40">
        <v>2018</v>
      </c>
      <c r="E4" s="124">
        <f>D4+1</f>
        <v>2019</v>
      </c>
      <c r="F4" s="205">
        <v>2020</v>
      </c>
      <c r="G4" s="2"/>
      <c r="H4" s="2"/>
      <c r="I4" s="2"/>
      <c r="J4" s="2"/>
      <c r="K4" s="2"/>
      <c r="L4" s="2"/>
      <c r="M4" s="2"/>
      <c r="N4" s="2"/>
      <c r="O4" s="2"/>
      <c r="P4" s="2"/>
    </row>
    <row r="5" spans="1:17" x14ac:dyDescent="0.25">
      <c r="A5" s="59" t="s">
        <v>20</v>
      </c>
      <c r="B5" s="28"/>
      <c r="C5" s="59"/>
      <c r="D5" s="127">
        <v>0</v>
      </c>
      <c r="E5" s="125">
        <v>0</v>
      </c>
      <c r="F5" s="46">
        <v>1</v>
      </c>
      <c r="G5" s="2"/>
      <c r="H5" s="2"/>
      <c r="I5" s="2"/>
      <c r="J5" s="2"/>
      <c r="K5" s="2"/>
      <c r="L5" s="2"/>
      <c r="M5" s="2"/>
      <c r="N5" s="2"/>
      <c r="O5" s="2"/>
      <c r="P5" s="2"/>
    </row>
    <row r="6" spans="1:17" ht="26.25" customHeight="1" x14ac:dyDescent="0.35">
      <c r="A6" s="84" t="s">
        <v>36</v>
      </c>
      <c r="B6" s="126"/>
      <c r="C6" s="61"/>
      <c r="D6" s="128">
        <v>2013</v>
      </c>
      <c r="E6" s="129">
        <f t="shared" ref="E6:P6" si="0">D6+1</f>
        <v>2014</v>
      </c>
      <c r="F6" s="130">
        <f t="shared" si="0"/>
        <v>2015</v>
      </c>
      <c r="G6" s="130">
        <f t="shared" si="0"/>
        <v>2016</v>
      </c>
      <c r="H6" s="130">
        <f t="shared" si="0"/>
        <v>2017</v>
      </c>
      <c r="I6" s="130">
        <f t="shared" si="0"/>
        <v>2018</v>
      </c>
      <c r="J6" s="130">
        <f t="shared" si="0"/>
        <v>2019</v>
      </c>
      <c r="K6" s="130">
        <f t="shared" si="0"/>
        <v>2020</v>
      </c>
      <c r="L6" s="130">
        <f t="shared" si="0"/>
        <v>2021</v>
      </c>
      <c r="M6" s="130">
        <f t="shared" si="0"/>
        <v>2022</v>
      </c>
      <c r="N6" s="130">
        <f t="shared" si="0"/>
        <v>2023</v>
      </c>
      <c r="O6" s="130">
        <f t="shared" si="0"/>
        <v>2024</v>
      </c>
      <c r="P6" s="130">
        <f t="shared" si="0"/>
        <v>2025</v>
      </c>
    </row>
    <row r="7" spans="1:17" x14ac:dyDescent="0.25">
      <c r="A7" s="131" t="s">
        <v>33</v>
      </c>
      <c r="B7" s="28"/>
      <c r="C7" s="59"/>
      <c r="D7" s="201">
        <v>0.88767611823397519</v>
      </c>
      <c r="E7" s="201">
        <v>0.90452557862027294</v>
      </c>
      <c r="F7" s="201">
        <v>0.90746091706981868</v>
      </c>
      <c r="G7" s="201">
        <v>0.91132587146519417</v>
      </c>
      <c r="H7" s="201">
        <v>0.92627188723064136</v>
      </c>
      <c r="I7" s="201">
        <v>0.95294982808353279</v>
      </c>
      <c r="J7" s="201">
        <v>0.97918035590519992</v>
      </c>
      <c r="K7" s="201">
        <v>1</v>
      </c>
      <c r="L7" s="201">
        <v>1.0114370657336971</v>
      </c>
      <c r="M7" s="201">
        <v>1.0281422246806382</v>
      </c>
      <c r="N7" s="201">
        <v>1.0419469389364042</v>
      </c>
      <c r="O7" s="201">
        <v>1.0588012278566337</v>
      </c>
      <c r="P7" s="201">
        <v>1.078030609772288</v>
      </c>
    </row>
    <row r="8" spans="1:17" x14ac:dyDescent="0.25">
      <c r="A8" s="131" t="s">
        <v>34</v>
      </c>
      <c r="B8" s="28"/>
      <c r="C8" s="59"/>
      <c r="D8" s="201">
        <v>0.88767611823397519</v>
      </c>
      <c r="E8" s="201">
        <v>0.90452557862027294</v>
      </c>
      <c r="F8" s="201">
        <v>0.90746091706981868</v>
      </c>
      <c r="G8" s="201">
        <v>0.91132587146519417</v>
      </c>
      <c r="H8" s="201">
        <v>0.92627188723064136</v>
      </c>
      <c r="I8" s="201">
        <v>0.95294982808353279</v>
      </c>
      <c r="J8" s="201">
        <v>0.97918035590519992</v>
      </c>
      <c r="K8" s="201">
        <v>1</v>
      </c>
      <c r="L8" s="201">
        <v>1.0114370657336971</v>
      </c>
      <c r="M8" s="201">
        <v>1.0281422246806382</v>
      </c>
      <c r="N8" s="201">
        <v>1.0419469389364042</v>
      </c>
      <c r="O8" s="201">
        <v>1.0588012278566337</v>
      </c>
      <c r="P8" s="201">
        <v>1.078030609772288</v>
      </c>
    </row>
    <row r="9" spans="1:17" ht="35.1" customHeight="1" x14ac:dyDescent="0.35">
      <c r="A9" s="84" t="s">
        <v>16</v>
      </c>
      <c r="B9" s="132"/>
      <c r="C9" s="84"/>
      <c r="E9" s="8"/>
      <c r="F9" s="88"/>
      <c r="G9" s="6"/>
      <c r="H9" s="134"/>
      <c r="I9" s="134"/>
      <c r="J9" s="74"/>
      <c r="K9" s="134"/>
      <c r="L9" s="134"/>
      <c r="M9" s="134"/>
      <c r="N9" s="134"/>
      <c r="O9" s="134"/>
      <c r="P9" s="134"/>
    </row>
    <row r="10" spans="1:17" x14ac:dyDescent="0.25">
      <c r="A10" s="59" t="s">
        <v>0</v>
      </c>
      <c r="B10" s="28"/>
      <c r="C10" s="59"/>
      <c r="D10" s="7">
        <v>0</v>
      </c>
      <c r="E10" s="8"/>
      <c r="F10" s="88" t="s">
        <v>22</v>
      </c>
      <c r="G10" s="6"/>
      <c r="H10" s="6"/>
      <c r="I10" s="2"/>
      <c r="J10" s="6"/>
      <c r="K10" s="2"/>
      <c r="L10" s="2"/>
      <c r="M10" s="2"/>
      <c r="N10" s="2"/>
      <c r="O10" s="2"/>
      <c r="P10" s="8"/>
      <c r="Q10" s="8"/>
    </row>
    <row r="11" spans="1:17" x14ac:dyDescent="0.25">
      <c r="A11" s="59" t="s">
        <v>1</v>
      </c>
      <c r="B11" s="28"/>
      <c r="C11" s="59"/>
      <c r="D11" s="7">
        <v>0</v>
      </c>
      <c r="E11" s="8"/>
      <c r="F11" s="88" t="s">
        <v>22</v>
      </c>
      <c r="G11" s="6"/>
      <c r="I11" s="2"/>
      <c r="J11" s="6"/>
      <c r="K11" s="2"/>
      <c r="L11" s="2"/>
      <c r="M11" s="2"/>
      <c r="N11" s="2"/>
      <c r="O11" s="2"/>
      <c r="P11" s="8"/>
      <c r="Q11" s="8"/>
    </row>
    <row r="12" spans="1:17" ht="35.1" customHeight="1" x14ac:dyDescent="0.35">
      <c r="A12" s="84" t="s">
        <v>15</v>
      </c>
      <c r="B12" s="132"/>
      <c r="C12" s="84"/>
      <c r="D12" s="133"/>
      <c r="E12" s="8"/>
      <c r="F12" s="6"/>
      <c r="G12" s="6"/>
      <c r="I12" s="3"/>
      <c r="J12" s="6"/>
      <c r="K12" s="3"/>
      <c r="L12" s="3"/>
      <c r="M12" s="3"/>
      <c r="N12" s="3"/>
      <c r="O12" s="3"/>
      <c r="P12" s="3"/>
      <c r="Q12" s="3"/>
    </row>
    <row r="13" spans="1:17" x14ac:dyDescent="0.25">
      <c r="A13" s="59" t="s">
        <v>111</v>
      </c>
      <c r="B13" s="28"/>
      <c r="C13" s="59"/>
      <c r="D13" s="45">
        <v>0.48859999999999998</v>
      </c>
      <c r="E13" s="8"/>
      <c r="F13" s="88" t="s">
        <v>129</v>
      </c>
      <c r="G13" s="6"/>
      <c r="I13" s="2"/>
      <c r="J13" s="6"/>
      <c r="K13" s="2"/>
      <c r="L13" s="2"/>
      <c r="M13" s="2"/>
      <c r="N13" s="2"/>
      <c r="O13" s="2"/>
      <c r="P13" s="6"/>
      <c r="Q13" s="8"/>
    </row>
    <row r="14" spans="1:17" x14ac:dyDescent="0.25">
      <c r="A14" s="59" t="s">
        <v>112</v>
      </c>
      <c r="B14" s="28"/>
      <c r="C14" s="59"/>
      <c r="D14" s="45">
        <v>0.2185</v>
      </c>
      <c r="E14" s="8"/>
      <c r="F14" s="88" t="s">
        <v>129</v>
      </c>
      <c r="G14" s="6"/>
      <c r="I14" s="2"/>
      <c r="J14" s="6"/>
      <c r="K14" s="2"/>
      <c r="L14" s="2"/>
      <c r="M14" s="2"/>
      <c r="N14" s="2"/>
      <c r="O14" s="2"/>
      <c r="P14" s="8"/>
      <c r="Q14" s="8"/>
    </row>
    <row r="15" spans="1:17" x14ac:dyDescent="0.25">
      <c r="A15" s="59" t="s">
        <v>113</v>
      </c>
      <c r="B15" s="28"/>
      <c r="C15" s="59"/>
      <c r="D15" s="45">
        <v>0.44700000000000001</v>
      </c>
      <c r="E15" s="8"/>
      <c r="F15" s="88" t="s">
        <v>129</v>
      </c>
      <c r="G15" s="6"/>
      <c r="I15" s="2"/>
      <c r="J15" s="6"/>
      <c r="K15" s="2"/>
      <c r="L15" s="2"/>
      <c r="M15" s="2"/>
      <c r="N15" s="2"/>
      <c r="O15" s="2"/>
      <c r="P15" s="8"/>
      <c r="Q15" s="8"/>
    </row>
    <row r="16" spans="1:17" x14ac:dyDescent="0.25">
      <c r="A16" s="59" t="s">
        <v>114</v>
      </c>
      <c r="B16" s="28"/>
      <c r="C16" s="59"/>
      <c r="D16" s="45">
        <v>0.65249999999999997</v>
      </c>
      <c r="E16" s="8"/>
      <c r="F16" s="88" t="s">
        <v>129</v>
      </c>
      <c r="G16" s="6"/>
      <c r="I16" s="2"/>
      <c r="J16" s="6"/>
      <c r="K16" s="2"/>
      <c r="L16" s="2"/>
      <c r="M16" s="2"/>
      <c r="N16" s="2"/>
      <c r="O16" s="2"/>
      <c r="P16" s="8"/>
      <c r="Q16" s="8"/>
    </row>
    <row r="17" spans="1:17" ht="39.950000000000003" customHeight="1" x14ac:dyDescent="0.35">
      <c r="A17" s="135" t="s">
        <v>38</v>
      </c>
      <c r="B17" s="136"/>
      <c r="C17" s="135"/>
      <c r="D17" s="137"/>
      <c r="E17" s="8"/>
      <c r="F17" s="88"/>
      <c r="G17" s="6"/>
    </row>
    <row r="18" spans="1:17" ht="35.25" customHeight="1" x14ac:dyDescent="0.25">
      <c r="A18" s="139" t="s">
        <v>11</v>
      </c>
      <c r="B18" s="28"/>
      <c r="C18" s="139"/>
      <c r="D18" s="140" t="s">
        <v>21</v>
      </c>
      <c r="E18" s="8"/>
      <c r="F18" s="88"/>
      <c r="G18" s="6"/>
    </row>
    <row r="19" spans="1:17" ht="35.1" customHeight="1" x14ac:dyDescent="0.35">
      <c r="A19" s="84" t="s">
        <v>23</v>
      </c>
      <c r="B19" s="132"/>
      <c r="C19" s="84"/>
      <c r="D19" s="72"/>
      <c r="E19" s="8"/>
      <c r="F19" s="88"/>
      <c r="G19" s="6"/>
    </row>
    <row r="20" spans="1:17" x14ac:dyDescent="0.25">
      <c r="A20" s="59" t="s">
        <v>35</v>
      </c>
      <c r="B20" s="28"/>
      <c r="C20" s="59"/>
      <c r="D20" s="26">
        <v>3.2074935874579769E-3</v>
      </c>
      <c r="E20" s="8"/>
      <c r="F20" s="88" t="s">
        <v>32</v>
      </c>
      <c r="G20" s="6"/>
    </row>
    <row r="21" spans="1:17" x14ac:dyDescent="0.25">
      <c r="A21" s="141" t="s">
        <v>137</v>
      </c>
      <c r="B21" s="28"/>
      <c r="C21" s="59"/>
      <c r="D21" s="26">
        <v>1.0112893261336797E-2</v>
      </c>
      <c r="E21" s="8"/>
      <c r="F21" s="88" t="s">
        <v>139</v>
      </c>
      <c r="G21" s="6"/>
    </row>
    <row r="22" spans="1:17" x14ac:dyDescent="0.25">
      <c r="A22" s="141" t="s">
        <v>138</v>
      </c>
      <c r="B22" s="28"/>
      <c r="C22" s="59"/>
      <c r="D22" s="26">
        <v>7.6360809513089656E-3</v>
      </c>
      <c r="E22" s="8"/>
      <c r="F22" s="88" t="s">
        <v>139</v>
      </c>
      <c r="G22" s="6"/>
    </row>
    <row r="23" spans="1:17" ht="35.1" customHeight="1" x14ac:dyDescent="0.35">
      <c r="A23" s="84" t="s">
        <v>43</v>
      </c>
      <c r="B23" s="132"/>
      <c r="C23" s="84"/>
      <c r="D23" s="133"/>
      <c r="E23" s="8"/>
      <c r="F23" s="88"/>
      <c r="G23" s="6"/>
    </row>
    <row r="24" spans="1:17" x14ac:dyDescent="0.25">
      <c r="A24" s="59" t="str">
        <f>$A$23&amp;" "&amp;B24</f>
        <v>Network opex (nominal) 2013</v>
      </c>
      <c r="B24" s="29">
        <v>2013</v>
      </c>
      <c r="C24" s="142" t="s">
        <v>40</v>
      </c>
      <c r="D24" s="17">
        <v>12087.35635181818</v>
      </c>
      <c r="E24" s="6"/>
      <c r="F24" s="143" t="str">
        <f t="shared" ref="F24:F31" si="1">"Source: "&amp;B24&amp;" ID Schedule 6b, row 12"</f>
        <v>Source: 2013 ID Schedule 6b, row 12</v>
      </c>
      <c r="G24" s="6"/>
    </row>
    <row r="25" spans="1:17" x14ac:dyDescent="0.25">
      <c r="A25" s="59" t="str">
        <f t="shared" ref="A25:A31" si="2">$A$23&amp;" "&amp;B25</f>
        <v>Network opex (nominal) 2014</v>
      </c>
      <c r="B25" s="29">
        <v>2014</v>
      </c>
      <c r="C25" s="142" t="s">
        <v>40</v>
      </c>
      <c r="D25" s="17">
        <v>14361.46803628889</v>
      </c>
      <c r="E25" s="6"/>
      <c r="F25" s="143" t="str">
        <f t="shared" si="1"/>
        <v>Source: 2014 ID Schedule 6b, row 12</v>
      </c>
      <c r="G25" s="6"/>
    </row>
    <row r="26" spans="1:17" x14ac:dyDescent="0.25">
      <c r="A26" s="59" t="str">
        <f t="shared" si="2"/>
        <v>Network opex (nominal) 2015</v>
      </c>
      <c r="B26" s="29">
        <v>2015</v>
      </c>
      <c r="C26" s="142" t="s">
        <v>40</v>
      </c>
      <c r="D26" s="17">
        <v>10523.663734509801</v>
      </c>
      <c r="E26" s="6"/>
      <c r="F26" s="143" t="str">
        <f t="shared" si="1"/>
        <v>Source: 2015 ID Schedule 6b, row 12</v>
      </c>
      <c r="G26" s="6"/>
    </row>
    <row r="27" spans="1:17" x14ac:dyDescent="0.25">
      <c r="A27" s="59" t="str">
        <f t="shared" si="2"/>
        <v>Network opex (nominal) 2016</v>
      </c>
      <c r="B27" s="29">
        <v>2016</v>
      </c>
      <c r="C27" s="142" t="s">
        <v>40</v>
      </c>
      <c r="D27" s="17">
        <v>13589.64122420561</v>
      </c>
      <c r="E27" s="6"/>
      <c r="F27" s="143" t="str">
        <f t="shared" si="1"/>
        <v>Source: 2016 ID Schedule 6b, row 12</v>
      </c>
      <c r="G27" s="6"/>
    </row>
    <row r="28" spans="1:17" x14ac:dyDescent="0.25">
      <c r="A28" s="59" t="str">
        <f t="shared" si="2"/>
        <v>Network opex (nominal) 2017</v>
      </c>
      <c r="B28" s="29">
        <v>2017</v>
      </c>
      <c r="C28" s="142" t="s">
        <v>40</v>
      </c>
      <c r="D28" s="144">
        <v>14390.836263264249</v>
      </c>
      <c r="E28" s="8"/>
      <c r="F28" s="143" t="str">
        <f t="shared" si="1"/>
        <v>Source: 2017 ID Schedule 6b, row 12</v>
      </c>
      <c r="G28" s="6"/>
    </row>
    <row r="29" spans="1:17" x14ac:dyDescent="0.25">
      <c r="A29" s="59" t="str">
        <f t="shared" si="2"/>
        <v>Network opex (nominal) 2018</v>
      </c>
      <c r="B29" s="29">
        <v>2018</v>
      </c>
      <c r="C29" s="142" t="s">
        <v>40</v>
      </c>
      <c r="D29" s="144">
        <v>16981.172329691519</v>
      </c>
      <c r="E29" s="8"/>
      <c r="F29" s="143" t="str">
        <f t="shared" si="1"/>
        <v>Source: 2018 ID Schedule 6b, row 12</v>
      </c>
      <c r="G29" s="6"/>
    </row>
    <row r="30" spans="1:17" x14ac:dyDescent="0.25">
      <c r="A30" s="59" t="str">
        <f t="shared" si="2"/>
        <v>Network opex (nominal) 2019</v>
      </c>
      <c r="B30" s="29">
        <v>2019</v>
      </c>
      <c r="C30" s="142" t="s">
        <v>40</v>
      </c>
      <c r="D30" s="144">
        <v>16288.66232553615</v>
      </c>
      <c r="E30" s="8"/>
      <c r="F30" s="143" t="str">
        <f t="shared" si="1"/>
        <v>Source: 2019 ID Schedule 6b, row 12</v>
      </c>
      <c r="G30" s="6"/>
    </row>
    <row r="31" spans="1:17" x14ac:dyDescent="0.25">
      <c r="A31" s="145" t="str">
        <f t="shared" si="2"/>
        <v>Network opex (nominal) 2020</v>
      </c>
      <c r="B31" s="47">
        <v>2020</v>
      </c>
      <c r="C31" s="146" t="s">
        <v>40</v>
      </c>
      <c r="D31" s="200">
        <v>15760.345487461585</v>
      </c>
      <c r="E31" s="8"/>
      <c r="F31" s="147" t="str">
        <f t="shared" si="1"/>
        <v>Source: 2020 ID Schedule 6b, row 12</v>
      </c>
      <c r="G31" s="6"/>
      <c r="H31" s="44"/>
      <c r="I31" s="44"/>
      <c r="J31" s="44"/>
      <c r="K31" s="44"/>
      <c r="L31" s="44"/>
      <c r="M31" s="44"/>
      <c r="N31" s="44"/>
      <c r="O31" s="44"/>
      <c r="P31" s="44"/>
      <c r="Q31" s="44"/>
    </row>
    <row r="32" spans="1:17" ht="34.5" customHeight="1" x14ac:dyDescent="0.35">
      <c r="A32" s="84" t="s">
        <v>44</v>
      </c>
      <c r="B32" s="29"/>
      <c r="C32" s="142"/>
      <c r="D32" s="144"/>
      <c r="E32" s="8"/>
      <c r="F32" s="88"/>
      <c r="G32" s="6"/>
    </row>
    <row r="33" spans="1:17" x14ac:dyDescent="0.25">
      <c r="A33" s="59" t="str">
        <f>$A$32&amp;" "&amp;B33</f>
        <v>Non-network opex (nominal) 2013</v>
      </c>
      <c r="B33" s="29">
        <v>2013</v>
      </c>
      <c r="C33" s="142" t="s">
        <v>40</v>
      </c>
      <c r="D33" s="17">
        <v>16211.00488818182</v>
      </c>
      <c r="E33" s="6"/>
      <c r="F33" s="143" t="str">
        <f t="shared" ref="F33:F40" si="3">"Source: "&amp;B33&amp;" ID Schedule 6b, row 15"</f>
        <v>Source: 2013 ID Schedule 6b, row 15</v>
      </c>
      <c r="G33" s="6"/>
    </row>
    <row r="34" spans="1:17" x14ac:dyDescent="0.25">
      <c r="A34" s="59" t="str">
        <f t="shared" ref="A34:A40" si="4">$A$32&amp;" "&amp;B34</f>
        <v>Non-network opex (nominal) 2014</v>
      </c>
      <c r="B34" s="29">
        <v>2014</v>
      </c>
      <c r="C34" s="142" t="s">
        <v>40</v>
      </c>
      <c r="D34" s="17">
        <v>15249.57809371111</v>
      </c>
      <c r="E34" s="6"/>
      <c r="F34" s="143" t="str">
        <f t="shared" si="3"/>
        <v>Source: 2014 ID Schedule 6b, row 15</v>
      </c>
      <c r="G34" s="6"/>
    </row>
    <row r="35" spans="1:17" x14ac:dyDescent="0.25">
      <c r="A35" s="59" t="str">
        <f t="shared" si="4"/>
        <v>Non-network opex (nominal) 2015</v>
      </c>
      <c r="B35" s="29">
        <v>2015</v>
      </c>
      <c r="C35" s="142" t="s">
        <v>40</v>
      </c>
      <c r="D35" s="17">
        <v>15032.1366254902</v>
      </c>
      <c r="E35" s="6"/>
      <c r="F35" s="143" t="str">
        <f t="shared" si="3"/>
        <v>Source: 2015 ID Schedule 6b, row 15</v>
      </c>
      <c r="G35" s="6"/>
    </row>
    <row r="36" spans="1:17" x14ac:dyDescent="0.25">
      <c r="A36" s="59" t="str">
        <f t="shared" si="4"/>
        <v>Non-network opex (nominal) 2016</v>
      </c>
      <c r="B36" s="29">
        <v>2016</v>
      </c>
      <c r="C36" s="142" t="s">
        <v>40</v>
      </c>
      <c r="D36" s="17">
        <v>16032.609305794391</v>
      </c>
      <c r="E36" s="6"/>
      <c r="F36" s="143" t="str">
        <f t="shared" si="3"/>
        <v>Source: 2016 ID Schedule 6b, row 15</v>
      </c>
      <c r="G36" s="6"/>
    </row>
    <row r="37" spans="1:17" x14ac:dyDescent="0.25">
      <c r="A37" s="59" t="str">
        <f t="shared" si="4"/>
        <v>Non-network opex (nominal) 2017</v>
      </c>
      <c r="B37" s="29">
        <v>2017</v>
      </c>
      <c r="C37" s="142" t="s">
        <v>40</v>
      </c>
      <c r="D37" s="144">
        <v>15684.22264673575</v>
      </c>
      <c r="E37" s="8"/>
      <c r="F37" s="143" t="str">
        <f t="shared" si="3"/>
        <v>Source: 2017 ID Schedule 6b, row 15</v>
      </c>
      <c r="G37" s="6"/>
    </row>
    <row r="38" spans="1:17" x14ac:dyDescent="0.25">
      <c r="A38" s="59" t="str">
        <f t="shared" si="4"/>
        <v>Non-network opex (nominal) 2018</v>
      </c>
      <c r="B38" s="29">
        <v>2018</v>
      </c>
      <c r="C38" s="142" t="s">
        <v>40</v>
      </c>
      <c r="D38" s="144">
        <v>16329.352670308481</v>
      </c>
      <c r="E38" s="8"/>
      <c r="F38" s="143" t="str">
        <f t="shared" si="3"/>
        <v>Source: 2018 ID Schedule 6b, row 15</v>
      </c>
      <c r="G38" s="6"/>
    </row>
    <row r="39" spans="1:17" x14ac:dyDescent="0.25">
      <c r="A39" s="59" t="str">
        <f t="shared" si="4"/>
        <v>Non-network opex (nominal) 2019</v>
      </c>
      <c r="B39" s="29">
        <v>2019</v>
      </c>
      <c r="C39" s="142" t="s">
        <v>40</v>
      </c>
      <c r="D39" s="144">
        <v>17728.451339256819</v>
      </c>
      <c r="E39" s="8"/>
      <c r="F39" s="143" t="str">
        <f t="shared" si="3"/>
        <v>Source: 2019 ID Schedule 6b, row 15</v>
      </c>
      <c r="G39" s="6"/>
    </row>
    <row r="40" spans="1:17" x14ac:dyDescent="0.25">
      <c r="A40" s="145" t="str">
        <f t="shared" si="4"/>
        <v>Non-network opex (nominal) 2020</v>
      </c>
      <c r="B40" s="47">
        <v>2020</v>
      </c>
      <c r="C40" s="142"/>
      <c r="D40" s="200">
        <v>16429.88698893784</v>
      </c>
      <c r="E40" s="8"/>
      <c r="F40" s="147" t="str">
        <f t="shared" si="3"/>
        <v>Source: 2020 ID Schedule 6b, row 15</v>
      </c>
      <c r="G40" s="6"/>
      <c r="H40" s="44"/>
      <c r="I40" s="44"/>
      <c r="J40" s="44"/>
      <c r="K40" s="44"/>
      <c r="L40" s="44"/>
      <c r="M40" s="44"/>
      <c r="N40" s="44"/>
      <c r="O40" s="44"/>
      <c r="P40" s="44"/>
      <c r="Q40" s="44"/>
    </row>
    <row r="41" spans="1:17" ht="35.1" customHeight="1" x14ac:dyDescent="0.35">
      <c r="A41" s="84" t="s">
        <v>68</v>
      </c>
      <c r="B41" s="132"/>
      <c r="C41" s="84"/>
      <c r="D41" s="148"/>
      <c r="E41" s="8"/>
      <c r="F41" s="88"/>
      <c r="G41" s="6"/>
    </row>
    <row r="42" spans="1:17" x14ac:dyDescent="0.25">
      <c r="A42" s="131" t="str">
        <f>$A$41&amp;" "&amp;B42</f>
        <v>Network opex trend factors (nominal) 2018</v>
      </c>
      <c r="B42" s="29">
        <v>2018</v>
      </c>
      <c r="C42" s="142" t="s">
        <v>61</v>
      </c>
      <c r="D42" s="144">
        <v>0</v>
      </c>
      <c r="E42" s="8"/>
      <c r="F42" s="143" t="str">
        <f>"Added to initial value prior to trending. "&amp;B42&amp;" reduction in schedule 6b network opex attributed to IFRS 16 capitalisation. Source: 53ZD response 9 August 2019. (Should be positive or zero.)"</f>
        <v>Added to initial value prior to trending. 2018 reduction in schedule 6b network opex attributed to IFRS 16 capitalisation. Source: 53ZD response 9 August 2019. (Should be positive or zero.)</v>
      </c>
      <c r="G42" s="6"/>
    </row>
    <row r="43" spans="1:17" x14ac:dyDescent="0.25">
      <c r="A43" s="131" t="str">
        <f>$A$41&amp;" "&amp;B43</f>
        <v>Network opex trend factors (nominal) 2019</v>
      </c>
      <c r="B43" s="29">
        <v>2019</v>
      </c>
      <c r="C43" s="142" t="s">
        <v>61</v>
      </c>
      <c r="D43" s="144">
        <v>0</v>
      </c>
      <c r="E43" s="8"/>
      <c r="F43" s="143" t="str">
        <f>"Added to initial value prior to trending. "&amp;B43&amp;" reduction in schedule 6b network opex attributed to IFRS 16 capitalisation. Source: 53ZD response 9 August 2019. (Should be positive or zero.)"</f>
        <v>Added to initial value prior to trending. 2019 reduction in schedule 6b network opex attributed to IFRS 16 capitalisation. Source: 53ZD response 9 August 2019. (Should be positive or zero.)</v>
      </c>
      <c r="G43" s="6"/>
    </row>
    <row r="44" spans="1:17" x14ac:dyDescent="0.25">
      <c r="A44" s="202" t="str">
        <f>$A$41&amp;" "&amp;B44</f>
        <v>Network opex trend factors (nominal) 2020</v>
      </c>
      <c r="B44" s="29">
        <v>2020</v>
      </c>
      <c r="C44" s="142" t="s">
        <v>61</v>
      </c>
      <c r="D44" s="200">
        <f>294.022779452055</f>
        <v>294.02277945205498</v>
      </c>
      <c r="E44" s="8"/>
      <c r="F44" s="143"/>
      <c r="G44" s="6"/>
      <c r="H44" s="44"/>
      <c r="I44" s="44"/>
      <c r="J44" s="44"/>
      <c r="K44" s="44"/>
      <c r="L44" s="44"/>
      <c r="M44" s="44"/>
      <c r="N44" s="44"/>
      <c r="O44" s="44"/>
      <c r="P44" s="44"/>
      <c r="Q44" s="44"/>
    </row>
    <row r="45" spans="1:17" ht="35.1" customHeight="1" x14ac:dyDescent="0.35">
      <c r="A45" s="84" t="s">
        <v>131</v>
      </c>
      <c r="B45" s="149"/>
      <c r="C45" s="84"/>
      <c r="D45" s="148"/>
      <c r="E45" s="8"/>
      <c r="F45" s="88"/>
      <c r="G45" s="6"/>
    </row>
    <row r="46" spans="1:17" x14ac:dyDescent="0.25">
      <c r="A46" s="131" t="str">
        <f t="shared" ref="A46:A52" si="5">$A$45&amp;" "&amp;B46</f>
        <v>Non-network opex trend factors (nominal) 2018</v>
      </c>
      <c r="B46" s="29">
        <v>2018</v>
      </c>
      <c r="C46" s="142"/>
      <c r="D46" s="144"/>
      <c r="E46" s="8"/>
      <c r="F46" s="88" t="s">
        <v>60</v>
      </c>
      <c r="G46" s="6"/>
    </row>
    <row r="47" spans="1:17" x14ac:dyDescent="0.25">
      <c r="A47" s="131" t="str">
        <f t="shared" si="5"/>
        <v>Non-network opex trend factors (nominal) 2019</v>
      </c>
      <c r="B47" s="29">
        <v>2019</v>
      </c>
      <c r="C47" s="142" t="s">
        <v>57</v>
      </c>
      <c r="D47" s="149">
        <v>-58.024999999999999</v>
      </c>
      <c r="E47" s="8"/>
      <c r="F47" s="88" t="s">
        <v>60</v>
      </c>
      <c r="G47" s="6"/>
    </row>
    <row r="48" spans="1:17" x14ac:dyDescent="0.25">
      <c r="A48" s="131" t="str">
        <f t="shared" si="5"/>
        <v>Non-network opex trend factors (nominal) 2018</v>
      </c>
      <c r="B48" s="29">
        <v>2018</v>
      </c>
      <c r="C48" s="142"/>
      <c r="D48" s="142"/>
      <c r="E48" s="8"/>
      <c r="F48" s="88" t="s">
        <v>60</v>
      </c>
      <c r="G48" s="6"/>
    </row>
    <row r="49" spans="1:17" x14ac:dyDescent="0.25">
      <c r="A49" s="131" t="str">
        <f t="shared" si="5"/>
        <v>Non-network opex trend factors (nominal) 2019</v>
      </c>
      <c r="B49" s="29">
        <v>2019</v>
      </c>
      <c r="C49" s="142" t="s">
        <v>58</v>
      </c>
      <c r="D49" s="149">
        <v>0</v>
      </c>
      <c r="E49" s="8"/>
      <c r="F49" s="88" t="s">
        <v>60</v>
      </c>
      <c r="G49" s="6"/>
    </row>
    <row r="50" spans="1:17" x14ac:dyDescent="0.25">
      <c r="A50" s="131" t="str">
        <f t="shared" si="5"/>
        <v>Non-network opex trend factors (nominal) 2018</v>
      </c>
      <c r="B50" s="29">
        <v>2018</v>
      </c>
      <c r="C50" s="142" t="s">
        <v>61</v>
      </c>
      <c r="D50" s="144">
        <v>0</v>
      </c>
      <c r="E50" s="8"/>
      <c r="F50" s="143" t="str">
        <f>"Added to initial value prior to trending. "&amp;B50&amp;" reduction in schedule 6b non-network opex attributed to IFRS 16 capitalisation. Source: 53ZD response 9 August 2019. (Should be positive or zero.)"</f>
        <v>Added to initial value prior to trending. 2018 reduction in schedule 6b non-network opex attributed to IFRS 16 capitalisation. Source: 53ZD response 9 August 2019. (Should be positive or zero.)</v>
      </c>
      <c r="G50" s="6"/>
    </row>
    <row r="51" spans="1:17" x14ac:dyDescent="0.25">
      <c r="A51" s="131" t="str">
        <f t="shared" si="5"/>
        <v>Non-network opex trend factors (nominal) 2019</v>
      </c>
      <c r="B51" s="29">
        <v>2019</v>
      </c>
      <c r="C51" s="142" t="s">
        <v>61</v>
      </c>
      <c r="D51" s="144">
        <v>0</v>
      </c>
      <c r="E51" s="8"/>
      <c r="F51" s="143" t="str">
        <f>"Added to initial value prior to trending. "&amp;B51&amp;" reduction in schedule 6b non-network opex attributed to IFRS 16 capitalisation. Source: 53ZD response 9 August 2019. (Should be positive or zero.)"</f>
        <v>Added to initial value prior to trending. 2019 reduction in schedule 6b non-network opex attributed to IFRS 16 capitalisation. Source: 53ZD response 9 August 2019. (Should be positive or zero.)</v>
      </c>
      <c r="G51" s="6"/>
    </row>
    <row r="52" spans="1:17" ht="30" customHeight="1" x14ac:dyDescent="0.25">
      <c r="A52" s="202" t="str">
        <f t="shared" si="5"/>
        <v>Non-network opex trend factors (nominal) 2020</v>
      </c>
      <c r="B52" s="29">
        <v>2020</v>
      </c>
      <c r="C52" s="206" t="s">
        <v>159</v>
      </c>
      <c r="D52" s="200">
        <f>219.724059945205+287</f>
        <v>506.724059945205</v>
      </c>
      <c r="E52" s="8"/>
      <c r="F52" s="143" t="str">
        <f>"Added to initial value prior to trending. "&amp;B52&amp;" reduction in schedule 6b non-network opex attributed to IFRS 16 capitalisation. Source: 53ZD response 9 August 2019. (Should be positive or zero.) plus $287,000 for increment to base year non-network opex."</f>
        <v>Added to initial value prior to trending. 2020 reduction in schedule 6b non-network opex attributed to IFRS 16 capitalisation. Source: 53ZD response 9 August 2019. (Should be positive or zero.) plus $287,000 for increment to base year non-network opex.</v>
      </c>
      <c r="G52" s="6"/>
      <c r="H52" s="44"/>
      <c r="I52" s="44"/>
      <c r="J52" s="44"/>
      <c r="K52" s="44"/>
      <c r="L52" s="44"/>
      <c r="M52" s="44"/>
      <c r="N52" s="44"/>
      <c r="O52" s="44"/>
      <c r="P52" s="44"/>
      <c r="Q52" s="44"/>
    </row>
    <row r="53" spans="1:17" ht="35.1" customHeight="1" x14ac:dyDescent="0.35">
      <c r="A53" s="84" t="s">
        <v>69</v>
      </c>
      <c r="B53" s="132"/>
      <c r="C53" s="84"/>
      <c r="D53" s="148"/>
      <c r="E53" s="8"/>
      <c r="F53" s="88"/>
      <c r="G53" s="6"/>
    </row>
    <row r="54" spans="1:17" x14ac:dyDescent="0.25">
      <c r="A54" s="131" t="str">
        <f>$A$53&amp;" "&amp;B54</f>
        <v>Network opex step factors (nominal) 2019</v>
      </c>
      <c r="B54" s="29">
        <v>2019</v>
      </c>
      <c r="C54" s="142" t="s">
        <v>61</v>
      </c>
      <c r="D54" s="144">
        <v>0</v>
      </c>
      <c r="E54" s="8"/>
      <c r="F54" s="88" t="s">
        <v>62</v>
      </c>
      <c r="G54" s="6"/>
    </row>
    <row r="55" spans="1:17" x14ac:dyDescent="0.25">
      <c r="A55" s="131" t="str">
        <f t="shared" ref="A55:A60" si="6">$A$53&amp;" "&amp;B55</f>
        <v>Network opex step factors (nominal) 2020</v>
      </c>
      <c r="B55" s="29">
        <v>2020</v>
      </c>
      <c r="C55" s="142" t="s">
        <v>61</v>
      </c>
      <c r="D55" s="144">
        <v>-294.02277945205475</v>
      </c>
      <c r="E55" s="8"/>
      <c r="F55" s="88" t="s">
        <v>42</v>
      </c>
      <c r="G55" s="6"/>
    </row>
    <row r="56" spans="1:17" x14ac:dyDescent="0.25">
      <c r="A56" s="131" t="str">
        <f t="shared" si="6"/>
        <v>Network opex step factors (nominal) 2021</v>
      </c>
      <c r="B56" s="29">
        <v>2021</v>
      </c>
      <c r="C56" s="142" t="s">
        <v>61</v>
      </c>
      <c r="D56" s="144">
        <v>-304.71514999999999</v>
      </c>
      <c r="E56" s="8"/>
      <c r="F56" s="88" t="s">
        <v>63</v>
      </c>
      <c r="G56" s="6"/>
    </row>
    <row r="57" spans="1:17" x14ac:dyDescent="0.25">
      <c r="A57" s="131" t="str">
        <f t="shared" si="6"/>
        <v>Network opex step factors (nominal) 2022</v>
      </c>
      <c r="B57" s="29">
        <v>2022</v>
      </c>
      <c r="C57" s="142" t="s">
        <v>61</v>
      </c>
      <c r="D57" s="144">
        <v>-304.71515000000005</v>
      </c>
      <c r="E57" s="8"/>
      <c r="F57" s="88" t="s">
        <v>132</v>
      </c>
      <c r="G57" s="6"/>
    </row>
    <row r="58" spans="1:17" x14ac:dyDescent="0.25">
      <c r="A58" s="131" t="str">
        <f t="shared" si="6"/>
        <v>Network opex step factors (nominal) 2023</v>
      </c>
      <c r="B58" s="29">
        <v>2023</v>
      </c>
      <c r="C58" s="142" t="s">
        <v>61</v>
      </c>
      <c r="D58" s="144">
        <v>-304.71515000000005</v>
      </c>
      <c r="E58" s="8"/>
      <c r="F58" s="6"/>
      <c r="G58" s="6"/>
    </row>
    <row r="59" spans="1:17" x14ac:dyDescent="0.25">
      <c r="A59" s="131" t="str">
        <f t="shared" si="6"/>
        <v>Network opex step factors (nominal) 2024</v>
      </c>
      <c r="B59" s="29">
        <v>2024</v>
      </c>
      <c r="C59" s="142" t="s">
        <v>61</v>
      </c>
      <c r="D59" s="144">
        <v>-304.71515000000005</v>
      </c>
      <c r="E59" s="8"/>
      <c r="F59" s="88"/>
      <c r="G59" s="6"/>
    </row>
    <row r="60" spans="1:17" x14ac:dyDescent="0.25">
      <c r="A60" s="131" t="str">
        <f t="shared" si="6"/>
        <v>Network opex step factors (nominal) 2025</v>
      </c>
      <c r="B60" s="29">
        <v>2025</v>
      </c>
      <c r="C60" s="142" t="s">
        <v>61</v>
      </c>
      <c r="D60" s="144">
        <v>-304.14102912087918</v>
      </c>
      <c r="E60" s="8"/>
      <c r="F60" s="6"/>
      <c r="G60" s="6"/>
    </row>
    <row r="61" spans="1:17" ht="35.1" customHeight="1" x14ac:dyDescent="0.35">
      <c r="A61" s="84" t="s">
        <v>59</v>
      </c>
      <c r="B61" s="132"/>
      <c r="C61" s="84"/>
      <c r="D61" s="148"/>
      <c r="E61" s="8"/>
      <c r="F61" s="88"/>
      <c r="G61" s="6"/>
    </row>
    <row r="62" spans="1:17" x14ac:dyDescent="0.25">
      <c r="A62" s="131" t="str">
        <f>$A$61&amp;" "&amp;B62</f>
        <v>Non-network opex step factors (nominal) 2019</v>
      </c>
      <c r="B62" s="29">
        <v>2019</v>
      </c>
      <c r="C62" s="142" t="s">
        <v>61</v>
      </c>
      <c r="D62" s="144">
        <v>0</v>
      </c>
      <c r="E62" s="8"/>
      <c r="F62" s="88" t="s">
        <v>62</v>
      </c>
      <c r="G62" s="6"/>
    </row>
    <row r="63" spans="1:17" x14ac:dyDescent="0.25">
      <c r="A63" s="131" t="str">
        <f t="shared" ref="A63:A68" si="7">$A$61&amp;" "&amp;B63</f>
        <v>Non-network opex step factors (nominal) 2020</v>
      </c>
      <c r="B63" s="29">
        <v>2020</v>
      </c>
      <c r="C63" s="142" t="s">
        <v>61</v>
      </c>
      <c r="D63" s="144">
        <v>-219.72405994520548</v>
      </c>
      <c r="E63" s="8"/>
      <c r="F63" s="88" t="s">
        <v>42</v>
      </c>
      <c r="G63" s="6"/>
    </row>
    <row r="64" spans="1:17" x14ac:dyDescent="0.25">
      <c r="A64" s="131" t="str">
        <f t="shared" si="7"/>
        <v>Non-network opex step factors (nominal) 2021</v>
      </c>
      <c r="B64" s="29">
        <v>2021</v>
      </c>
      <c r="C64" s="142" t="s">
        <v>61</v>
      </c>
      <c r="D64" s="144">
        <v>-219.86905999999999</v>
      </c>
      <c r="E64" s="8"/>
      <c r="F64" s="88" t="s">
        <v>63</v>
      </c>
      <c r="G64" s="6"/>
    </row>
    <row r="65" spans="1:7" x14ac:dyDescent="0.25">
      <c r="A65" s="131" t="str">
        <f t="shared" si="7"/>
        <v>Non-network opex step factors (nominal) 2022</v>
      </c>
      <c r="B65" s="29">
        <v>2022</v>
      </c>
      <c r="C65" s="142" t="s">
        <v>61</v>
      </c>
      <c r="D65" s="144">
        <v>-219.86905999999999</v>
      </c>
      <c r="E65" s="8"/>
      <c r="F65" s="88"/>
      <c r="G65" s="6"/>
    </row>
    <row r="66" spans="1:7" x14ac:dyDescent="0.25">
      <c r="A66" s="131" t="str">
        <f t="shared" si="7"/>
        <v>Non-network opex step factors (nominal) 2023</v>
      </c>
      <c r="B66" s="29">
        <v>2023</v>
      </c>
      <c r="C66" s="142" t="s">
        <v>61</v>
      </c>
      <c r="D66" s="144">
        <v>-219.86905999999999</v>
      </c>
      <c r="E66" s="8"/>
      <c r="F66" s="88"/>
      <c r="G66" s="6"/>
    </row>
    <row r="67" spans="1:7" x14ac:dyDescent="0.25">
      <c r="A67" s="131" t="str">
        <f t="shared" si="7"/>
        <v>Non-network opex step factors (nominal) 2024</v>
      </c>
      <c r="B67" s="29">
        <v>2024</v>
      </c>
      <c r="C67" s="142" t="s">
        <v>61</v>
      </c>
      <c r="D67" s="144">
        <v>-193.40509999945175</v>
      </c>
      <c r="E67" s="8"/>
      <c r="F67" s="88"/>
      <c r="G67" s="6"/>
    </row>
    <row r="68" spans="1:7" x14ac:dyDescent="0.25">
      <c r="A68" s="131" t="str">
        <f t="shared" si="7"/>
        <v>Non-network opex step factors (nominal) 2025</v>
      </c>
      <c r="B68" s="29">
        <v>2025</v>
      </c>
      <c r="C68" s="142" t="s">
        <v>61</v>
      </c>
      <c r="D68" s="144">
        <v>-166.94404</v>
      </c>
      <c r="E68" s="8"/>
      <c r="F68" s="88"/>
      <c r="G68" s="6"/>
    </row>
  </sheetData>
  <dataValidations count="1">
    <dataValidation type="decimal" allowBlank="1" showInputMessage="1" showErrorMessage="1" sqref="D5:E5" xr:uid="{00000000-0002-0000-0300-000000000000}">
      <formula1>0</formula1>
      <formula2>1</formula2>
    </dataValidation>
  </dataValidations>
  <pageMargins left="0.25" right="0.25" top="0.75" bottom="0.75" header="0.3" footer="0.3"/>
  <pageSetup paperSize="9" scale="64" fitToHeight="0" orientation="landscape" r:id="rId1"/>
  <headerFooter>
    <oddHeader>&amp;R&amp;D &amp;T</oddHeader>
    <oddFooter>&amp;L&amp;F&amp;C&amp;A&amp;R&amp;P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7E55"/>
    <pageSetUpPr fitToPage="1"/>
  </sheetPr>
  <dimension ref="A1:L51"/>
  <sheetViews>
    <sheetView showGridLines="0" view="pageBreakPreview" zoomScaleNormal="100" zoomScaleSheetLayoutView="100" workbookViewId="0"/>
  </sheetViews>
  <sheetFormatPr defaultColWidth="9.140625" defaultRowHeight="15" customHeight="1" x14ac:dyDescent="0.25"/>
  <cols>
    <col min="1" max="1" width="66.140625" customWidth="1"/>
    <col min="2" max="2" width="14.7109375" customWidth="1"/>
    <col min="3" max="3" width="13.140625" customWidth="1"/>
    <col min="4" max="10" width="10.28515625" customWidth="1"/>
    <col min="11" max="11" width="9.140625" customWidth="1"/>
    <col min="12" max="12" width="2.7109375" customWidth="1"/>
  </cols>
  <sheetData>
    <row r="1" spans="1:12" ht="26.25" customHeight="1" x14ac:dyDescent="0.35">
      <c r="A1" s="27" t="s">
        <v>133</v>
      </c>
      <c r="B1" s="6"/>
      <c r="C1" s="6"/>
      <c r="D1" s="6"/>
      <c r="E1" s="6"/>
      <c r="F1" s="6"/>
      <c r="G1" s="6"/>
      <c r="H1" s="6"/>
      <c r="I1" s="56" t="str">
        <f>EDB_Name</f>
        <v>Wellington Electricity</v>
      </c>
      <c r="J1" s="56"/>
      <c r="K1" s="6"/>
      <c r="L1" s="6"/>
    </row>
    <row r="2" spans="1:12" ht="15" customHeight="1" x14ac:dyDescent="0.25">
      <c r="A2" s="150" t="s">
        <v>54</v>
      </c>
      <c r="B2" s="6"/>
      <c r="C2" s="6"/>
      <c r="D2" s="6"/>
      <c r="E2" s="6"/>
      <c r="F2" s="6"/>
      <c r="G2" s="6"/>
      <c r="H2" s="6"/>
      <c r="I2" s="74"/>
      <c r="J2" s="74"/>
      <c r="K2" s="6"/>
      <c r="L2" s="6"/>
    </row>
    <row r="3" spans="1:12" x14ac:dyDescent="0.25">
      <c r="A3" s="6"/>
      <c r="B3" s="6"/>
      <c r="C3" s="6"/>
      <c r="D3" s="6"/>
      <c r="E3" s="6"/>
      <c r="F3" s="6"/>
      <c r="G3" s="6"/>
      <c r="H3" s="6"/>
      <c r="I3" s="6"/>
      <c r="J3" s="6"/>
      <c r="K3" s="6"/>
      <c r="L3" s="6"/>
    </row>
    <row r="4" spans="1:12" ht="36" customHeight="1" x14ac:dyDescent="0.35">
      <c r="A4" s="122" t="s">
        <v>37</v>
      </c>
      <c r="B4" s="58" t="s">
        <v>13</v>
      </c>
      <c r="C4" s="6"/>
      <c r="D4" s="6"/>
      <c r="E4" s="6"/>
      <c r="F4" s="6"/>
      <c r="G4" s="6"/>
      <c r="H4" s="6"/>
      <c r="I4" s="6"/>
      <c r="J4" s="6"/>
      <c r="K4" s="6"/>
      <c r="L4" s="6"/>
    </row>
    <row r="5" spans="1:12" x14ac:dyDescent="0.25">
      <c r="A5" s="59" t="str">
        <f>Inputs!A10</f>
        <v>Network opex partial productivity factor</v>
      </c>
      <c r="B5" s="12">
        <f>Inputs!D10</f>
        <v>0</v>
      </c>
      <c r="C5" s="6"/>
      <c r="D5" s="6"/>
      <c r="E5" s="6"/>
      <c r="F5" s="6"/>
      <c r="G5" s="6"/>
      <c r="H5" s="6"/>
      <c r="I5" s="6"/>
      <c r="J5" s="6"/>
      <c r="K5" s="6"/>
      <c r="L5" s="6"/>
    </row>
    <row r="6" spans="1:12" x14ac:dyDescent="0.25">
      <c r="A6" s="59" t="str">
        <f>Inputs!A11</f>
        <v>Non-network opex partial productivity factor</v>
      </c>
      <c r="B6" s="12">
        <f>Inputs!D11</f>
        <v>0</v>
      </c>
      <c r="C6" s="6"/>
      <c r="D6" s="6"/>
      <c r="E6" s="6"/>
      <c r="F6" s="6"/>
      <c r="G6" s="6"/>
      <c r="H6" s="6"/>
      <c r="I6" s="6"/>
      <c r="J6" s="6"/>
      <c r="K6" s="6"/>
      <c r="L6" s="6"/>
    </row>
    <row r="7" spans="1:12" ht="17.25" customHeight="1" x14ac:dyDescent="0.35">
      <c r="A7" s="151"/>
      <c r="B7" s="151"/>
      <c r="C7" s="6"/>
      <c r="D7" s="6"/>
      <c r="E7" s="3"/>
      <c r="F7" s="3"/>
      <c r="G7" s="3"/>
      <c r="H7" s="3"/>
      <c r="I7" s="3"/>
      <c r="J7" s="3"/>
      <c r="K7" s="6"/>
      <c r="L7" s="6"/>
    </row>
    <row r="8" spans="1:12" x14ac:dyDescent="0.25">
      <c r="A8" s="59" t="str">
        <f>Inputs!A13</f>
        <v>Elasticity of network opex to circuit length</v>
      </c>
      <c r="B8" s="152">
        <f>Inputs!D13</f>
        <v>0.48859999999999998</v>
      </c>
      <c r="C8" s="6"/>
      <c r="D8" s="6"/>
      <c r="E8" s="6"/>
      <c r="F8" s="6"/>
      <c r="G8" s="6"/>
      <c r="H8" s="6"/>
      <c r="I8" s="6"/>
      <c r="J8" s="6"/>
      <c r="K8" s="6"/>
      <c r="L8" s="6"/>
    </row>
    <row r="9" spans="1:12" x14ac:dyDescent="0.25">
      <c r="A9" s="59" t="str">
        <f>Inputs!A14</f>
        <v>Elasticity of non-network opex to circuit length</v>
      </c>
      <c r="B9" s="152">
        <f>Inputs!D14</f>
        <v>0.2185</v>
      </c>
      <c r="C9" s="6"/>
      <c r="D9" s="6"/>
      <c r="E9" s="6"/>
      <c r="F9" s="6"/>
      <c r="G9" s="6"/>
      <c r="H9" s="6"/>
      <c r="I9" s="6"/>
      <c r="J9" s="6"/>
      <c r="K9" s="6"/>
      <c r="L9" s="6"/>
    </row>
    <row r="10" spans="1:12" x14ac:dyDescent="0.25">
      <c r="A10" s="59" t="str">
        <f>Inputs!A15</f>
        <v>Elasticity of network opex to number of connections</v>
      </c>
      <c r="B10" s="152">
        <f>Inputs!D15</f>
        <v>0.44700000000000001</v>
      </c>
      <c r="C10" s="6"/>
      <c r="D10" s="6"/>
      <c r="E10" s="6"/>
      <c r="F10" s="6"/>
      <c r="G10" s="6"/>
      <c r="H10" s="6"/>
      <c r="I10" s="6"/>
      <c r="J10" s="6"/>
      <c r="K10" s="6"/>
      <c r="L10" s="6"/>
    </row>
    <row r="11" spans="1:12" x14ac:dyDescent="0.25">
      <c r="A11" s="59" t="str">
        <f>Inputs!A16</f>
        <v>Elasticity of non-network opex to number of connections</v>
      </c>
      <c r="B11" s="152">
        <f>Inputs!D16</f>
        <v>0.65249999999999997</v>
      </c>
      <c r="C11" s="6"/>
      <c r="D11" s="6"/>
      <c r="E11" s="6"/>
      <c r="F11" s="6"/>
      <c r="G11" s="6"/>
      <c r="H11" s="6"/>
      <c r="I11" s="6"/>
      <c r="J11" s="6"/>
      <c r="K11" s="6"/>
      <c r="L11" s="6"/>
    </row>
    <row r="12" spans="1:12" ht="23.25" customHeight="1" x14ac:dyDescent="0.25">
      <c r="A12" s="153"/>
      <c r="B12" s="153"/>
      <c r="C12" s="155">
        <f>Inputs!D4</f>
        <v>2018</v>
      </c>
      <c r="D12" s="156">
        <f>C12+1</f>
        <v>2019</v>
      </c>
      <c r="E12" s="154">
        <f>D12+1</f>
        <v>2020</v>
      </c>
      <c r="F12" s="15">
        <f t="shared" ref="F12:K12" si="0">E12+1</f>
        <v>2021</v>
      </c>
      <c r="G12" s="15">
        <f t="shared" si="0"/>
        <v>2022</v>
      </c>
      <c r="H12" s="15">
        <f t="shared" si="0"/>
        <v>2023</v>
      </c>
      <c r="I12" s="15">
        <f t="shared" si="0"/>
        <v>2024</v>
      </c>
      <c r="J12" s="15">
        <f t="shared" si="0"/>
        <v>2025</v>
      </c>
      <c r="K12" s="15">
        <f t="shared" si="0"/>
        <v>2026</v>
      </c>
      <c r="L12" s="6"/>
    </row>
    <row r="13" spans="1:12" x14ac:dyDescent="0.25">
      <c r="A13" s="59" t="str">
        <f>Inputs!A5</f>
        <v>Weighting used in determining initial level</v>
      </c>
      <c r="B13" s="59"/>
      <c r="C13" s="31">
        <f>Inputs!D5</f>
        <v>0</v>
      </c>
      <c r="D13" s="31">
        <f>Inputs!E5</f>
        <v>0</v>
      </c>
      <c r="E13" s="48">
        <f>Inputs!F5</f>
        <v>1</v>
      </c>
      <c r="F13" s="157"/>
      <c r="G13" s="157"/>
      <c r="H13" s="157"/>
      <c r="I13" s="157"/>
      <c r="J13" s="157"/>
      <c r="K13" s="157"/>
      <c r="L13" s="6"/>
    </row>
    <row r="14" spans="1:12" x14ac:dyDescent="0.25">
      <c r="A14" s="59" t="str">
        <f>Inputs!A7</f>
        <v>Network opex index of cost inflator</v>
      </c>
      <c r="B14" s="59"/>
      <c r="C14" s="13">
        <f>Inputs!I7</f>
        <v>0.95294982808353279</v>
      </c>
      <c r="D14" s="13">
        <f>Inputs!J7</f>
        <v>0.97918035590519992</v>
      </c>
      <c r="E14" s="13">
        <f>Inputs!K7</f>
        <v>1</v>
      </c>
      <c r="F14" s="13">
        <f>Inputs!L7</f>
        <v>1.0114370657336971</v>
      </c>
      <c r="G14" s="13">
        <f>Inputs!M7</f>
        <v>1.0281422246806382</v>
      </c>
      <c r="H14" s="13">
        <f>Inputs!N7</f>
        <v>1.0419469389364042</v>
      </c>
      <c r="I14" s="13">
        <f>Inputs!O7</f>
        <v>1.0588012278566337</v>
      </c>
      <c r="J14" s="13">
        <f>Inputs!P7</f>
        <v>1.078030609772288</v>
      </c>
      <c r="K14" s="13" t="e">
        <f>INDEX(Inputs!$D$7:$Q$8,MATCH('EDB data'!$A14,Inputs!$A$7:$A$8,0),MATCH('EDB data'!K$12,Inputs!$D$6:$Q$6,0))</f>
        <v>#N/A</v>
      </c>
      <c r="L14" s="6"/>
    </row>
    <row r="15" spans="1:12" x14ac:dyDescent="0.25">
      <c r="A15" s="59" t="str">
        <f>Inputs!A8</f>
        <v>Non-network opex index of cost inflator</v>
      </c>
      <c r="B15" s="59"/>
      <c r="C15" s="13">
        <f>Inputs!I8</f>
        <v>0.95294982808353279</v>
      </c>
      <c r="D15" s="13">
        <f>Inputs!J8</f>
        <v>0.97918035590519992</v>
      </c>
      <c r="E15" s="13">
        <f>Inputs!K8</f>
        <v>1</v>
      </c>
      <c r="F15" s="13">
        <f>Inputs!L8</f>
        <v>1.0114370657336971</v>
      </c>
      <c r="G15" s="13">
        <f>Inputs!M8</f>
        <v>1.0281422246806382</v>
      </c>
      <c r="H15" s="13">
        <f>Inputs!N8</f>
        <v>1.0419469389364042</v>
      </c>
      <c r="I15" s="13">
        <f>Inputs!O8</f>
        <v>1.0588012278566337</v>
      </c>
      <c r="J15" s="13">
        <f>Inputs!P8</f>
        <v>1.078030609772288</v>
      </c>
      <c r="K15" s="13" t="e">
        <f>INDEX(Inputs!$D$7:$Q$8,MATCH('EDB data'!$A15,Inputs!$A$7:$A$8,0),MATCH('EDB data'!K$12,Inputs!$D$6:$Q$6,0))</f>
        <v>#N/A</v>
      </c>
      <c r="L15" s="6"/>
    </row>
    <row r="16" spans="1:12" ht="39.950000000000003" customHeight="1" x14ac:dyDescent="0.35">
      <c r="A16" s="135" t="s">
        <v>41</v>
      </c>
      <c r="B16" s="62" t="s">
        <v>13</v>
      </c>
      <c r="C16" s="74"/>
      <c r="D16" s="74"/>
      <c r="E16" s="74"/>
      <c r="F16" s="74"/>
      <c r="G16" s="74"/>
      <c r="H16" s="74"/>
      <c r="I16" s="74"/>
      <c r="J16" s="74"/>
      <c r="K16" s="74"/>
      <c r="L16" s="6"/>
    </row>
    <row r="17" spans="1:12" x14ac:dyDescent="0.25">
      <c r="A17" s="59" t="str">
        <f>Inputs!A20</f>
        <v>Circuit length growth</v>
      </c>
      <c r="B17" s="12">
        <f>Inputs!D20</f>
        <v>3.2074935874579769E-3</v>
      </c>
      <c r="E17" s="6"/>
      <c r="F17" s="6"/>
      <c r="G17" s="6"/>
      <c r="H17" s="6"/>
      <c r="I17" s="6"/>
      <c r="J17" s="6"/>
      <c r="K17" s="6"/>
      <c r="L17" s="6"/>
    </row>
    <row r="18" spans="1:12" x14ac:dyDescent="0.25">
      <c r="A18" s="59" t="str">
        <f>Inputs!A21</f>
        <v>Annual change in households, 2018-23</v>
      </c>
      <c r="B18" s="12">
        <f>Inputs!D21</f>
        <v>1.0112893261336797E-2</v>
      </c>
      <c r="E18" s="6"/>
      <c r="F18" s="6"/>
      <c r="G18" s="6"/>
      <c r="H18" s="6"/>
      <c r="I18" s="6"/>
      <c r="J18" s="6"/>
      <c r="K18" s="6"/>
      <c r="L18" s="6"/>
    </row>
    <row r="19" spans="1:12" x14ac:dyDescent="0.25">
      <c r="A19" s="59" t="str">
        <f>Inputs!A22</f>
        <v>Annual change in households, 2023-28</v>
      </c>
      <c r="B19" s="12">
        <f>Inputs!D22</f>
        <v>7.6360809513089656E-3</v>
      </c>
      <c r="E19" s="6"/>
      <c r="F19" s="6"/>
      <c r="G19" s="6"/>
      <c r="H19" s="6"/>
      <c r="I19" s="6"/>
      <c r="J19" s="6"/>
      <c r="K19" s="6"/>
      <c r="L19" s="6"/>
    </row>
    <row r="20" spans="1:12" ht="35.1" customHeight="1" x14ac:dyDescent="0.35">
      <c r="A20" s="151" t="str">
        <f>Inputs!A23</f>
        <v>Network opex (nominal)</v>
      </c>
      <c r="B20" s="158"/>
      <c r="E20" s="3"/>
      <c r="F20" s="3"/>
      <c r="G20" s="3"/>
      <c r="H20" s="3"/>
      <c r="I20" s="3"/>
      <c r="J20" s="3"/>
      <c r="K20" s="6"/>
      <c r="L20" s="6"/>
    </row>
    <row r="21" spans="1:12" x14ac:dyDescent="0.25">
      <c r="A21" s="59" t="str">
        <f>Inputs!A24</f>
        <v>Network opex (nominal) 2013</v>
      </c>
      <c r="B21" s="30">
        <f>Inputs!D24</f>
        <v>12087.35635181818</v>
      </c>
      <c r="E21" s="6"/>
      <c r="F21" s="6"/>
      <c r="G21" s="6"/>
      <c r="H21" s="6"/>
      <c r="I21" s="6"/>
      <c r="J21" s="6"/>
      <c r="K21" s="6"/>
      <c r="L21" s="6"/>
    </row>
    <row r="22" spans="1:12" x14ac:dyDescent="0.25">
      <c r="A22" s="59" t="str">
        <f>Inputs!A25</f>
        <v>Network opex (nominal) 2014</v>
      </c>
      <c r="B22" s="30">
        <f>Inputs!D25</f>
        <v>14361.46803628889</v>
      </c>
      <c r="E22" s="6"/>
      <c r="F22" s="6"/>
      <c r="G22" s="6"/>
      <c r="H22" s="6"/>
      <c r="I22" s="6"/>
      <c r="J22" s="6"/>
      <c r="K22" s="6"/>
      <c r="L22" s="6"/>
    </row>
    <row r="23" spans="1:12" x14ac:dyDescent="0.25">
      <c r="A23" s="59" t="str">
        <f>Inputs!A26</f>
        <v>Network opex (nominal) 2015</v>
      </c>
      <c r="B23" s="30">
        <f>Inputs!D26</f>
        <v>10523.663734509801</v>
      </c>
      <c r="C23" s="44"/>
      <c r="D23" s="44"/>
      <c r="E23" s="6"/>
      <c r="F23" s="6"/>
      <c r="G23" s="6"/>
      <c r="H23" s="6"/>
      <c r="I23" s="6"/>
      <c r="J23" s="6"/>
      <c r="K23" s="6"/>
      <c r="L23" s="6"/>
    </row>
    <row r="24" spans="1:12" x14ac:dyDescent="0.25">
      <c r="A24" s="59" t="str">
        <f>Inputs!A27</f>
        <v>Network opex (nominal) 2016</v>
      </c>
      <c r="B24" s="30">
        <f>Inputs!D27</f>
        <v>13589.64122420561</v>
      </c>
      <c r="C24" s="44"/>
      <c r="D24" s="44"/>
      <c r="E24" s="6"/>
      <c r="F24" s="6"/>
      <c r="G24" s="6"/>
      <c r="H24" s="6"/>
      <c r="I24" s="6"/>
      <c r="J24" s="6"/>
      <c r="K24" s="6"/>
      <c r="L24" s="6"/>
    </row>
    <row r="25" spans="1:12" x14ac:dyDescent="0.25">
      <c r="A25" s="59" t="str">
        <f>Inputs!A28</f>
        <v>Network opex (nominal) 2017</v>
      </c>
      <c r="B25" s="30">
        <f>Inputs!D28</f>
        <v>14390.836263264249</v>
      </c>
      <c r="C25" s="44"/>
      <c r="D25" s="44"/>
      <c r="E25" s="6"/>
      <c r="F25" s="6"/>
      <c r="G25" s="6"/>
      <c r="H25" s="6"/>
      <c r="I25" s="6"/>
      <c r="J25" s="6"/>
      <c r="K25" s="6"/>
      <c r="L25" s="6"/>
    </row>
    <row r="26" spans="1:12" x14ac:dyDescent="0.25">
      <c r="A26" s="59" t="str">
        <f>Inputs!A29</f>
        <v>Network opex (nominal) 2018</v>
      </c>
      <c r="B26" s="30">
        <f>Inputs!D29</f>
        <v>16981.172329691519</v>
      </c>
      <c r="C26" s="44"/>
      <c r="D26" s="44"/>
      <c r="E26" s="6"/>
      <c r="F26" s="6"/>
      <c r="G26" s="6"/>
      <c r="H26" s="6"/>
      <c r="I26" s="6"/>
      <c r="J26" s="6"/>
      <c r="K26" s="6"/>
      <c r="L26" s="6"/>
    </row>
    <row r="27" spans="1:12" x14ac:dyDescent="0.25">
      <c r="A27" s="59" t="str">
        <f>Inputs!A30</f>
        <v>Network opex (nominal) 2019</v>
      </c>
      <c r="B27" s="30">
        <f>Inputs!D30</f>
        <v>16288.66232553615</v>
      </c>
      <c r="C27" s="44"/>
      <c r="D27" s="44"/>
      <c r="E27" s="6"/>
      <c r="F27" s="6"/>
      <c r="G27" s="6"/>
      <c r="H27" s="6"/>
      <c r="I27" s="6"/>
      <c r="J27" s="6"/>
      <c r="K27" s="6"/>
      <c r="L27" s="6"/>
    </row>
    <row r="28" spans="1:12" s="44" customFormat="1" x14ac:dyDescent="0.25">
      <c r="A28" s="145" t="str">
        <f>Inputs!A31</f>
        <v>Network opex (nominal) 2020</v>
      </c>
      <c r="B28" s="49">
        <f>Inputs!D31</f>
        <v>15760.345487461585</v>
      </c>
      <c r="E28" s="6"/>
      <c r="F28" s="6"/>
      <c r="G28" s="6"/>
      <c r="H28" s="6"/>
      <c r="I28" s="6"/>
      <c r="J28" s="6"/>
      <c r="K28" s="6"/>
      <c r="L28" s="6"/>
    </row>
    <row r="29" spans="1:12" ht="35.1" customHeight="1" x14ac:dyDescent="0.35">
      <c r="A29" s="151" t="str">
        <f>Inputs!A32</f>
        <v>Non-network opex (nominal)</v>
      </c>
      <c r="B29" s="158"/>
      <c r="C29" s="44"/>
      <c r="D29" s="44"/>
      <c r="E29" s="3"/>
      <c r="F29" s="3"/>
      <c r="G29" s="3"/>
      <c r="H29" s="3"/>
      <c r="I29" s="3"/>
      <c r="J29" s="3"/>
      <c r="K29" s="6"/>
      <c r="L29" s="6"/>
    </row>
    <row r="30" spans="1:12" x14ac:dyDescent="0.25">
      <c r="A30" s="59" t="str">
        <f>Inputs!A33</f>
        <v>Non-network opex (nominal) 2013</v>
      </c>
      <c r="B30" s="30">
        <f>Inputs!D33</f>
        <v>16211.00488818182</v>
      </c>
      <c r="C30" s="44"/>
      <c r="D30" s="44"/>
      <c r="E30" s="6"/>
      <c r="F30" s="6"/>
      <c r="G30" s="6"/>
      <c r="H30" s="6"/>
      <c r="I30" s="6"/>
      <c r="J30" s="6"/>
      <c r="K30" s="6"/>
      <c r="L30" s="6"/>
    </row>
    <row r="31" spans="1:12" x14ac:dyDescent="0.25">
      <c r="A31" s="59" t="str">
        <f>Inputs!A34</f>
        <v>Non-network opex (nominal) 2014</v>
      </c>
      <c r="B31" s="30">
        <f>Inputs!D34</f>
        <v>15249.57809371111</v>
      </c>
      <c r="C31" s="44"/>
      <c r="D31" s="44"/>
      <c r="E31" s="6"/>
      <c r="F31" s="6"/>
      <c r="G31" s="6"/>
      <c r="H31" s="6"/>
      <c r="I31" s="6"/>
      <c r="J31" s="6"/>
      <c r="K31" s="6"/>
      <c r="L31" s="6"/>
    </row>
    <row r="32" spans="1:12" x14ac:dyDescent="0.25">
      <c r="A32" s="59" t="str">
        <f>Inputs!A35</f>
        <v>Non-network opex (nominal) 2015</v>
      </c>
      <c r="B32" s="30">
        <f>Inputs!D35</f>
        <v>15032.1366254902</v>
      </c>
      <c r="C32" s="44"/>
      <c r="D32" s="44"/>
      <c r="E32" s="6"/>
      <c r="F32" s="6"/>
      <c r="G32" s="6"/>
      <c r="H32" s="6"/>
      <c r="I32" s="6"/>
      <c r="J32" s="6"/>
      <c r="K32" s="6"/>
      <c r="L32" s="6"/>
    </row>
    <row r="33" spans="1:12" x14ac:dyDescent="0.25">
      <c r="A33" s="59" t="str">
        <f>Inputs!A36</f>
        <v>Non-network opex (nominal) 2016</v>
      </c>
      <c r="B33" s="30">
        <f>Inputs!D36</f>
        <v>16032.609305794391</v>
      </c>
      <c r="C33" s="44"/>
      <c r="D33" s="44"/>
      <c r="E33" s="6"/>
      <c r="F33" s="6"/>
      <c r="G33" s="6"/>
      <c r="H33" s="6"/>
      <c r="I33" s="6"/>
      <c r="J33" s="6"/>
      <c r="K33" s="6"/>
      <c r="L33" s="6"/>
    </row>
    <row r="34" spans="1:12" x14ac:dyDescent="0.25">
      <c r="A34" s="59" t="str">
        <f>Inputs!A37</f>
        <v>Non-network opex (nominal) 2017</v>
      </c>
      <c r="B34" s="30">
        <f>Inputs!D37</f>
        <v>15684.22264673575</v>
      </c>
      <c r="C34" s="44"/>
      <c r="D34" s="44"/>
      <c r="E34" s="6"/>
      <c r="F34" s="6"/>
      <c r="G34" s="6"/>
      <c r="H34" s="6"/>
      <c r="I34" s="6"/>
      <c r="J34" s="6"/>
      <c r="K34" s="6"/>
      <c r="L34" s="6"/>
    </row>
    <row r="35" spans="1:12" x14ac:dyDescent="0.25">
      <c r="A35" s="59" t="str">
        <f>Inputs!A38</f>
        <v>Non-network opex (nominal) 2018</v>
      </c>
      <c r="B35" s="30">
        <f>Inputs!D38</f>
        <v>16329.352670308481</v>
      </c>
      <c r="C35" s="44"/>
      <c r="D35" s="44"/>
      <c r="E35" s="6"/>
      <c r="F35" s="6"/>
      <c r="G35" s="6"/>
      <c r="H35" s="6"/>
      <c r="I35" s="6"/>
      <c r="J35" s="6"/>
      <c r="K35" s="6"/>
      <c r="L35" s="6"/>
    </row>
    <row r="36" spans="1:12" x14ac:dyDescent="0.25">
      <c r="A36" s="59" t="str">
        <f>Inputs!A39</f>
        <v>Non-network opex (nominal) 2019</v>
      </c>
      <c r="B36" s="30">
        <f>Inputs!D39</f>
        <v>17728.451339256819</v>
      </c>
      <c r="C36" s="44"/>
      <c r="D36" s="44"/>
      <c r="E36" s="6"/>
      <c r="F36" s="6"/>
      <c r="G36" s="6"/>
      <c r="H36" s="6"/>
      <c r="I36" s="6"/>
      <c r="J36" s="6"/>
      <c r="K36" s="6"/>
      <c r="L36" s="6"/>
    </row>
    <row r="37" spans="1:12" s="44" customFormat="1" x14ac:dyDescent="0.25">
      <c r="A37" s="159" t="str">
        <f>Inputs!A40</f>
        <v>Non-network opex (nominal) 2020</v>
      </c>
      <c r="B37" s="49">
        <f>Inputs!D40</f>
        <v>16429.88698893784</v>
      </c>
      <c r="E37" s="6"/>
      <c r="F37" s="6"/>
      <c r="G37" s="6"/>
      <c r="H37" s="6"/>
      <c r="I37" s="6"/>
      <c r="J37" s="6"/>
      <c r="K37" s="6"/>
      <c r="L37" s="6"/>
    </row>
    <row r="38" spans="1:12" ht="35.1" customHeight="1" x14ac:dyDescent="0.35">
      <c r="A38" s="151" t="s">
        <v>48</v>
      </c>
      <c r="B38" s="158"/>
      <c r="C38" s="44"/>
      <c r="D38" s="44"/>
      <c r="E38" s="3"/>
      <c r="F38" s="3"/>
      <c r="G38" s="3"/>
      <c r="H38" s="3"/>
      <c r="I38" s="3"/>
      <c r="J38" s="3"/>
      <c r="K38" s="6"/>
      <c r="L38" s="6"/>
    </row>
    <row r="39" spans="1:12" x14ac:dyDescent="0.25">
      <c r="A39" s="59" t="str">
        <f t="shared" ref="A39:A45" si="1">IF(RIGHT(A21,4)=RIGHT(A30,4),$A$38&amp;" "&amp;RIGHT(A21,4),"Error: check dates")</f>
        <v>Total opex (nominal) 2013</v>
      </c>
      <c r="B39" s="160">
        <f t="shared" ref="B39:B45" si="2">B21+B30</f>
        <v>28298.361239999998</v>
      </c>
      <c r="C39" s="44"/>
      <c r="D39" s="44"/>
      <c r="E39" s="6"/>
      <c r="F39" s="6"/>
      <c r="G39" s="6"/>
      <c r="H39" s="6"/>
      <c r="I39" s="6"/>
      <c r="J39" s="6"/>
      <c r="K39" s="6"/>
      <c r="L39" s="6"/>
    </row>
    <row r="40" spans="1:12" x14ac:dyDescent="0.25">
      <c r="A40" s="59" t="str">
        <f t="shared" si="1"/>
        <v>Total opex (nominal) 2014</v>
      </c>
      <c r="B40" s="160">
        <f t="shared" si="2"/>
        <v>29611.046130000002</v>
      </c>
      <c r="C40" s="44"/>
      <c r="D40" s="44"/>
      <c r="E40" s="6"/>
      <c r="F40" s="6"/>
      <c r="G40" s="6"/>
      <c r="H40" s="6"/>
      <c r="I40" s="6"/>
      <c r="J40" s="6"/>
      <c r="K40" s="6"/>
      <c r="L40" s="6"/>
    </row>
    <row r="41" spans="1:12" x14ac:dyDescent="0.25">
      <c r="A41" s="59" t="str">
        <f t="shared" si="1"/>
        <v>Total opex (nominal) 2015</v>
      </c>
      <c r="B41" s="160">
        <f t="shared" si="2"/>
        <v>25555.800360000001</v>
      </c>
      <c r="C41" s="44"/>
      <c r="D41" s="44"/>
      <c r="E41" s="6"/>
      <c r="F41" s="6"/>
      <c r="G41" s="6"/>
      <c r="H41" s="6"/>
      <c r="I41" s="6"/>
      <c r="J41" s="6"/>
      <c r="K41" s="6"/>
      <c r="L41" s="6"/>
    </row>
    <row r="42" spans="1:12" x14ac:dyDescent="0.25">
      <c r="A42" s="59" t="str">
        <f t="shared" si="1"/>
        <v>Total opex (nominal) 2016</v>
      </c>
      <c r="B42" s="160">
        <f t="shared" si="2"/>
        <v>29622.250530000001</v>
      </c>
      <c r="C42" s="44"/>
      <c r="D42" s="44"/>
      <c r="E42" s="6"/>
      <c r="F42" s="6"/>
      <c r="G42" s="6"/>
      <c r="H42" s="6"/>
      <c r="I42" s="6"/>
      <c r="J42" s="6"/>
      <c r="K42" s="6"/>
      <c r="L42" s="6"/>
    </row>
    <row r="43" spans="1:12" x14ac:dyDescent="0.25">
      <c r="A43" s="59" t="str">
        <f t="shared" si="1"/>
        <v>Total opex (nominal) 2017</v>
      </c>
      <c r="B43" s="160">
        <f t="shared" si="2"/>
        <v>30075.05891</v>
      </c>
      <c r="C43" s="44"/>
      <c r="D43" s="44"/>
      <c r="E43" s="6"/>
      <c r="F43" s="6"/>
      <c r="G43" s="6"/>
      <c r="H43" s="6"/>
      <c r="I43" s="6"/>
      <c r="J43" s="6"/>
      <c r="K43" s="6"/>
      <c r="L43" s="6"/>
    </row>
    <row r="44" spans="1:12" x14ac:dyDescent="0.25">
      <c r="A44" s="59" t="str">
        <f t="shared" si="1"/>
        <v>Total opex (nominal) 2018</v>
      </c>
      <c r="B44" s="160">
        <f t="shared" si="2"/>
        <v>33310.525000000001</v>
      </c>
      <c r="C44" s="44"/>
      <c r="D44" s="44"/>
      <c r="E44" s="6"/>
      <c r="F44" s="6"/>
      <c r="G44" s="6"/>
      <c r="H44" s="6"/>
      <c r="I44" s="6"/>
      <c r="J44" s="6"/>
      <c r="K44" s="6"/>
      <c r="L44" s="6"/>
    </row>
    <row r="45" spans="1:12" x14ac:dyDescent="0.25">
      <c r="A45" s="59" t="str">
        <f t="shared" si="1"/>
        <v>Total opex (nominal) 2019</v>
      </c>
      <c r="B45" s="160">
        <f t="shared" si="2"/>
        <v>34017.113664792967</v>
      </c>
      <c r="C45" s="44"/>
      <c r="D45" s="44"/>
      <c r="E45" s="6"/>
      <c r="F45" s="6"/>
      <c r="G45" s="6"/>
      <c r="H45" s="6"/>
      <c r="I45" s="6"/>
      <c r="J45" s="6"/>
      <c r="K45" s="6"/>
      <c r="L45" s="6"/>
    </row>
    <row r="46" spans="1:12" ht="23.25" customHeight="1" x14ac:dyDescent="0.35">
      <c r="A46" s="151" t="s">
        <v>64</v>
      </c>
      <c r="B46" s="153"/>
      <c r="C46" s="154">
        <f t="shared" ref="C46:J46" si="3">C12</f>
        <v>2018</v>
      </c>
      <c r="D46" s="154">
        <f t="shared" si="3"/>
        <v>2019</v>
      </c>
      <c r="E46" s="154">
        <f t="shared" si="3"/>
        <v>2020</v>
      </c>
      <c r="F46" s="15">
        <f t="shared" si="3"/>
        <v>2021</v>
      </c>
      <c r="G46" s="15">
        <f t="shared" si="3"/>
        <v>2022</v>
      </c>
      <c r="H46" s="15">
        <f t="shared" si="3"/>
        <v>2023</v>
      </c>
      <c r="I46" s="15">
        <f t="shared" si="3"/>
        <v>2024</v>
      </c>
      <c r="J46" s="15">
        <f t="shared" si="3"/>
        <v>2025</v>
      </c>
      <c r="K46" s="6"/>
      <c r="L46" s="6"/>
    </row>
    <row r="47" spans="1:12" x14ac:dyDescent="0.25">
      <c r="A47" s="69" t="str">
        <f>Inputs!A41</f>
        <v>Network opex trend factors (nominal)</v>
      </c>
      <c r="B47" s="69"/>
      <c r="C47" s="30">
        <f>SUMPRODUCT(Inputs!$D$20:$D$68*(Inputs!$A$20:$A$68='EDB data'!$A47&amp;" "&amp;C$46)*(Inputs!$D$18:$D$18=EDB_Name))</f>
        <v>0</v>
      </c>
      <c r="D47" s="30">
        <f>SUMPRODUCT(Inputs!$D$20:$D$68*(Inputs!$A$20:$A$68='EDB data'!$A47&amp;" "&amp;D$46)*(Inputs!$D$18:$D$18=EDB_Name))</f>
        <v>0</v>
      </c>
      <c r="E47" s="49">
        <f>SUMPRODUCT(Inputs!$D$20:$D$68*(Inputs!$A$20:$A$68='EDB data'!$A47&amp;" "&amp;E$46)*(Inputs!$D$18:$D$18=EDB_Name))</f>
        <v>294.02277945205498</v>
      </c>
      <c r="F47" s="161"/>
      <c r="G47" s="161"/>
      <c r="H47" s="161"/>
      <c r="I47" s="161"/>
      <c r="J47" s="161"/>
      <c r="K47" s="6"/>
      <c r="L47" s="6"/>
    </row>
    <row r="48" spans="1:12" x14ac:dyDescent="0.25">
      <c r="A48" s="69" t="str">
        <f>Inputs!A45</f>
        <v>Non-network opex trend factors (nominal)</v>
      </c>
      <c r="B48" s="69"/>
      <c r="C48" s="30">
        <f>SUMPRODUCT(Inputs!$D$20:$D$68*(Inputs!$A$20:$A$68='EDB data'!$A48&amp;" "&amp;C$46)*(Inputs!$D$18:$D$18=EDB_Name))</f>
        <v>0</v>
      </c>
      <c r="D48" s="30">
        <f>SUMPRODUCT(Inputs!$D$20:$D$68*(Inputs!$A$20:$A$68='EDB data'!$A48&amp;" "&amp;D$46)*(Inputs!$D$18:$D$18=EDB_Name))</f>
        <v>-58.024999999999999</v>
      </c>
      <c r="E48" s="49">
        <f>SUMPRODUCT(Inputs!$D$20:$D$68*(Inputs!$A$20:$A$68='EDB data'!$A48&amp;" "&amp;E$46)*(Inputs!$D$18:$D$18=EDB_Name))</f>
        <v>506.724059945205</v>
      </c>
      <c r="F48" s="138"/>
      <c r="G48" s="138"/>
      <c r="H48" s="138"/>
      <c r="I48" s="138"/>
      <c r="J48" s="138"/>
      <c r="K48" s="6"/>
      <c r="L48" s="6"/>
    </row>
    <row r="49" spans="1:12" x14ac:dyDescent="0.25">
      <c r="A49" s="69" t="str">
        <f>Inputs!A53</f>
        <v>Network opex step factors (nominal)</v>
      </c>
      <c r="B49" s="69"/>
      <c r="C49" s="30">
        <f>SUMPRODUCT(Inputs!$D$20:$D$68*(Inputs!$A$20:$A$68='EDB data'!$A49&amp;" "&amp;C$46)*(Inputs!$D$18:$D$18=EDB_Name))</f>
        <v>0</v>
      </c>
      <c r="D49" s="30">
        <f>SUMPRODUCT(Inputs!$D$20:$D$68*(Inputs!$A$20:$A$68='EDB data'!$A49&amp;" "&amp;D$46)*(Inputs!$D$18:$D$18=EDB_Name))</f>
        <v>0</v>
      </c>
      <c r="E49" s="30">
        <f>SUMPRODUCT(Inputs!$D$20:$D$68*(Inputs!$A$20:$A$68='EDB data'!$A49&amp;" "&amp;E$46)*(Inputs!$D$18:$D$18=EDB_Name))</f>
        <v>-294.02277945205475</v>
      </c>
      <c r="F49" s="30">
        <f>SUMPRODUCT(Inputs!$D$20:$D$68*(Inputs!$A$20:$A$68='EDB data'!$A49&amp;" "&amp;F$46)*(Inputs!$D$18:$D$18=EDB_Name))</f>
        <v>-304.71514999999999</v>
      </c>
      <c r="G49" s="30">
        <f>SUMPRODUCT(Inputs!$D$20:$D$68*(Inputs!$A$20:$A$68='EDB data'!$A49&amp;" "&amp;G$46)*(Inputs!$D$18:$D$18=EDB_Name))</f>
        <v>-304.71515000000005</v>
      </c>
      <c r="H49" s="30">
        <f>SUMPRODUCT(Inputs!$D$20:$D$68*(Inputs!$A$20:$A$68='EDB data'!$A49&amp;" "&amp;H$46)*(Inputs!$D$18:$D$18=EDB_Name))</f>
        <v>-304.71515000000005</v>
      </c>
      <c r="I49" s="30">
        <f>SUMPRODUCT(Inputs!$D$20:$D$68*(Inputs!$A$20:$A$68='EDB data'!$A49&amp;" "&amp;I$46)*(Inputs!$D$18:$D$18=EDB_Name))</f>
        <v>-304.71515000000005</v>
      </c>
      <c r="J49" s="30">
        <f>SUMPRODUCT(Inputs!$D$20:$D$68*(Inputs!$A$20:$A$68='EDB data'!$A49&amp;" "&amp;J$46)*(Inputs!$D$18:$D$18=EDB_Name))</f>
        <v>-304.14102912087918</v>
      </c>
      <c r="K49" s="6"/>
      <c r="L49" s="6"/>
    </row>
    <row r="50" spans="1:12" x14ac:dyDescent="0.25">
      <c r="A50" s="69" t="str">
        <f>Inputs!A61</f>
        <v>Non-network opex step factors (nominal)</v>
      </c>
      <c r="B50" s="69"/>
      <c r="C50" s="30">
        <f>SUMPRODUCT(Inputs!$D$20:$D$68*(Inputs!$A$20:$A$68='EDB data'!$A50&amp;" "&amp;C$46)*(Inputs!$D$18:$D$18=EDB_Name))</f>
        <v>0</v>
      </c>
      <c r="D50" s="30">
        <f>SUMPRODUCT(Inputs!$D$20:$D$68*(Inputs!$A$20:$A$68='EDB data'!$A50&amp;" "&amp;D$46)*(Inputs!$D$18:$D$18=EDB_Name))</f>
        <v>0</v>
      </c>
      <c r="E50" s="30">
        <f>SUMPRODUCT(Inputs!$D$20:$D$68*(Inputs!$A$20:$A$68='EDB data'!$A50&amp;" "&amp;E$46)*(Inputs!$D$18:$D$18=EDB_Name))</f>
        <v>-219.72405994520548</v>
      </c>
      <c r="F50" s="30">
        <f>SUMPRODUCT(Inputs!$D$20:$D$68*(Inputs!$A$20:$A$68='EDB data'!$A50&amp;" "&amp;F$46)*(Inputs!$D$18:$D$18=EDB_Name))</f>
        <v>-219.86905999999999</v>
      </c>
      <c r="G50" s="30">
        <f>SUMPRODUCT(Inputs!$D$20:$D$68*(Inputs!$A$20:$A$68='EDB data'!$A50&amp;" "&amp;G$46)*(Inputs!$D$18:$D$18=EDB_Name))</f>
        <v>-219.86905999999999</v>
      </c>
      <c r="H50" s="30">
        <f>SUMPRODUCT(Inputs!$D$20:$D$68*(Inputs!$A$20:$A$68='EDB data'!$A50&amp;" "&amp;H$46)*(Inputs!$D$18:$D$18=EDB_Name))</f>
        <v>-219.86905999999999</v>
      </c>
      <c r="I50" s="30">
        <f>SUMPRODUCT(Inputs!$D$20:$D$68*(Inputs!$A$20:$A$68='EDB data'!$A50&amp;" "&amp;I$46)*(Inputs!$D$18:$D$18=EDB_Name))</f>
        <v>-193.40509999945175</v>
      </c>
      <c r="J50" s="30">
        <f>SUMPRODUCT(Inputs!$D$20:$D$68*(Inputs!$A$20:$A$68='EDB data'!$A50&amp;" "&amp;J$46)*(Inputs!$D$18:$D$18=EDB_Name))</f>
        <v>-166.94404</v>
      </c>
      <c r="K50" s="6"/>
      <c r="L50" s="6"/>
    </row>
    <row r="51" spans="1:12" x14ac:dyDescent="0.25">
      <c r="A51" s="162"/>
      <c r="B51" s="162"/>
      <c r="C51" s="162"/>
      <c r="D51" s="162"/>
      <c r="E51" s="162"/>
      <c r="F51" s="162"/>
      <c r="G51" s="162"/>
      <c r="H51" s="162"/>
      <c r="I51" s="162"/>
      <c r="J51" s="74"/>
      <c r="K51" s="6"/>
      <c r="L51" s="6"/>
    </row>
  </sheetData>
  <pageMargins left="0.25" right="0.25" top="0.75" bottom="0.75" header="0.3" footer="0.3"/>
  <pageSetup paperSize="9" scale="55" orientation="portrait" r:id="rId1"/>
  <headerFooter>
    <oddHeader>&amp;R&amp;D &amp;T</oddHeader>
    <oddFooter>&amp;L&amp;F&amp;C&amp;A&amp;R&amp;P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9988E"/>
    <pageSetUpPr fitToPage="1"/>
  </sheetPr>
  <dimension ref="A1:N52"/>
  <sheetViews>
    <sheetView showGridLines="0" view="pageBreakPreview" zoomScaleNormal="85" zoomScaleSheetLayoutView="100" workbookViewId="0"/>
  </sheetViews>
  <sheetFormatPr defaultColWidth="9.140625" defaultRowHeight="15" customHeight="1" x14ac:dyDescent="0.25"/>
  <cols>
    <col min="1" max="1" width="49.7109375" customWidth="1"/>
    <col min="2" max="2" width="11.85546875" customWidth="1"/>
    <col min="3" max="10" width="10.5703125" customWidth="1"/>
    <col min="11" max="11" width="10.42578125" customWidth="1"/>
    <col min="12" max="12" width="2.42578125" customWidth="1"/>
    <col min="13" max="13" width="82.140625" customWidth="1"/>
    <col min="14" max="14" width="2.7109375" customWidth="1"/>
  </cols>
  <sheetData>
    <row r="1" spans="1:14" ht="27.75" customHeight="1" x14ac:dyDescent="0.35">
      <c r="A1" s="27" t="s">
        <v>70</v>
      </c>
      <c r="B1" s="6"/>
      <c r="C1" s="6"/>
      <c r="D1" s="6"/>
      <c r="E1" s="6"/>
      <c r="F1" s="6"/>
      <c r="G1" s="6"/>
      <c r="H1" s="6"/>
      <c r="I1" s="6"/>
      <c r="J1" s="6"/>
      <c r="K1" s="56" t="str">
        <f>EDB_Name</f>
        <v>Wellington Electricity</v>
      </c>
      <c r="L1" s="6"/>
      <c r="M1" s="6"/>
      <c r="N1" s="6"/>
    </row>
    <row r="2" spans="1:14" ht="23.25" x14ac:dyDescent="0.35">
      <c r="A2" s="57" t="s">
        <v>9</v>
      </c>
      <c r="B2" s="6"/>
      <c r="C2" s="6"/>
      <c r="D2" s="6"/>
      <c r="E2" s="6"/>
      <c r="F2" s="6"/>
      <c r="G2" s="6"/>
      <c r="H2" s="6"/>
      <c r="I2" s="6"/>
      <c r="J2" s="6"/>
      <c r="K2" s="6"/>
      <c r="L2" s="6"/>
      <c r="M2" s="6"/>
      <c r="N2" s="6"/>
    </row>
    <row r="3" spans="1:14" x14ac:dyDescent="0.25">
      <c r="A3" s="39"/>
      <c r="B3" s="58" t="s">
        <v>13</v>
      </c>
      <c r="C3" s="6"/>
      <c r="D3" s="6"/>
      <c r="E3" s="6"/>
      <c r="F3" s="6"/>
      <c r="G3" s="6"/>
      <c r="H3" s="6"/>
      <c r="I3" s="6"/>
      <c r="J3" s="6"/>
      <c r="K3" s="6"/>
      <c r="L3" s="6"/>
      <c r="M3" s="6"/>
      <c r="N3" s="6"/>
    </row>
    <row r="4" spans="1:14" x14ac:dyDescent="0.25">
      <c r="A4" s="59" t="str">
        <f>'EDB data'!A5</f>
        <v>Network opex partial productivity factor</v>
      </c>
      <c r="B4" s="32">
        <f>INDEX('EDB data'!$B$5:$B$51,MATCH($A4,'EDB data'!$A$5:$A$51,0),0)</f>
        <v>0</v>
      </c>
      <c r="C4" s="10"/>
      <c r="D4" s="10"/>
      <c r="E4" s="10"/>
      <c r="F4" s="10"/>
      <c r="G4" s="10"/>
      <c r="H4" s="10"/>
      <c r="I4" s="60"/>
      <c r="J4" s="60"/>
      <c r="K4" s="60"/>
      <c r="L4" s="6"/>
      <c r="M4" s="6"/>
      <c r="N4" s="6"/>
    </row>
    <row r="5" spans="1:14" x14ac:dyDescent="0.25">
      <c r="A5" s="59" t="str">
        <f>'EDB data'!A8</f>
        <v>Elasticity of network opex to circuit length</v>
      </c>
      <c r="B5" s="32">
        <f>INDEX('EDB data'!$B$5:$B$51,MATCH($A5,'EDB data'!$A$5:$A$51,0),0)</f>
        <v>0.48859999999999998</v>
      </c>
      <c r="C5" s="10"/>
      <c r="D5" s="10"/>
      <c r="E5" s="10"/>
      <c r="F5" s="10"/>
      <c r="G5" s="10"/>
      <c r="H5" s="10"/>
      <c r="I5" s="60"/>
      <c r="J5" s="60"/>
      <c r="K5" s="60"/>
      <c r="L5" s="6"/>
      <c r="M5" s="6"/>
      <c r="N5" s="6"/>
    </row>
    <row r="6" spans="1:14" x14ac:dyDescent="0.25">
      <c r="A6" s="59" t="str">
        <f>'EDB data'!A10</f>
        <v>Elasticity of network opex to number of connections</v>
      </c>
      <c r="B6" s="32">
        <f>INDEX('EDB data'!$B$5:$B$51,MATCH($A6,'EDB data'!$A$5:$A$51,0),0)</f>
        <v>0.44700000000000001</v>
      </c>
      <c r="C6" s="10"/>
      <c r="D6" s="10"/>
      <c r="E6" s="10"/>
      <c r="F6" s="10"/>
      <c r="G6" s="10"/>
      <c r="H6" s="10"/>
      <c r="I6" s="60"/>
      <c r="J6" s="60"/>
      <c r="K6" s="60"/>
      <c r="L6" s="6"/>
      <c r="M6" s="6"/>
      <c r="N6" s="6"/>
    </row>
    <row r="7" spans="1:14" x14ac:dyDescent="0.25">
      <c r="A7" s="59" t="str">
        <f>'EDB data'!A17</f>
        <v>Circuit length growth</v>
      </c>
      <c r="B7" s="12">
        <f>INDEX('EDB data'!$B$5:$B$51,MATCH($A7,'EDB data'!$A$5:$A$51,0),0)</f>
        <v>3.2074935874579769E-3</v>
      </c>
      <c r="C7" s="60"/>
      <c r="D7" s="60"/>
      <c r="E7" s="60"/>
      <c r="F7" s="60"/>
      <c r="G7" s="60"/>
      <c r="H7" s="60"/>
      <c r="I7" s="60"/>
      <c r="J7" s="60"/>
      <c r="K7" s="60"/>
      <c r="L7" s="6"/>
      <c r="M7" s="6"/>
      <c r="N7" s="6"/>
    </row>
    <row r="8" spans="1:14" x14ac:dyDescent="0.25">
      <c r="A8" s="59" t="str">
        <f>'EDB data'!A18</f>
        <v>Annual change in households, 2018-23</v>
      </c>
      <c r="B8" s="12">
        <f>INDEX('EDB data'!$B$5:$B$51,MATCH($A8,'EDB data'!$A$5:$A$51,0),0)</f>
        <v>1.0112893261336797E-2</v>
      </c>
      <c r="C8" s="60"/>
      <c r="D8" s="60"/>
      <c r="E8" s="60"/>
      <c r="F8" s="60"/>
      <c r="G8" s="60"/>
      <c r="H8" s="60"/>
      <c r="I8" s="60"/>
      <c r="J8" s="60"/>
      <c r="K8" s="60"/>
      <c r="L8" s="6"/>
      <c r="M8" s="6"/>
      <c r="N8" s="6"/>
    </row>
    <row r="9" spans="1:14" x14ac:dyDescent="0.25">
      <c r="A9" s="59" t="str">
        <f>'EDB data'!A19</f>
        <v>Annual change in households, 2023-28</v>
      </c>
      <c r="B9" s="12">
        <f>INDEX('EDB data'!$B$5:$B$51,MATCH($A9,'EDB data'!$A$5:$A$51,0),0)</f>
        <v>7.6360809513089656E-3</v>
      </c>
      <c r="C9" s="60"/>
      <c r="D9" s="60"/>
      <c r="E9" s="60"/>
      <c r="F9" s="60"/>
      <c r="G9" s="60"/>
      <c r="H9" s="60"/>
      <c r="I9" s="60"/>
      <c r="J9" s="60"/>
      <c r="K9" s="60"/>
      <c r="L9" s="6"/>
      <c r="M9" s="6"/>
      <c r="N9" s="6"/>
    </row>
    <row r="10" spans="1:14" x14ac:dyDescent="0.25">
      <c r="A10" s="61"/>
      <c r="B10" s="62"/>
      <c r="C10" s="63"/>
      <c r="D10" s="64">
        <f>'EDB data'!D12</f>
        <v>2019</v>
      </c>
      <c r="E10" s="64">
        <f>'EDB data'!E12</f>
        <v>2020</v>
      </c>
      <c r="F10" s="14">
        <f>'EDB data'!F12</f>
        <v>2021</v>
      </c>
      <c r="G10" s="14">
        <f>'EDB data'!G12</f>
        <v>2022</v>
      </c>
      <c r="H10" s="14">
        <f>'EDB data'!H12</f>
        <v>2023</v>
      </c>
      <c r="I10" s="14">
        <f>'EDB data'!I12</f>
        <v>2024</v>
      </c>
      <c r="J10" s="14">
        <f>'EDB data'!J12</f>
        <v>2025</v>
      </c>
      <c r="K10" s="14">
        <f>'EDB data'!K12</f>
        <v>2026</v>
      </c>
      <c r="L10" s="6"/>
      <c r="M10" s="6"/>
      <c r="N10" s="6"/>
    </row>
    <row r="11" spans="1:14" x14ac:dyDescent="0.25">
      <c r="A11" s="59" t="str">
        <f>'EDB data'!A13</f>
        <v>Weighting used in determining initial level</v>
      </c>
      <c r="B11" s="65"/>
      <c r="C11" s="50"/>
      <c r="D11" s="16">
        <f>'EDB data'!D13</f>
        <v>0</v>
      </c>
      <c r="E11" s="50">
        <f>'EDB data'!E13</f>
        <v>1</v>
      </c>
      <c r="F11" s="66"/>
      <c r="G11" s="66"/>
      <c r="H11" s="66"/>
      <c r="I11" s="66"/>
      <c r="J11" s="66"/>
      <c r="K11" s="66"/>
      <c r="L11" s="6"/>
      <c r="M11" s="6"/>
      <c r="N11" s="6"/>
    </row>
    <row r="12" spans="1:14" x14ac:dyDescent="0.25">
      <c r="A12" s="59" t="str">
        <f>'EDB data'!A20</f>
        <v>Network opex (nominal)</v>
      </c>
      <c r="B12" s="67"/>
      <c r="C12" s="49"/>
      <c r="D12" s="30">
        <f>INDEX('EDB data'!$B$5:$B$51,MATCH($A12&amp;" "&amp;D$10,'EDB data'!$A$5:$A$51,0),0)</f>
        <v>16288.66232553615</v>
      </c>
      <c r="E12" s="49">
        <f>INDEX('EDB data'!$B$5:$B$51,MATCH($A12&amp;" "&amp;E$10,'EDB data'!$A$5:$A$51,0),0)</f>
        <v>15760.345487461585</v>
      </c>
      <c r="F12" s="68"/>
      <c r="G12" s="68"/>
      <c r="H12" s="68"/>
      <c r="I12" s="68"/>
      <c r="J12" s="68"/>
      <c r="K12" s="68"/>
      <c r="L12" s="6"/>
      <c r="M12" s="6"/>
      <c r="N12" s="6"/>
    </row>
    <row r="13" spans="1:14" x14ac:dyDescent="0.25">
      <c r="A13" s="59" t="str">
        <f>'EDB data'!A14</f>
        <v>Network opex index of cost inflator</v>
      </c>
      <c r="B13" s="67"/>
      <c r="C13" s="51"/>
      <c r="D13" s="13">
        <f>'EDB data'!D14</f>
        <v>0.97918035590519992</v>
      </c>
      <c r="E13" s="13">
        <f>'EDB data'!E14</f>
        <v>1</v>
      </c>
      <c r="F13" s="13">
        <f>'EDB data'!F14</f>
        <v>1.0114370657336971</v>
      </c>
      <c r="G13" s="13">
        <f>'EDB data'!G14</f>
        <v>1.0281422246806382</v>
      </c>
      <c r="H13" s="13">
        <f>'EDB data'!H14</f>
        <v>1.0419469389364042</v>
      </c>
      <c r="I13" s="13">
        <f>'EDB data'!I14</f>
        <v>1.0588012278566337</v>
      </c>
      <c r="J13" s="13">
        <f>'EDB data'!J14</f>
        <v>1.078030609772288</v>
      </c>
      <c r="K13" s="13" t="e">
        <f>'EDB data'!K14</f>
        <v>#N/A</v>
      </c>
      <c r="L13" s="6"/>
      <c r="M13" s="6"/>
      <c r="N13" s="6"/>
    </row>
    <row r="14" spans="1:14" x14ac:dyDescent="0.25">
      <c r="A14" s="69" t="str">
        <f>'EDB data'!A47</f>
        <v>Network opex trend factors (nominal)</v>
      </c>
      <c r="B14" s="67"/>
      <c r="C14" s="70"/>
      <c r="D14" s="71">
        <f>'EDB data'!D47</f>
        <v>0</v>
      </c>
      <c r="E14" s="70">
        <f>'EDB data'!E47</f>
        <v>294.02277945205498</v>
      </c>
      <c r="F14" s="72"/>
      <c r="G14" s="72"/>
      <c r="H14" s="72"/>
      <c r="I14" s="72"/>
      <c r="J14" s="72"/>
      <c r="K14" s="72"/>
      <c r="L14" s="6"/>
      <c r="M14" s="6"/>
      <c r="N14" s="6"/>
    </row>
    <row r="15" spans="1:14" x14ac:dyDescent="0.25">
      <c r="A15" s="69" t="str">
        <f>'EDB data'!A49</f>
        <v>Network opex step factors (nominal)</v>
      </c>
      <c r="B15" s="69"/>
      <c r="C15" s="70"/>
      <c r="D15" s="71">
        <f>'EDB data'!D49</f>
        <v>0</v>
      </c>
      <c r="E15" s="71">
        <f>'EDB data'!E49</f>
        <v>-294.02277945205475</v>
      </c>
      <c r="F15" s="71">
        <f>'EDB data'!F49</f>
        <v>-304.71514999999999</v>
      </c>
      <c r="G15" s="71">
        <f>'EDB data'!G49</f>
        <v>-304.71515000000005</v>
      </c>
      <c r="H15" s="71">
        <f>'EDB data'!H49</f>
        <v>-304.71515000000005</v>
      </c>
      <c r="I15" s="71">
        <f>'EDB data'!I49</f>
        <v>-304.71515000000005</v>
      </c>
      <c r="J15" s="71">
        <f>'EDB data'!J49</f>
        <v>-304.14102912087918</v>
      </c>
      <c r="K15" s="71">
        <f>'EDB data'!K49</f>
        <v>0</v>
      </c>
      <c r="L15" s="6"/>
      <c r="M15" s="6"/>
      <c r="N15" s="6"/>
    </row>
    <row r="16" spans="1:14" ht="39.950000000000003" customHeight="1" x14ac:dyDescent="0.35">
      <c r="A16" s="73" t="s">
        <v>10</v>
      </c>
      <c r="B16" s="74"/>
      <c r="C16" s="75"/>
      <c r="D16" s="74"/>
      <c r="E16" s="74"/>
      <c r="F16" s="74"/>
      <c r="G16" s="74"/>
      <c r="H16" s="74"/>
      <c r="I16" s="74"/>
      <c r="J16" s="74"/>
      <c r="K16" s="74"/>
      <c r="L16" s="6"/>
      <c r="M16" s="6"/>
      <c r="N16" s="6"/>
    </row>
    <row r="17" spans="1:14" ht="35.1" customHeight="1" x14ac:dyDescent="0.35">
      <c r="A17" s="76" t="s">
        <v>71</v>
      </c>
      <c r="B17" s="58" t="s">
        <v>13</v>
      </c>
      <c r="C17" s="55"/>
      <c r="D17" s="4"/>
      <c r="E17" s="4"/>
      <c r="F17" s="4"/>
      <c r="G17" s="4"/>
      <c r="H17" s="4"/>
      <c r="I17" s="4"/>
      <c r="J17" s="6"/>
      <c r="K17" s="6"/>
      <c r="L17" s="6"/>
      <c r="M17" s="6"/>
      <c r="N17" s="6"/>
    </row>
    <row r="18" spans="1:14" x14ac:dyDescent="0.25">
      <c r="A18" s="59" t="s">
        <v>72</v>
      </c>
      <c r="B18" s="77">
        <f>($B$8*$B$6)+($B$7*$B$5)</f>
        <v>6.0876446546495157E-3</v>
      </c>
      <c r="C18" s="78"/>
      <c r="D18" s="6"/>
      <c r="E18" s="6"/>
      <c r="F18" s="6"/>
      <c r="G18" s="6"/>
      <c r="H18" s="6"/>
      <c r="I18" s="6"/>
      <c r="J18" s="6"/>
      <c r="K18" s="6"/>
      <c r="L18" s="6"/>
      <c r="M18" s="6"/>
      <c r="N18" s="6"/>
    </row>
    <row r="19" spans="1:14" x14ac:dyDescent="0.25">
      <c r="A19" s="59" t="s">
        <v>73</v>
      </c>
      <c r="B19" s="77">
        <f>($B$9*$B$6)+($B$7*$B$5)</f>
        <v>4.9805095520670754E-3</v>
      </c>
      <c r="C19" s="78"/>
      <c r="D19" s="6"/>
      <c r="E19" s="6"/>
      <c r="F19" s="6"/>
      <c r="G19" s="6"/>
      <c r="H19" s="6"/>
      <c r="I19" s="6"/>
      <c r="J19" s="6"/>
      <c r="K19" s="6"/>
      <c r="L19" s="6"/>
      <c r="M19" s="6"/>
      <c r="N19" s="6"/>
    </row>
    <row r="20" spans="1:14" ht="35.1" customHeight="1" x14ac:dyDescent="0.35">
      <c r="A20" s="79" t="str">
        <f>A13</f>
        <v>Network opex index of cost inflator</v>
      </c>
      <c r="B20" s="80"/>
      <c r="C20" s="63"/>
      <c r="D20" s="64">
        <f t="shared" ref="D20:K22" si="0">D$10</f>
        <v>2019</v>
      </c>
      <c r="E20" s="64">
        <f t="shared" si="0"/>
        <v>2020</v>
      </c>
      <c r="F20" s="64">
        <f t="shared" si="0"/>
        <v>2021</v>
      </c>
      <c r="G20" s="64">
        <f t="shared" si="0"/>
        <v>2022</v>
      </c>
      <c r="H20" s="64">
        <f t="shared" si="0"/>
        <v>2023</v>
      </c>
      <c r="I20" s="64">
        <f t="shared" si="0"/>
        <v>2024</v>
      </c>
      <c r="J20" s="64">
        <f t="shared" si="0"/>
        <v>2025</v>
      </c>
      <c r="K20" s="64">
        <f t="shared" si="0"/>
        <v>2026</v>
      </c>
      <c r="L20" s="6"/>
      <c r="M20" s="6"/>
      <c r="N20" s="6"/>
    </row>
    <row r="21" spans="1:14" x14ac:dyDescent="0.25">
      <c r="A21" s="145" t="str">
        <f>$A$20&amp;" to "&amp;$E$20</f>
        <v>Network opex index of cost inflator to 2020</v>
      </c>
      <c r="B21" s="77"/>
      <c r="C21" s="81"/>
      <c r="D21" s="81">
        <f>D13/INDEX($C$13:$K$13,MATCH($E$20,$C$10:$K$10,0))</f>
        <v>0.97918035590519992</v>
      </c>
      <c r="E21" s="81">
        <f t="shared" ref="E21:J21" si="1">E13/INDEX($C$13:$K$13,MATCH($E$20,$C$10:$K$10,0))</f>
        <v>1</v>
      </c>
      <c r="F21" s="81">
        <f t="shared" si="1"/>
        <v>1.0114370657336971</v>
      </c>
      <c r="G21" s="81">
        <f t="shared" si="1"/>
        <v>1.0281422246806382</v>
      </c>
      <c r="H21" s="81">
        <f t="shared" si="1"/>
        <v>1.0419469389364042</v>
      </c>
      <c r="I21" s="81">
        <f t="shared" si="1"/>
        <v>1.0588012278566337</v>
      </c>
      <c r="J21" s="81">
        <f t="shared" si="1"/>
        <v>1.078030609772288</v>
      </c>
      <c r="K21" s="82" t="str">
        <f>IFERROR(K13/INDEX($C$13:$K$13,MATCH($D$20,$C$10:$K$10,0)),"")</f>
        <v/>
      </c>
      <c r="L21" s="6"/>
      <c r="M21" s="83" t="str">
        <f>"Index cost inflators to "&amp;E20&amp;"."</f>
        <v>Index cost inflators to 2020.</v>
      </c>
      <c r="N21" s="6"/>
    </row>
    <row r="22" spans="1:14" ht="35.1" customHeight="1" x14ac:dyDescent="0.35">
      <c r="A22" s="84" t="s">
        <v>91</v>
      </c>
      <c r="B22" s="80"/>
      <c r="C22" s="85"/>
      <c r="D22" s="86">
        <f t="shared" si="0"/>
        <v>2019</v>
      </c>
      <c r="E22" s="86">
        <f t="shared" si="0"/>
        <v>2020</v>
      </c>
      <c r="F22" s="86">
        <f t="shared" si="0"/>
        <v>2021</v>
      </c>
      <c r="G22" s="86">
        <f t="shared" si="0"/>
        <v>2022</v>
      </c>
      <c r="H22" s="86">
        <f t="shared" si="0"/>
        <v>2023</v>
      </c>
      <c r="I22" s="86">
        <f t="shared" si="0"/>
        <v>2024</v>
      </c>
      <c r="J22" s="86">
        <f t="shared" si="0"/>
        <v>2025</v>
      </c>
      <c r="K22" s="86">
        <f t="shared" si="0"/>
        <v>2026</v>
      </c>
      <c r="L22" s="6"/>
      <c r="M22" s="6"/>
      <c r="N22" s="6"/>
    </row>
    <row r="23" spans="1:14" x14ac:dyDescent="0.25">
      <c r="A23" s="59" t="str">
        <f>A4</f>
        <v>Network opex partial productivity factor</v>
      </c>
      <c r="B23" s="77"/>
      <c r="C23" s="87"/>
      <c r="D23" s="77">
        <f t="shared" ref="D23:K23" si="2">-$B$4</f>
        <v>0</v>
      </c>
      <c r="E23" s="77">
        <f t="shared" si="2"/>
        <v>0</v>
      </c>
      <c r="F23" s="77">
        <f t="shared" si="2"/>
        <v>0</v>
      </c>
      <c r="G23" s="77">
        <f t="shared" si="2"/>
        <v>0</v>
      </c>
      <c r="H23" s="77">
        <f t="shared" si="2"/>
        <v>0</v>
      </c>
      <c r="I23" s="77">
        <f t="shared" si="2"/>
        <v>0</v>
      </c>
      <c r="J23" s="77">
        <f t="shared" si="2"/>
        <v>0</v>
      </c>
      <c r="K23" s="77">
        <f t="shared" si="2"/>
        <v>0</v>
      </c>
      <c r="L23" s="6"/>
      <c r="M23" s="88" t="str">
        <f>A23 &amp;" multiplied by negative one."</f>
        <v>Network opex partial productivity factor multiplied by negative one.</v>
      </c>
      <c r="N23" s="6"/>
    </row>
    <row r="24" spans="1:14" x14ac:dyDescent="0.25">
      <c r="A24" s="59" t="str">
        <f>A18</f>
        <v>Percentage change in network scale from 2018 to 2023</v>
      </c>
      <c r="B24" s="77"/>
      <c r="C24" s="87"/>
      <c r="D24" s="77">
        <f t="shared" ref="D24:J24" si="3">IF(VALUE(RIGHT(D22,2))&lt;=VALUE(RIGHT($A$18,2)),$B$18,0)</f>
        <v>6.0876446546495157E-3</v>
      </c>
      <c r="E24" s="77">
        <f t="shared" si="3"/>
        <v>6.0876446546495157E-3</v>
      </c>
      <c r="F24" s="77">
        <f t="shared" si="3"/>
        <v>6.0876446546495157E-3</v>
      </c>
      <c r="G24" s="77">
        <f t="shared" si="3"/>
        <v>6.0876446546495157E-3</v>
      </c>
      <c r="H24" s="77">
        <f t="shared" si="3"/>
        <v>6.0876446546495157E-3</v>
      </c>
      <c r="I24" s="77">
        <f t="shared" si="3"/>
        <v>0</v>
      </c>
      <c r="J24" s="77">
        <f t="shared" si="3"/>
        <v>0</v>
      </c>
      <c r="K24" s="77">
        <f t="shared" ref="K24" si="4">IF(VALUE(RIGHT(K22,2))&lt;=VALUE(RIGHT($A$18,2)),$B$18,0)</f>
        <v>0</v>
      </c>
      <c r="L24" s="6"/>
      <c r="M24" s="6"/>
      <c r="N24" s="6"/>
    </row>
    <row r="25" spans="1:14" x14ac:dyDescent="0.25">
      <c r="A25" s="59" t="str">
        <f>A19</f>
        <v>Percentage change in network scale from 2023 to 2028</v>
      </c>
      <c r="B25" s="77"/>
      <c r="C25" s="87"/>
      <c r="D25" s="77">
        <f t="shared" ref="D25:J25" si="5">IF(AND(VALUE(RIGHT(D22,2))&gt;VALUE(RIGHT($A$18,2)),VALUE(RIGHT(D22,2))&lt;=VALUE(RIGHT($A$19,2))),$B$19,0)</f>
        <v>0</v>
      </c>
      <c r="E25" s="77">
        <f t="shared" si="5"/>
        <v>0</v>
      </c>
      <c r="F25" s="77">
        <f t="shared" si="5"/>
        <v>0</v>
      </c>
      <c r="G25" s="77">
        <f t="shared" si="5"/>
        <v>0</v>
      </c>
      <c r="H25" s="77">
        <f t="shared" si="5"/>
        <v>0</v>
      </c>
      <c r="I25" s="77">
        <f t="shared" si="5"/>
        <v>4.9805095520670754E-3</v>
      </c>
      <c r="J25" s="77">
        <f t="shared" si="5"/>
        <v>4.9805095520670754E-3</v>
      </c>
      <c r="K25" s="77">
        <f t="shared" ref="K25" si="6">IF(AND(VALUE(RIGHT(K22,2))&gt;VALUE(RIGHT($A$18,2)),VALUE(RIGHT(K22,2))&lt;=VALUE(RIGHT($A$19,2))),$B$19,0)</f>
        <v>4.9805095520670754E-3</v>
      </c>
      <c r="L25" s="6"/>
      <c r="M25" s="6"/>
      <c r="N25" s="6"/>
    </row>
    <row r="26" spans="1:14" x14ac:dyDescent="0.25">
      <c r="A26" s="59" t="s">
        <v>91</v>
      </c>
      <c r="B26" s="77"/>
      <c r="C26" s="87"/>
      <c r="D26" s="77">
        <f t="shared" ref="D26:J26" si="7">(1+SUM(D24:D25))*(1+D23)-1</f>
        <v>6.0876446546496155E-3</v>
      </c>
      <c r="E26" s="77">
        <f t="shared" si="7"/>
        <v>6.0876446546496155E-3</v>
      </c>
      <c r="F26" s="77">
        <f t="shared" si="7"/>
        <v>6.0876446546496155E-3</v>
      </c>
      <c r="G26" s="77">
        <f t="shared" si="7"/>
        <v>6.0876446546496155E-3</v>
      </c>
      <c r="H26" s="77">
        <f t="shared" si="7"/>
        <v>6.0876446546496155E-3</v>
      </c>
      <c r="I26" s="77">
        <f t="shared" si="7"/>
        <v>4.9805095520669695E-3</v>
      </c>
      <c r="J26" s="77">
        <f t="shared" si="7"/>
        <v>4.9805095520669695E-3</v>
      </c>
      <c r="K26" s="77">
        <f t="shared" ref="K26" si="8">(1+SUM(K24:K25))*(1+K23)-1</f>
        <v>4.9805095520669695E-3</v>
      </c>
      <c r="L26" s="6"/>
      <c r="M26" s="89"/>
      <c r="N26" s="6"/>
    </row>
    <row r="27" spans="1:14" ht="35.1" customHeight="1" x14ac:dyDescent="0.35">
      <c r="A27" s="84" t="s">
        <v>116</v>
      </c>
      <c r="B27" s="80"/>
      <c r="C27" s="85"/>
      <c r="D27" s="86">
        <f>D$10</f>
        <v>2019</v>
      </c>
      <c r="E27" s="85">
        <f>E$10</f>
        <v>2020</v>
      </c>
      <c r="F27" s="90"/>
      <c r="G27" s="90"/>
      <c r="H27" s="90"/>
      <c r="I27" s="90"/>
      <c r="J27" s="74"/>
      <c r="K27" s="74"/>
      <c r="L27" s="6"/>
      <c r="M27" s="91" t="s">
        <v>134</v>
      </c>
      <c r="N27" s="6"/>
    </row>
    <row r="28" spans="1:14" x14ac:dyDescent="0.25">
      <c r="A28" s="59" t="str">
        <f>'EDB data'!A13</f>
        <v>Weighting used in determining initial level</v>
      </c>
      <c r="B28" s="77"/>
      <c r="C28" s="92"/>
      <c r="D28" s="93">
        <f>D11</f>
        <v>0</v>
      </c>
      <c r="E28" s="92">
        <f>E11</f>
        <v>1</v>
      </c>
      <c r="F28" s="6"/>
      <c r="G28" s="6"/>
      <c r="H28" s="6"/>
      <c r="I28" s="6"/>
      <c r="J28" s="6"/>
      <c r="K28" s="6"/>
      <c r="L28" s="6"/>
      <c r="M28" s="6"/>
      <c r="N28" s="6"/>
    </row>
    <row r="29" spans="1:14" x14ac:dyDescent="0.25">
      <c r="A29" s="94" t="s">
        <v>74</v>
      </c>
      <c r="B29" s="77"/>
      <c r="C29" s="95"/>
      <c r="D29" s="11">
        <f>D12/D21</f>
        <v>16634.997043499869</v>
      </c>
      <c r="E29" s="95">
        <f>E12/E21</f>
        <v>15760.345487461585</v>
      </c>
      <c r="F29" s="6"/>
      <c r="G29" s="6"/>
      <c r="H29" s="6"/>
      <c r="I29" s="6"/>
      <c r="J29" s="6"/>
      <c r="K29" s="6"/>
      <c r="L29" s="6"/>
      <c r="M29" s="96" t="str">
        <f>"Convert nominal to constant. Base values for calculating '"&amp;A33&amp;"'."</f>
        <v>Convert nominal to constant. Base values for calculating 'Initial level of network opex (constant)'.</v>
      </c>
      <c r="N29" s="6"/>
    </row>
    <row r="30" spans="1:14" x14ac:dyDescent="0.25">
      <c r="A30" s="59" t="s">
        <v>75</v>
      </c>
      <c r="B30" s="77"/>
      <c r="C30" s="95"/>
      <c r="D30" s="97">
        <f>D14/D21</f>
        <v>0</v>
      </c>
      <c r="E30" s="95">
        <f>E14/E21</f>
        <v>294.02277945205498</v>
      </c>
      <c r="F30" s="6"/>
      <c r="G30" s="6"/>
      <c r="H30" s="6"/>
      <c r="I30" s="6"/>
      <c r="J30" s="6"/>
      <c r="K30" s="6"/>
      <c r="L30" s="6"/>
      <c r="M30" s="96" t="str">
        <f>"Convert nominal to constant.  Add to base values to calculate '"&amp;A33&amp;"'."</f>
        <v>Convert nominal to constant.  Add to base values to calculate 'Initial level of network opex (constant)'.</v>
      </c>
      <c r="N30" s="6"/>
    </row>
    <row r="31" spans="1:14" x14ac:dyDescent="0.25">
      <c r="A31" s="59" t="s">
        <v>76</v>
      </c>
      <c r="B31" s="77"/>
      <c r="C31" s="52"/>
      <c r="D31" s="98">
        <f>E31/(1+E26)</f>
        <v>0.99394919052331743</v>
      </c>
      <c r="E31" s="99">
        <v>1</v>
      </c>
      <c r="F31" s="6"/>
      <c r="G31" s="6"/>
      <c r="H31" s="6"/>
      <c r="I31" s="6"/>
      <c r="J31" s="6"/>
      <c r="K31" s="6"/>
      <c r="L31" s="6"/>
      <c r="M31" s="83" t="str">
        <f>"Index used to adjust values to "&amp;E27&amp;" Network scale."</f>
        <v>Index used to adjust values to 2020 Network scale.</v>
      </c>
      <c r="N31" s="6"/>
    </row>
    <row r="32" spans="1:14" x14ac:dyDescent="0.25">
      <c r="A32" s="94" t="str">
        <f>"Network opex plus trend factors (constant) at "&amp;E22&amp;" network scale"</f>
        <v>Network opex plus trend factors (constant) at 2020 network scale</v>
      </c>
      <c r="B32" s="77"/>
      <c r="C32" s="95"/>
      <c r="D32" s="11">
        <f>(D29+D30)/D31</f>
        <v>16736.264994331843</v>
      </c>
      <c r="E32" s="95">
        <f>(E29+E30)/E31</f>
        <v>16054.36826691364</v>
      </c>
      <c r="F32" s="6"/>
      <c r="G32" s="6"/>
      <c r="H32" s="6"/>
      <c r="I32" s="6"/>
      <c r="J32" s="6"/>
      <c r="K32" s="6"/>
      <c r="L32" s="6"/>
      <c r="M32" s="100"/>
      <c r="N32" s="6"/>
    </row>
    <row r="33" spans="1:14" x14ac:dyDescent="0.25">
      <c r="A33" s="94" t="s">
        <v>115</v>
      </c>
      <c r="B33" s="77"/>
      <c r="C33" s="95"/>
      <c r="D33" s="95"/>
      <c r="E33" s="95">
        <f>SUMPRODUCT(D32:E32,D28:E28)</f>
        <v>16054.36826691364</v>
      </c>
      <c r="F33" s="6"/>
      <c r="G33" s="6"/>
      <c r="H33" s="6"/>
      <c r="I33" s="6"/>
      <c r="J33" s="6"/>
      <c r="K33" s="6"/>
      <c r="L33" s="6"/>
      <c r="M33" s="96" t="str">
        <f>"Initial level at "&amp;$D$27&amp;" constant price and network scale."</f>
        <v>Initial level at 2019 constant price and network scale.</v>
      </c>
      <c r="N33" s="6"/>
    </row>
    <row r="34" spans="1:14" ht="35.1" customHeight="1" x14ac:dyDescent="0.35">
      <c r="A34" s="84" t="s">
        <v>117</v>
      </c>
      <c r="B34" s="80"/>
      <c r="C34" s="101"/>
      <c r="D34" s="102">
        <f t="shared" ref="D34:K34" si="9">D$10</f>
        <v>2019</v>
      </c>
      <c r="E34" s="103">
        <f t="shared" si="9"/>
        <v>2020</v>
      </c>
      <c r="F34" s="64">
        <f t="shared" si="9"/>
        <v>2021</v>
      </c>
      <c r="G34" s="64">
        <f t="shared" si="9"/>
        <v>2022</v>
      </c>
      <c r="H34" s="64">
        <f t="shared" si="9"/>
        <v>2023</v>
      </c>
      <c r="I34" s="64">
        <f t="shared" si="9"/>
        <v>2024</v>
      </c>
      <c r="J34" s="64">
        <f t="shared" si="9"/>
        <v>2025</v>
      </c>
      <c r="K34" s="64">
        <f t="shared" si="9"/>
        <v>2026</v>
      </c>
      <c r="L34" s="6"/>
      <c r="M34" s="37"/>
      <c r="N34" s="6"/>
    </row>
    <row r="35" spans="1:14" x14ac:dyDescent="0.25">
      <c r="A35" s="94" t="s">
        <v>118</v>
      </c>
      <c r="B35" s="77"/>
      <c r="C35" s="95"/>
      <c r="D35" s="53"/>
      <c r="E35" s="104">
        <f>E33</f>
        <v>16054.36826691364</v>
      </c>
      <c r="F35" s="105">
        <f t="shared" ref="F35:K35" si="10">E35*(1+F26)</f>
        <v>16152.101556077492</v>
      </c>
      <c r="G35" s="11">
        <f t="shared" si="10"/>
        <v>16250.429810776704</v>
      </c>
      <c r="H35" s="11">
        <f t="shared" si="10"/>
        <v>16349.356652950039</v>
      </c>
      <c r="I35" s="11">
        <f t="shared" si="10"/>
        <v>16430.784779930207</v>
      </c>
      <c r="J35" s="11">
        <f t="shared" si="10"/>
        <v>16512.618460474605</v>
      </c>
      <c r="K35" s="11">
        <f t="shared" si="10"/>
        <v>16594.859714446637</v>
      </c>
      <c r="L35" s="6"/>
      <c r="M35" s="100" t="s">
        <v>79</v>
      </c>
      <c r="N35" s="6"/>
    </row>
    <row r="36" spans="1:14" x14ac:dyDescent="0.25">
      <c r="A36" s="59" t="s">
        <v>97</v>
      </c>
      <c r="B36" s="77"/>
      <c r="C36" s="95"/>
      <c r="D36" s="106">
        <f t="shared" ref="D36:J36" si="11">D15/D21</f>
        <v>0</v>
      </c>
      <c r="E36" s="106">
        <f t="shared" si="11"/>
        <v>-294.02277945205475</v>
      </c>
      <c r="F36" s="106">
        <f t="shared" si="11"/>
        <v>-301.26951080140554</v>
      </c>
      <c r="G36" s="106">
        <f t="shared" si="11"/>
        <v>-296.37451189659168</v>
      </c>
      <c r="H36" s="106">
        <f t="shared" si="11"/>
        <v>-292.44785757617018</v>
      </c>
      <c r="I36" s="106">
        <f t="shared" si="11"/>
        <v>-287.79259221000814</v>
      </c>
      <c r="J36" s="107">
        <f t="shared" si="11"/>
        <v>-282.12652438980632</v>
      </c>
      <c r="K36" s="106" t="str">
        <f>IFERROR(K15/K21,"")</f>
        <v/>
      </c>
      <c r="L36" s="6"/>
      <c r="M36" s="96" t="str">
        <f>"Convert nominal to constant.  Add to trend values to calculate '"&amp;A37&amp;"'."</f>
        <v>Convert nominal to constant.  Add to trend values to calculate 'Network opex series (constant)'.</v>
      </c>
      <c r="N36" s="6"/>
    </row>
    <row r="37" spans="1:14" x14ac:dyDescent="0.25">
      <c r="A37" s="94" t="s">
        <v>77</v>
      </c>
      <c r="B37" s="77"/>
      <c r="C37" s="95"/>
      <c r="D37" s="11">
        <f>D35+D36</f>
        <v>0</v>
      </c>
      <c r="E37" s="11">
        <f>E35+E36</f>
        <v>15760.345487461585</v>
      </c>
      <c r="F37" s="11">
        <f t="shared" ref="F37:J37" si="12">F35+F36</f>
        <v>15850.832045276087</v>
      </c>
      <c r="G37" s="11">
        <f t="shared" si="12"/>
        <v>15954.055298880114</v>
      </c>
      <c r="H37" s="11">
        <f t="shared" si="12"/>
        <v>16056.908795373869</v>
      </c>
      <c r="I37" s="11">
        <f t="shared" si="12"/>
        <v>16142.9921877202</v>
      </c>
      <c r="J37" s="108">
        <f t="shared" si="12"/>
        <v>16230.491936084798</v>
      </c>
      <c r="K37" s="11" t="str">
        <f>IFERROR(K35+K36,"")</f>
        <v/>
      </c>
      <c r="L37" s="6"/>
      <c r="M37" s="100" t="s">
        <v>80</v>
      </c>
      <c r="N37" s="6"/>
    </row>
    <row r="38" spans="1:14" ht="35.1" customHeight="1" x14ac:dyDescent="0.35">
      <c r="A38" s="84" t="s">
        <v>119</v>
      </c>
      <c r="B38" s="80"/>
      <c r="C38" s="101"/>
      <c r="D38" s="86">
        <f t="shared" ref="D38:K38" si="13">D$10</f>
        <v>2019</v>
      </c>
      <c r="E38" s="86">
        <f t="shared" si="13"/>
        <v>2020</v>
      </c>
      <c r="F38" s="86">
        <f t="shared" si="13"/>
        <v>2021</v>
      </c>
      <c r="G38" s="86">
        <f t="shared" si="13"/>
        <v>2022</v>
      </c>
      <c r="H38" s="86">
        <f t="shared" si="13"/>
        <v>2023</v>
      </c>
      <c r="I38" s="86">
        <f t="shared" si="13"/>
        <v>2024</v>
      </c>
      <c r="J38" s="86">
        <f t="shared" si="13"/>
        <v>2025</v>
      </c>
      <c r="K38" s="86">
        <f t="shared" si="13"/>
        <v>2026</v>
      </c>
      <c r="L38" s="6"/>
      <c r="M38" s="6"/>
      <c r="N38" s="6"/>
    </row>
    <row r="39" spans="1:14" x14ac:dyDescent="0.25">
      <c r="A39" s="94" t="s">
        <v>78</v>
      </c>
      <c r="B39" s="77"/>
      <c r="C39" s="95"/>
      <c r="D39" s="11">
        <f>D37*D21</f>
        <v>0</v>
      </c>
      <c r="E39" s="11">
        <f t="shared" ref="E39:J39" si="14">E37*E21</f>
        <v>15760.345487461585</v>
      </c>
      <c r="F39" s="11">
        <f t="shared" si="14"/>
        <v>16032.119053311702</v>
      </c>
      <c r="G39" s="11">
        <f t="shared" si="14"/>
        <v>16403.037907668524</v>
      </c>
      <c r="H39" s="11">
        <f t="shared" si="14"/>
        <v>16730.446968120828</v>
      </c>
      <c r="I39" s="11">
        <f t="shared" si="14"/>
        <v>17092.219949638191</v>
      </c>
      <c r="J39" s="108">
        <f t="shared" si="14"/>
        <v>17496.967118761699</v>
      </c>
      <c r="K39" s="11" t="str">
        <f>IFERROR(K37*K21,"")</f>
        <v/>
      </c>
      <c r="L39" s="6"/>
      <c r="M39" s="100" t="s">
        <v>81</v>
      </c>
      <c r="N39" s="6"/>
    </row>
    <row r="40" spans="1:14" x14ac:dyDescent="0.25">
      <c r="A40" s="94" t="s">
        <v>120</v>
      </c>
      <c r="B40" s="77"/>
      <c r="C40" s="95"/>
      <c r="D40" s="11">
        <f>D35*D21</f>
        <v>0</v>
      </c>
      <c r="E40" s="11">
        <f t="shared" ref="E40:J40" si="15">E35*E21</f>
        <v>16054.36826691364</v>
      </c>
      <c r="F40" s="11">
        <f t="shared" si="15"/>
        <v>16336.834203311701</v>
      </c>
      <c r="G40" s="11">
        <f t="shared" si="15"/>
        <v>16707.753057668524</v>
      </c>
      <c r="H40" s="11">
        <f t="shared" si="15"/>
        <v>17035.162118120828</v>
      </c>
      <c r="I40" s="11">
        <f t="shared" si="15"/>
        <v>17396.935099638191</v>
      </c>
      <c r="J40" s="108">
        <f t="shared" si="15"/>
        <v>17801.10814788258</v>
      </c>
      <c r="K40" s="11" t="str">
        <f>IFERROR(K35*K21,"")</f>
        <v/>
      </c>
      <c r="L40" s="6"/>
      <c r="M40" s="100" t="s">
        <v>82</v>
      </c>
      <c r="N40" s="6"/>
    </row>
    <row r="41" spans="1:14" ht="39.950000000000003" customHeight="1" x14ac:dyDescent="0.35">
      <c r="A41" s="73" t="s">
        <v>5</v>
      </c>
      <c r="B41" s="74"/>
      <c r="C41" s="109"/>
      <c r="D41" s="110"/>
      <c r="E41" s="110"/>
      <c r="F41" s="110"/>
      <c r="G41" s="110"/>
      <c r="H41" s="110"/>
      <c r="I41" s="110"/>
      <c r="J41" s="110"/>
      <c r="K41" s="110"/>
      <c r="L41" s="6"/>
      <c r="M41" s="6"/>
      <c r="N41" s="6"/>
    </row>
    <row r="42" spans="1:14" x14ac:dyDescent="0.25">
      <c r="A42" s="39"/>
      <c r="B42" s="111"/>
      <c r="C42" s="112"/>
      <c r="D42" s="113">
        <f t="shared" ref="D42:K42" si="16">D$10</f>
        <v>2019</v>
      </c>
      <c r="E42" s="113">
        <f t="shared" si="16"/>
        <v>2020</v>
      </c>
      <c r="F42" s="113">
        <f t="shared" si="16"/>
        <v>2021</v>
      </c>
      <c r="G42" s="113">
        <f t="shared" si="16"/>
        <v>2022</v>
      </c>
      <c r="H42" s="113">
        <f t="shared" si="16"/>
        <v>2023</v>
      </c>
      <c r="I42" s="113">
        <f t="shared" si="16"/>
        <v>2024</v>
      </c>
      <c r="J42" s="113">
        <f t="shared" si="16"/>
        <v>2025</v>
      </c>
      <c r="K42" s="113">
        <f t="shared" si="16"/>
        <v>2026</v>
      </c>
      <c r="L42" s="6"/>
      <c r="M42" s="6"/>
      <c r="N42" s="6"/>
    </row>
    <row r="43" spans="1:14" x14ac:dyDescent="0.25">
      <c r="A43" s="59" t="str">
        <f>A37</f>
        <v>Network opex series (constant)</v>
      </c>
      <c r="B43" s="77"/>
      <c r="C43" s="95"/>
      <c r="D43" s="11">
        <f t="shared" ref="D43:K43" si="17">D37</f>
        <v>0</v>
      </c>
      <c r="E43" s="11">
        <f t="shared" si="17"/>
        <v>15760.345487461585</v>
      </c>
      <c r="F43" s="11">
        <f t="shared" si="17"/>
        <v>15850.832045276087</v>
      </c>
      <c r="G43" s="11">
        <f t="shared" si="17"/>
        <v>15954.055298880114</v>
      </c>
      <c r="H43" s="11">
        <f t="shared" si="17"/>
        <v>16056.908795373869</v>
      </c>
      <c r="I43" s="11">
        <f t="shared" si="17"/>
        <v>16142.9921877202</v>
      </c>
      <c r="J43" s="11">
        <f t="shared" si="17"/>
        <v>16230.491936084798</v>
      </c>
      <c r="K43" s="11" t="str">
        <f t="shared" si="17"/>
        <v/>
      </c>
      <c r="L43" s="6"/>
      <c r="M43" s="100" t="s">
        <v>80</v>
      </c>
      <c r="N43" s="6"/>
    </row>
    <row r="44" spans="1:14" x14ac:dyDescent="0.25">
      <c r="A44" s="59" t="str">
        <f>A39</f>
        <v>Network opex series (nominal)</v>
      </c>
      <c r="B44" s="77"/>
      <c r="C44" s="95"/>
      <c r="D44" s="11">
        <f t="shared" ref="D44:E44" si="18">D39</f>
        <v>0</v>
      </c>
      <c r="E44" s="11">
        <f t="shared" si="18"/>
        <v>15760.345487461585</v>
      </c>
      <c r="F44" s="11">
        <f t="shared" ref="F44:J44" si="19">F39</f>
        <v>16032.119053311702</v>
      </c>
      <c r="G44" s="11">
        <f t="shared" si="19"/>
        <v>16403.037907668524</v>
      </c>
      <c r="H44" s="11">
        <f t="shared" si="19"/>
        <v>16730.446968120828</v>
      </c>
      <c r="I44" s="11">
        <f t="shared" si="19"/>
        <v>17092.219949638191</v>
      </c>
      <c r="J44" s="11">
        <f t="shared" si="19"/>
        <v>17496.967118761699</v>
      </c>
      <c r="K44" s="11" t="str">
        <f t="shared" ref="K44" si="20">K39</f>
        <v/>
      </c>
      <c r="L44" s="6"/>
      <c r="M44" s="100" t="s">
        <v>81</v>
      </c>
      <c r="N44" s="6"/>
    </row>
    <row r="45" spans="1:14" x14ac:dyDescent="0.25">
      <c r="A45" s="59" t="str">
        <f>A35</f>
        <v>Trend in network opex (constant)</v>
      </c>
      <c r="B45" s="59"/>
      <c r="C45" s="95"/>
      <c r="D45" s="11">
        <f t="shared" ref="D45:K45" si="21">D35</f>
        <v>0</v>
      </c>
      <c r="E45" s="11">
        <f t="shared" si="21"/>
        <v>16054.36826691364</v>
      </c>
      <c r="F45" s="11">
        <f t="shared" si="21"/>
        <v>16152.101556077492</v>
      </c>
      <c r="G45" s="11">
        <f t="shared" si="21"/>
        <v>16250.429810776704</v>
      </c>
      <c r="H45" s="11">
        <f t="shared" si="21"/>
        <v>16349.356652950039</v>
      </c>
      <c r="I45" s="11">
        <f t="shared" si="21"/>
        <v>16430.784779930207</v>
      </c>
      <c r="J45" s="11">
        <f t="shared" si="21"/>
        <v>16512.618460474605</v>
      </c>
      <c r="K45" s="11">
        <f t="shared" si="21"/>
        <v>16594.859714446637</v>
      </c>
      <c r="L45" s="6"/>
      <c r="M45" s="100" t="s">
        <v>79</v>
      </c>
      <c r="N45" s="6"/>
    </row>
    <row r="46" spans="1:14" x14ac:dyDescent="0.25">
      <c r="A46" s="59" t="str">
        <f>A40</f>
        <v>Trend in network opex series (nominal)</v>
      </c>
      <c r="B46" s="59"/>
      <c r="C46" s="95"/>
      <c r="D46" s="11">
        <f t="shared" ref="D46:K46" si="22">D40</f>
        <v>0</v>
      </c>
      <c r="E46" s="11">
        <f t="shared" si="22"/>
        <v>16054.36826691364</v>
      </c>
      <c r="F46" s="11">
        <f t="shared" si="22"/>
        <v>16336.834203311701</v>
      </c>
      <c r="G46" s="11">
        <f t="shared" si="22"/>
        <v>16707.753057668524</v>
      </c>
      <c r="H46" s="11">
        <f t="shared" si="22"/>
        <v>17035.162118120828</v>
      </c>
      <c r="I46" s="11">
        <f t="shared" si="22"/>
        <v>17396.935099638191</v>
      </c>
      <c r="J46" s="11">
        <f t="shared" si="22"/>
        <v>17801.10814788258</v>
      </c>
      <c r="K46" s="11" t="str">
        <f t="shared" si="22"/>
        <v/>
      </c>
      <c r="L46" s="6"/>
      <c r="M46" s="100" t="s">
        <v>82</v>
      </c>
      <c r="N46" s="6"/>
    </row>
    <row r="47" spans="1:14" x14ac:dyDescent="0.25">
      <c r="A47" s="59" t="str">
        <f>A30</f>
        <v>Network opex trend factors (constant)</v>
      </c>
      <c r="B47" s="59"/>
      <c r="C47" s="95"/>
      <c r="D47" s="11">
        <f t="shared" ref="D47:E47" si="23">D30</f>
        <v>0</v>
      </c>
      <c r="E47" s="11">
        <f t="shared" si="23"/>
        <v>294.02277945205498</v>
      </c>
      <c r="F47" s="114"/>
      <c r="G47" s="114"/>
      <c r="H47" s="114"/>
      <c r="I47" s="114"/>
      <c r="J47" s="114"/>
      <c r="K47" s="114"/>
      <c r="L47" s="100"/>
      <c r="M47" s="100"/>
      <c r="N47" s="6"/>
    </row>
    <row r="48" spans="1:14" x14ac:dyDescent="0.25">
      <c r="A48" s="59" t="str">
        <f>A36</f>
        <v>Network opex step factors (constant)</v>
      </c>
      <c r="B48" s="59"/>
      <c r="C48" s="95"/>
      <c r="D48" s="11">
        <f t="shared" ref="D48:K48" si="24">D36</f>
        <v>0</v>
      </c>
      <c r="E48" s="11">
        <f t="shared" si="24"/>
        <v>-294.02277945205475</v>
      </c>
      <c r="F48" s="11">
        <f t="shared" si="24"/>
        <v>-301.26951080140554</v>
      </c>
      <c r="G48" s="11">
        <f t="shared" si="24"/>
        <v>-296.37451189659168</v>
      </c>
      <c r="H48" s="11">
        <f t="shared" si="24"/>
        <v>-292.44785757617018</v>
      </c>
      <c r="I48" s="11">
        <f t="shared" si="24"/>
        <v>-287.79259221000814</v>
      </c>
      <c r="J48" s="11">
        <f t="shared" si="24"/>
        <v>-282.12652438980632</v>
      </c>
      <c r="K48" s="11" t="str">
        <f t="shared" si="24"/>
        <v/>
      </c>
      <c r="L48" s="6"/>
      <c r="M48" s="100"/>
      <c r="N48" s="6"/>
    </row>
    <row r="49" spans="1:14" x14ac:dyDescent="0.25">
      <c r="A49" s="59" t="str">
        <f>A33</f>
        <v>Initial level of network opex (constant)</v>
      </c>
      <c r="B49" s="77"/>
      <c r="C49" s="11"/>
      <c r="D49" s="95"/>
      <c r="E49" s="95">
        <f>E33</f>
        <v>16054.36826691364</v>
      </c>
      <c r="F49" s="74"/>
      <c r="G49" s="74"/>
      <c r="H49" s="74"/>
      <c r="I49" s="74"/>
      <c r="J49" s="74"/>
      <c r="K49" s="74"/>
      <c r="L49" s="6"/>
      <c r="M49" s="35" t="s">
        <v>83</v>
      </c>
      <c r="N49" s="6"/>
    </row>
    <row r="50" spans="1:14" x14ac:dyDescent="0.25">
      <c r="A50" s="72"/>
      <c r="B50" s="72"/>
      <c r="C50" s="74"/>
      <c r="D50" s="74"/>
      <c r="E50" s="74"/>
      <c r="F50" s="6"/>
      <c r="G50" s="6"/>
      <c r="H50" s="6"/>
      <c r="I50" s="6"/>
      <c r="J50" s="6"/>
      <c r="K50" s="6"/>
      <c r="L50" s="6"/>
      <c r="M50" s="8"/>
      <c r="N50" s="6"/>
    </row>
    <row r="51" spans="1:14" x14ac:dyDescent="0.25">
      <c r="A51" s="115" t="str">
        <f>"Network scale growth "&amp;E34&amp;"-"&amp;J34</f>
        <v>Network scale growth 2020-2025</v>
      </c>
      <c r="B51" s="116">
        <f>(J35/E35)^(1/(COUNT(E35:J35)-1))-1</f>
        <v>5.6446443279865033E-3</v>
      </c>
      <c r="C51" s="8"/>
      <c r="D51" s="6"/>
      <c r="E51" s="8"/>
      <c r="F51" s="8"/>
      <c r="G51" s="8"/>
      <c r="H51" s="8"/>
      <c r="I51" s="8"/>
      <c r="J51" s="6"/>
      <c r="K51" s="6"/>
      <c r="L51" s="6"/>
      <c r="M51" s="83" t="str">
        <f>"Compound annual growth rate from end of "&amp;E34&amp;" to end of "&amp;J34&amp;"."</f>
        <v>Compound annual growth rate from end of 2020 to end of 2025.</v>
      </c>
      <c r="N51" s="6"/>
    </row>
    <row r="52" spans="1:14" ht="15" customHeight="1" x14ac:dyDescent="0.25">
      <c r="A52" s="74"/>
      <c r="B52" s="74"/>
      <c r="C52" s="6"/>
      <c r="D52" s="6"/>
      <c r="E52" s="6"/>
      <c r="F52" s="6"/>
      <c r="G52" s="6"/>
      <c r="H52" s="6"/>
      <c r="I52" s="6"/>
      <c r="J52" s="6"/>
      <c r="K52" s="6"/>
      <c r="L52" s="6"/>
      <c r="M52" s="6"/>
      <c r="N52" s="6"/>
    </row>
  </sheetData>
  <pageMargins left="0.25" right="0.25" top="0.75" bottom="0.75" header="0.3" footer="0.3"/>
  <pageSetup paperSize="9" scale="51" orientation="landscape" r:id="rId1"/>
  <headerFooter>
    <oddHeader>&amp;R&amp;D &amp;T</oddHeader>
    <oddFooter>&amp;L&amp;F&amp;C&amp;A&amp;R&amp;P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435B-7280-4C86-9200-5EF716439BB8}">
  <sheetPr codeName="Sheet13">
    <tabColor rgb="FF99988E"/>
    <pageSetUpPr fitToPage="1"/>
  </sheetPr>
  <dimension ref="A1:N52"/>
  <sheetViews>
    <sheetView showGridLines="0" view="pageBreakPreview" zoomScaleNormal="85" zoomScaleSheetLayoutView="100" workbookViewId="0"/>
  </sheetViews>
  <sheetFormatPr defaultColWidth="9.140625" defaultRowHeight="15" customHeight="1" x14ac:dyDescent="0.25"/>
  <cols>
    <col min="1" max="1" width="49.7109375" customWidth="1"/>
    <col min="2" max="2" width="11.85546875" customWidth="1"/>
    <col min="3" max="10" width="10.5703125" customWidth="1"/>
    <col min="11" max="11" width="10.42578125" customWidth="1"/>
    <col min="12" max="12" width="2.42578125" customWidth="1"/>
    <col min="13" max="13" width="83.7109375" customWidth="1"/>
    <col min="14" max="14" width="2.7109375" customWidth="1"/>
  </cols>
  <sheetData>
    <row r="1" spans="1:14" ht="26.25" customHeight="1" x14ac:dyDescent="0.35">
      <c r="A1" s="27" t="s">
        <v>17</v>
      </c>
      <c r="B1" s="6"/>
      <c r="C1" s="6"/>
      <c r="D1" s="6"/>
      <c r="E1" s="6"/>
      <c r="F1" s="6"/>
      <c r="G1" s="6"/>
      <c r="H1" s="6"/>
      <c r="I1" s="6"/>
      <c r="J1" s="6"/>
      <c r="K1" s="56" t="str">
        <f>EDB_Name</f>
        <v>Wellington Electricity</v>
      </c>
      <c r="L1" s="6"/>
      <c r="M1" s="6"/>
      <c r="N1" s="6"/>
    </row>
    <row r="2" spans="1:14" ht="23.25" x14ac:dyDescent="0.35">
      <c r="A2" s="57" t="s">
        <v>9</v>
      </c>
      <c r="B2" s="6"/>
      <c r="C2" s="6"/>
      <c r="D2" s="6"/>
      <c r="E2" s="6"/>
      <c r="F2" s="6"/>
      <c r="G2" s="6"/>
      <c r="H2" s="6"/>
      <c r="I2" s="6"/>
      <c r="J2" s="6"/>
      <c r="K2" s="6"/>
      <c r="L2" s="6"/>
      <c r="M2" s="6"/>
      <c r="N2" s="6"/>
    </row>
    <row r="3" spans="1:14" x14ac:dyDescent="0.25">
      <c r="A3" s="39"/>
      <c r="B3" s="58" t="s">
        <v>13</v>
      </c>
      <c r="C3" s="6"/>
      <c r="D3" s="6"/>
      <c r="E3" s="6"/>
      <c r="F3" s="6"/>
      <c r="G3" s="6"/>
      <c r="H3" s="6"/>
      <c r="I3" s="6"/>
      <c r="J3" s="6"/>
      <c r="K3" s="6"/>
      <c r="L3" s="6"/>
      <c r="M3" s="6"/>
      <c r="N3" s="6"/>
    </row>
    <row r="4" spans="1:14" x14ac:dyDescent="0.25">
      <c r="A4" s="59" t="str">
        <f>'EDB data'!A6</f>
        <v>Non-network opex partial productivity factor</v>
      </c>
      <c r="B4" s="32">
        <f>'EDB data'!B6</f>
        <v>0</v>
      </c>
      <c r="C4" s="10"/>
      <c r="D4" s="10"/>
      <c r="E4" s="10"/>
      <c r="F4" s="10"/>
      <c r="G4" s="10"/>
      <c r="H4" s="10"/>
      <c r="I4" s="60"/>
      <c r="J4" s="60"/>
      <c r="K4" s="60"/>
      <c r="L4" s="6"/>
      <c r="M4" s="6"/>
      <c r="N4" s="6"/>
    </row>
    <row r="5" spans="1:14" x14ac:dyDescent="0.25">
      <c r="A5" s="59" t="str">
        <f>'EDB data'!A9</f>
        <v>Elasticity of non-network opex to circuit length</v>
      </c>
      <c r="B5" s="32">
        <f>INDEX('EDB data'!$B$5:$B$51,MATCH($A5,'EDB data'!$A$5:$A$51,0),0)</f>
        <v>0.2185</v>
      </c>
      <c r="C5" s="10"/>
      <c r="D5" s="10"/>
      <c r="E5" s="10"/>
      <c r="F5" s="10"/>
      <c r="G5" s="10"/>
      <c r="H5" s="10"/>
      <c r="I5" s="60"/>
      <c r="J5" s="60"/>
      <c r="K5" s="60"/>
      <c r="L5" s="6"/>
      <c r="M5" s="6"/>
      <c r="N5" s="6"/>
    </row>
    <row r="6" spans="1:14" x14ac:dyDescent="0.25">
      <c r="A6" s="59" t="str">
        <f>'EDB data'!A11</f>
        <v>Elasticity of non-network opex to number of connections</v>
      </c>
      <c r="B6" s="32">
        <f>INDEX('EDB data'!$B$5:$B$51,MATCH($A6,'EDB data'!$A$5:$A$51,0),0)</f>
        <v>0.65249999999999997</v>
      </c>
      <c r="C6" s="10"/>
      <c r="D6" s="10"/>
      <c r="E6" s="10"/>
      <c r="F6" s="10"/>
      <c r="G6" s="10"/>
      <c r="H6" s="10"/>
      <c r="I6" s="60"/>
      <c r="J6" s="60"/>
      <c r="K6" s="60"/>
      <c r="L6" s="6"/>
      <c r="M6" s="6"/>
      <c r="N6" s="6"/>
    </row>
    <row r="7" spans="1:14" x14ac:dyDescent="0.25">
      <c r="A7" s="59" t="str">
        <f>'EDB data'!A17</f>
        <v>Circuit length growth</v>
      </c>
      <c r="B7" s="12">
        <f>INDEX('EDB data'!$B$5:$B$51,MATCH($A7,'EDB data'!$A$5:$A$51,0),0)</f>
        <v>3.2074935874579769E-3</v>
      </c>
      <c r="C7" s="60"/>
      <c r="D7" s="60"/>
      <c r="E7" s="60"/>
      <c r="F7" s="60"/>
      <c r="G7" s="60"/>
      <c r="H7" s="60"/>
      <c r="I7" s="60"/>
      <c r="J7" s="60"/>
      <c r="K7" s="60"/>
      <c r="L7" s="6"/>
      <c r="M7" s="6"/>
      <c r="N7" s="6"/>
    </row>
    <row r="8" spans="1:14" x14ac:dyDescent="0.25">
      <c r="A8" s="59" t="str">
        <f>'EDB data'!A18</f>
        <v>Annual change in households, 2018-23</v>
      </c>
      <c r="B8" s="12">
        <f>INDEX('EDB data'!$B$5:$B$51,MATCH($A8,'EDB data'!$A$5:$A$51,0),0)</f>
        <v>1.0112893261336797E-2</v>
      </c>
      <c r="C8" s="60"/>
      <c r="D8" s="60"/>
      <c r="E8" s="60"/>
      <c r="F8" s="60"/>
      <c r="G8" s="60"/>
      <c r="H8" s="60"/>
      <c r="I8" s="60"/>
      <c r="J8" s="60"/>
      <c r="K8" s="60"/>
      <c r="L8" s="6"/>
      <c r="M8" s="6"/>
      <c r="N8" s="6"/>
    </row>
    <row r="9" spans="1:14" x14ac:dyDescent="0.25">
      <c r="A9" s="59" t="str">
        <f>'EDB data'!A19</f>
        <v>Annual change in households, 2023-28</v>
      </c>
      <c r="B9" s="12">
        <f>INDEX('EDB data'!$B$5:$B$51,MATCH($A9,'EDB data'!$A$5:$A$51,0),0)</f>
        <v>7.6360809513089656E-3</v>
      </c>
      <c r="C9" s="60"/>
      <c r="D9" s="60"/>
      <c r="E9" s="60"/>
      <c r="F9" s="60"/>
      <c r="G9" s="60"/>
      <c r="H9" s="60"/>
      <c r="I9" s="60"/>
      <c r="J9" s="60"/>
      <c r="K9" s="60"/>
      <c r="L9" s="6"/>
      <c r="M9" s="6"/>
      <c r="N9" s="6"/>
    </row>
    <row r="10" spans="1:14" x14ac:dyDescent="0.25">
      <c r="A10" s="61"/>
      <c r="B10" s="62"/>
      <c r="C10" s="63"/>
      <c r="D10" s="64">
        <f>'EDB data'!D12</f>
        <v>2019</v>
      </c>
      <c r="E10" s="64">
        <f>'EDB data'!E12</f>
        <v>2020</v>
      </c>
      <c r="F10" s="14">
        <f>'EDB data'!F12</f>
        <v>2021</v>
      </c>
      <c r="G10" s="14">
        <f>'EDB data'!G12</f>
        <v>2022</v>
      </c>
      <c r="H10" s="14">
        <f>'EDB data'!H12</f>
        <v>2023</v>
      </c>
      <c r="I10" s="14">
        <f>'EDB data'!I12</f>
        <v>2024</v>
      </c>
      <c r="J10" s="14">
        <f>'EDB data'!J12</f>
        <v>2025</v>
      </c>
      <c r="K10" s="14">
        <f>'EDB data'!K12</f>
        <v>2026</v>
      </c>
      <c r="L10" s="6"/>
      <c r="M10" s="6"/>
      <c r="N10" s="6"/>
    </row>
    <row r="11" spans="1:14" x14ac:dyDescent="0.25">
      <c r="A11" s="59" t="str">
        <f>'EDB data'!A13</f>
        <v>Weighting used in determining initial level</v>
      </c>
      <c r="B11" s="65"/>
      <c r="C11" s="50"/>
      <c r="D11" s="16">
        <f>'EDB data'!D13</f>
        <v>0</v>
      </c>
      <c r="E11" s="50">
        <f>'EDB data'!E13</f>
        <v>1</v>
      </c>
      <c r="F11" s="66"/>
      <c r="G11" s="66"/>
      <c r="H11" s="66"/>
      <c r="I11" s="66"/>
      <c r="J11" s="66"/>
      <c r="K11" s="66"/>
      <c r="L11" s="6"/>
      <c r="M11" s="6"/>
      <c r="N11" s="6"/>
    </row>
    <row r="12" spans="1:14" x14ac:dyDescent="0.25">
      <c r="A12" s="69" t="str">
        <f>'EDB data'!A29</f>
        <v>Non-network opex (nominal)</v>
      </c>
      <c r="B12" s="67"/>
      <c r="C12" s="49"/>
      <c r="D12" s="30">
        <f>INDEX('EDB data'!$B$5:$B$51,MATCH($A12&amp;" "&amp;D$10,'EDB data'!$A$5:$A$51,0),0)</f>
        <v>17728.451339256819</v>
      </c>
      <c r="E12" s="49">
        <f>INDEX('EDB data'!$B$5:$B$51,MATCH($A12&amp;" "&amp;E$10,'EDB data'!$A$5:$A$51,0),0)</f>
        <v>16429.88698893784</v>
      </c>
      <c r="F12" s="68"/>
      <c r="G12" s="68"/>
      <c r="H12" s="68"/>
      <c r="I12" s="68"/>
      <c r="J12" s="68"/>
      <c r="K12" s="68"/>
      <c r="L12" s="6"/>
      <c r="M12" s="6"/>
      <c r="N12" s="6"/>
    </row>
    <row r="13" spans="1:14" x14ac:dyDescent="0.25">
      <c r="A13" s="59" t="str">
        <f>'EDB data'!A15</f>
        <v>Non-network opex index of cost inflator</v>
      </c>
      <c r="B13" s="67"/>
      <c r="C13" s="51"/>
      <c r="D13" s="13">
        <f>'EDB data'!D15</f>
        <v>0.97918035590519992</v>
      </c>
      <c r="E13" s="13">
        <f>'EDB data'!E15</f>
        <v>1</v>
      </c>
      <c r="F13" s="13">
        <f>'EDB data'!F15</f>
        <v>1.0114370657336971</v>
      </c>
      <c r="G13" s="13">
        <f>'EDB data'!G15</f>
        <v>1.0281422246806382</v>
      </c>
      <c r="H13" s="13">
        <f>'EDB data'!H15</f>
        <v>1.0419469389364042</v>
      </c>
      <c r="I13" s="13">
        <f>'EDB data'!I15</f>
        <v>1.0588012278566337</v>
      </c>
      <c r="J13" s="13">
        <f>'EDB data'!J15</f>
        <v>1.078030609772288</v>
      </c>
      <c r="K13" s="13" t="e">
        <f>'EDB data'!K15</f>
        <v>#N/A</v>
      </c>
      <c r="L13" s="6"/>
      <c r="M13" s="6"/>
      <c r="N13" s="6"/>
    </row>
    <row r="14" spans="1:14" x14ac:dyDescent="0.25">
      <c r="A14" s="69" t="str">
        <f>'EDB data'!A48</f>
        <v>Non-network opex trend factors (nominal)</v>
      </c>
      <c r="B14" s="67"/>
      <c r="C14" s="70"/>
      <c r="D14" s="71">
        <f>'EDB data'!D48</f>
        <v>-58.024999999999999</v>
      </c>
      <c r="E14" s="70">
        <f>'EDB data'!E48</f>
        <v>506.724059945205</v>
      </c>
      <c r="F14" s="72"/>
      <c r="G14" s="72"/>
      <c r="H14" s="72"/>
      <c r="I14" s="72"/>
      <c r="J14" s="72"/>
      <c r="K14" s="72"/>
      <c r="L14" s="6"/>
      <c r="M14" s="6"/>
      <c r="N14" s="6"/>
    </row>
    <row r="15" spans="1:14" x14ac:dyDescent="0.25">
      <c r="A15" s="69" t="str">
        <f>'EDB data'!A50</f>
        <v>Non-network opex step factors (nominal)</v>
      </c>
      <c r="B15" s="69"/>
      <c r="C15" s="70"/>
      <c r="D15" s="71">
        <f>'EDB data'!D50</f>
        <v>0</v>
      </c>
      <c r="E15" s="71">
        <f>'EDB data'!E50</f>
        <v>-219.72405994520548</v>
      </c>
      <c r="F15" s="71">
        <f>'EDB data'!F50</f>
        <v>-219.86905999999999</v>
      </c>
      <c r="G15" s="71">
        <f>'EDB data'!G50</f>
        <v>-219.86905999999999</v>
      </c>
      <c r="H15" s="71">
        <f>'EDB data'!H50</f>
        <v>-219.86905999999999</v>
      </c>
      <c r="I15" s="71">
        <f>'EDB data'!I50</f>
        <v>-193.40509999945175</v>
      </c>
      <c r="J15" s="71">
        <f>'EDB data'!J50</f>
        <v>-166.94404</v>
      </c>
      <c r="K15" s="71">
        <f>'EDB data'!K50</f>
        <v>0</v>
      </c>
      <c r="L15" s="6"/>
      <c r="M15" s="6"/>
      <c r="N15" s="6"/>
    </row>
    <row r="16" spans="1:14" ht="39.950000000000003" customHeight="1" x14ac:dyDescent="0.35">
      <c r="A16" s="73" t="s">
        <v>10</v>
      </c>
      <c r="B16" s="74"/>
      <c r="C16" s="75"/>
      <c r="D16" s="74"/>
      <c r="E16" s="74"/>
      <c r="F16" s="74"/>
      <c r="G16" s="74"/>
      <c r="H16" s="74"/>
      <c r="I16" s="74"/>
      <c r="J16" s="74"/>
      <c r="K16" s="74"/>
      <c r="L16" s="6"/>
      <c r="M16" s="6"/>
      <c r="N16" s="6"/>
    </row>
    <row r="17" spans="1:14" ht="35.1" customHeight="1" x14ac:dyDescent="0.35">
      <c r="A17" s="76" t="s">
        <v>110</v>
      </c>
      <c r="B17" s="58" t="s">
        <v>13</v>
      </c>
      <c r="C17" s="55"/>
      <c r="D17" s="4"/>
      <c r="E17" s="4"/>
      <c r="F17" s="4"/>
      <c r="G17" s="4"/>
      <c r="H17" s="4"/>
      <c r="I17" s="4"/>
      <c r="J17" s="6"/>
      <c r="K17" s="6"/>
      <c r="L17" s="6"/>
      <c r="M17" s="6"/>
      <c r="N17" s="6"/>
    </row>
    <row r="18" spans="1:14" x14ac:dyDescent="0.25">
      <c r="A18" s="59" t="s">
        <v>88</v>
      </c>
      <c r="B18" s="77">
        <f>($B$8*$B$6)+($B$7*$B$5)</f>
        <v>7.2995002018818277E-3</v>
      </c>
      <c r="C18" s="78"/>
      <c r="D18" s="6"/>
      <c r="E18" s="6"/>
      <c r="F18" s="6"/>
      <c r="G18" s="6"/>
      <c r="H18" s="6"/>
      <c r="I18" s="6"/>
      <c r="J18" s="6"/>
      <c r="K18" s="6"/>
      <c r="L18" s="6"/>
      <c r="M18" s="6"/>
      <c r="N18" s="6"/>
    </row>
    <row r="19" spans="1:14" x14ac:dyDescent="0.25">
      <c r="A19" s="59" t="s">
        <v>89</v>
      </c>
      <c r="B19" s="77">
        <f>($B$9*$B$6)+($B$7*$B$5)</f>
        <v>5.6833801695886678E-3</v>
      </c>
      <c r="C19" s="78"/>
      <c r="D19" s="6"/>
      <c r="E19" s="6"/>
      <c r="F19" s="6"/>
      <c r="G19" s="6"/>
      <c r="H19" s="6"/>
      <c r="I19" s="6"/>
      <c r="J19" s="6"/>
      <c r="K19" s="6"/>
      <c r="L19" s="6"/>
      <c r="M19" s="6"/>
      <c r="N19" s="6"/>
    </row>
    <row r="20" spans="1:14" ht="35.1" customHeight="1" x14ac:dyDescent="0.35">
      <c r="A20" s="79" t="str">
        <f>A13</f>
        <v>Non-network opex index of cost inflator</v>
      </c>
      <c r="B20" s="80"/>
      <c r="C20" s="63"/>
      <c r="D20" s="64">
        <f t="shared" ref="D20:K22" si="0">D$10</f>
        <v>2019</v>
      </c>
      <c r="E20" s="64">
        <f t="shared" si="0"/>
        <v>2020</v>
      </c>
      <c r="F20" s="64">
        <f t="shared" si="0"/>
        <v>2021</v>
      </c>
      <c r="G20" s="64">
        <f t="shared" si="0"/>
        <v>2022</v>
      </c>
      <c r="H20" s="64">
        <f t="shared" si="0"/>
        <v>2023</v>
      </c>
      <c r="I20" s="64">
        <f t="shared" si="0"/>
        <v>2024</v>
      </c>
      <c r="J20" s="64">
        <f t="shared" si="0"/>
        <v>2025</v>
      </c>
      <c r="K20" s="64">
        <f t="shared" si="0"/>
        <v>2026</v>
      </c>
      <c r="L20" s="6"/>
      <c r="M20" s="6"/>
      <c r="N20" s="6"/>
    </row>
    <row r="21" spans="1:14" x14ac:dyDescent="0.25">
      <c r="A21" s="145" t="str">
        <f>$A$20&amp;" to "&amp;$E$20</f>
        <v>Non-network opex index of cost inflator to 2020</v>
      </c>
      <c r="B21" s="77"/>
      <c r="C21" s="81"/>
      <c r="D21" s="81">
        <f>D13/INDEX($C$13:$K$13,MATCH($E$20,$C$10:$K$10,0))</f>
        <v>0.97918035590519992</v>
      </c>
      <c r="E21" s="81">
        <f t="shared" ref="E21:J21" si="1">E13/INDEX($C$13:$K$13,MATCH($E$20,$C$10:$K$10,0))</f>
        <v>1</v>
      </c>
      <c r="F21" s="81">
        <f t="shared" si="1"/>
        <v>1.0114370657336971</v>
      </c>
      <c r="G21" s="81">
        <f t="shared" si="1"/>
        <v>1.0281422246806382</v>
      </c>
      <c r="H21" s="81">
        <f t="shared" si="1"/>
        <v>1.0419469389364042</v>
      </c>
      <c r="I21" s="81">
        <f t="shared" si="1"/>
        <v>1.0588012278566337</v>
      </c>
      <c r="J21" s="81">
        <f t="shared" si="1"/>
        <v>1.078030609772288</v>
      </c>
      <c r="K21" s="82" t="str">
        <f>IFERROR(K13/INDEX($C$13:$K$13,MATCH($D$20,$C$10:$K$10,0)),"")</f>
        <v/>
      </c>
      <c r="L21" s="6"/>
      <c r="M21" s="83" t="str">
        <f>"Index cost inflators to "&amp;E20&amp;"."</f>
        <v>Index cost inflators to 2020.</v>
      </c>
      <c r="N21" s="6"/>
    </row>
    <row r="22" spans="1:14" ht="35.1" customHeight="1" x14ac:dyDescent="0.35">
      <c r="A22" s="84" t="s">
        <v>90</v>
      </c>
      <c r="B22" s="80"/>
      <c r="C22" s="85"/>
      <c r="D22" s="86">
        <f t="shared" si="0"/>
        <v>2019</v>
      </c>
      <c r="E22" s="86">
        <f t="shared" si="0"/>
        <v>2020</v>
      </c>
      <c r="F22" s="86">
        <f t="shared" si="0"/>
        <v>2021</v>
      </c>
      <c r="G22" s="86">
        <f t="shared" si="0"/>
        <v>2022</v>
      </c>
      <c r="H22" s="86">
        <f t="shared" si="0"/>
        <v>2023</v>
      </c>
      <c r="I22" s="86">
        <f t="shared" si="0"/>
        <v>2024</v>
      </c>
      <c r="J22" s="86">
        <f t="shared" si="0"/>
        <v>2025</v>
      </c>
      <c r="K22" s="86">
        <f t="shared" si="0"/>
        <v>2026</v>
      </c>
      <c r="L22" s="6"/>
      <c r="M22" s="6"/>
      <c r="N22" s="6"/>
    </row>
    <row r="23" spans="1:14" x14ac:dyDescent="0.25">
      <c r="A23" s="59" t="str">
        <f>A4</f>
        <v>Non-network opex partial productivity factor</v>
      </c>
      <c r="B23" s="77"/>
      <c r="C23" s="87"/>
      <c r="D23" s="77">
        <f t="shared" ref="D23:K23" si="2">-$B$4</f>
        <v>0</v>
      </c>
      <c r="E23" s="77">
        <f t="shared" si="2"/>
        <v>0</v>
      </c>
      <c r="F23" s="77">
        <f t="shared" si="2"/>
        <v>0</v>
      </c>
      <c r="G23" s="77">
        <f t="shared" si="2"/>
        <v>0</v>
      </c>
      <c r="H23" s="77">
        <f t="shared" si="2"/>
        <v>0</v>
      </c>
      <c r="I23" s="77">
        <f t="shared" si="2"/>
        <v>0</v>
      </c>
      <c r="J23" s="77">
        <f t="shared" si="2"/>
        <v>0</v>
      </c>
      <c r="K23" s="77">
        <f t="shared" si="2"/>
        <v>0</v>
      </c>
      <c r="L23" s="6"/>
      <c r="M23" s="88" t="str">
        <f>A23 &amp;" multiplied by negative one."</f>
        <v>Non-network opex partial productivity factor multiplied by negative one.</v>
      </c>
      <c r="N23" s="6"/>
    </row>
    <row r="24" spans="1:14" x14ac:dyDescent="0.25">
      <c r="A24" s="59" t="str">
        <f>A18</f>
        <v>Percentage change in non-network scale from 2018 to 2023</v>
      </c>
      <c r="B24" s="77"/>
      <c r="C24" s="87"/>
      <c r="D24" s="77">
        <f t="shared" ref="D24:K24" si="3">IF(VALUE(RIGHT(D22,2))&lt;=VALUE(RIGHT($A$18,2)),$B$18,0)</f>
        <v>7.2995002018818277E-3</v>
      </c>
      <c r="E24" s="77">
        <f t="shared" si="3"/>
        <v>7.2995002018818277E-3</v>
      </c>
      <c r="F24" s="77">
        <f t="shared" si="3"/>
        <v>7.2995002018818277E-3</v>
      </c>
      <c r="G24" s="77">
        <f t="shared" si="3"/>
        <v>7.2995002018818277E-3</v>
      </c>
      <c r="H24" s="77">
        <f t="shared" si="3"/>
        <v>7.2995002018818277E-3</v>
      </c>
      <c r="I24" s="77">
        <f t="shared" si="3"/>
        <v>0</v>
      </c>
      <c r="J24" s="77">
        <f t="shared" si="3"/>
        <v>0</v>
      </c>
      <c r="K24" s="77">
        <f t="shared" si="3"/>
        <v>0</v>
      </c>
      <c r="L24" s="6"/>
      <c r="M24" s="6"/>
      <c r="N24" s="6"/>
    </row>
    <row r="25" spans="1:14" x14ac:dyDescent="0.25">
      <c r="A25" s="59" t="str">
        <f>A19</f>
        <v>Percentage change in non-network scale from 2023 to 2028</v>
      </c>
      <c r="B25" s="77"/>
      <c r="C25" s="87"/>
      <c r="D25" s="77">
        <f t="shared" ref="D25:K25" si="4">IF(AND(VALUE(RIGHT(D22,2))&gt;VALUE(RIGHT($A$18,2)),VALUE(RIGHT(D22,2))&lt;=VALUE(RIGHT($A$19,2))),$B$19,0)</f>
        <v>0</v>
      </c>
      <c r="E25" s="77">
        <f t="shared" si="4"/>
        <v>0</v>
      </c>
      <c r="F25" s="77">
        <f t="shared" si="4"/>
        <v>0</v>
      </c>
      <c r="G25" s="77">
        <f t="shared" si="4"/>
        <v>0</v>
      </c>
      <c r="H25" s="77">
        <f t="shared" si="4"/>
        <v>0</v>
      </c>
      <c r="I25" s="77">
        <f t="shared" si="4"/>
        <v>5.6833801695886678E-3</v>
      </c>
      <c r="J25" s="77">
        <f t="shared" si="4"/>
        <v>5.6833801695886678E-3</v>
      </c>
      <c r="K25" s="77">
        <f t="shared" si="4"/>
        <v>5.6833801695886678E-3</v>
      </c>
      <c r="L25" s="6"/>
      <c r="M25" s="6"/>
      <c r="N25" s="6"/>
    </row>
    <row r="26" spans="1:14" x14ac:dyDescent="0.25">
      <c r="A26" s="59" t="s">
        <v>90</v>
      </c>
      <c r="B26" s="77"/>
      <c r="C26" s="87"/>
      <c r="D26" s="77">
        <f t="shared" ref="D26:J26" si="5">(1+SUM(D24:D25))*(1+D23)-1</f>
        <v>7.2995002018818589E-3</v>
      </c>
      <c r="E26" s="77">
        <f t="shared" si="5"/>
        <v>7.2995002018818589E-3</v>
      </c>
      <c r="F26" s="77">
        <f t="shared" si="5"/>
        <v>7.2995002018818589E-3</v>
      </c>
      <c r="G26" s="77">
        <f t="shared" si="5"/>
        <v>7.2995002018818589E-3</v>
      </c>
      <c r="H26" s="77">
        <f t="shared" si="5"/>
        <v>7.2995002018818589E-3</v>
      </c>
      <c r="I26" s="77">
        <f t="shared" si="5"/>
        <v>5.6833801695885811E-3</v>
      </c>
      <c r="J26" s="77">
        <f t="shared" si="5"/>
        <v>5.6833801695885811E-3</v>
      </c>
      <c r="K26" s="77">
        <f t="shared" ref="K26" si="6">(1+SUM(K24:K25))*(1+K23)-1</f>
        <v>5.6833801695885811E-3</v>
      </c>
      <c r="L26" s="6"/>
      <c r="M26" s="6"/>
      <c r="N26" s="6"/>
    </row>
    <row r="27" spans="1:14" ht="35.1" customHeight="1" x14ac:dyDescent="0.35">
      <c r="A27" s="84" t="s">
        <v>107</v>
      </c>
      <c r="B27" s="80"/>
      <c r="C27" s="85"/>
      <c r="D27" s="86">
        <f>D$10</f>
        <v>2019</v>
      </c>
      <c r="E27" s="85">
        <f>E$10</f>
        <v>2020</v>
      </c>
      <c r="F27" s="90"/>
      <c r="G27" s="90"/>
      <c r="H27" s="90"/>
      <c r="I27" s="90"/>
      <c r="J27" s="74"/>
      <c r="K27" s="74"/>
      <c r="L27" s="6"/>
      <c r="M27" s="91" t="s">
        <v>134</v>
      </c>
      <c r="N27" s="6"/>
    </row>
    <row r="28" spans="1:14" x14ac:dyDescent="0.25">
      <c r="A28" s="59" t="str">
        <f>'EDB data'!A13</f>
        <v>Weighting used in determining initial level</v>
      </c>
      <c r="B28" s="77"/>
      <c r="C28" s="92"/>
      <c r="D28" s="93">
        <f>D11</f>
        <v>0</v>
      </c>
      <c r="E28" s="92">
        <f>E11</f>
        <v>1</v>
      </c>
      <c r="F28" s="6"/>
      <c r="G28" s="6"/>
      <c r="H28" s="6"/>
      <c r="I28" s="6"/>
      <c r="J28" s="6"/>
      <c r="K28" s="6"/>
      <c r="L28" s="6"/>
      <c r="M28" s="6"/>
      <c r="N28" s="6"/>
    </row>
    <row r="29" spans="1:14" x14ac:dyDescent="0.25">
      <c r="A29" s="94" t="s">
        <v>45</v>
      </c>
      <c r="B29" s="77"/>
      <c r="C29" s="95"/>
      <c r="D29" s="11">
        <f>D12/D21</f>
        <v>18105.399309065808</v>
      </c>
      <c r="E29" s="95">
        <f>E12/E21</f>
        <v>16429.88698893784</v>
      </c>
      <c r="F29" s="6"/>
      <c r="G29" s="6"/>
      <c r="H29" s="6"/>
      <c r="I29" s="6"/>
      <c r="J29" s="6"/>
      <c r="K29" s="6"/>
      <c r="L29" s="6"/>
      <c r="M29" s="96" t="str">
        <f>"Convert nominal to constant. Base values for calculating '"&amp;A33&amp;"'."</f>
        <v>Convert nominal to constant. Base values for calculating 'Initial level of non-network opex (constant)'.</v>
      </c>
      <c r="N29" s="6"/>
    </row>
    <row r="30" spans="1:14" x14ac:dyDescent="0.25">
      <c r="A30" s="59" t="s">
        <v>65</v>
      </c>
      <c r="B30" s="77"/>
      <c r="C30" s="95"/>
      <c r="D30" s="97">
        <f>D14/D21</f>
        <v>-59.258746001250188</v>
      </c>
      <c r="E30" s="95">
        <f>E14/E21</f>
        <v>506.724059945205</v>
      </c>
      <c r="F30" s="6"/>
      <c r="G30" s="6"/>
      <c r="H30" s="6"/>
      <c r="I30" s="6"/>
      <c r="J30" s="6"/>
      <c r="K30" s="6"/>
      <c r="L30" s="6"/>
      <c r="M30" s="96" t="str">
        <f>"Convert nominal to constant.  Add to base values to calculate '"&amp;A33&amp;"'."</f>
        <v>Convert nominal to constant.  Add to base values to calculate 'Initial level of non-network opex (constant)'.</v>
      </c>
      <c r="N30" s="6"/>
    </row>
    <row r="31" spans="1:14" x14ac:dyDescent="0.25">
      <c r="A31" s="59" t="s">
        <v>121</v>
      </c>
      <c r="B31" s="77"/>
      <c r="C31" s="52"/>
      <c r="D31" s="98">
        <f>E31/(1+E26)</f>
        <v>0.99275339638268567</v>
      </c>
      <c r="E31" s="99">
        <v>1</v>
      </c>
      <c r="F31" s="6"/>
      <c r="G31" s="6"/>
      <c r="H31" s="6"/>
      <c r="I31" s="6"/>
      <c r="J31" s="6"/>
      <c r="K31" s="6"/>
      <c r="L31" s="6"/>
      <c r="M31" s="96" t="str">
        <f>"Index used to adjust values to "&amp;D27&amp;" Non-network scale."</f>
        <v>Index used to adjust values to 2019 Non-network scale.</v>
      </c>
      <c r="N31" s="6"/>
    </row>
    <row r="32" spans="1:14" x14ac:dyDescent="0.25">
      <c r="A32" s="94" t="str">
        <f>"Non-network opex plus trend factors (constant) at "&amp;E22&amp;" non-network scale"</f>
        <v>Non-network opex plus trend factors (constant) at 2020 non-network scale</v>
      </c>
      <c r="B32" s="77"/>
      <c r="C32" s="95"/>
      <c r="D32" s="11">
        <f>(D29+D30)/D31</f>
        <v>18177.868369747834</v>
      </c>
      <c r="E32" s="95">
        <f>(E29+E30)/E31</f>
        <v>16936.611048883045</v>
      </c>
      <c r="F32" s="6"/>
      <c r="G32" s="6"/>
      <c r="H32" s="6"/>
      <c r="I32" s="6"/>
      <c r="J32" s="6"/>
      <c r="K32" s="6"/>
      <c r="L32" s="6"/>
      <c r="M32" s="100"/>
      <c r="N32" s="6"/>
    </row>
    <row r="33" spans="1:14" x14ac:dyDescent="0.25">
      <c r="A33" s="94" t="s">
        <v>135</v>
      </c>
      <c r="B33" s="77"/>
      <c r="C33" s="95"/>
      <c r="D33" s="95"/>
      <c r="E33" s="95">
        <f>SUMPRODUCT(D32:E32,D28:E28)</f>
        <v>16936.611048883045</v>
      </c>
      <c r="F33" s="6"/>
      <c r="G33" s="6"/>
      <c r="H33" s="6"/>
      <c r="I33" s="6"/>
      <c r="J33" s="6"/>
      <c r="K33" s="6"/>
      <c r="L33" s="6"/>
      <c r="M33" s="83" t="str">
        <f>"Initial level at "&amp;$E$27&amp;" constant price and non-network scale."</f>
        <v>Initial level at 2020 constant price and non-network scale.</v>
      </c>
      <c r="N33" s="6"/>
    </row>
    <row r="34" spans="1:14" ht="35.1" customHeight="1" x14ac:dyDescent="0.35">
      <c r="A34" s="84" t="s">
        <v>108</v>
      </c>
      <c r="B34" s="80"/>
      <c r="C34" s="101"/>
      <c r="D34" s="86">
        <f t="shared" ref="D34:K34" si="7">D$10</f>
        <v>2019</v>
      </c>
      <c r="E34" s="103">
        <f t="shared" si="7"/>
        <v>2020</v>
      </c>
      <c r="F34" s="64">
        <f t="shared" si="7"/>
        <v>2021</v>
      </c>
      <c r="G34" s="64">
        <f t="shared" si="7"/>
        <v>2022</v>
      </c>
      <c r="H34" s="64">
        <f t="shared" si="7"/>
        <v>2023</v>
      </c>
      <c r="I34" s="64">
        <f t="shared" si="7"/>
        <v>2024</v>
      </c>
      <c r="J34" s="64">
        <f t="shared" si="7"/>
        <v>2025</v>
      </c>
      <c r="K34" s="64">
        <f t="shared" si="7"/>
        <v>2026</v>
      </c>
      <c r="L34" s="6"/>
      <c r="M34" s="37"/>
      <c r="N34" s="6"/>
    </row>
    <row r="35" spans="1:14" x14ac:dyDescent="0.25">
      <c r="A35" s="94" t="s">
        <v>122</v>
      </c>
      <c r="B35" s="77"/>
      <c r="C35" s="95"/>
      <c r="D35" s="11">
        <f>D33</f>
        <v>0</v>
      </c>
      <c r="E35" s="104">
        <f>E33</f>
        <v>16936.611048883045</v>
      </c>
      <c r="F35" s="105">
        <f t="shared" ref="F35:K35" si="8">E35*(1+F26)</f>
        <v>17060.239844653563</v>
      </c>
      <c r="G35" s="11">
        <f t="shared" si="8"/>
        <v>17184.771068843766</v>
      </c>
      <c r="H35" s="11">
        <f t="shared" si="8"/>
        <v>17310.211308730086</v>
      </c>
      <c r="I35" s="11">
        <f t="shared" si="8"/>
        <v>17408.591820413509</v>
      </c>
      <c r="J35" s="11">
        <f t="shared" si="8"/>
        <v>17507.531465946107</v>
      </c>
      <c r="K35" s="11">
        <f t="shared" si="8"/>
        <v>17607.033423098113</v>
      </c>
      <c r="L35" s="6"/>
      <c r="M35" s="100" t="s">
        <v>84</v>
      </c>
      <c r="N35" s="6"/>
    </row>
    <row r="36" spans="1:14" x14ac:dyDescent="0.25">
      <c r="A36" s="59" t="s">
        <v>98</v>
      </c>
      <c r="B36" s="77"/>
      <c r="C36" s="95"/>
      <c r="D36" s="106">
        <f t="shared" ref="D36:J36" si="9">D15/D21</f>
        <v>0</v>
      </c>
      <c r="E36" s="106">
        <f t="shared" si="9"/>
        <v>-219.72405994520548</v>
      </c>
      <c r="F36" s="106">
        <f t="shared" si="9"/>
        <v>-217.38283819024056</v>
      </c>
      <c r="G36" s="106">
        <f t="shared" si="9"/>
        <v>-213.85082211587581</v>
      </c>
      <c r="H36" s="106">
        <f t="shared" si="9"/>
        <v>-211.01752093483506</v>
      </c>
      <c r="I36" s="106">
        <f t="shared" si="9"/>
        <v>-182.6642196014148</v>
      </c>
      <c r="J36" s="107">
        <f t="shared" si="9"/>
        <v>-154.86020386310136</v>
      </c>
      <c r="K36" s="106" t="str">
        <f>IFERROR(K15/K21,"")</f>
        <v/>
      </c>
      <c r="L36" s="6"/>
      <c r="M36" s="96" t="str">
        <f>"Convert nominal to constant.  Add to trend values to calculate '"&amp;A37&amp;"'."</f>
        <v>Convert nominal to constant.  Add to trend values to calculate 'Non-network opex series (constant)'.</v>
      </c>
      <c r="N36" s="6"/>
    </row>
    <row r="37" spans="1:14" x14ac:dyDescent="0.25">
      <c r="A37" s="94" t="s">
        <v>66</v>
      </c>
      <c r="B37" s="77"/>
      <c r="C37" s="95"/>
      <c r="D37" s="11">
        <f>D35+D36</f>
        <v>0</v>
      </c>
      <c r="E37" s="11">
        <f>E35+E36</f>
        <v>16716.88698893784</v>
      </c>
      <c r="F37" s="11">
        <f t="shared" ref="F37:J37" si="10">F35+F36</f>
        <v>16842.85700646332</v>
      </c>
      <c r="G37" s="11">
        <f t="shared" si="10"/>
        <v>16970.920246727888</v>
      </c>
      <c r="H37" s="11">
        <f t="shared" si="10"/>
        <v>17099.193787795251</v>
      </c>
      <c r="I37" s="11">
        <f t="shared" si="10"/>
        <v>17225.927600812094</v>
      </c>
      <c r="J37" s="108">
        <f t="shared" si="10"/>
        <v>17352.671262083008</v>
      </c>
      <c r="K37" s="11" t="str">
        <f>IFERROR(K35+K36,"")</f>
        <v/>
      </c>
      <c r="L37" s="6"/>
      <c r="M37" s="100" t="s">
        <v>85</v>
      </c>
      <c r="N37" s="6"/>
    </row>
    <row r="38" spans="1:14" ht="35.1" customHeight="1" x14ac:dyDescent="0.35">
      <c r="A38" s="84" t="s">
        <v>109</v>
      </c>
      <c r="B38" s="80"/>
      <c r="C38" s="101"/>
      <c r="D38" s="86">
        <f t="shared" ref="D38:K38" si="11">D$10</f>
        <v>2019</v>
      </c>
      <c r="E38" s="86">
        <f t="shared" si="11"/>
        <v>2020</v>
      </c>
      <c r="F38" s="86">
        <f t="shared" si="11"/>
        <v>2021</v>
      </c>
      <c r="G38" s="86">
        <f t="shared" si="11"/>
        <v>2022</v>
      </c>
      <c r="H38" s="86">
        <f t="shared" si="11"/>
        <v>2023</v>
      </c>
      <c r="I38" s="86">
        <f t="shared" si="11"/>
        <v>2024</v>
      </c>
      <c r="J38" s="86">
        <f t="shared" si="11"/>
        <v>2025</v>
      </c>
      <c r="K38" s="86">
        <f t="shared" si="11"/>
        <v>2026</v>
      </c>
      <c r="L38" s="6"/>
      <c r="M38" s="6"/>
      <c r="N38" s="6"/>
    </row>
    <row r="39" spans="1:14" x14ac:dyDescent="0.25">
      <c r="A39" s="94" t="s">
        <v>67</v>
      </c>
      <c r="B39" s="77"/>
      <c r="C39" s="95"/>
      <c r="D39" s="11">
        <f>D37*D21</f>
        <v>0</v>
      </c>
      <c r="E39" s="11">
        <f t="shared" ref="E39:J39" si="12">E37*E21</f>
        <v>16716.88698893784</v>
      </c>
      <c r="F39" s="11">
        <f t="shared" si="12"/>
        <v>17035.489869189503</v>
      </c>
      <c r="G39" s="11">
        <f t="shared" si="12"/>
        <v>17448.519697348496</v>
      </c>
      <c r="H39" s="11">
        <f t="shared" si="12"/>
        <v>17816.452625473641</v>
      </c>
      <c r="I39" s="11">
        <f t="shared" si="12"/>
        <v>18238.833294709322</v>
      </c>
      <c r="J39" s="108">
        <f t="shared" si="12"/>
        <v>18706.710781841404</v>
      </c>
      <c r="K39" s="11" t="str">
        <f>IFERROR(K37*K21,"")</f>
        <v/>
      </c>
      <c r="L39" s="6"/>
      <c r="M39" s="100" t="s">
        <v>86</v>
      </c>
      <c r="N39" s="6"/>
    </row>
    <row r="40" spans="1:14" x14ac:dyDescent="0.25">
      <c r="A40" s="94" t="s">
        <v>123</v>
      </c>
      <c r="B40" s="77"/>
      <c r="C40" s="95"/>
      <c r="D40" s="11">
        <f>D35*D21</f>
        <v>0</v>
      </c>
      <c r="E40" s="11">
        <f t="shared" ref="E40:J40" si="13">E35*E21</f>
        <v>16936.611048883045</v>
      </c>
      <c r="F40" s="11">
        <f t="shared" si="13"/>
        <v>17255.358929189504</v>
      </c>
      <c r="G40" s="11">
        <f t="shared" si="13"/>
        <v>17668.388757348497</v>
      </c>
      <c r="H40" s="11">
        <f t="shared" si="13"/>
        <v>18036.321685473642</v>
      </c>
      <c r="I40" s="11">
        <f t="shared" si="13"/>
        <v>18432.238394708773</v>
      </c>
      <c r="J40" s="108">
        <f t="shared" si="13"/>
        <v>18873.654821841403</v>
      </c>
      <c r="K40" s="11" t="str">
        <f>IFERROR(K35*K21,"")</f>
        <v/>
      </c>
      <c r="L40" s="6"/>
      <c r="M40" s="100" t="s">
        <v>87</v>
      </c>
      <c r="N40" s="6"/>
    </row>
    <row r="41" spans="1:14" ht="39.950000000000003" customHeight="1" x14ac:dyDescent="0.35">
      <c r="A41" s="73" t="s">
        <v>5</v>
      </c>
      <c r="B41" s="74"/>
      <c r="C41" s="109"/>
      <c r="D41" s="110"/>
      <c r="E41" s="110"/>
      <c r="F41" s="110"/>
      <c r="G41" s="110"/>
      <c r="H41" s="110"/>
      <c r="I41" s="110"/>
      <c r="J41" s="110"/>
      <c r="K41" s="110"/>
      <c r="L41" s="6"/>
      <c r="M41" s="6"/>
      <c r="N41" s="6"/>
    </row>
    <row r="42" spans="1:14" x14ac:dyDescent="0.25">
      <c r="A42" s="39"/>
      <c r="B42" s="111"/>
      <c r="C42" s="112"/>
      <c r="D42" s="113">
        <f t="shared" ref="D42:K42" si="14">D$10</f>
        <v>2019</v>
      </c>
      <c r="E42" s="113">
        <f t="shared" si="14"/>
        <v>2020</v>
      </c>
      <c r="F42" s="113">
        <f t="shared" si="14"/>
        <v>2021</v>
      </c>
      <c r="G42" s="113">
        <f t="shared" si="14"/>
        <v>2022</v>
      </c>
      <c r="H42" s="113">
        <f t="shared" si="14"/>
        <v>2023</v>
      </c>
      <c r="I42" s="113">
        <f t="shared" si="14"/>
        <v>2024</v>
      </c>
      <c r="J42" s="113">
        <f t="shared" si="14"/>
        <v>2025</v>
      </c>
      <c r="K42" s="113">
        <f t="shared" si="14"/>
        <v>2026</v>
      </c>
      <c r="L42" s="6"/>
      <c r="M42" s="6"/>
      <c r="N42" s="6"/>
    </row>
    <row r="43" spans="1:14" x14ac:dyDescent="0.25">
      <c r="A43" s="59" t="str">
        <f>A37</f>
        <v>Non-network opex series (constant)</v>
      </c>
      <c r="B43" s="77"/>
      <c r="C43" s="95"/>
      <c r="D43" s="11">
        <f>D37</f>
        <v>0</v>
      </c>
      <c r="E43" s="11">
        <f t="shared" ref="E43:K43" si="15">E37</f>
        <v>16716.88698893784</v>
      </c>
      <c r="F43" s="11">
        <f t="shared" si="15"/>
        <v>16842.85700646332</v>
      </c>
      <c r="G43" s="11">
        <f t="shared" si="15"/>
        <v>16970.920246727888</v>
      </c>
      <c r="H43" s="11">
        <f t="shared" si="15"/>
        <v>17099.193787795251</v>
      </c>
      <c r="I43" s="11">
        <f t="shared" si="15"/>
        <v>17225.927600812094</v>
      </c>
      <c r="J43" s="11">
        <f t="shared" si="15"/>
        <v>17352.671262083008</v>
      </c>
      <c r="K43" s="11" t="str">
        <f t="shared" si="15"/>
        <v/>
      </c>
      <c r="L43" s="6"/>
      <c r="M43" s="100" t="s">
        <v>85</v>
      </c>
      <c r="N43" s="6"/>
    </row>
    <row r="44" spans="1:14" x14ac:dyDescent="0.25">
      <c r="A44" s="59" t="str">
        <f>A39</f>
        <v>Non-network opex series (nominal)</v>
      </c>
      <c r="B44" s="77"/>
      <c r="C44" s="95"/>
      <c r="D44" s="11">
        <f t="shared" ref="D44:K44" si="16">D39</f>
        <v>0</v>
      </c>
      <c r="E44" s="11">
        <f t="shared" si="16"/>
        <v>16716.88698893784</v>
      </c>
      <c r="F44" s="11">
        <f t="shared" si="16"/>
        <v>17035.489869189503</v>
      </c>
      <c r="G44" s="11">
        <f t="shared" si="16"/>
        <v>17448.519697348496</v>
      </c>
      <c r="H44" s="11">
        <f t="shared" si="16"/>
        <v>17816.452625473641</v>
      </c>
      <c r="I44" s="11">
        <f t="shared" si="16"/>
        <v>18238.833294709322</v>
      </c>
      <c r="J44" s="11">
        <f t="shared" si="16"/>
        <v>18706.710781841404</v>
      </c>
      <c r="K44" s="11" t="str">
        <f t="shared" si="16"/>
        <v/>
      </c>
      <c r="L44" s="6"/>
      <c r="M44" s="100" t="s">
        <v>86</v>
      </c>
      <c r="N44" s="6"/>
    </row>
    <row r="45" spans="1:14" x14ac:dyDescent="0.25">
      <c r="A45" s="59" t="str">
        <f>A35</f>
        <v>Trend in non-network opex (constant)</v>
      </c>
      <c r="B45" s="59"/>
      <c r="C45" s="95"/>
      <c r="D45" s="11">
        <f>D35</f>
        <v>0</v>
      </c>
      <c r="E45" s="11">
        <f t="shared" ref="E45:K45" si="17">E35</f>
        <v>16936.611048883045</v>
      </c>
      <c r="F45" s="11">
        <f t="shared" si="17"/>
        <v>17060.239844653563</v>
      </c>
      <c r="G45" s="11">
        <f t="shared" si="17"/>
        <v>17184.771068843766</v>
      </c>
      <c r="H45" s="11">
        <f t="shared" si="17"/>
        <v>17310.211308730086</v>
      </c>
      <c r="I45" s="11">
        <f t="shared" si="17"/>
        <v>17408.591820413509</v>
      </c>
      <c r="J45" s="11">
        <f t="shared" si="17"/>
        <v>17507.531465946107</v>
      </c>
      <c r="K45" s="11">
        <f t="shared" si="17"/>
        <v>17607.033423098113</v>
      </c>
      <c r="L45" s="6"/>
      <c r="M45" s="100" t="s">
        <v>84</v>
      </c>
      <c r="N45" s="6"/>
    </row>
    <row r="46" spans="1:14" x14ac:dyDescent="0.25">
      <c r="A46" s="59" t="str">
        <f>A40</f>
        <v>Trend in non-network opex series (nominal)</v>
      </c>
      <c r="B46" s="59"/>
      <c r="C46" s="95"/>
      <c r="D46" s="11">
        <f t="shared" ref="D46:K46" si="18">D40</f>
        <v>0</v>
      </c>
      <c r="E46" s="11">
        <f t="shared" si="18"/>
        <v>16936.611048883045</v>
      </c>
      <c r="F46" s="11">
        <f t="shared" si="18"/>
        <v>17255.358929189504</v>
      </c>
      <c r="G46" s="11">
        <f t="shared" si="18"/>
        <v>17668.388757348497</v>
      </c>
      <c r="H46" s="11">
        <f t="shared" si="18"/>
        <v>18036.321685473642</v>
      </c>
      <c r="I46" s="11">
        <f t="shared" si="18"/>
        <v>18432.238394708773</v>
      </c>
      <c r="J46" s="11">
        <f t="shared" si="18"/>
        <v>18873.654821841403</v>
      </c>
      <c r="K46" s="11" t="str">
        <f t="shared" si="18"/>
        <v/>
      </c>
      <c r="L46" s="6"/>
      <c r="M46" s="100" t="s">
        <v>87</v>
      </c>
      <c r="N46" s="6"/>
    </row>
    <row r="47" spans="1:14" x14ac:dyDescent="0.25">
      <c r="A47" s="59" t="str">
        <f>A30</f>
        <v>Non-network opex trend factors (constant)</v>
      </c>
      <c r="B47" s="59"/>
      <c r="C47" s="95"/>
      <c r="D47" s="11">
        <f t="shared" ref="D47:E47" si="19">D30</f>
        <v>-59.258746001250188</v>
      </c>
      <c r="E47" s="11">
        <f t="shared" si="19"/>
        <v>506.724059945205</v>
      </c>
      <c r="F47" s="114"/>
      <c r="G47" s="114"/>
      <c r="H47" s="114"/>
      <c r="I47" s="114"/>
      <c r="J47" s="114"/>
      <c r="K47" s="114"/>
      <c r="L47" s="100"/>
      <c r="M47" s="100"/>
      <c r="N47" s="6"/>
    </row>
    <row r="48" spans="1:14" x14ac:dyDescent="0.25">
      <c r="A48" s="59" t="str">
        <f>A36</f>
        <v>Non-network opex step factors (constant)</v>
      </c>
      <c r="B48" s="59"/>
      <c r="C48" s="95"/>
      <c r="D48" s="11">
        <f t="shared" ref="D48:K48" si="20">D36</f>
        <v>0</v>
      </c>
      <c r="E48" s="11">
        <f t="shared" si="20"/>
        <v>-219.72405994520548</v>
      </c>
      <c r="F48" s="11">
        <f t="shared" si="20"/>
        <v>-217.38283819024056</v>
      </c>
      <c r="G48" s="11">
        <f t="shared" si="20"/>
        <v>-213.85082211587581</v>
      </c>
      <c r="H48" s="11">
        <f t="shared" si="20"/>
        <v>-211.01752093483506</v>
      </c>
      <c r="I48" s="11">
        <f t="shared" si="20"/>
        <v>-182.6642196014148</v>
      </c>
      <c r="J48" s="11">
        <f t="shared" si="20"/>
        <v>-154.86020386310136</v>
      </c>
      <c r="K48" s="11" t="str">
        <f t="shared" si="20"/>
        <v/>
      </c>
      <c r="L48" s="6"/>
      <c r="M48" s="100"/>
      <c r="N48" s="6"/>
    </row>
    <row r="49" spans="1:14" x14ac:dyDescent="0.25">
      <c r="A49" s="59" t="str">
        <f>A33</f>
        <v>Initial level of non-network opex (constant)</v>
      </c>
      <c r="B49" s="77"/>
      <c r="C49" s="11"/>
      <c r="D49" s="95"/>
      <c r="E49" s="95">
        <f>E33</f>
        <v>16936.611048883045</v>
      </c>
      <c r="F49" s="74"/>
      <c r="G49" s="74"/>
      <c r="H49" s="74"/>
      <c r="I49" s="74"/>
      <c r="J49" s="74"/>
      <c r="K49" s="74"/>
      <c r="L49" s="6"/>
      <c r="M49" s="35" t="s">
        <v>83</v>
      </c>
      <c r="N49" s="6"/>
    </row>
    <row r="50" spans="1:14" x14ac:dyDescent="0.25">
      <c r="A50" s="72"/>
      <c r="B50" s="72"/>
      <c r="C50" s="74"/>
      <c r="D50" s="74"/>
      <c r="E50" s="74"/>
      <c r="F50" s="6"/>
      <c r="G50" s="6"/>
      <c r="H50" s="6"/>
      <c r="I50" s="6"/>
      <c r="J50" s="6"/>
      <c r="K50" s="6"/>
      <c r="L50" s="6"/>
      <c r="M50" s="8"/>
      <c r="N50" s="6"/>
    </row>
    <row r="51" spans="1:14" x14ac:dyDescent="0.25">
      <c r="A51" s="115" t="str">
        <f>"Non-network scale growth "&amp;E34&amp;"-"&amp;J34</f>
        <v>Non-network scale growth 2020-2025</v>
      </c>
      <c r="B51" s="116">
        <f>(J35/E35)^(1/(COUNT(E35:J35)-1))-1</f>
        <v>6.6527407724050747E-3</v>
      </c>
      <c r="C51" s="8"/>
      <c r="D51" s="6"/>
      <c r="E51" s="8"/>
      <c r="F51" s="8"/>
      <c r="G51" s="8"/>
      <c r="H51" s="8"/>
      <c r="I51" s="8"/>
      <c r="J51" s="6"/>
      <c r="K51" s="6"/>
      <c r="L51" s="6"/>
      <c r="M51" s="83" t="str">
        <f>"Compound annual growth rate from end of "&amp;E34&amp;" to end of "&amp;J34&amp;"."</f>
        <v>Compound annual growth rate from end of 2020 to end of 2025.</v>
      </c>
      <c r="N51" s="6"/>
    </row>
    <row r="52" spans="1:14" ht="15" customHeight="1" x14ac:dyDescent="0.25">
      <c r="A52" s="74"/>
      <c r="B52" s="74"/>
      <c r="C52" s="6"/>
      <c r="D52" s="6"/>
      <c r="E52" s="6"/>
      <c r="F52" s="6"/>
      <c r="G52" s="6"/>
      <c r="H52" s="6"/>
      <c r="I52" s="6"/>
      <c r="J52" s="6"/>
      <c r="K52" s="6"/>
      <c r="L52" s="6"/>
      <c r="M52" s="6"/>
      <c r="N52" s="6"/>
    </row>
  </sheetData>
  <pageMargins left="0.25" right="0.25" top="0.75" bottom="0.75" header="0.3" footer="0.3"/>
  <pageSetup paperSize="9" scale="51" orientation="landscape" r:id="rId1"/>
  <headerFooter>
    <oddHeader>&amp;R&amp;D &amp;T</oddHeader>
    <oddFooter>&amp;L&amp;F&amp;C&amp;A&amp;R&amp;P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9988E"/>
    <pageSetUpPr fitToPage="1"/>
  </sheetPr>
  <dimension ref="A1:N36"/>
  <sheetViews>
    <sheetView showGridLines="0" view="pageBreakPreview" zoomScaleNormal="85" zoomScaleSheetLayoutView="100" workbookViewId="0"/>
  </sheetViews>
  <sheetFormatPr defaultColWidth="9.140625" defaultRowHeight="15" customHeight="1" x14ac:dyDescent="0.25"/>
  <cols>
    <col min="1" max="1" width="56.42578125" customWidth="1"/>
    <col min="2" max="2" width="19" customWidth="1"/>
    <col min="3" max="3" width="15.85546875" customWidth="1"/>
    <col min="4" max="10" width="10.5703125" customWidth="1"/>
    <col min="11" max="11" width="9.7109375" customWidth="1"/>
    <col min="12" max="12" width="2.7109375" customWidth="1"/>
    <col min="13" max="13" width="70.5703125" customWidth="1"/>
    <col min="14" max="14" width="2.7109375" customWidth="1"/>
  </cols>
  <sheetData>
    <row r="1" spans="1:14" ht="26.25" x14ac:dyDescent="0.35">
      <c r="A1" s="27" t="s">
        <v>18</v>
      </c>
      <c r="B1" s="6"/>
      <c r="C1" s="6"/>
      <c r="D1" s="6"/>
      <c r="E1" s="6"/>
      <c r="F1" s="6"/>
      <c r="G1" s="6"/>
      <c r="H1" s="6"/>
      <c r="I1" s="6"/>
      <c r="J1" s="6"/>
      <c r="K1" s="56" t="str">
        <f>EDB_Name</f>
        <v>Wellington Electricity</v>
      </c>
      <c r="L1" s="6"/>
      <c r="M1" s="6"/>
      <c r="N1" s="6"/>
    </row>
    <row r="2" spans="1:14" ht="39.950000000000003" customHeight="1" x14ac:dyDescent="0.35">
      <c r="A2" s="165" t="s">
        <v>9</v>
      </c>
      <c r="B2" s="39" t="s">
        <v>12</v>
      </c>
      <c r="C2" s="64">
        <f>'EDB data'!C12</f>
        <v>2018</v>
      </c>
      <c r="D2" s="64">
        <f>'EDB data'!D12</f>
        <v>2019</v>
      </c>
      <c r="E2" s="64">
        <f>'EDB data'!E12</f>
        <v>2020</v>
      </c>
      <c r="F2" s="64">
        <f>'EDB data'!F12</f>
        <v>2021</v>
      </c>
      <c r="G2" s="64">
        <f>'EDB data'!G12</f>
        <v>2022</v>
      </c>
      <c r="H2" s="64">
        <f>'EDB data'!H12</f>
        <v>2023</v>
      </c>
      <c r="I2" s="64">
        <f>'EDB data'!I12</f>
        <v>2024</v>
      </c>
      <c r="J2" s="64">
        <f>'EDB data'!J12</f>
        <v>2025</v>
      </c>
      <c r="K2" s="64">
        <f>'EDB data'!K12</f>
        <v>2026</v>
      </c>
      <c r="L2" s="38"/>
      <c r="M2" s="96"/>
      <c r="N2" s="6"/>
    </row>
    <row r="3" spans="1:14" x14ac:dyDescent="0.25">
      <c r="A3" s="166" t="str">
        <f>'Network opex'!A43</f>
        <v>Network opex series (constant)</v>
      </c>
      <c r="B3" s="167" t="s">
        <v>7</v>
      </c>
      <c r="C3" s="71">
        <f>'Network opex'!C43</f>
        <v>0</v>
      </c>
      <c r="D3" s="71">
        <f>'Network opex'!D43</f>
        <v>0</v>
      </c>
      <c r="E3" s="71">
        <f>'Network opex'!E43</f>
        <v>15760.345487461585</v>
      </c>
      <c r="F3" s="71">
        <f>'Network opex'!F43</f>
        <v>15850.832045276087</v>
      </c>
      <c r="G3" s="71">
        <f>'Network opex'!G43</f>
        <v>15954.055298880114</v>
      </c>
      <c r="H3" s="71">
        <f>'Network opex'!H43</f>
        <v>16056.908795373869</v>
      </c>
      <c r="I3" s="71">
        <f>'Network opex'!I43</f>
        <v>16142.9921877202</v>
      </c>
      <c r="J3" s="71">
        <f>'Network opex'!J43</f>
        <v>16230.491936084798</v>
      </c>
      <c r="K3" s="71" t="str">
        <f>'Network opex'!K43</f>
        <v/>
      </c>
      <c r="L3" s="38"/>
      <c r="M3" s="96" t="str">
        <f>'Network opex'!M43</f>
        <v>Network opex allowance (constant) 'under IFRS 16'.</v>
      </c>
      <c r="N3" s="6"/>
    </row>
    <row r="4" spans="1:14" x14ac:dyDescent="0.25">
      <c r="A4" s="166" t="str">
        <f>'Network opex'!A44</f>
        <v>Network opex series (nominal)</v>
      </c>
      <c r="B4" s="167" t="s">
        <v>7</v>
      </c>
      <c r="C4" s="71">
        <f>'Network opex'!C44</f>
        <v>0</v>
      </c>
      <c r="D4" s="71">
        <f>'Network opex'!D44</f>
        <v>0</v>
      </c>
      <c r="E4" s="71">
        <f>'Network opex'!E44</f>
        <v>15760.345487461585</v>
      </c>
      <c r="F4" s="71">
        <f>'Network opex'!F44</f>
        <v>16032.119053311702</v>
      </c>
      <c r="G4" s="71">
        <f>'Network opex'!G44</f>
        <v>16403.037907668524</v>
      </c>
      <c r="H4" s="71">
        <f>'Network opex'!H44</f>
        <v>16730.446968120828</v>
      </c>
      <c r="I4" s="71">
        <f>'Network opex'!I44</f>
        <v>17092.219949638191</v>
      </c>
      <c r="J4" s="71">
        <f>'Network opex'!J44</f>
        <v>17496.967118761699</v>
      </c>
      <c r="K4" s="71" t="str">
        <f>'Network opex'!K44</f>
        <v/>
      </c>
      <c r="L4" s="38"/>
      <c r="M4" s="96" t="str">
        <f>'Network opex'!M44</f>
        <v>Network opex allowance (nominal) 'under IFRS 16'.</v>
      </c>
      <c r="N4" s="6"/>
    </row>
    <row r="5" spans="1:14" x14ac:dyDescent="0.25">
      <c r="A5" s="166" t="str">
        <f>'Network opex'!A45</f>
        <v>Trend in network opex (constant)</v>
      </c>
      <c r="B5" s="167" t="s">
        <v>7</v>
      </c>
      <c r="C5" s="71">
        <f>'Network opex'!C45</f>
        <v>0</v>
      </c>
      <c r="D5" s="71">
        <f>'Network opex'!D45</f>
        <v>0</v>
      </c>
      <c r="E5" s="71">
        <f>'Network opex'!E45</f>
        <v>16054.36826691364</v>
      </c>
      <c r="F5" s="71">
        <f>'Network opex'!F45</f>
        <v>16152.101556077492</v>
      </c>
      <c r="G5" s="71">
        <f>'Network opex'!G45</f>
        <v>16250.429810776704</v>
      </c>
      <c r="H5" s="71">
        <f>'Network opex'!H45</f>
        <v>16349.356652950039</v>
      </c>
      <c r="I5" s="71">
        <f>'Network opex'!I45</f>
        <v>16430.784779930207</v>
      </c>
      <c r="J5" s="71">
        <f>'Network opex'!J45</f>
        <v>16512.618460474605</v>
      </c>
      <c r="K5" s="71">
        <f>'Network opex'!K45</f>
        <v>16594.859714446637</v>
      </c>
      <c r="L5" s="38"/>
      <c r="M5" s="96" t="str">
        <f>'Network opex'!M45</f>
        <v>Network opex allowance (constant) 'as if IFRS 16 never happened'.</v>
      </c>
      <c r="N5" s="6"/>
    </row>
    <row r="6" spans="1:14" x14ac:dyDescent="0.25">
      <c r="A6" s="166" t="str">
        <f>'Network opex'!A46</f>
        <v>Trend in network opex series (nominal)</v>
      </c>
      <c r="B6" s="167" t="s">
        <v>7</v>
      </c>
      <c r="C6" s="71">
        <f>'Network opex'!C46</f>
        <v>0</v>
      </c>
      <c r="D6" s="71">
        <f>'Network opex'!D46</f>
        <v>0</v>
      </c>
      <c r="E6" s="71">
        <f>'Network opex'!E46</f>
        <v>16054.36826691364</v>
      </c>
      <c r="F6" s="71">
        <f>'Network opex'!F46</f>
        <v>16336.834203311701</v>
      </c>
      <c r="G6" s="71">
        <f>'Network opex'!G46</f>
        <v>16707.753057668524</v>
      </c>
      <c r="H6" s="71">
        <f>'Network opex'!H46</f>
        <v>17035.162118120828</v>
      </c>
      <c r="I6" s="71">
        <f>'Network opex'!I46</f>
        <v>17396.935099638191</v>
      </c>
      <c r="J6" s="71">
        <f>'Network opex'!J46</f>
        <v>17801.10814788258</v>
      </c>
      <c r="K6" s="71" t="str">
        <f>'Network opex'!K46</f>
        <v/>
      </c>
      <c r="L6" s="38"/>
      <c r="M6" s="96" t="str">
        <f>'Network opex'!M46</f>
        <v>Network opex allowance (nominal) 'as if IFRS 16 never happened'.</v>
      </c>
      <c r="N6" s="6"/>
    </row>
    <row r="7" spans="1:14" x14ac:dyDescent="0.25">
      <c r="A7" s="166" t="str">
        <f>'Network opex'!A47</f>
        <v>Network opex trend factors (constant)</v>
      </c>
      <c r="B7" s="167" t="s">
        <v>7</v>
      </c>
      <c r="C7" s="71">
        <f>'Network opex'!C47</f>
        <v>0</v>
      </c>
      <c r="D7" s="71">
        <f>'Network opex'!D47</f>
        <v>0</v>
      </c>
      <c r="E7" s="71">
        <f>'Network opex'!E47</f>
        <v>294.02277945205498</v>
      </c>
      <c r="F7" s="168"/>
      <c r="G7" s="168"/>
      <c r="H7" s="168"/>
      <c r="I7" s="168"/>
      <c r="J7" s="168"/>
      <c r="K7" s="168"/>
      <c r="L7" s="38"/>
      <c r="M7" s="96" t="s">
        <v>124</v>
      </c>
      <c r="N7" s="6"/>
    </row>
    <row r="8" spans="1:14" x14ac:dyDescent="0.25">
      <c r="A8" s="166" t="str">
        <f>'Network opex'!A48</f>
        <v>Network opex step factors (constant)</v>
      </c>
      <c r="B8" s="167" t="s">
        <v>7</v>
      </c>
      <c r="C8" s="71">
        <f>'Network opex'!C48</f>
        <v>0</v>
      </c>
      <c r="D8" s="71">
        <f>'Network opex'!D48</f>
        <v>0</v>
      </c>
      <c r="E8" s="71">
        <f>'Network opex'!E48</f>
        <v>-294.02277945205475</v>
      </c>
      <c r="F8" s="71">
        <f>'Network opex'!F48</f>
        <v>-301.26951080140554</v>
      </c>
      <c r="G8" s="71">
        <f>'Network opex'!G48</f>
        <v>-296.37451189659168</v>
      </c>
      <c r="H8" s="71">
        <f>'Network opex'!H48</f>
        <v>-292.44785757617018</v>
      </c>
      <c r="I8" s="71">
        <f>'Network opex'!I48</f>
        <v>-287.79259221000814</v>
      </c>
      <c r="J8" s="71">
        <f>'Network opex'!J48</f>
        <v>-282.12652438980632</v>
      </c>
      <c r="K8" s="71" t="str">
        <f>'Network opex'!K48</f>
        <v/>
      </c>
      <c r="L8" s="38"/>
      <c r="M8" s="96" t="s">
        <v>125</v>
      </c>
      <c r="N8" s="6"/>
    </row>
    <row r="9" spans="1:14" x14ac:dyDescent="0.25">
      <c r="A9" s="166" t="str">
        <f>'Network opex'!A49</f>
        <v>Initial level of network opex (constant)</v>
      </c>
      <c r="B9" s="167" t="s">
        <v>7</v>
      </c>
      <c r="C9" s="71"/>
      <c r="D9" s="70"/>
      <c r="E9" s="70">
        <f>'Network opex'!E49</f>
        <v>16054.36826691364</v>
      </c>
      <c r="F9" s="168"/>
      <c r="G9" s="168"/>
      <c r="H9" s="168"/>
      <c r="I9" s="168"/>
      <c r="J9" s="168"/>
      <c r="K9" s="168"/>
      <c r="L9" s="96"/>
      <c r="M9" s="96" t="str">
        <f>'Network opex'!M49</f>
        <v>Initial level after trend factors added but before step factors added (constant).</v>
      </c>
      <c r="N9" s="6"/>
    </row>
    <row r="10" spans="1:14" x14ac:dyDescent="0.25">
      <c r="A10" s="166" t="str">
        <f>'Non-network opex'!A43</f>
        <v>Non-network opex series (constant)</v>
      </c>
      <c r="B10" s="167" t="s">
        <v>19</v>
      </c>
      <c r="C10" s="71">
        <f>'Non-network opex'!C43</f>
        <v>0</v>
      </c>
      <c r="D10" s="71">
        <f>'Non-network opex'!D43</f>
        <v>0</v>
      </c>
      <c r="E10" s="71">
        <f>'Non-network opex'!E43</f>
        <v>16716.88698893784</v>
      </c>
      <c r="F10" s="71">
        <f>'Non-network opex'!F43</f>
        <v>16842.85700646332</v>
      </c>
      <c r="G10" s="71">
        <f>'Non-network opex'!G43</f>
        <v>16970.920246727888</v>
      </c>
      <c r="H10" s="71">
        <f>'Non-network opex'!H43</f>
        <v>17099.193787795251</v>
      </c>
      <c r="I10" s="71">
        <f>'Non-network opex'!I43</f>
        <v>17225.927600812094</v>
      </c>
      <c r="J10" s="71">
        <f>'Non-network opex'!J43</f>
        <v>17352.671262083008</v>
      </c>
      <c r="K10" s="71" t="str">
        <f>'Non-network opex'!K43</f>
        <v/>
      </c>
      <c r="L10" s="96"/>
      <c r="M10" s="96" t="str">
        <f>'Non-network opex'!M43</f>
        <v>Non-network opex allowance (constant) 'under IFRS 16'.</v>
      </c>
      <c r="N10" s="6"/>
    </row>
    <row r="11" spans="1:14" x14ac:dyDescent="0.25">
      <c r="A11" s="166" t="str">
        <f>'Non-network opex'!A44</f>
        <v>Non-network opex series (nominal)</v>
      </c>
      <c r="B11" s="167" t="s">
        <v>19</v>
      </c>
      <c r="C11" s="71">
        <f>'Non-network opex'!C44</f>
        <v>0</v>
      </c>
      <c r="D11" s="71">
        <f>'Non-network opex'!D44</f>
        <v>0</v>
      </c>
      <c r="E11" s="71">
        <f>'Non-network opex'!E44</f>
        <v>16716.88698893784</v>
      </c>
      <c r="F11" s="71">
        <f>'Non-network opex'!F44</f>
        <v>17035.489869189503</v>
      </c>
      <c r="G11" s="71">
        <f>'Non-network opex'!G44</f>
        <v>17448.519697348496</v>
      </c>
      <c r="H11" s="71">
        <f>'Non-network opex'!H44</f>
        <v>17816.452625473641</v>
      </c>
      <c r="I11" s="71">
        <f>'Non-network opex'!I44</f>
        <v>18238.833294709322</v>
      </c>
      <c r="J11" s="71">
        <f>'Non-network opex'!J44</f>
        <v>18706.710781841404</v>
      </c>
      <c r="K11" s="71" t="str">
        <f>'Non-network opex'!K44</f>
        <v/>
      </c>
      <c r="L11" s="96"/>
      <c r="M11" s="96" t="str">
        <f>'Non-network opex'!M44</f>
        <v>Non-network opex allowance (nominal) 'under IFRS 16'.</v>
      </c>
      <c r="N11" s="6"/>
    </row>
    <row r="12" spans="1:14" x14ac:dyDescent="0.25">
      <c r="A12" s="166" t="str">
        <f>'Non-network opex'!A45</f>
        <v>Trend in non-network opex (constant)</v>
      </c>
      <c r="B12" s="167" t="s">
        <v>19</v>
      </c>
      <c r="C12" s="71">
        <f>'Non-network opex'!C45</f>
        <v>0</v>
      </c>
      <c r="D12" s="71">
        <f>'Non-network opex'!D45</f>
        <v>0</v>
      </c>
      <c r="E12" s="71">
        <f>'Non-network opex'!E45</f>
        <v>16936.611048883045</v>
      </c>
      <c r="F12" s="71">
        <f>'Non-network opex'!F45</f>
        <v>17060.239844653563</v>
      </c>
      <c r="G12" s="71">
        <f>'Non-network opex'!G45</f>
        <v>17184.771068843766</v>
      </c>
      <c r="H12" s="71">
        <f>'Non-network opex'!H45</f>
        <v>17310.211308730086</v>
      </c>
      <c r="I12" s="71">
        <f>'Non-network opex'!I45</f>
        <v>17408.591820413509</v>
      </c>
      <c r="J12" s="71">
        <f>'Non-network opex'!J45</f>
        <v>17507.531465946107</v>
      </c>
      <c r="K12" s="71">
        <f>'Non-network opex'!K45</f>
        <v>17607.033423098113</v>
      </c>
      <c r="L12" s="38"/>
      <c r="M12" s="96" t="str">
        <f>'Non-network opex'!M45</f>
        <v>Non-network opex allowance (constant) 'as if IFRS 16 never happened'.</v>
      </c>
      <c r="N12" s="6"/>
    </row>
    <row r="13" spans="1:14" x14ac:dyDescent="0.25">
      <c r="A13" s="166" t="str">
        <f>'Non-network opex'!A46</f>
        <v>Trend in non-network opex series (nominal)</v>
      </c>
      <c r="B13" s="167" t="s">
        <v>19</v>
      </c>
      <c r="C13" s="71">
        <f>'Non-network opex'!C46</f>
        <v>0</v>
      </c>
      <c r="D13" s="71">
        <f>'Non-network opex'!D46</f>
        <v>0</v>
      </c>
      <c r="E13" s="71">
        <f>'Non-network opex'!E46</f>
        <v>16936.611048883045</v>
      </c>
      <c r="F13" s="71">
        <f>'Non-network opex'!F46</f>
        <v>17255.358929189504</v>
      </c>
      <c r="G13" s="71">
        <f>'Non-network opex'!G46</f>
        <v>17668.388757348497</v>
      </c>
      <c r="H13" s="71">
        <f>'Non-network opex'!H46</f>
        <v>18036.321685473642</v>
      </c>
      <c r="I13" s="71">
        <f>'Non-network opex'!I46</f>
        <v>18432.238394708773</v>
      </c>
      <c r="J13" s="71">
        <f>'Non-network opex'!J46</f>
        <v>18873.654821841403</v>
      </c>
      <c r="K13" s="71" t="str">
        <f>'Non-network opex'!K46</f>
        <v/>
      </c>
      <c r="L13" s="38"/>
      <c r="M13" s="96" t="str">
        <f>'Non-network opex'!M46</f>
        <v>Non-network opex allowance (nominal) 'as if IFRS 16 never happened'.</v>
      </c>
      <c r="N13" s="6"/>
    </row>
    <row r="14" spans="1:14" x14ac:dyDescent="0.25">
      <c r="A14" s="166" t="str">
        <f>'Non-network opex'!A47</f>
        <v>Non-network opex trend factors (constant)</v>
      </c>
      <c r="B14" s="167" t="s">
        <v>19</v>
      </c>
      <c r="C14" s="71">
        <f>'Non-network opex'!C47</f>
        <v>0</v>
      </c>
      <c r="D14" s="71">
        <f>'Non-network opex'!D47</f>
        <v>-59.258746001250188</v>
      </c>
      <c r="E14" s="71">
        <f>'Non-network opex'!E47</f>
        <v>506.724059945205</v>
      </c>
      <c r="F14" s="168"/>
      <c r="G14" s="168"/>
      <c r="H14" s="168"/>
      <c r="I14" s="168"/>
      <c r="J14" s="168"/>
      <c r="K14" s="168"/>
      <c r="L14" s="38"/>
      <c r="M14" s="96" t="s">
        <v>126</v>
      </c>
      <c r="N14" s="6"/>
    </row>
    <row r="15" spans="1:14" x14ac:dyDescent="0.25">
      <c r="A15" s="166" t="str">
        <f>'Non-network opex'!A48</f>
        <v>Non-network opex step factors (constant)</v>
      </c>
      <c r="B15" s="167" t="s">
        <v>19</v>
      </c>
      <c r="C15" s="71">
        <f>'Non-network opex'!C48</f>
        <v>0</v>
      </c>
      <c r="D15" s="71">
        <f>'Non-network opex'!D48</f>
        <v>0</v>
      </c>
      <c r="E15" s="71">
        <f>'Non-network opex'!E48</f>
        <v>-219.72405994520548</v>
      </c>
      <c r="F15" s="71">
        <f>'Non-network opex'!F48</f>
        <v>-217.38283819024056</v>
      </c>
      <c r="G15" s="71">
        <f>'Non-network opex'!G48</f>
        <v>-213.85082211587581</v>
      </c>
      <c r="H15" s="71">
        <f>'Non-network opex'!H48</f>
        <v>-211.01752093483506</v>
      </c>
      <c r="I15" s="71">
        <f>'Non-network opex'!I48</f>
        <v>-182.6642196014148</v>
      </c>
      <c r="J15" s="71">
        <f>'Non-network opex'!J48</f>
        <v>-154.86020386310136</v>
      </c>
      <c r="K15" s="71" t="str">
        <f>'Non-network opex'!K48</f>
        <v/>
      </c>
      <c r="L15" s="38"/>
      <c r="M15" s="96" t="s">
        <v>127</v>
      </c>
      <c r="N15" s="6"/>
    </row>
    <row r="16" spans="1:14" x14ac:dyDescent="0.25">
      <c r="A16" s="166" t="str">
        <f>'Non-network opex'!A49</f>
        <v>Initial level of non-network opex (constant)</v>
      </c>
      <c r="B16" s="167" t="s">
        <v>19</v>
      </c>
      <c r="C16" s="71"/>
      <c r="D16" s="70"/>
      <c r="E16" s="70">
        <f>'Non-network opex'!E49</f>
        <v>16936.611048883045</v>
      </c>
      <c r="F16" s="169"/>
      <c r="G16" s="169"/>
      <c r="H16" s="169"/>
      <c r="I16" s="169"/>
      <c r="J16" s="169"/>
      <c r="K16" s="169"/>
      <c r="L16" s="38"/>
      <c r="M16" s="96" t="str">
        <f>'Non-network opex'!M49</f>
        <v>Initial level after trend factors added but before step factors added (constant).</v>
      </c>
      <c r="N16" s="6"/>
    </row>
    <row r="17" spans="1:14" ht="39.950000000000003" customHeight="1" x14ac:dyDescent="0.35">
      <c r="A17" s="170" t="s">
        <v>10</v>
      </c>
      <c r="B17" s="72"/>
      <c r="C17" s="86">
        <f t="shared" ref="C17:K17" si="0">C$2</f>
        <v>2018</v>
      </c>
      <c r="D17" s="86">
        <f t="shared" si="0"/>
        <v>2019</v>
      </c>
      <c r="E17" s="86">
        <f t="shared" si="0"/>
        <v>2020</v>
      </c>
      <c r="F17" s="64">
        <f t="shared" si="0"/>
        <v>2021</v>
      </c>
      <c r="G17" s="64">
        <f t="shared" si="0"/>
        <v>2022</v>
      </c>
      <c r="H17" s="64">
        <f t="shared" si="0"/>
        <v>2023</v>
      </c>
      <c r="I17" s="64">
        <f t="shared" si="0"/>
        <v>2024</v>
      </c>
      <c r="J17" s="64">
        <f t="shared" si="0"/>
        <v>2025</v>
      </c>
      <c r="K17" s="64">
        <f t="shared" si="0"/>
        <v>2026</v>
      </c>
      <c r="L17" s="38"/>
      <c r="M17" s="6"/>
      <c r="N17" s="6"/>
    </row>
    <row r="18" spans="1:14" x14ac:dyDescent="0.25">
      <c r="A18" s="59" t="s">
        <v>46</v>
      </c>
      <c r="B18" s="167"/>
      <c r="C18" s="11">
        <f t="shared" ref="C18:J21" si="1">C3+C10</f>
        <v>0</v>
      </c>
      <c r="D18" s="11">
        <f t="shared" si="1"/>
        <v>0</v>
      </c>
      <c r="E18" s="11">
        <f t="shared" si="1"/>
        <v>32477.232476399426</v>
      </c>
      <c r="F18" s="11">
        <f t="shared" si="1"/>
        <v>32693.689051739406</v>
      </c>
      <c r="G18" s="11">
        <f t="shared" si="1"/>
        <v>32924.975545608002</v>
      </c>
      <c r="H18" s="11">
        <f t="shared" si="1"/>
        <v>33156.102583169122</v>
      </c>
      <c r="I18" s="11">
        <f t="shared" si="1"/>
        <v>33368.919788532294</v>
      </c>
      <c r="J18" s="108">
        <f t="shared" si="1"/>
        <v>33583.163198167807</v>
      </c>
      <c r="K18" s="11" t="str">
        <f>IFERROR(K3+K10,"")</f>
        <v/>
      </c>
      <c r="L18" s="38"/>
      <c r="M18" s="100" t="s">
        <v>100</v>
      </c>
      <c r="N18" s="6"/>
    </row>
    <row r="19" spans="1:14" x14ac:dyDescent="0.25">
      <c r="A19" s="59" t="s">
        <v>47</v>
      </c>
      <c r="B19" s="167"/>
      <c r="C19" s="11">
        <f t="shared" si="1"/>
        <v>0</v>
      </c>
      <c r="D19" s="11">
        <f t="shared" si="1"/>
        <v>0</v>
      </c>
      <c r="E19" s="11">
        <f t="shared" si="1"/>
        <v>32477.232476399426</v>
      </c>
      <c r="F19" s="11">
        <f t="shared" si="1"/>
        <v>33067.608922501204</v>
      </c>
      <c r="G19" s="11">
        <f t="shared" si="1"/>
        <v>33851.55760501702</v>
      </c>
      <c r="H19" s="11">
        <f t="shared" si="1"/>
        <v>34546.899593594469</v>
      </c>
      <c r="I19" s="11">
        <f t="shared" si="1"/>
        <v>35331.053244347509</v>
      </c>
      <c r="J19" s="108">
        <f t="shared" si="1"/>
        <v>36203.677900603099</v>
      </c>
      <c r="K19" s="11" t="str">
        <f>IFERROR(K4+K11,"")</f>
        <v/>
      </c>
      <c r="L19" s="38"/>
      <c r="M19" s="100" t="s">
        <v>101</v>
      </c>
      <c r="N19" s="6"/>
    </row>
    <row r="20" spans="1:14" x14ac:dyDescent="0.25">
      <c r="A20" s="59" t="s">
        <v>92</v>
      </c>
      <c r="B20" s="167"/>
      <c r="C20" s="11">
        <f t="shared" si="1"/>
        <v>0</v>
      </c>
      <c r="D20" s="11">
        <f t="shared" si="1"/>
        <v>0</v>
      </c>
      <c r="E20" s="11">
        <f t="shared" si="1"/>
        <v>32990.979315796685</v>
      </c>
      <c r="F20" s="11">
        <f t="shared" si="1"/>
        <v>33212.341400731057</v>
      </c>
      <c r="G20" s="11">
        <f t="shared" si="1"/>
        <v>33435.200879620468</v>
      </c>
      <c r="H20" s="11">
        <f t="shared" si="1"/>
        <v>33659.567961680121</v>
      </c>
      <c r="I20" s="11">
        <f t="shared" si="1"/>
        <v>33839.376600343719</v>
      </c>
      <c r="J20" s="11">
        <f t="shared" si="1"/>
        <v>34020.149926420709</v>
      </c>
      <c r="K20" s="11">
        <f>K5+K12</f>
        <v>34201.89313754475</v>
      </c>
      <c r="L20" s="38"/>
      <c r="M20" s="100" t="s">
        <v>102</v>
      </c>
      <c r="N20" s="6"/>
    </row>
    <row r="21" spans="1:14" x14ac:dyDescent="0.25">
      <c r="A21" s="59" t="s">
        <v>93</v>
      </c>
      <c r="B21" s="167"/>
      <c r="C21" s="11">
        <f t="shared" si="1"/>
        <v>0</v>
      </c>
      <c r="D21" s="11">
        <f t="shared" si="1"/>
        <v>0</v>
      </c>
      <c r="E21" s="11">
        <f t="shared" si="1"/>
        <v>32990.979315796685</v>
      </c>
      <c r="F21" s="11">
        <f t="shared" si="1"/>
        <v>33592.193132501205</v>
      </c>
      <c r="G21" s="11">
        <f t="shared" si="1"/>
        <v>34376.141815017021</v>
      </c>
      <c r="H21" s="11">
        <f t="shared" si="1"/>
        <v>35071.48380359447</v>
      </c>
      <c r="I21" s="11">
        <f t="shared" si="1"/>
        <v>35829.173494346964</v>
      </c>
      <c r="J21" s="108">
        <f t="shared" si="1"/>
        <v>36674.762969723983</v>
      </c>
      <c r="K21" s="11" t="str">
        <f>IFERROR(K6+K13,"")</f>
        <v/>
      </c>
      <c r="L21" s="38"/>
      <c r="M21" s="100" t="s">
        <v>103</v>
      </c>
      <c r="N21" s="6"/>
    </row>
    <row r="22" spans="1:14" x14ac:dyDescent="0.25">
      <c r="A22" s="59" t="s">
        <v>95</v>
      </c>
      <c r="B22" s="167"/>
      <c r="C22" s="11">
        <f>C7+C14</f>
        <v>0</v>
      </c>
      <c r="D22" s="11">
        <f>D7+D14</f>
        <v>-59.258746001250188</v>
      </c>
      <c r="E22" s="11">
        <f>E7+E14</f>
        <v>800.74683939725992</v>
      </c>
      <c r="F22" s="114"/>
      <c r="G22" s="114"/>
      <c r="H22" s="114"/>
      <c r="I22" s="114"/>
      <c r="J22" s="114"/>
      <c r="K22" s="114"/>
      <c r="L22" s="38"/>
      <c r="M22" s="100" t="s">
        <v>105</v>
      </c>
      <c r="N22" s="6"/>
    </row>
    <row r="23" spans="1:14" x14ac:dyDescent="0.25">
      <c r="A23" s="59" t="s">
        <v>96</v>
      </c>
      <c r="B23" s="167"/>
      <c r="C23" s="11">
        <f>C8+C15</f>
        <v>0</v>
      </c>
      <c r="D23" s="11">
        <f>D8+D15</f>
        <v>0</v>
      </c>
      <c r="E23" s="11">
        <f t="shared" ref="E23:J23" si="2">E8+E15</f>
        <v>-513.74683939726026</v>
      </c>
      <c r="F23" s="11">
        <f t="shared" si="2"/>
        <v>-518.65234899164614</v>
      </c>
      <c r="G23" s="11">
        <f t="shared" si="2"/>
        <v>-510.2253340124675</v>
      </c>
      <c r="H23" s="11">
        <f t="shared" si="2"/>
        <v>-503.46537851100527</v>
      </c>
      <c r="I23" s="11">
        <f t="shared" si="2"/>
        <v>-470.45681181142294</v>
      </c>
      <c r="J23" s="108">
        <f t="shared" si="2"/>
        <v>-436.98672825290771</v>
      </c>
      <c r="K23" s="11" t="str">
        <f>IFERROR(K8+K15,"")</f>
        <v/>
      </c>
      <c r="L23" s="38"/>
      <c r="M23" s="100" t="s">
        <v>106</v>
      </c>
      <c r="N23" s="6"/>
    </row>
    <row r="24" spans="1:14" x14ac:dyDescent="0.25">
      <c r="A24" s="59" t="s">
        <v>104</v>
      </c>
      <c r="B24" s="167"/>
      <c r="C24" s="11"/>
      <c r="D24" s="95"/>
      <c r="E24" s="95">
        <f>E9+E16</f>
        <v>32990.979315796685</v>
      </c>
      <c r="F24" s="11"/>
      <c r="G24" s="11"/>
      <c r="H24" s="11"/>
      <c r="I24" s="11"/>
      <c r="J24" s="11"/>
      <c r="K24" s="11"/>
      <c r="L24" s="38"/>
      <c r="M24" s="96" t="str">
        <f>"Total "&amp; LOWER(M9)</f>
        <v>Total initial level after trend factors added but before step factors added (constant).</v>
      </c>
      <c r="N24" s="6"/>
    </row>
    <row r="25" spans="1:14" ht="39.950000000000003" customHeight="1" x14ac:dyDescent="0.35">
      <c r="A25" s="170" t="s">
        <v>5</v>
      </c>
      <c r="B25" s="72"/>
      <c r="C25" s="86">
        <f t="shared" ref="C25:K25" si="3">C$2</f>
        <v>2018</v>
      </c>
      <c r="D25" s="86">
        <f t="shared" si="3"/>
        <v>2019</v>
      </c>
      <c r="E25" s="86">
        <f t="shared" si="3"/>
        <v>2020</v>
      </c>
      <c r="F25" s="86">
        <f t="shared" si="3"/>
        <v>2021</v>
      </c>
      <c r="G25" s="86">
        <f t="shared" si="3"/>
        <v>2022</v>
      </c>
      <c r="H25" s="86">
        <f t="shared" si="3"/>
        <v>2023</v>
      </c>
      <c r="I25" s="86">
        <f t="shared" si="3"/>
        <v>2024</v>
      </c>
      <c r="J25" s="86">
        <f t="shared" si="3"/>
        <v>2025</v>
      </c>
      <c r="K25" s="86">
        <f t="shared" si="3"/>
        <v>2026</v>
      </c>
      <c r="L25" s="38"/>
      <c r="M25" s="6"/>
      <c r="N25" s="6"/>
    </row>
    <row r="26" spans="1:14" x14ac:dyDescent="0.25">
      <c r="A26" s="59" t="str">
        <f t="shared" ref="A26:A32" si="4">A18</f>
        <v>Total opex series (constant)</v>
      </c>
      <c r="B26" s="59"/>
      <c r="C26" s="172">
        <f t="shared" ref="C26:K26" si="5">C18</f>
        <v>0</v>
      </c>
      <c r="D26" s="172">
        <f t="shared" si="5"/>
        <v>0</v>
      </c>
      <c r="E26" s="71">
        <f t="shared" si="5"/>
        <v>32477.232476399426</v>
      </c>
      <c r="F26" s="71">
        <f t="shared" si="5"/>
        <v>32693.689051739406</v>
      </c>
      <c r="G26" s="71">
        <f t="shared" si="5"/>
        <v>32924.975545608002</v>
      </c>
      <c r="H26" s="71">
        <f t="shared" si="5"/>
        <v>33156.102583169122</v>
      </c>
      <c r="I26" s="71">
        <f t="shared" si="5"/>
        <v>33368.919788532294</v>
      </c>
      <c r="J26" s="71">
        <f t="shared" si="5"/>
        <v>33583.163198167807</v>
      </c>
      <c r="K26" s="71" t="str">
        <f t="shared" si="5"/>
        <v/>
      </c>
      <c r="L26" s="38"/>
      <c r="M26" s="171" t="str">
        <f>M18</f>
        <v>Total opex allowance (constant) 'under IFRS 16'.</v>
      </c>
      <c r="N26" s="6"/>
    </row>
    <row r="27" spans="1:14" x14ac:dyDescent="0.25">
      <c r="A27" s="59" t="str">
        <f t="shared" si="4"/>
        <v>Total opex series (nominal)</v>
      </c>
      <c r="B27" s="59"/>
      <c r="C27" s="71">
        <f t="shared" ref="C27:K27" si="6">C19</f>
        <v>0</v>
      </c>
      <c r="D27" s="71">
        <f>ABS(D19)</f>
        <v>0</v>
      </c>
      <c r="E27" s="71">
        <f t="shared" si="6"/>
        <v>32477.232476399426</v>
      </c>
      <c r="F27" s="71">
        <f t="shared" si="6"/>
        <v>33067.608922501204</v>
      </c>
      <c r="G27" s="71">
        <f t="shared" si="6"/>
        <v>33851.55760501702</v>
      </c>
      <c r="H27" s="71">
        <f t="shared" si="6"/>
        <v>34546.899593594469</v>
      </c>
      <c r="I27" s="71">
        <f t="shared" si="6"/>
        <v>35331.053244347509</v>
      </c>
      <c r="J27" s="71">
        <f t="shared" si="6"/>
        <v>36203.677900603099</v>
      </c>
      <c r="K27" s="71" t="str">
        <f t="shared" si="6"/>
        <v/>
      </c>
      <c r="L27" s="38"/>
      <c r="M27" s="171" t="str">
        <f>M19</f>
        <v>Total opex allowance (nominal) 'under IFRS 16'.</v>
      </c>
      <c r="N27" s="6"/>
    </row>
    <row r="28" spans="1:14" x14ac:dyDescent="0.25">
      <c r="A28" s="59" t="str">
        <f t="shared" si="4"/>
        <v>Total trend in opex series (constant)</v>
      </c>
      <c r="B28" s="59"/>
      <c r="C28" s="71">
        <f t="shared" ref="C28:K28" si="7">C20</f>
        <v>0</v>
      </c>
      <c r="D28" s="71">
        <f t="shared" si="7"/>
        <v>0</v>
      </c>
      <c r="E28" s="71">
        <f t="shared" si="7"/>
        <v>32990.979315796685</v>
      </c>
      <c r="F28" s="71">
        <f t="shared" si="7"/>
        <v>33212.341400731057</v>
      </c>
      <c r="G28" s="71">
        <f t="shared" si="7"/>
        <v>33435.200879620468</v>
      </c>
      <c r="H28" s="71">
        <f t="shared" si="7"/>
        <v>33659.567961680121</v>
      </c>
      <c r="I28" s="71">
        <f t="shared" si="7"/>
        <v>33839.376600343719</v>
      </c>
      <c r="J28" s="71">
        <f t="shared" si="7"/>
        <v>34020.149926420709</v>
      </c>
      <c r="K28" s="71">
        <f t="shared" si="7"/>
        <v>34201.89313754475</v>
      </c>
      <c r="L28" s="38"/>
      <c r="M28" s="171" t="str">
        <f>M20</f>
        <v>Total opex allowance (constant) 'as if IFRS 16 never happened'.</v>
      </c>
      <c r="N28" s="6"/>
    </row>
    <row r="29" spans="1:14" x14ac:dyDescent="0.25">
      <c r="A29" s="59" t="str">
        <f t="shared" si="4"/>
        <v>Total trend in opex series (nominal)</v>
      </c>
      <c r="B29" s="59"/>
      <c r="C29" s="71">
        <f t="shared" ref="C29:K29" si="8">C21</f>
        <v>0</v>
      </c>
      <c r="D29" s="71">
        <f t="shared" si="8"/>
        <v>0</v>
      </c>
      <c r="E29" s="71">
        <f t="shared" si="8"/>
        <v>32990.979315796685</v>
      </c>
      <c r="F29" s="71">
        <f t="shared" si="8"/>
        <v>33592.193132501205</v>
      </c>
      <c r="G29" s="71">
        <f t="shared" si="8"/>
        <v>34376.141815017021</v>
      </c>
      <c r="H29" s="71">
        <f t="shared" si="8"/>
        <v>35071.48380359447</v>
      </c>
      <c r="I29" s="71">
        <f t="shared" si="8"/>
        <v>35829.173494346964</v>
      </c>
      <c r="J29" s="71">
        <f t="shared" si="8"/>
        <v>36674.762969723983</v>
      </c>
      <c r="K29" s="71" t="str">
        <f t="shared" si="8"/>
        <v/>
      </c>
      <c r="L29" s="38"/>
      <c r="M29" s="171" t="str">
        <f>M21</f>
        <v>Total opex allowance (nominal) 'as if IFRS 16 never happened'.</v>
      </c>
      <c r="N29" s="6"/>
    </row>
    <row r="30" spans="1:14" x14ac:dyDescent="0.25">
      <c r="A30" s="59" t="str">
        <f t="shared" si="4"/>
        <v>Total trend factors (constant)</v>
      </c>
      <c r="B30" s="59"/>
      <c r="C30" s="71">
        <f>C22</f>
        <v>0</v>
      </c>
      <c r="D30" s="71">
        <f>D22</f>
        <v>-59.258746001250188</v>
      </c>
      <c r="E30" s="71">
        <f>E22</f>
        <v>800.74683939725992</v>
      </c>
      <c r="F30" s="173"/>
      <c r="G30" s="173"/>
      <c r="H30" s="173"/>
      <c r="I30" s="173"/>
      <c r="J30" s="173"/>
      <c r="K30" s="173"/>
      <c r="L30" s="38"/>
      <c r="M30" s="171" t="str">
        <f t="shared" ref="M30:M31" si="9">M22</f>
        <v>Sum of trend factors.</v>
      </c>
      <c r="N30" s="6"/>
    </row>
    <row r="31" spans="1:14" x14ac:dyDescent="0.25">
      <c r="A31" s="59" t="str">
        <f t="shared" si="4"/>
        <v>Total step factors (constant)</v>
      </c>
      <c r="B31" s="59"/>
      <c r="C31" s="71">
        <f>C23</f>
        <v>0</v>
      </c>
      <c r="D31" s="71">
        <f>D23</f>
        <v>0</v>
      </c>
      <c r="E31" s="71">
        <f t="shared" ref="E31:K31" si="10">E23</f>
        <v>-513.74683939726026</v>
      </c>
      <c r="F31" s="71">
        <f t="shared" si="10"/>
        <v>-518.65234899164614</v>
      </c>
      <c r="G31" s="71">
        <f t="shared" si="10"/>
        <v>-510.2253340124675</v>
      </c>
      <c r="H31" s="71">
        <f t="shared" si="10"/>
        <v>-503.46537851100527</v>
      </c>
      <c r="I31" s="71">
        <f t="shared" si="10"/>
        <v>-470.45681181142294</v>
      </c>
      <c r="J31" s="71">
        <f t="shared" si="10"/>
        <v>-436.98672825290771</v>
      </c>
      <c r="K31" s="71" t="str">
        <f t="shared" si="10"/>
        <v/>
      </c>
      <c r="L31" s="38"/>
      <c r="M31" s="171" t="str">
        <f t="shared" si="9"/>
        <v>Sum of step factors.</v>
      </c>
      <c r="N31" s="6"/>
    </row>
    <row r="32" spans="1:14" x14ac:dyDescent="0.25">
      <c r="A32" s="59" t="str">
        <f t="shared" si="4"/>
        <v>Total initial level of opex (constant)</v>
      </c>
      <c r="B32" s="59"/>
      <c r="C32" s="71"/>
      <c r="D32" s="70"/>
      <c r="E32" s="70">
        <f t="shared" ref="E32" si="11">E24</f>
        <v>32990.979315796685</v>
      </c>
      <c r="F32" s="174"/>
      <c r="G32" s="174"/>
      <c r="H32" s="174"/>
      <c r="I32" s="174"/>
      <c r="J32" s="174"/>
      <c r="K32" s="174"/>
      <c r="L32" s="38"/>
      <c r="M32" s="171" t="str">
        <f>M24</f>
        <v>Total initial level after trend factors added but before step factors added (constant).</v>
      </c>
      <c r="N32" s="6"/>
    </row>
    <row r="33" spans="1:14" x14ac:dyDescent="0.25">
      <c r="A33" s="175"/>
      <c r="B33" s="175"/>
      <c r="C33" s="175"/>
      <c r="D33" s="174"/>
      <c r="E33" s="174"/>
      <c r="F33" s="38"/>
      <c r="G33" s="38"/>
      <c r="H33" s="38"/>
      <c r="I33" s="38"/>
      <c r="J33" s="38"/>
      <c r="K33" s="38"/>
      <c r="L33" s="38"/>
      <c r="M33" s="6"/>
      <c r="N33" s="6"/>
    </row>
    <row r="34" spans="1:14" x14ac:dyDescent="0.25">
      <c r="A34" s="145" t="str">
        <f>"Aggregate trend "&amp;$E$25&amp;"-"&amp;$H$25</f>
        <v>Aggregate trend 2020-2023</v>
      </c>
      <c r="B34" s="59"/>
      <c r="C34" s="54">
        <f>((H27/E27)^(1/(COUNT(E27:H27)-1))-1)</f>
        <v>2.0806330309110166E-2</v>
      </c>
      <c r="D34" s="8"/>
      <c r="E34" s="8"/>
      <c r="F34" s="8"/>
      <c r="G34" s="8"/>
      <c r="H34" s="8"/>
      <c r="I34" s="8"/>
      <c r="J34" s="6"/>
      <c r="K34" s="6"/>
      <c r="L34" s="38"/>
      <c r="M34" s="83" t="str">
        <f>"Growth from end of "&amp;$E$25&amp;" to end of "&amp;$H$25&amp;"."</f>
        <v>Growth from end of 2020 to end of 2023.</v>
      </c>
      <c r="N34" s="6"/>
    </row>
    <row r="35" spans="1:14" x14ac:dyDescent="0.25">
      <c r="A35" s="59" t="str">
        <f>"Aggregate trend "&amp;$H$25&amp;"-"&amp;$J$25</f>
        <v>Aggregate trend 2023-2025</v>
      </c>
      <c r="B35" s="59"/>
      <c r="C35" s="19">
        <f>(J27/H27)^(1/(COUNT(H27:J27)-1))-1</f>
        <v>2.3697888037295778E-2</v>
      </c>
      <c r="D35" s="8"/>
      <c r="E35" s="8"/>
      <c r="F35" s="8"/>
      <c r="G35" s="8"/>
      <c r="H35" s="8"/>
      <c r="I35" s="8"/>
      <c r="J35" s="6"/>
      <c r="K35" s="6"/>
      <c r="L35" s="38"/>
      <c r="M35" s="96" t="str">
        <f>"Growth from end of "&amp;$H$25&amp;" to end of "&amp;$J$25&amp;"."</f>
        <v>Growth from end of 2023 to end of 2025.</v>
      </c>
      <c r="N35" s="6"/>
    </row>
    <row r="36" spans="1:14" ht="15" customHeight="1" x14ac:dyDescent="0.25">
      <c r="A36" s="74"/>
      <c r="B36" s="74"/>
      <c r="C36" s="74"/>
      <c r="D36" s="6"/>
      <c r="K36" s="6"/>
      <c r="L36" s="6"/>
      <c r="M36" s="6"/>
      <c r="N36" s="6"/>
    </row>
  </sheetData>
  <pageMargins left="0.25" right="0.25" top="0.75" bottom="0.75" header="0.3" footer="0.3"/>
  <pageSetup paperSize="9" scale="56" fitToHeight="0" orientation="landscape" r:id="rId1"/>
  <headerFooter>
    <oddHeader>&amp;R&amp;D &amp;T</oddHeader>
    <oddFooter>&amp;L&amp;F&amp;C&amp;A&amp;R&amp;P</oddFooter>
  </headerFooter>
  <ignoredErrors>
    <ignoredError sqref="D27"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E666C"/>
  </sheetPr>
  <dimension ref="A1:D138"/>
  <sheetViews>
    <sheetView showGridLines="0" view="pageBreakPreview" zoomScaleNormal="85" zoomScaleSheetLayoutView="100" workbookViewId="0"/>
  </sheetViews>
  <sheetFormatPr defaultColWidth="9.140625" defaultRowHeight="15" customHeight="1" x14ac:dyDescent="0.25"/>
  <cols>
    <col min="1" max="1" width="52.28515625" customWidth="1"/>
    <col min="2" max="2" width="15.140625" customWidth="1"/>
    <col min="3" max="3" width="11.140625" style="6" customWidth="1"/>
    <col min="4" max="4" width="11.140625" customWidth="1"/>
  </cols>
  <sheetData>
    <row r="1" spans="1:4" ht="26.25" x14ac:dyDescent="0.25">
      <c r="A1" s="27" t="s">
        <v>52</v>
      </c>
      <c r="B1" s="6"/>
      <c r="D1" s="6"/>
    </row>
    <row r="2" spans="1:4" ht="20.100000000000001" customHeight="1" x14ac:dyDescent="0.25">
      <c r="A2" s="176" t="s">
        <v>55</v>
      </c>
      <c r="B2" s="138"/>
      <c r="D2" s="6"/>
    </row>
    <row r="3" spans="1:4" x14ac:dyDescent="0.25">
      <c r="A3" s="59" t="s">
        <v>39</v>
      </c>
      <c r="B3" s="177" t="s">
        <v>21</v>
      </c>
      <c r="D3" s="100" t="s">
        <v>94</v>
      </c>
    </row>
    <row r="4" spans="1:4" x14ac:dyDescent="0.25">
      <c r="A4" s="72"/>
      <c r="B4" s="72"/>
      <c r="D4" s="6"/>
    </row>
    <row r="5" spans="1:4" ht="34.5" customHeight="1" x14ac:dyDescent="0.25">
      <c r="A5" s="61"/>
      <c r="B5" s="178" t="s">
        <v>14</v>
      </c>
      <c r="C5" s="204"/>
      <c r="D5" s="204"/>
    </row>
    <row r="6" spans="1:4" ht="39.950000000000003" customHeight="1" x14ac:dyDescent="0.35">
      <c r="A6" s="73" t="s">
        <v>5</v>
      </c>
      <c r="B6" s="5"/>
      <c r="C6" s="34"/>
      <c r="D6" s="34"/>
    </row>
    <row r="7" spans="1:4" ht="35.1" customHeight="1" x14ac:dyDescent="0.35">
      <c r="A7" s="33" t="str">
        <f>'Total opex'!A27</f>
        <v>Total opex series (nominal)</v>
      </c>
      <c r="B7" s="34"/>
      <c r="C7" s="34"/>
      <c r="D7" s="34"/>
    </row>
    <row r="8" spans="1:4" x14ac:dyDescent="0.25">
      <c r="A8" s="179" t="str">
        <f>'Total opex'!M27</f>
        <v>Total opex allowance (nominal) 'under IFRS 16'.</v>
      </c>
      <c r="B8" s="34"/>
      <c r="C8" s="34"/>
      <c r="D8" s="34"/>
    </row>
    <row r="9" spans="1:4" x14ac:dyDescent="0.25">
      <c r="A9" s="141"/>
      <c r="B9" s="172"/>
      <c r="C9" s="34"/>
      <c r="D9" s="34"/>
    </row>
    <row r="10" spans="1:4" x14ac:dyDescent="0.25">
      <c r="A10" s="141"/>
      <c r="B10" s="172"/>
      <c r="C10" s="34"/>
      <c r="D10" s="34"/>
    </row>
    <row r="11" spans="1:4" x14ac:dyDescent="0.25">
      <c r="A11" s="141" t="str">
        <f>$A$7&amp;" "&amp;'Total opex'!$E$2</f>
        <v>Total opex series (nominal) 2020</v>
      </c>
      <c r="B11" s="172">
        <f>INDEX('Total opex'!$C$3:$K$35,MATCH($A$7,'Total opex'!$A$3:$A$35,0),MATCH(VALUE(RIGHT($A11,4)),'Total opex'!$C$2:$K$2,0))</f>
        <v>32477.232476399426</v>
      </c>
      <c r="C11" s="34"/>
      <c r="D11" s="34"/>
    </row>
    <row r="12" spans="1:4" x14ac:dyDescent="0.25">
      <c r="A12" s="141" t="str">
        <f>$A$7&amp;" "&amp;'Total opex'!$F$2</f>
        <v>Total opex series (nominal) 2021</v>
      </c>
      <c r="B12" s="172">
        <f>INDEX('Total opex'!$C$3:$K$35,MATCH($A$7,'Total opex'!$A$3:$A$35,0),MATCH(VALUE(RIGHT($A12,4)),'Total opex'!$C$2:$K$2,0))</f>
        <v>33067.608922501204</v>
      </c>
      <c r="C12" s="34"/>
      <c r="D12" s="34"/>
    </row>
    <row r="13" spans="1:4" x14ac:dyDescent="0.25">
      <c r="A13" s="141" t="str">
        <f>$A$7&amp;" "&amp;'Total opex'!$G$2</f>
        <v>Total opex series (nominal) 2022</v>
      </c>
      <c r="B13" s="172">
        <f>INDEX('Total opex'!$C$3:$K$35,MATCH($A$7,'Total opex'!$A$3:$A$35,0),MATCH(VALUE(RIGHT($A13,4)),'Total opex'!$C$2:$K$2,0))</f>
        <v>33851.55760501702</v>
      </c>
      <c r="C13" s="34"/>
      <c r="D13" s="34"/>
    </row>
    <row r="14" spans="1:4" x14ac:dyDescent="0.25">
      <c r="A14" s="141" t="str">
        <f>$A$7&amp;" "&amp;'Total opex'!$H$2</f>
        <v>Total opex series (nominal) 2023</v>
      </c>
      <c r="B14" s="172">
        <f>INDEX('Total opex'!$C$3:$K$35,MATCH($A$7,'Total opex'!$A$3:$A$35,0),MATCH(VALUE(RIGHT($A14,4)),'Total opex'!$C$2:$K$2,0))</f>
        <v>34546.899593594469</v>
      </c>
      <c r="C14" s="34"/>
      <c r="D14" s="34"/>
    </row>
    <row r="15" spans="1:4" x14ac:dyDescent="0.25">
      <c r="A15" s="141" t="str">
        <f>$A$7&amp;" "&amp;'Total opex'!$I$2</f>
        <v>Total opex series (nominal) 2024</v>
      </c>
      <c r="B15" s="172">
        <f>INDEX('Total opex'!$C$3:$K$35,MATCH($A$7,'Total opex'!$A$3:$A$35,0),MATCH(VALUE(RIGHT($A15,4)),'Total opex'!$C$2:$K$2,0))</f>
        <v>35331.053244347509</v>
      </c>
      <c r="C15" s="34"/>
      <c r="D15" s="34"/>
    </row>
    <row r="16" spans="1:4" x14ac:dyDescent="0.25">
      <c r="A16" s="141" t="str">
        <f>$A$7&amp;" "&amp;'Total opex'!$J$2</f>
        <v>Total opex series (nominal) 2025</v>
      </c>
      <c r="B16" s="71">
        <f>INDEX('Total opex'!$C$3:$K$35,MATCH($A$7,'Total opex'!$A$3:$A$35,0),MATCH(VALUE(RIGHT($A16,4)),'Total opex'!$C$2:$K$2,0))</f>
        <v>36203.677900603099</v>
      </c>
      <c r="C16" s="34"/>
      <c r="D16" s="34"/>
    </row>
    <row r="17" spans="1:4" ht="35.1" customHeight="1" x14ac:dyDescent="0.35">
      <c r="A17" s="180" t="str">
        <f>'Total opex'!A4</f>
        <v>Network opex series (nominal)</v>
      </c>
      <c r="B17" s="5"/>
      <c r="C17" s="34"/>
      <c r="D17" s="34"/>
    </row>
    <row r="18" spans="1:4" x14ac:dyDescent="0.25">
      <c r="A18" s="179" t="str">
        <f>'Total opex'!M4</f>
        <v>Network opex allowance (nominal) 'under IFRS 16'.</v>
      </c>
      <c r="B18" s="34"/>
      <c r="C18" s="34"/>
      <c r="D18" s="34"/>
    </row>
    <row r="19" spans="1:4" x14ac:dyDescent="0.25">
      <c r="A19" s="141" t="str">
        <f>$A$17&amp;" "&amp;'Total opex'!$C$2</f>
        <v>Network opex series (nominal) 2018</v>
      </c>
      <c r="B19" s="172">
        <f>INDEX('Total opex'!$C$3:$K$35,MATCH($A$17,'Total opex'!$A$3:$A$35,0),MATCH(VALUE(RIGHT($A19,4)),'Total opex'!$C$2:$K$2,0))</f>
        <v>0</v>
      </c>
      <c r="C19" s="34"/>
      <c r="D19" s="34"/>
    </row>
    <row r="20" spans="1:4" x14ac:dyDescent="0.25">
      <c r="A20" s="141" t="str">
        <f>$A$17&amp;" "&amp;'Total opex'!$D$2</f>
        <v>Network opex series (nominal) 2019</v>
      </c>
      <c r="B20" s="172">
        <f>INDEX('Total opex'!$C$3:$K$35,MATCH($A$17,'Total opex'!$A$3:$A$35,0),MATCH(VALUE(RIGHT($A20,4)),'Total opex'!$C$2:$K$2,0))</f>
        <v>0</v>
      </c>
      <c r="C20" s="34"/>
      <c r="D20" s="34"/>
    </row>
    <row r="21" spans="1:4" x14ac:dyDescent="0.25">
      <c r="A21" s="141" t="str">
        <f>$A$17&amp;" "&amp;'Total opex'!$E$2</f>
        <v>Network opex series (nominal) 2020</v>
      </c>
      <c r="B21" s="172">
        <f>INDEX('Total opex'!$C$3:$K$35,MATCH($A$17,'Total opex'!$A$3:$A$35,0),MATCH(VALUE(RIGHT($A21,4)),'Total opex'!$C$2:$K$2,0))</f>
        <v>15760.345487461585</v>
      </c>
      <c r="C21" s="34"/>
      <c r="D21" s="34"/>
    </row>
    <row r="22" spans="1:4" x14ac:dyDescent="0.25">
      <c r="A22" s="141" t="str">
        <f>$A$17&amp;" "&amp;'Total opex'!$F$2</f>
        <v>Network opex series (nominal) 2021</v>
      </c>
      <c r="B22" s="172">
        <f>INDEX('Total opex'!$C$3:$K$35,MATCH($A$17,'Total opex'!$A$3:$A$35,0),MATCH(VALUE(RIGHT($A22,4)),'Total opex'!$C$2:$K$2,0))</f>
        <v>16032.119053311702</v>
      </c>
      <c r="C22" s="34"/>
      <c r="D22" s="34"/>
    </row>
    <row r="23" spans="1:4" x14ac:dyDescent="0.25">
      <c r="A23" s="141" t="str">
        <f>$A$17&amp;" "&amp;'Total opex'!$G$2</f>
        <v>Network opex series (nominal) 2022</v>
      </c>
      <c r="B23" s="172">
        <f>INDEX('Total opex'!$C$3:$K$35,MATCH($A$17,'Total opex'!$A$3:$A$35,0),MATCH(VALUE(RIGHT($A23,4)),'Total opex'!$C$2:$K$2,0))</f>
        <v>16403.037907668524</v>
      </c>
      <c r="C23" s="34"/>
      <c r="D23" s="34"/>
    </row>
    <row r="24" spans="1:4" x14ac:dyDescent="0.25">
      <c r="A24" s="141" t="str">
        <f>$A$17&amp;" "&amp;'Total opex'!$H$2</f>
        <v>Network opex series (nominal) 2023</v>
      </c>
      <c r="B24" s="172">
        <f>INDEX('Total opex'!$C$3:$K$35,MATCH($A$17,'Total opex'!$A$3:$A$35,0),MATCH(VALUE(RIGHT($A24,4)),'Total opex'!$C$2:$K$2,0))</f>
        <v>16730.446968120828</v>
      </c>
      <c r="C24" s="34"/>
      <c r="D24" s="34"/>
    </row>
    <row r="25" spans="1:4" x14ac:dyDescent="0.25">
      <c r="A25" s="141" t="str">
        <f>$A$17&amp;" "&amp;'Total opex'!$I$2</f>
        <v>Network opex series (nominal) 2024</v>
      </c>
      <c r="B25" s="172">
        <f>INDEX('Total opex'!$C$3:$K$35,MATCH($A$17,'Total opex'!$A$3:$A$35,0),MATCH(VALUE(RIGHT($A25,4)),'Total opex'!$C$2:$K$2,0))</f>
        <v>17092.219949638191</v>
      </c>
      <c r="C25" s="34"/>
      <c r="D25" s="34"/>
    </row>
    <row r="26" spans="1:4" x14ac:dyDescent="0.25">
      <c r="A26" s="141" t="str">
        <f>$A$17&amp;" "&amp;'Total opex'!$J$2</f>
        <v>Network opex series (nominal) 2025</v>
      </c>
      <c r="B26" s="71">
        <f>INDEX('Total opex'!$C$3:$K$35,MATCH($A$17,'Total opex'!$A$3:$A$35,0),MATCH(VALUE(RIGHT($A26,4)),'Total opex'!$C$2:$K$2,0))</f>
        <v>17496.967118761699</v>
      </c>
      <c r="C26" s="34"/>
      <c r="D26" s="34"/>
    </row>
    <row r="27" spans="1:4" ht="35.1" customHeight="1" x14ac:dyDescent="0.35">
      <c r="A27" s="180" t="str">
        <f>'Total opex'!A11</f>
        <v>Non-network opex series (nominal)</v>
      </c>
      <c r="B27" s="5"/>
      <c r="C27" s="34"/>
      <c r="D27" s="34"/>
    </row>
    <row r="28" spans="1:4" x14ac:dyDescent="0.25">
      <c r="A28" s="179" t="str">
        <f>'Total opex'!M11</f>
        <v>Non-network opex allowance (nominal) 'under IFRS 16'.</v>
      </c>
      <c r="B28" s="34"/>
      <c r="C28" s="34"/>
      <c r="D28" s="34"/>
    </row>
    <row r="29" spans="1:4" x14ac:dyDescent="0.25">
      <c r="A29" s="141" t="str">
        <f>$A$27&amp;" "&amp;'Total opex'!$C$2</f>
        <v>Non-network opex series (nominal) 2018</v>
      </c>
      <c r="B29" s="172">
        <f>INDEX('Total opex'!$C$3:$K$35,MATCH($A$27,'Total opex'!$A$3:$A$35,0),MATCH(VALUE(RIGHT($A29,4)),'Total opex'!$C$2:$K$2,0))</f>
        <v>0</v>
      </c>
      <c r="C29" s="34"/>
      <c r="D29" s="34"/>
    </row>
    <row r="30" spans="1:4" x14ac:dyDescent="0.25">
      <c r="A30" s="141" t="str">
        <f>$A$27&amp;" "&amp;'Total opex'!$D$2</f>
        <v>Non-network opex series (nominal) 2019</v>
      </c>
      <c r="B30" s="172">
        <f>INDEX('Total opex'!$C$3:$K$35,MATCH($A$27,'Total opex'!$A$3:$A$35,0),MATCH(VALUE(RIGHT($A30,4)),'Total opex'!$C$2:$K$2,0))</f>
        <v>0</v>
      </c>
      <c r="C30" s="34"/>
      <c r="D30" s="34"/>
    </row>
    <row r="31" spans="1:4" x14ac:dyDescent="0.25">
      <c r="A31" s="141" t="str">
        <f>$A$27&amp;" "&amp;'Total opex'!$E$2</f>
        <v>Non-network opex series (nominal) 2020</v>
      </c>
      <c r="B31" s="172">
        <f>INDEX('Total opex'!$C$3:$K$35,MATCH($A$27,'Total opex'!$A$3:$A$35,0),MATCH(VALUE(RIGHT($A31,4)),'Total opex'!$C$2:$K$2,0))</f>
        <v>16716.88698893784</v>
      </c>
      <c r="C31" s="34"/>
      <c r="D31" s="34"/>
    </row>
    <row r="32" spans="1:4" x14ac:dyDescent="0.25">
      <c r="A32" s="141" t="str">
        <f>$A$27&amp;" "&amp;'Total opex'!$F$2</f>
        <v>Non-network opex series (nominal) 2021</v>
      </c>
      <c r="B32" s="172">
        <f>INDEX('Total opex'!$C$3:$K$35,MATCH($A$27,'Total opex'!$A$3:$A$35,0),MATCH(VALUE(RIGHT($A32,4)),'Total opex'!$C$2:$K$2,0))</f>
        <v>17035.489869189503</v>
      </c>
      <c r="C32" s="34"/>
      <c r="D32" s="34"/>
    </row>
    <row r="33" spans="1:4" x14ac:dyDescent="0.25">
      <c r="A33" s="141" t="str">
        <f>$A$27&amp;" "&amp;'Total opex'!$G$2</f>
        <v>Non-network opex series (nominal) 2022</v>
      </c>
      <c r="B33" s="172">
        <f>INDEX('Total opex'!$C$3:$K$35,MATCH($A$27,'Total opex'!$A$3:$A$35,0),MATCH(VALUE(RIGHT($A33,4)),'Total opex'!$C$2:$K$2,0))</f>
        <v>17448.519697348496</v>
      </c>
      <c r="C33" s="34"/>
      <c r="D33" s="34"/>
    </row>
    <row r="34" spans="1:4" x14ac:dyDescent="0.25">
      <c r="A34" s="141" t="str">
        <f>$A$27&amp;" "&amp;'Total opex'!$H$2</f>
        <v>Non-network opex series (nominal) 2023</v>
      </c>
      <c r="B34" s="172">
        <f>INDEX('Total opex'!$C$3:$K$35,MATCH($A$27,'Total opex'!$A$3:$A$35,0),MATCH(VALUE(RIGHT($A34,4)),'Total opex'!$C$2:$K$2,0))</f>
        <v>17816.452625473641</v>
      </c>
      <c r="C34" s="34"/>
      <c r="D34" s="34"/>
    </row>
    <row r="35" spans="1:4" x14ac:dyDescent="0.25">
      <c r="A35" s="141" t="str">
        <f>$A$27&amp;" "&amp;'Total opex'!$I$2</f>
        <v>Non-network opex series (nominal) 2024</v>
      </c>
      <c r="B35" s="172">
        <f>INDEX('Total opex'!$C$3:$K$35,MATCH($A$27,'Total opex'!$A$3:$A$35,0),MATCH(VALUE(RIGHT($A35,4)),'Total opex'!$C$2:$K$2,0))</f>
        <v>18238.833294709322</v>
      </c>
      <c r="C35" s="34"/>
      <c r="D35" s="34"/>
    </row>
    <row r="36" spans="1:4" x14ac:dyDescent="0.25">
      <c r="A36" s="141" t="str">
        <f>$A$27&amp;" "&amp;'Total opex'!$J$2</f>
        <v>Non-network opex series (nominal) 2025</v>
      </c>
      <c r="B36" s="71">
        <f>INDEX('Total opex'!$C$3:$K$35,MATCH($A$27,'Total opex'!$A$3:$A$35,0),MATCH(VALUE(RIGHT($A36,4)),'Total opex'!$C$2:$K$2,0))</f>
        <v>18706.710781841404</v>
      </c>
      <c r="C36" s="34"/>
      <c r="D36" s="34"/>
    </row>
    <row r="37" spans="1:4" ht="35.1" customHeight="1" x14ac:dyDescent="0.35">
      <c r="A37" s="180" t="str">
        <f>'Total opex'!A26</f>
        <v>Total opex series (constant)</v>
      </c>
      <c r="B37" s="5"/>
      <c r="C37" s="34"/>
      <c r="D37" s="34"/>
    </row>
    <row r="38" spans="1:4" x14ac:dyDescent="0.25">
      <c r="A38" s="179" t="str">
        <f>'Total opex'!M26</f>
        <v>Total opex allowance (constant) 'under IFRS 16'.</v>
      </c>
      <c r="B38" s="34"/>
      <c r="C38" s="34"/>
      <c r="D38" s="34"/>
    </row>
    <row r="39" spans="1:4" x14ac:dyDescent="0.25">
      <c r="A39" s="141" t="str">
        <f>$A$37&amp;" "&amp;'Total opex'!$C$2</f>
        <v>Total opex series (constant) 2018</v>
      </c>
      <c r="B39" s="172">
        <f>INDEX('Total opex'!$C$3:$K$35,MATCH($A$37,'Total opex'!$A$3:$A$35,0),MATCH(VALUE(RIGHT($A39,4)),'Total opex'!$C$2:$K$2,0))</f>
        <v>0</v>
      </c>
      <c r="C39" s="34"/>
      <c r="D39" s="34"/>
    </row>
    <row r="40" spans="1:4" x14ac:dyDescent="0.25">
      <c r="A40" s="141" t="str">
        <f>$A$37&amp;" "&amp;'Total opex'!$D$2</f>
        <v>Total opex series (constant) 2019</v>
      </c>
      <c r="B40" s="172">
        <f>INDEX('Total opex'!$C$3:$K$35,MATCH($A$37,'Total opex'!$A$3:$A$35,0),MATCH(VALUE(RIGHT($A40,4)),'Total opex'!$C$2:$K$2,0))</f>
        <v>0</v>
      </c>
      <c r="C40" s="34"/>
      <c r="D40" s="34"/>
    </row>
    <row r="41" spans="1:4" x14ac:dyDescent="0.25">
      <c r="A41" s="141" t="str">
        <f>$A$37&amp;" "&amp;'Total opex'!$E$2</f>
        <v>Total opex series (constant) 2020</v>
      </c>
      <c r="B41" s="172">
        <f>INDEX('Total opex'!$C$3:$K$35,MATCH($A$37,'Total opex'!$A$3:$A$35,0),MATCH(VALUE(RIGHT($A41,4)),'Total opex'!$C$2:$K$2,0))</f>
        <v>32477.232476399426</v>
      </c>
      <c r="C41" s="34"/>
      <c r="D41" s="34"/>
    </row>
    <row r="42" spans="1:4" x14ac:dyDescent="0.25">
      <c r="A42" s="141" t="str">
        <f>$A$37&amp;" "&amp;'Total opex'!$F$2</f>
        <v>Total opex series (constant) 2021</v>
      </c>
      <c r="B42" s="172">
        <f>INDEX('Total opex'!$C$3:$K$35,MATCH($A$37,'Total opex'!$A$3:$A$35,0),MATCH(VALUE(RIGHT($A42,4)),'Total opex'!$C$2:$K$2,0))</f>
        <v>32693.689051739406</v>
      </c>
      <c r="C42" s="34"/>
      <c r="D42" s="34"/>
    </row>
    <row r="43" spans="1:4" x14ac:dyDescent="0.25">
      <c r="A43" s="141" t="str">
        <f>$A$37&amp;" "&amp;'Total opex'!$G$2</f>
        <v>Total opex series (constant) 2022</v>
      </c>
      <c r="B43" s="172">
        <f>INDEX('Total opex'!$C$3:$K$35,MATCH($A$37,'Total opex'!$A$3:$A$35,0),MATCH(VALUE(RIGHT($A43,4)),'Total opex'!$C$2:$K$2,0))</f>
        <v>32924.975545608002</v>
      </c>
      <c r="C43" s="34"/>
      <c r="D43" s="34"/>
    </row>
    <row r="44" spans="1:4" x14ac:dyDescent="0.25">
      <c r="A44" s="141" t="str">
        <f>$A$37&amp;" "&amp;'Total opex'!$H$2</f>
        <v>Total opex series (constant) 2023</v>
      </c>
      <c r="B44" s="172">
        <f>INDEX('Total opex'!$C$3:$K$35,MATCH($A$37,'Total opex'!$A$3:$A$35,0),MATCH(VALUE(RIGHT($A44,4)),'Total opex'!$C$2:$K$2,0))</f>
        <v>33156.102583169122</v>
      </c>
      <c r="C44" s="34"/>
      <c r="D44" s="34"/>
    </row>
    <row r="45" spans="1:4" x14ac:dyDescent="0.25">
      <c r="A45" s="141" t="str">
        <f>$A$37&amp;" "&amp;'Total opex'!$I$2</f>
        <v>Total opex series (constant) 2024</v>
      </c>
      <c r="B45" s="172">
        <f>INDEX('Total opex'!$C$3:$K$35,MATCH($A$37,'Total opex'!$A$3:$A$35,0),MATCH(VALUE(RIGHT($A45,4)),'Total opex'!$C$2:$K$2,0))</f>
        <v>33368.919788532294</v>
      </c>
      <c r="C45" s="34"/>
      <c r="D45" s="34"/>
    </row>
    <row r="46" spans="1:4" x14ac:dyDescent="0.25">
      <c r="A46" s="141" t="str">
        <f>$A$37&amp;" "&amp;'Total opex'!$J$2</f>
        <v>Total opex series (constant) 2025</v>
      </c>
      <c r="B46" s="71">
        <f>INDEX('Total opex'!$C$3:$K$35,MATCH($A$37,'Total opex'!$A$3:$A$35,0),MATCH(VALUE(RIGHT($A46,4)),'Total opex'!$C$2:$K$2,0))</f>
        <v>33583.163198167807</v>
      </c>
      <c r="C46" s="34"/>
      <c r="D46" s="34"/>
    </row>
    <row r="47" spans="1:4" ht="35.1" customHeight="1" x14ac:dyDescent="0.35">
      <c r="A47" s="180" t="str">
        <f>'Total opex'!A3</f>
        <v>Network opex series (constant)</v>
      </c>
      <c r="B47" s="5"/>
      <c r="C47" s="34"/>
      <c r="D47" s="34"/>
    </row>
    <row r="48" spans="1:4" x14ac:dyDescent="0.25">
      <c r="A48" s="179" t="str">
        <f>'Total opex'!M3</f>
        <v>Network opex allowance (constant) 'under IFRS 16'.</v>
      </c>
      <c r="B48" s="34"/>
      <c r="C48" s="34"/>
      <c r="D48" s="34"/>
    </row>
    <row r="49" spans="1:4" x14ac:dyDescent="0.25">
      <c r="A49" s="141" t="str">
        <f>$A$47&amp;" "&amp;'Total opex'!$C$2</f>
        <v>Network opex series (constant) 2018</v>
      </c>
      <c r="B49" s="172">
        <f>INDEX('Total opex'!$C$3:$K$35,MATCH($A$47,'Total opex'!$A$3:$A$35,0),MATCH(VALUE(RIGHT($A49,4)),'Total opex'!$C$2:$K$2,0))</f>
        <v>0</v>
      </c>
      <c r="C49" s="34"/>
      <c r="D49" s="34"/>
    </row>
    <row r="50" spans="1:4" x14ac:dyDescent="0.25">
      <c r="A50" s="141" t="str">
        <f>$A$47&amp;" "&amp;'Total opex'!$D$2</f>
        <v>Network opex series (constant) 2019</v>
      </c>
      <c r="B50" s="172">
        <f>INDEX('Total opex'!$C$3:$K$35,MATCH($A$47,'Total opex'!$A$3:$A$35,0),MATCH(VALUE(RIGHT($A50,4)),'Total opex'!$C$2:$K$2,0))</f>
        <v>0</v>
      </c>
      <c r="C50" s="34"/>
      <c r="D50" s="34"/>
    </row>
    <row r="51" spans="1:4" x14ac:dyDescent="0.25">
      <c r="A51" s="141" t="str">
        <f>$A$47&amp;" "&amp;'Total opex'!$E$2</f>
        <v>Network opex series (constant) 2020</v>
      </c>
      <c r="B51" s="172">
        <f>INDEX('Total opex'!$C$3:$K$35,MATCH($A$47,'Total opex'!$A$3:$A$35,0),MATCH(VALUE(RIGHT($A51,4)),'Total opex'!$C$2:$K$2,0))</f>
        <v>15760.345487461585</v>
      </c>
      <c r="C51" s="34"/>
      <c r="D51" s="34"/>
    </row>
    <row r="52" spans="1:4" x14ac:dyDescent="0.25">
      <c r="A52" s="141" t="str">
        <f>$A$47&amp;" "&amp;'Total opex'!$F$2</f>
        <v>Network opex series (constant) 2021</v>
      </c>
      <c r="B52" s="172">
        <f>INDEX('Total opex'!$C$3:$K$35,MATCH($A$47,'Total opex'!$A$3:$A$35,0),MATCH(VALUE(RIGHT($A52,4)),'Total opex'!$C$2:$K$2,0))</f>
        <v>15850.832045276087</v>
      </c>
      <c r="C52" s="34"/>
      <c r="D52" s="34"/>
    </row>
    <row r="53" spans="1:4" x14ac:dyDescent="0.25">
      <c r="A53" s="141" t="str">
        <f>$A$47&amp;" "&amp;'Total opex'!$G$2</f>
        <v>Network opex series (constant) 2022</v>
      </c>
      <c r="B53" s="172">
        <f>INDEX('Total opex'!$C$3:$K$35,MATCH($A$47,'Total opex'!$A$3:$A$35,0),MATCH(VALUE(RIGHT($A53,4)),'Total opex'!$C$2:$K$2,0))</f>
        <v>15954.055298880114</v>
      </c>
      <c r="C53" s="34"/>
      <c r="D53" s="34"/>
    </row>
    <row r="54" spans="1:4" x14ac:dyDescent="0.25">
      <c r="A54" s="141" t="str">
        <f>$A$47&amp;" "&amp;'Total opex'!$H$2</f>
        <v>Network opex series (constant) 2023</v>
      </c>
      <c r="B54" s="172">
        <f>INDEX('Total opex'!$C$3:$K$35,MATCH($A$47,'Total opex'!$A$3:$A$35,0),MATCH(VALUE(RIGHT($A54,4)),'Total opex'!$C$2:$K$2,0))</f>
        <v>16056.908795373869</v>
      </c>
      <c r="C54" s="34"/>
      <c r="D54" s="34"/>
    </row>
    <row r="55" spans="1:4" x14ac:dyDescent="0.25">
      <c r="A55" s="141" t="str">
        <f>$A$47&amp;" "&amp;'Total opex'!$I$2</f>
        <v>Network opex series (constant) 2024</v>
      </c>
      <c r="B55" s="172">
        <f>INDEX('Total opex'!$C$3:$K$35,MATCH($A$47,'Total opex'!$A$3:$A$35,0),MATCH(VALUE(RIGHT($A55,4)),'Total opex'!$C$2:$K$2,0))</f>
        <v>16142.9921877202</v>
      </c>
      <c r="C55" s="34"/>
      <c r="D55" s="34"/>
    </row>
    <row r="56" spans="1:4" x14ac:dyDescent="0.25">
      <c r="A56" s="141" t="str">
        <f>$A$47&amp;" "&amp;'Total opex'!$J$2</f>
        <v>Network opex series (constant) 2025</v>
      </c>
      <c r="B56" s="71">
        <f>INDEX('Total opex'!$C$3:$K$35,MATCH($A$47,'Total opex'!$A$3:$A$35,0),MATCH(VALUE(RIGHT($A56,4)),'Total opex'!$C$2:$K$2,0))</f>
        <v>16230.491936084798</v>
      </c>
      <c r="C56" s="34"/>
      <c r="D56" s="34"/>
    </row>
    <row r="57" spans="1:4" ht="35.1" customHeight="1" x14ac:dyDescent="0.35">
      <c r="A57" s="180" t="str">
        <f>'Total opex'!A10</f>
        <v>Non-network opex series (constant)</v>
      </c>
      <c r="B57" s="5"/>
      <c r="C57" s="34"/>
      <c r="D57" s="34"/>
    </row>
    <row r="58" spans="1:4" x14ac:dyDescent="0.25">
      <c r="A58" s="179" t="str">
        <f>'Total opex'!M10</f>
        <v>Non-network opex allowance (constant) 'under IFRS 16'.</v>
      </c>
      <c r="B58" s="34"/>
      <c r="C58" s="34"/>
      <c r="D58" s="34"/>
    </row>
    <row r="59" spans="1:4" x14ac:dyDescent="0.25">
      <c r="A59" s="141" t="str">
        <f>$A$57&amp;" "&amp;'Total opex'!$C$2</f>
        <v>Non-network opex series (constant) 2018</v>
      </c>
      <c r="B59" s="172">
        <f>INDEX('Total opex'!$C$3:$K$35,MATCH($A$57,'Total opex'!$A$3:$A$35,0),MATCH(VALUE(RIGHT($A59,4)),'Total opex'!$C$2:$K$2,0))</f>
        <v>0</v>
      </c>
      <c r="C59" s="34"/>
      <c r="D59" s="34"/>
    </row>
    <row r="60" spans="1:4" x14ac:dyDescent="0.25">
      <c r="A60" s="141" t="str">
        <f>$A$57&amp;" "&amp;'Total opex'!$D$2</f>
        <v>Non-network opex series (constant) 2019</v>
      </c>
      <c r="B60" s="172">
        <f>INDEX('Total opex'!$C$3:$K$35,MATCH($A$57,'Total opex'!$A$3:$A$35,0),MATCH(VALUE(RIGHT($A60,4)),'Total opex'!$C$2:$K$2,0))</f>
        <v>0</v>
      </c>
      <c r="C60" s="34"/>
      <c r="D60" s="34"/>
    </row>
    <row r="61" spans="1:4" x14ac:dyDescent="0.25">
      <c r="A61" s="141" t="str">
        <f>$A$57&amp;" "&amp;'Total opex'!$E$2</f>
        <v>Non-network opex series (constant) 2020</v>
      </c>
      <c r="B61" s="172">
        <f>INDEX('Total opex'!$C$3:$K$35,MATCH($A$57,'Total opex'!$A$3:$A$35,0),MATCH(VALUE(RIGHT($A61,4)),'Total opex'!$C$2:$K$2,0))</f>
        <v>16716.88698893784</v>
      </c>
      <c r="C61" s="34"/>
      <c r="D61" s="34"/>
    </row>
    <row r="62" spans="1:4" x14ac:dyDescent="0.25">
      <c r="A62" s="141" t="str">
        <f>$A$57&amp;" "&amp;'Total opex'!$F$2</f>
        <v>Non-network opex series (constant) 2021</v>
      </c>
      <c r="B62" s="172">
        <f>INDEX('Total opex'!$C$3:$K$35,MATCH($A$57,'Total opex'!$A$3:$A$35,0),MATCH(VALUE(RIGHT($A62,4)),'Total opex'!$C$2:$K$2,0))</f>
        <v>16842.85700646332</v>
      </c>
      <c r="C62" s="34"/>
      <c r="D62" s="34"/>
    </row>
    <row r="63" spans="1:4" x14ac:dyDescent="0.25">
      <c r="A63" s="141" t="str">
        <f>$A$57&amp;" "&amp;'Total opex'!$G$2</f>
        <v>Non-network opex series (constant) 2022</v>
      </c>
      <c r="B63" s="172">
        <f>INDEX('Total opex'!$C$3:$K$35,MATCH($A$57,'Total opex'!$A$3:$A$35,0),MATCH(VALUE(RIGHT($A63,4)),'Total opex'!$C$2:$K$2,0))</f>
        <v>16970.920246727888</v>
      </c>
      <c r="C63" s="34"/>
      <c r="D63" s="34"/>
    </row>
    <row r="64" spans="1:4" x14ac:dyDescent="0.25">
      <c r="A64" s="141" t="str">
        <f>$A$57&amp;" "&amp;'Total opex'!$H$2</f>
        <v>Non-network opex series (constant) 2023</v>
      </c>
      <c r="B64" s="172">
        <f>INDEX('Total opex'!$C$3:$K$35,MATCH($A$57,'Total opex'!$A$3:$A$35,0),MATCH(VALUE(RIGHT($A64,4)),'Total opex'!$C$2:$K$2,0))</f>
        <v>17099.193787795251</v>
      </c>
      <c r="C64" s="34"/>
      <c r="D64" s="34"/>
    </row>
    <row r="65" spans="1:4" x14ac:dyDescent="0.25">
      <c r="A65" s="141" t="str">
        <f>$A$57&amp;" "&amp;'Total opex'!$I$2</f>
        <v>Non-network opex series (constant) 2024</v>
      </c>
      <c r="B65" s="172">
        <f>INDEX('Total opex'!$C$3:$K$35,MATCH($A$57,'Total opex'!$A$3:$A$35,0),MATCH(VALUE(RIGHT($A65,4)),'Total opex'!$C$2:$K$2,0))</f>
        <v>17225.927600812094</v>
      </c>
      <c r="C65" s="34"/>
      <c r="D65" s="34"/>
    </row>
    <row r="66" spans="1:4" x14ac:dyDescent="0.25">
      <c r="A66" s="141" t="str">
        <f>$A$57&amp;" "&amp;'Total opex'!$J$2</f>
        <v>Non-network opex series (constant) 2025</v>
      </c>
      <c r="B66" s="71">
        <f>INDEX('Total opex'!$C$3:$K$35,MATCH($A$57,'Total opex'!$A$3:$A$35,0),MATCH(VALUE(RIGHT($A66,4)),'Total opex'!$C$2:$K$2,0))</f>
        <v>17352.671262083008</v>
      </c>
      <c r="C66" s="34"/>
      <c r="D66" s="34"/>
    </row>
    <row r="67" spans="1:4" ht="35.1" customHeight="1" x14ac:dyDescent="0.35">
      <c r="A67" s="181" t="str">
        <f>'Total opex'!A29</f>
        <v>Total trend in opex series (nominal)</v>
      </c>
      <c r="B67" s="182"/>
      <c r="C67" s="34"/>
      <c r="D67" s="34"/>
    </row>
    <row r="68" spans="1:4" x14ac:dyDescent="0.25">
      <c r="A68" s="183" t="str">
        <f>'Total opex'!M29</f>
        <v>Total opex allowance (nominal) 'as if IFRS 16 never happened'.</v>
      </c>
      <c r="B68" s="36"/>
      <c r="C68" s="34"/>
      <c r="D68" s="34"/>
    </row>
    <row r="69" spans="1:4" x14ac:dyDescent="0.25">
      <c r="A69" s="184" t="str">
        <f>$A$67&amp;" "&amp;'Total opex'!$C$2</f>
        <v>Total trend in opex series (nominal) 2018</v>
      </c>
      <c r="B69" s="172">
        <f>INDEX('Total opex'!$C$3:$K$35,MATCH($A$67,'Total opex'!$A$3:$A$35,0),MATCH(VALUE(RIGHT($A69,4)),'Total opex'!$C$2:$K$2,0))</f>
        <v>0</v>
      </c>
      <c r="C69" s="34"/>
      <c r="D69" s="34"/>
    </row>
    <row r="70" spans="1:4" x14ac:dyDescent="0.25">
      <c r="A70" s="184" t="str">
        <f>$A$67&amp;" "&amp;'Total opex'!$D$2</f>
        <v>Total trend in opex series (nominal) 2019</v>
      </c>
      <c r="B70" s="172">
        <f>INDEX('Total opex'!$C$3:$K$35,MATCH($A$67,'Total opex'!$A$3:$A$35,0),MATCH(VALUE(RIGHT($A70,4)),'Total opex'!$C$2:$K$2,0))</f>
        <v>0</v>
      </c>
      <c r="C70" s="34"/>
      <c r="D70" s="34"/>
    </row>
    <row r="71" spans="1:4" x14ac:dyDescent="0.25">
      <c r="A71" s="184" t="str">
        <f>$A$67&amp;" "&amp;'Total opex'!$E$2</f>
        <v>Total trend in opex series (nominal) 2020</v>
      </c>
      <c r="B71" s="172">
        <f>INDEX('Total opex'!$C$3:$K$35,MATCH($A$67,'Total opex'!$A$3:$A$35,0),MATCH(VALUE(RIGHT($A71,4)),'Total opex'!$C$2:$K$2,0))</f>
        <v>32990.979315796685</v>
      </c>
      <c r="C71" s="34"/>
      <c r="D71" s="34"/>
    </row>
    <row r="72" spans="1:4" x14ac:dyDescent="0.25">
      <c r="A72" s="184" t="str">
        <f>$A$67&amp;" "&amp;'Total opex'!$F$2</f>
        <v>Total trend in opex series (nominal) 2021</v>
      </c>
      <c r="B72" s="172">
        <f>INDEX('Total opex'!$C$3:$K$35,MATCH($A$67,'Total opex'!$A$3:$A$35,0),MATCH(VALUE(RIGHT($A72,4)),'Total opex'!$C$2:$K$2,0))</f>
        <v>33592.193132501205</v>
      </c>
      <c r="C72" s="34"/>
      <c r="D72" s="34"/>
    </row>
    <row r="73" spans="1:4" x14ac:dyDescent="0.25">
      <c r="A73" s="184" t="str">
        <f>$A$67&amp;" "&amp;'Total opex'!$G$2</f>
        <v>Total trend in opex series (nominal) 2022</v>
      </c>
      <c r="B73" s="172">
        <f>INDEX('Total opex'!$C$3:$K$35,MATCH($A$67,'Total opex'!$A$3:$A$35,0),MATCH(VALUE(RIGHT($A73,4)),'Total opex'!$C$2:$K$2,0))</f>
        <v>34376.141815017021</v>
      </c>
      <c r="C73" s="34"/>
      <c r="D73" s="34"/>
    </row>
    <row r="74" spans="1:4" x14ac:dyDescent="0.25">
      <c r="A74" s="184" t="str">
        <f>$A$67&amp;" "&amp;'Total opex'!$H$2</f>
        <v>Total trend in opex series (nominal) 2023</v>
      </c>
      <c r="B74" s="172">
        <f>INDEX('Total opex'!$C$3:$K$35,MATCH($A$67,'Total opex'!$A$3:$A$35,0),MATCH(VALUE(RIGHT($A74,4)),'Total opex'!$C$2:$K$2,0))</f>
        <v>35071.48380359447</v>
      </c>
      <c r="C74" s="34"/>
      <c r="D74" s="34"/>
    </row>
    <row r="75" spans="1:4" x14ac:dyDescent="0.25">
      <c r="A75" s="184" t="str">
        <f>$A$67&amp;" "&amp;'Total opex'!$I$2</f>
        <v>Total trend in opex series (nominal) 2024</v>
      </c>
      <c r="B75" s="172">
        <f>INDEX('Total opex'!$C$3:$K$35,MATCH($A$67,'Total opex'!$A$3:$A$35,0),MATCH(VALUE(RIGHT($A75,4)),'Total opex'!$C$2:$K$2,0))</f>
        <v>35829.173494346964</v>
      </c>
      <c r="C75" s="34"/>
      <c r="D75" s="34"/>
    </row>
    <row r="76" spans="1:4" x14ac:dyDescent="0.25">
      <c r="A76" s="184" t="str">
        <f>$A$67&amp;" "&amp;'Total opex'!$J$2</f>
        <v>Total trend in opex series (nominal) 2025</v>
      </c>
      <c r="B76" s="71">
        <f>INDEX('Total opex'!$C$3:$K$35,MATCH($A$67,'Total opex'!$A$3:$A$35,0),MATCH(VALUE(RIGHT($A76,4)),'Total opex'!$C$2:$K$2,0))</f>
        <v>36674.762969723983</v>
      </c>
      <c r="C76" s="34"/>
      <c r="D76" s="34"/>
    </row>
    <row r="77" spans="1:4" ht="35.1" customHeight="1" x14ac:dyDescent="0.35">
      <c r="A77" s="180" t="str">
        <f>'Total opex'!A6</f>
        <v>Trend in network opex series (nominal)</v>
      </c>
      <c r="B77" s="5"/>
      <c r="C77" s="34"/>
      <c r="D77" s="34"/>
    </row>
    <row r="78" spans="1:4" x14ac:dyDescent="0.25">
      <c r="A78" s="179" t="str">
        <f>'Total opex'!M6</f>
        <v>Network opex allowance (nominal) 'as if IFRS 16 never happened'.</v>
      </c>
      <c r="B78" s="34"/>
      <c r="C78" s="34"/>
      <c r="D78" s="34"/>
    </row>
    <row r="79" spans="1:4" x14ac:dyDescent="0.25">
      <c r="A79" s="141" t="str">
        <f>$A$77&amp;" "&amp;'Total opex'!$C$2</f>
        <v>Trend in network opex series (nominal) 2018</v>
      </c>
      <c r="B79" s="172">
        <f>INDEX('Total opex'!$C$3:$K$35,MATCH($A$77,'Total opex'!$A$3:$A$35,0),MATCH(VALUE(RIGHT($A79,4)),'Total opex'!$C$2:$K$2,0))</f>
        <v>0</v>
      </c>
      <c r="C79" s="34"/>
      <c r="D79" s="34"/>
    </row>
    <row r="80" spans="1:4" x14ac:dyDescent="0.25">
      <c r="A80" s="141" t="str">
        <f>$A$77&amp;" "&amp;'Total opex'!$D$2</f>
        <v>Trend in network opex series (nominal) 2019</v>
      </c>
      <c r="B80" s="172">
        <f>INDEX('Total opex'!$C$3:$K$35,MATCH($A$77,'Total opex'!$A$3:$A$35,0),MATCH(VALUE(RIGHT($A80,4)),'Total opex'!$C$2:$K$2,0))</f>
        <v>0</v>
      </c>
      <c r="C80" s="34"/>
      <c r="D80" s="34"/>
    </row>
    <row r="81" spans="1:4" x14ac:dyDescent="0.25">
      <c r="A81" s="141" t="str">
        <f>$A$77&amp;" "&amp;'Total opex'!$E$2</f>
        <v>Trend in network opex series (nominal) 2020</v>
      </c>
      <c r="B81" s="172">
        <f>INDEX('Total opex'!$C$3:$K$35,MATCH($A$77,'Total opex'!$A$3:$A$35,0),MATCH(VALUE(RIGHT($A81,4)),'Total opex'!$C$2:$K$2,0))</f>
        <v>16054.36826691364</v>
      </c>
      <c r="C81" s="34"/>
      <c r="D81" s="34"/>
    </row>
    <row r="82" spans="1:4" x14ac:dyDescent="0.25">
      <c r="A82" s="141" t="str">
        <f>$A$77&amp;" "&amp;'Total opex'!$F$2</f>
        <v>Trend in network opex series (nominal) 2021</v>
      </c>
      <c r="B82" s="172">
        <f>INDEX('Total opex'!$C$3:$K$35,MATCH($A$77,'Total opex'!$A$3:$A$35,0),MATCH(VALUE(RIGHT($A82,4)),'Total opex'!$C$2:$K$2,0))</f>
        <v>16336.834203311701</v>
      </c>
      <c r="C82" s="34"/>
      <c r="D82" s="34"/>
    </row>
    <row r="83" spans="1:4" x14ac:dyDescent="0.25">
      <c r="A83" s="141" t="str">
        <f>$A$77&amp;" "&amp;'Total opex'!$G$2</f>
        <v>Trend in network opex series (nominal) 2022</v>
      </c>
      <c r="B83" s="172">
        <f>INDEX('Total opex'!$C$3:$K$35,MATCH($A$77,'Total opex'!$A$3:$A$35,0),MATCH(VALUE(RIGHT($A83,4)),'Total opex'!$C$2:$K$2,0))</f>
        <v>16707.753057668524</v>
      </c>
      <c r="C83" s="34"/>
      <c r="D83" s="34"/>
    </row>
    <row r="84" spans="1:4" x14ac:dyDescent="0.25">
      <c r="A84" s="141" t="str">
        <f>$A$77&amp;" "&amp;'Total opex'!$H$2</f>
        <v>Trend in network opex series (nominal) 2023</v>
      </c>
      <c r="B84" s="172">
        <f>INDEX('Total opex'!$C$3:$K$35,MATCH($A$77,'Total opex'!$A$3:$A$35,0),MATCH(VALUE(RIGHT($A84,4)),'Total opex'!$C$2:$K$2,0))</f>
        <v>17035.162118120828</v>
      </c>
      <c r="C84" s="34"/>
      <c r="D84" s="34"/>
    </row>
    <row r="85" spans="1:4" x14ac:dyDescent="0.25">
      <c r="A85" s="141" t="str">
        <f>$A$77&amp;" "&amp;'Total opex'!$I$2</f>
        <v>Trend in network opex series (nominal) 2024</v>
      </c>
      <c r="B85" s="172">
        <f>INDEX('Total opex'!$C$3:$K$35,MATCH($A$77,'Total opex'!$A$3:$A$35,0),MATCH(VALUE(RIGHT($A85,4)),'Total opex'!$C$2:$K$2,0))</f>
        <v>17396.935099638191</v>
      </c>
      <c r="C85" s="34"/>
      <c r="D85" s="34"/>
    </row>
    <row r="86" spans="1:4" x14ac:dyDescent="0.25">
      <c r="A86" s="141" t="str">
        <f>$A$77&amp;" "&amp;'Total opex'!$J$2</f>
        <v>Trend in network opex series (nominal) 2025</v>
      </c>
      <c r="B86" s="71">
        <f>INDEX('Total opex'!$C$3:$K$35,MATCH($A$77,'Total opex'!$A$3:$A$35,0),MATCH(VALUE(RIGHT($A86,4)),'Total opex'!$C$2:$K$2,0))</f>
        <v>17801.10814788258</v>
      </c>
      <c r="C86" s="34"/>
      <c r="D86" s="34"/>
    </row>
    <row r="87" spans="1:4" ht="35.1" customHeight="1" x14ac:dyDescent="0.35">
      <c r="A87" s="180" t="str">
        <f>'Total opex'!A13</f>
        <v>Trend in non-network opex series (nominal)</v>
      </c>
      <c r="B87" s="5"/>
      <c r="C87" s="34"/>
      <c r="D87" s="34"/>
    </row>
    <row r="88" spans="1:4" x14ac:dyDescent="0.25">
      <c r="A88" s="179" t="str">
        <f>'Total opex'!M13</f>
        <v>Non-network opex allowance (nominal) 'as if IFRS 16 never happened'.</v>
      </c>
      <c r="B88" s="34"/>
      <c r="C88" s="34"/>
      <c r="D88" s="34"/>
    </row>
    <row r="89" spans="1:4" x14ac:dyDescent="0.25">
      <c r="A89" s="141" t="str">
        <f>$A87&amp;" "&amp;'Total opex'!$C$2</f>
        <v>Trend in non-network opex series (nominal) 2018</v>
      </c>
      <c r="B89" s="172">
        <f>INDEX('Total opex'!$C$3:$K$35,MATCH($A$87,'Total opex'!$A$3:$A$35,0),MATCH(VALUE(RIGHT($A89,4)),'Total opex'!$C$2:$K$2,0))</f>
        <v>0</v>
      </c>
      <c r="C89" s="34"/>
      <c r="D89" s="34"/>
    </row>
    <row r="90" spans="1:4" x14ac:dyDescent="0.25">
      <c r="A90" s="141" t="str">
        <f>$A87&amp;" "&amp;'Total opex'!$D$2</f>
        <v>Trend in non-network opex series (nominal) 2019</v>
      </c>
      <c r="B90" s="172">
        <f>INDEX('Total opex'!$C$3:$K$35,MATCH($A$87,'Total opex'!$A$3:$A$35,0),MATCH(VALUE(RIGHT($A90,4)),'Total opex'!$C$2:$K$2,0))</f>
        <v>0</v>
      </c>
      <c r="C90" s="34"/>
      <c r="D90" s="34"/>
    </row>
    <row r="91" spans="1:4" x14ac:dyDescent="0.25">
      <c r="A91" s="141" t="str">
        <f>$A87&amp;" "&amp;'Total opex'!$E$2</f>
        <v>Trend in non-network opex series (nominal) 2020</v>
      </c>
      <c r="B91" s="172">
        <f>INDEX('Total opex'!$C$3:$K$35,MATCH($A$87,'Total opex'!$A$3:$A$35,0),MATCH(VALUE(RIGHT($A91,4)),'Total opex'!$C$2:$K$2,0))</f>
        <v>16936.611048883045</v>
      </c>
      <c r="C91" s="34"/>
      <c r="D91" s="34"/>
    </row>
    <row r="92" spans="1:4" x14ac:dyDescent="0.25">
      <c r="A92" s="141" t="str">
        <f>$A87&amp;" "&amp;'Total opex'!$F$2</f>
        <v>Trend in non-network opex series (nominal) 2021</v>
      </c>
      <c r="B92" s="172">
        <f>INDEX('Total opex'!$C$3:$K$35,MATCH($A$87,'Total opex'!$A$3:$A$35,0),MATCH(VALUE(RIGHT($A92,4)),'Total opex'!$C$2:$K$2,0))</f>
        <v>17255.358929189504</v>
      </c>
      <c r="C92" s="34"/>
      <c r="D92" s="34"/>
    </row>
    <row r="93" spans="1:4" x14ac:dyDescent="0.25">
      <c r="A93" s="141" t="str">
        <f>$A87&amp;" "&amp;'Total opex'!$G$2</f>
        <v>Trend in non-network opex series (nominal) 2022</v>
      </c>
      <c r="B93" s="172">
        <f>INDEX('Total opex'!$C$3:$K$35,MATCH($A$87,'Total opex'!$A$3:$A$35,0),MATCH(VALUE(RIGHT($A93,4)),'Total opex'!$C$2:$K$2,0))</f>
        <v>17668.388757348497</v>
      </c>
      <c r="C93" s="34"/>
      <c r="D93" s="34"/>
    </row>
    <row r="94" spans="1:4" x14ac:dyDescent="0.25">
      <c r="A94" s="141" t="str">
        <f>$A87&amp;" "&amp;'Total opex'!$H$2</f>
        <v>Trend in non-network opex series (nominal) 2023</v>
      </c>
      <c r="B94" s="172">
        <f>INDEX('Total opex'!$C$3:$K$35,MATCH($A$87,'Total opex'!$A$3:$A$35,0),MATCH(VALUE(RIGHT($A94,4)),'Total opex'!$C$2:$K$2,0))</f>
        <v>18036.321685473642</v>
      </c>
      <c r="C94" s="34"/>
      <c r="D94" s="34"/>
    </row>
    <row r="95" spans="1:4" x14ac:dyDescent="0.25">
      <c r="A95" s="141" t="str">
        <f>$A87&amp;" "&amp;'Total opex'!$I$2</f>
        <v>Trend in non-network opex series (nominal) 2024</v>
      </c>
      <c r="B95" s="172">
        <f>INDEX('Total opex'!$C$3:$K$35,MATCH($A$87,'Total opex'!$A$3:$A$35,0),MATCH(VALUE(RIGHT($A95,4)),'Total opex'!$C$2:$K$2,0))</f>
        <v>18432.238394708773</v>
      </c>
      <c r="C95" s="34"/>
      <c r="D95" s="34"/>
    </row>
    <row r="96" spans="1:4" x14ac:dyDescent="0.25">
      <c r="A96" s="141" t="str">
        <f>$A87&amp;" "&amp;'Total opex'!$J$2</f>
        <v>Trend in non-network opex series (nominal) 2025</v>
      </c>
      <c r="B96" s="71">
        <f>INDEX('Total opex'!$C$3:$K$35,MATCH($A$87,'Total opex'!$A$3:$A$35,0),MATCH(VALUE(RIGHT($A96,4)),'Total opex'!$C$2:$K$2,0))</f>
        <v>18873.654821841403</v>
      </c>
      <c r="C96" s="34"/>
      <c r="D96" s="34"/>
    </row>
    <row r="97" spans="1:4" ht="35.1" customHeight="1" x14ac:dyDescent="0.35">
      <c r="A97" s="180" t="s">
        <v>51</v>
      </c>
      <c r="B97" s="5"/>
      <c r="C97" s="34"/>
      <c r="D97" s="34"/>
    </row>
    <row r="98" spans="1:4" x14ac:dyDescent="0.25">
      <c r="A98" s="179" t="str">
        <f>'Total opex'!M32</f>
        <v>Total initial level after trend factors added but before step factors added (constant).</v>
      </c>
      <c r="B98" s="34"/>
      <c r="C98" s="34"/>
      <c r="D98" s="34"/>
    </row>
    <row r="99" spans="1:4" x14ac:dyDescent="0.25">
      <c r="A99" s="185" t="str">
        <f>'Total opex'!A32</f>
        <v>Total initial level of opex (constant)</v>
      </c>
      <c r="B99" s="70">
        <f>'Total opex'!E32</f>
        <v>32990.979315796685</v>
      </c>
      <c r="C99" s="34"/>
      <c r="D99" s="34"/>
    </row>
    <row r="100" spans="1:4" x14ac:dyDescent="0.25">
      <c r="A100" s="186"/>
      <c r="B100" s="186"/>
      <c r="C100" s="34"/>
      <c r="D100" s="34"/>
    </row>
    <row r="101" spans="1:4" ht="21" x14ac:dyDescent="0.35">
      <c r="A101" s="187" t="s">
        <v>26</v>
      </c>
      <c r="B101" s="8"/>
      <c r="C101" s="34"/>
      <c r="D101" s="34"/>
    </row>
    <row r="102" spans="1:4" ht="18.75" x14ac:dyDescent="0.3">
      <c r="A102" s="163" t="s">
        <v>23</v>
      </c>
      <c r="B102" s="138"/>
      <c r="C102" s="34"/>
      <c r="D102" s="34"/>
    </row>
    <row r="103" spans="1:4" x14ac:dyDescent="0.25">
      <c r="A103" s="59" t="str">
        <f>'Network opex'!$A$51</f>
        <v>Network scale growth 2020-2025</v>
      </c>
      <c r="B103" s="188">
        <f>'Network opex'!B51</f>
        <v>5.6446443279865033E-3</v>
      </c>
      <c r="C103" s="34"/>
      <c r="D103" s="34"/>
    </row>
    <row r="104" spans="1:4" x14ac:dyDescent="0.25">
      <c r="A104" s="59" t="str">
        <f>'Non-network opex'!$A$51</f>
        <v>Non-network scale growth 2020-2025</v>
      </c>
      <c r="B104" s="188">
        <f>'Non-network opex'!B51</f>
        <v>6.6527407724050747E-3</v>
      </c>
      <c r="C104" s="34"/>
      <c r="D104" s="34"/>
    </row>
    <row r="105" spans="1:4" ht="18.75" x14ac:dyDescent="0.3">
      <c r="A105" s="164" t="s">
        <v>99</v>
      </c>
      <c r="B105" s="186"/>
      <c r="C105" s="34"/>
      <c r="D105" s="34"/>
    </row>
    <row r="106" spans="1:4" x14ac:dyDescent="0.25">
      <c r="A106" s="59" t="str">
        <f>'Total opex'!A30&amp;" "&amp;'Total opex'!$E$25</f>
        <v>Total trend factors (constant) 2020</v>
      </c>
      <c r="B106" s="203">
        <f>'Total opex'!E30</f>
        <v>800.74683939725992</v>
      </c>
      <c r="C106" s="34"/>
      <c r="D106" s="34"/>
    </row>
    <row r="107" spans="1:4" x14ac:dyDescent="0.25">
      <c r="A107" s="59" t="str">
        <f>'Total opex'!A31&amp;" "&amp;'Total opex'!$E$25</f>
        <v>Total step factors (constant) 2020</v>
      </c>
      <c r="B107" s="189">
        <f>'Total opex'!E31</f>
        <v>-513.74683939726026</v>
      </c>
      <c r="C107" s="34"/>
      <c r="D107" s="34"/>
    </row>
    <row r="108" spans="1:4" ht="18.75" x14ac:dyDescent="0.3">
      <c r="A108" s="164" t="s">
        <v>27</v>
      </c>
      <c r="B108" s="72"/>
      <c r="C108" s="34"/>
      <c r="D108" s="34"/>
    </row>
    <row r="109" spans="1:4" x14ac:dyDescent="0.25">
      <c r="A109" s="59" t="str">
        <f>'Total opex'!A34</f>
        <v>Aggregate trend 2020-2023</v>
      </c>
      <c r="B109" s="18">
        <f>'Total opex'!C34</f>
        <v>2.0806330309110166E-2</v>
      </c>
      <c r="C109" s="34"/>
      <c r="D109" s="34"/>
    </row>
    <row r="110" spans="1:4" x14ac:dyDescent="0.25">
      <c r="A110" s="59" t="str">
        <f>'Total opex'!A35</f>
        <v>Aggregate trend 2023-2025</v>
      </c>
      <c r="B110" s="18">
        <f>'Total opex'!C35</f>
        <v>2.3697888037295778E-2</v>
      </c>
      <c r="C110" s="34"/>
      <c r="D110" s="34"/>
    </row>
    <row r="111" spans="1:4" ht="23.25" x14ac:dyDescent="0.35">
      <c r="A111" s="73" t="s">
        <v>24</v>
      </c>
      <c r="B111" s="186"/>
      <c r="C111" s="34"/>
      <c r="D111" s="34"/>
    </row>
    <row r="112" spans="1:4" ht="21" x14ac:dyDescent="0.35">
      <c r="A112" s="190" t="s">
        <v>25</v>
      </c>
      <c r="B112" s="8"/>
      <c r="C112" s="34"/>
      <c r="D112" s="34"/>
    </row>
    <row r="113" spans="1:4" ht="18.75" x14ac:dyDescent="0.3">
      <c r="A113" s="163" t="str">
        <f>'EDB data'!A20</f>
        <v>Network opex (nominal)</v>
      </c>
      <c r="B113" s="8"/>
      <c r="C113" s="34"/>
      <c r="D113" s="34"/>
    </row>
    <row r="114" spans="1:4" x14ac:dyDescent="0.25">
      <c r="A114" s="59" t="str">
        <f>'EDB data'!A21</f>
        <v>Network opex (nominal) 2013</v>
      </c>
      <c r="B114" s="172">
        <f>'EDB data'!B21</f>
        <v>12087.35635181818</v>
      </c>
      <c r="C114" s="34"/>
      <c r="D114" s="34"/>
    </row>
    <row r="115" spans="1:4" x14ac:dyDescent="0.25">
      <c r="A115" s="59" t="str">
        <f>'EDB data'!A22</f>
        <v>Network opex (nominal) 2014</v>
      </c>
      <c r="B115" s="172">
        <f>'EDB data'!B22</f>
        <v>14361.46803628889</v>
      </c>
      <c r="C115" s="34"/>
      <c r="D115" s="34"/>
    </row>
    <row r="116" spans="1:4" x14ac:dyDescent="0.25">
      <c r="A116" s="59" t="str">
        <f>'EDB data'!A23</f>
        <v>Network opex (nominal) 2015</v>
      </c>
      <c r="B116" s="172">
        <f>'EDB data'!B23</f>
        <v>10523.663734509801</v>
      </c>
      <c r="C116" s="34"/>
      <c r="D116" s="34"/>
    </row>
    <row r="117" spans="1:4" x14ac:dyDescent="0.25">
      <c r="A117" s="59" t="str">
        <f>'EDB data'!A24</f>
        <v>Network opex (nominal) 2016</v>
      </c>
      <c r="B117" s="172">
        <f>'EDB data'!B24</f>
        <v>13589.64122420561</v>
      </c>
      <c r="C117" s="34"/>
      <c r="D117" s="34"/>
    </row>
    <row r="118" spans="1:4" x14ac:dyDescent="0.25">
      <c r="A118" s="59" t="str">
        <f>'EDB data'!A25</f>
        <v>Network opex (nominal) 2017</v>
      </c>
      <c r="B118" s="172">
        <f>'EDB data'!B25</f>
        <v>14390.836263264249</v>
      </c>
      <c r="C118" s="34"/>
      <c r="D118" s="34"/>
    </row>
    <row r="119" spans="1:4" x14ac:dyDescent="0.25">
      <c r="A119" s="59" t="str">
        <f>'EDB data'!A26</f>
        <v>Network opex (nominal) 2018</v>
      </c>
      <c r="B119" s="172">
        <f>'EDB data'!B26</f>
        <v>16981.172329691519</v>
      </c>
      <c r="C119" s="34"/>
      <c r="D119" s="34"/>
    </row>
    <row r="120" spans="1:4" x14ac:dyDescent="0.25">
      <c r="A120" s="59" t="str">
        <f>'EDB data'!A27</f>
        <v>Network opex (nominal) 2019</v>
      </c>
      <c r="B120" s="71">
        <f>'EDB data'!B27</f>
        <v>16288.66232553615</v>
      </c>
      <c r="C120" s="34"/>
      <c r="D120" s="34"/>
    </row>
    <row r="121" spans="1:4" ht="18.75" x14ac:dyDescent="0.3">
      <c r="A121" s="164" t="str">
        <f>'EDB data'!A29</f>
        <v>Non-network opex (nominal)</v>
      </c>
      <c r="B121" s="186"/>
      <c r="C121" s="34"/>
      <c r="D121" s="34"/>
    </row>
    <row r="122" spans="1:4" x14ac:dyDescent="0.25">
      <c r="A122" s="59" t="str">
        <f>'EDB data'!A30</f>
        <v>Non-network opex (nominal) 2013</v>
      </c>
      <c r="B122" s="172">
        <f>'EDB data'!B30</f>
        <v>16211.00488818182</v>
      </c>
      <c r="C122" s="34"/>
      <c r="D122" s="34"/>
    </row>
    <row r="123" spans="1:4" x14ac:dyDescent="0.25">
      <c r="A123" s="59" t="str">
        <f>'EDB data'!A31</f>
        <v>Non-network opex (nominal) 2014</v>
      </c>
      <c r="B123" s="172">
        <f>'EDB data'!B31</f>
        <v>15249.57809371111</v>
      </c>
      <c r="C123" s="34"/>
      <c r="D123" s="34"/>
    </row>
    <row r="124" spans="1:4" x14ac:dyDescent="0.25">
      <c r="A124" s="59" t="str">
        <f>'EDB data'!A32</f>
        <v>Non-network opex (nominal) 2015</v>
      </c>
      <c r="B124" s="172">
        <f>'EDB data'!B32</f>
        <v>15032.1366254902</v>
      </c>
      <c r="C124" s="34"/>
      <c r="D124" s="34"/>
    </row>
    <row r="125" spans="1:4" x14ac:dyDescent="0.25">
      <c r="A125" s="59" t="str">
        <f>'EDB data'!A33</f>
        <v>Non-network opex (nominal) 2016</v>
      </c>
      <c r="B125" s="172">
        <f>'EDB data'!B33</f>
        <v>16032.609305794391</v>
      </c>
      <c r="C125" s="34"/>
      <c r="D125" s="34"/>
    </row>
    <row r="126" spans="1:4" x14ac:dyDescent="0.25">
      <c r="A126" s="59" t="str">
        <f>'EDB data'!A34</f>
        <v>Non-network opex (nominal) 2017</v>
      </c>
      <c r="B126" s="172">
        <f>'EDB data'!B34</f>
        <v>15684.22264673575</v>
      </c>
      <c r="C126" s="34"/>
      <c r="D126" s="34"/>
    </row>
    <row r="127" spans="1:4" x14ac:dyDescent="0.25">
      <c r="A127" s="59" t="str">
        <f>'EDB data'!A35</f>
        <v>Non-network opex (nominal) 2018</v>
      </c>
      <c r="B127" s="172">
        <f>'EDB data'!B35</f>
        <v>16329.352670308481</v>
      </c>
      <c r="C127" s="34"/>
      <c r="D127" s="34"/>
    </row>
    <row r="128" spans="1:4" x14ac:dyDescent="0.25">
      <c r="A128" s="59" t="str">
        <f>'EDB data'!A36</f>
        <v>Non-network opex (nominal) 2019</v>
      </c>
      <c r="B128" s="71">
        <f>'EDB data'!B36</f>
        <v>17728.451339256819</v>
      </c>
      <c r="C128" s="34"/>
      <c r="D128" s="34"/>
    </row>
    <row r="129" spans="1:4" ht="18.75" x14ac:dyDescent="0.3">
      <c r="A129" s="191" t="str">
        <f>'EDB data'!A38</f>
        <v>Total opex (nominal)</v>
      </c>
      <c r="B129" s="186"/>
      <c r="C129" s="34"/>
      <c r="D129" s="34"/>
    </row>
    <row r="130" spans="1:4" x14ac:dyDescent="0.25">
      <c r="A130" s="59" t="str">
        <f>'EDB data'!A39</f>
        <v>Total opex (nominal) 2013</v>
      </c>
      <c r="B130" s="203">
        <f>'EDB data'!B39</f>
        <v>28298.361239999998</v>
      </c>
      <c r="C130" s="34"/>
      <c r="D130" s="34"/>
    </row>
    <row r="131" spans="1:4" x14ac:dyDescent="0.25">
      <c r="A131" s="59" t="str">
        <f>'EDB data'!A40</f>
        <v>Total opex (nominal) 2014</v>
      </c>
      <c r="B131" s="203">
        <f>'EDB data'!B40</f>
        <v>29611.046130000002</v>
      </c>
      <c r="C131" s="34"/>
      <c r="D131" s="34"/>
    </row>
    <row r="132" spans="1:4" x14ac:dyDescent="0.25">
      <c r="A132" s="59" t="str">
        <f>'EDB data'!A41</f>
        <v>Total opex (nominal) 2015</v>
      </c>
      <c r="B132" s="203">
        <f>'EDB data'!B41</f>
        <v>25555.800360000001</v>
      </c>
      <c r="C132" s="34"/>
      <c r="D132" s="34"/>
    </row>
    <row r="133" spans="1:4" x14ac:dyDescent="0.25">
      <c r="A133" s="59" t="str">
        <f>'EDB data'!A42</f>
        <v>Total opex (nominal) 2016</v>
      </c>
      <c r="B133" s="203">
        <f>'EDB data'!B42</f>
        <v>29622.250530000001</v>
      </c>
      <c r="C133" s="34"/>
      <c r="D133" s="34"/>
    </row>
    <row r="134" spans="1:4" x14ac:dyDescent="0.25">
      <c r="A134" s="59" t="str">
        <f>'EDB data'!A43</f>
        <v>Total opex (nominal) 2017</v>
      </c>
      <c r="B134" s="203">
        <f>'EDB data'!B43</f>
        <v>30075.05891</v>
      </c>
      <c r="C134" s="34"/>
      <c r="D134" s="34"/>
    </row>
    <row r="135" spans="1:4" x14ac:dyDescent="0.25">
      <c r="A135" s="59" t="str">
        <f>'EDB data'!A44</f>
        <v>Total opex (nominal) 2018</v>
      </c>
      <c r="B135" s="203">
        <f>'EDB data'!B44</f>
        <v>33310.525000000001</v>
      </c>
      <c r="C135" s="34"/>
      <c r="D135" s="34"/>
    </row>
    <row r="136" spans="1:4" x14ac:dyDescent="0.25">
      <c r="A136" s="59" t="str">
        <f>'EDB data'!A45</f>
        <v>Total opex (nominal) 2019</v>
      </c>
      <c r="B136" s="189">
        <f>'EDB data'!B45</f>
        <v>34017.113664792967</v>
      </c>
      <c r="C136" s="34"/>
      <c r="D136" s="34"/>
    </row>
    <row r="137" spans="1:4" ht="15" customHeight="1" x14ac:dyDescent="0.25">
      <c r="C137" s="34"/>
      <c r="D137" s="34"/>
    </row>
    <row r="138" spans="1:4" ht="15" customHeight="1" x14ac:dyDescent="0.25">
      <c r="C138" s="34"/>
      <c r="D138" s="34"/>
    </row>
  </sheetData>
  <pageMargins left="0.25" right="0.25" top="0.75" bottom="0.75" header="0.3" footer="0.3"/>
  <pageSetup paperSize="9" scale="58" fitToWidth="0" fitToHeight="4" orientation="landscape" r:id="rId1"/>
  <headerFooter>
    <oddHeader>&amp;R&amp;D &amp;T</oddHeader>
    <oddFooter>&amp;L&amp;F&amp;C&amp;A&amp;R&amp;P</oddFooter>
  </headerFooter>
  <rowBreaks count="2" manualBreakCount="2">
    <brk id="46" max="2" man="1"/>
    <brk id="86"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Inputs!$D$18:$D$18</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CoverSheet</vt:lpstr>
      <vt:lpstr>Table of Contents</vt:lpstr>
      <vt:lpstr>Description</vt:lpstr>
      <vt:lpstr>Inputs</vt:lpstr>
      <vt:lpstr>EDB data</vt:lpstr>
      <vt:lpstr>Network opex</vt:lpstr>
      <vt:lpstr>Non-network opex</vt:lpstr>
      <vt:lpstr>Total opex</vt:lpstr>
      <vt:lpstr>Outputs</vt:lpstr>
      <vt:lpstr>EDB_Name</vt:lpstr>
      <vt:lpstr>CoverSheet!Print_Area</vt:lpstr>
      <vt:lpstr>Description!Print_Area</vt:lpstr>
      <vt:lpstr>'EDB data'!Print_Area</vt:lpstr>
      <vt:lpstr>Inputs!Print_Area</vt:lpstr>
      <vt:lpstr>'Network opex'!Print_Area</vt:lpstr>
      <vt:lpstr>'Non-network opex'!Print_Area</vt:lpstr>
      <vt:lpstr>Outputs!Print_Area</vt:lpstr>
      <vt:lpstr>'Table of Contents'!Print_Area</vt:lpstr>
      <vt:lpstr>'Total opex'!Print_Area</vt:lpstr>
      <vt:lpstr>Outputs!Print_Titles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2014-11-27T01:21:17Z</dcterms:created>
  <dcterms:modified xsi:type="dcterms:W3CDTF">2020-09-24T01:09:21Z</dcterms:modified>
</cp:coreProperties>
</file>