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202300"/>
  <xr:revisionPtr revIDLastSave="0" documentId="13_ncr:1_{0AD4CC15-A709-4CCA-A616-141A437DAB7A}" xr6:coauthVersionLast="47" xr6:coauthVersionMax="47" xr10:uidLastSave="{00000000-0000-0000-0000-000000000000}"/>
  <bookViews>
    <workbookView xWindow="-28920" yWindow="-120" windowWidth="29040" windowHeight="15720" xr2:uid="{11FE03D0-3BF4-4AF0-B01C-643CFF2A889E}"/>
  </bookViews>
  <sheets>
    <sheet name="CoverSheet" sheetId="3" r:id="rId1"/>
    <sheet name="Description" sheetId="4" r:id="rId2"/>
    <sheet name="Weighted WACC" sheetId="2" r:id="rId3"/>
    <sheet name="ExampleModel" sheetId="5" r:id="rId4"/>
  </sheets>
  <definedNames>
    <definedName name="_xlnm.Print_Area" localSheetId="0">CoverSheet!$A$1:$D$16</definedName>
    <definedName name="_xlnm.Print_Area" localSheetId="1">Description!$A$1:$D$8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 i="5" l="1"/>
  <c r="D32" i="5"/>
  <c r="E32" i="5"/>
  <c r="F32" i="5"/>
  <c r="B32" i="5"/>
  <c r="C31" i="5"/>
  <c r="D31" i="5"/>
  <c r="E31" i="5"/>
  <c r="F31" i="5"/>
  <c r="B31" i="5"/>
  <c r="L29" i="5"/>
  <c r="M29" i="5"/>
  <c r="N29" i="5"/>
  <c r="O29" i="5"/>
  <c r="P29" i="5"/>
  <c r="D30" i="5"/>
  <c r="E30" i="5" s="1"/>
  <c r="F30" i="5" s="1"/>
  <c r="C30" i="5"/>
  <c r="B30" i="5"/>
  <c r="H29" i="5"/>
  <c r="K29" i="5"/>
  <c r="J29" i="5"/>
  <c r="I29" i="5"/>
  <c r="F29" i="5"/>
  <c r="E29" i="5"/>
  <c r="D29" i="5"/>
  <c r="C29" i="5"/>
  <c r="B29" i="5"/>
  <c r="F21" i="5" l="1"/>
  <c r="F23" i="5" s="1"/>
  <c r="E21" i="5"/>
  <c r="E23" i="5" s="1"/>
  <c r="F26" i="5"/>
  <c r="E26" i="5"/>
  <c r="D26" i="5"/>
  <c r="F19" i="5"/>
  <c r="E19" i="5"/>
  <c r="D19" i="5"/>
  <c r="F16" i="5"/>
  <c r="E16" i="5"/>
  <c r="F17" i="5" s="1"/>
  <c r="D16" i="5"/>
  <c r="E17" i="5" s="1"/>
  <c r="C16" i="5"/>
  <c r="D17" i="5" s="1"/>
  <c r="C8" i="2"/>
  <c r="C9" i="2" s="1"/>
  <c r="B8" i="2"/>
  <c r="B9" i="2" s="1"/>
  <c r="C11" i="2" l="1"/>
  <c r="B11" i="2"/>
  <c r="C13" i="2" s="1"/>
  <c r="C14" i="2" s="1"/>
  <c r="B6" i="5" s="1"/>
  <c r="G24" i="5" l="1"/>
  <c r="G29" i="5"/>
  <c r="G30" i="5" s="1"/>
  <c r="E42" i="5"/>
  <c r="E43" i="5" s="1"/>
  <c r="G48" i="5" s="1"/>
  <c r="F42" i="5"/>
  <c r="F43" i="5" s="1"/>
  <c r="H45" i="5" s="1"/>
  <c r="G26" i="5"/>
  <c r="H26" i="5"/>
  <c r="H46" i="5"/>
  <c r="H47" i="5"/>
  <c r="G23" i="5" l="1"/>
  <c r="G32" i="5"/>
  <c r="G45" i="5"/>
  <c r="G46" i="5" s="1"/>
  <c r="H24" i="5"/>
  <c r="G31" i="5"/>
  <c r="H30" i="5"/>
  <c r="G47" i="5" l="1"/>
  <c r="G49" i="5" s="1"/>
  <c r="H48" i="5" s="1"/>
  <c r="H49" i="5" s="1"/>
  <c r="H32" i="5"/>
  <c r="I30" i="5"/>
  <c r="H31" i="5"/>
  <c r="I24" i="5"/>
  <c r="I32" i="5" s="1"/>
  <c r="H23" i="5"/>
  <c r="G43" i="5" l="1"/>
  <c r="I23" i="5"/>
  <c r="J24" i="5"/>
  <c r="J30" i="5"/>
  <c r="I31" i="5"/>
  <c r="I45" i="5"/>
  <c r="I48" i="5"/>
  <c r="H43" i="5"/>
  <c r="J31" i="5" l="1"/>
  <c r="K30" i="5"/>
  <c r="J32" i="5"/>
  <c r="K24" i="5"/>
  <c r="K32" i="5" s="1"/>
  <c r="J23" i="5"/>
  <c r="I46" i="5"/>
  <c r="I47" i="5"/>
  <c r="I49" i="5" s="1"/>
  <c r="J48" i="5" s="1"/>
  <c r="J45" i="5"/>
  <c r="L30" i="5" l="1"/>
  <c r="K31" i="5"/>
  <c r="L24" i="5"/>
  <c r="L32" i="5" s="1"/>
  <c r="K23" i="5"/>
  <c r="J46" i="5"/>
  <c r="J47" i="5"/>
  <c r="I43" i="5"/>
  <c r="M24" i="5" l="1"/>
  <c r="M32" i="5" s="1"/>
  <c r="L23" i="5"/>
  <c r="M30" i="5"/>
  <c r="L31" i="5"/>
  <c r="J49" i="5"/>
  <c r="K48" i="5" s="1"/>
  <c r="K45" i="5"/>
  <c r="M31" i="5" l="1"/>
  <c r="N30" i="5"/>
  <c r="M23" i="5"/>
  <c r="N24" i="5"/>
  <c r="J43" i="5"/>
  <c r="L45" i="5" s="1"/>
  <c r="K47" i="5"/>
  <c r="K46" i="5"/>
  <c r="O30" i="5" l="1"/>
  <c r="N31" i="5"/>
  <c r="N32" i="5"/>
  <c r="N23" i="5"/>
  <c r="O24" i="5"/>
  <c r="K49" i="5"/>
  <c r="L48" i="5" s="1"/>
  <c r="L47" i="5"/>
  <c r="L46" i="5"/>
  <c r="P30" i="5" l="1"/>
  <c r="P31" i="5" s="1"/>
  <c r="O31" i="5"/>
  <c r="Q31" i="5" s="1"/>
  <c r="O32" i="5"/>
  <c r="O23" i="5"/>
  <c r="P23" i="5" s="1"/>
  <c r="P24" i="5"/>
  <c r="P32" i="5" s="1"/>
  <c r="K43" i="5"/>
  <c r="M45" i="5" s="1"/>
  <c r="L49" i="5"/>
  <c r="Q32" i="5" l="1"/>
  <c r="M48" i="5"/>
  <c r="M47" i="5"/>
  <c r="M46" i="5"/>
  <c r="L43" i="5"/>
  <c r="M49" i="5" l="1"/>
  <c r="N48" i="5" s="1"/>
  <c r="N45" i="5"/>
  <c r="M43" i="5"/>
  <c r="O45" i="5" l="1"/>
  <c r="N47" i="5"/>
  <c r="N46" i="5"/>
  <c r="N49" i="5" s="1"/>
  <c r="N43" i="5" s="1"/>
  <c r="P45" i="5" l="1"/>
  <c r="O48" i="5"/>
  <c r="O46" i="5"/>
  <c r="O47" i="5"/>
  <c r="O49" i="5" l="1"/>
  <c r="P46" i="5"/>
  <c r="P47" i="5"/>
  <c r="O43" i="5" l="1"/>
  <c r="P48" i="5"/>
  <c r="P49" i="5" s="1"/>
  <c r="P43" i="5" l="1"/>
</calcChain>
</file>

<file path=xl/sharedStrings.xml><?xml version="1.0" encoding="utf-8"?>
<sst xmlns="http://schemas.openxmlformats.org/spreadsheetml/2006/main" count="79" uniqueCount="74">
  <si>
    <t>Washup Drawdown DPP3</t>
  </si>
  <si>
    <t>DPP3 67th percentile estimate of post-tax WACC</t>
  </si>
  <si>
    <t>WA 2021</t>
  </si>
  <si>
    <t>WA 2022</t>
  </si>
  <si>
    <t>WA 2023</t>
  </si>
  <si>
    <t>WA 2024</t>
  </si>
  <si>
    <t>WA 2025</t>
  </si>
  <si>
    <t>WA 2026</t>
  </si>
  <si>
    <t>WA 2027</t>
  </si>
  <si>
    <t>WA 2028</t>
  </si>
  <si>
    <t>DPP3WACC^2</t>
  </si>
  <si>
    <t>Check: calculate Washup Drawdown from WA (from first principles)</t>
  </si>
  <si>
    <t>DPP4WACC^2</t>
  </si>
  <si>
    <t>DPP4 WACC (mid point post tax)</t>
  </si>
  <si>
    <t>Washup Accrual (Revenue date)</t>
  </si>
  <si>
    <t>Drawdown Year (Revenue date)</t>
  </si>
  <si>
    <t>WACC Inputs</t>
  </si>
  <si>
    <t>This value is also used in the example below for years 2031 onwards.</t>
  </si>
  <si>
    <t>2025 (DPP3)</t>
  </si>
  <si>
    <t>2026 (DPP4)</t>
  </si>
  <si>
    <t>Relevant WACC</t>
  </si>
  <si>
    <t>Days from revenue date to year end</t>
  </si>
  <si>
    <t>Year-end</t>
  </si>
  <si>
    <t>Revenue date</t>
  </si>
  <si>
    <t>Days covered</t>
  </si>
  <si>
    <t>Weighting</t>
  </si>
  <si>
    <t>Rounded</t>
  </si>
  <si>
    <t>Note - the WAB for 2024 is not currently defined. The example below uses a similar definition to that which currently applies to 2025.</t>
  </si>
  <si>
    <t>Opening Washup account balance</t>
  </si>
  <si>
    <t>Washup Drawdown DPP4 - limit</t>
  </si>
  <si>
    <t>Washup Drawdown DPP4 - Min</t>
  </si>
  <si>
    <t>Washup Drawdown DPP4 - Max</t>
  </si>
  <si>
    <t>"Ideal" Washup Drawdown DPP4 for EDB using all available information</t>
  </si>
  <si>
    <t>This is based on the Proposed method</t>
  </si>
  <si>
    <t>Summary of Washup accrual and the Drawdown amount and timing</t>
  </si>
  <si>
    <t>WACC applied to the resulting Drawdown</t>
  </si>
  <si>
    <t>Electricity Distribution Business</t>
  </si>
  <si>
    <t>Description</t>
  </si>
  <si>
    <t>General description</t>
  </si>
  <si>
    <t>Draft IM Amendment</t>
  </si>
  <si>
    <t>Wash-up Mechanism example model</t>
  </si>
  <si>
    <t>Oct 2024 Draft Decision</t>
  </si>
  <si>
    <t>This Excel workbook shows the proposed wash-up IM amendments.</t>
  </si>
  <si>
    <t>This model also shows the current IMs' method for calculating the Wash-up Account Balance and Wash-up Drawdown limits.</t>
  </si>
  <si>
    <t>The "Ideal" Washup Drawdown amount assumes the EDB wants to Drawdown so that their balance gets as close to zero as possible. It considers the prior year WD but ignores the prior year WA as that is only partly known at the time of setting prices.</t>
  </si>
  <si>
    <t>This example assumes there is no Revenue Foregone (which is part of the proposed washup formulae) - for simplicity. And it assumes that the EDB elects to drawdown the full amount of WD available.</t>
  </si>
  <si>
    <t>Current method for calculating the Washup Account Balance (WAB) and Washup Drawdown (WD). Includes IM Amendments 2023.</t>
  </si>
  <si>
    <t>Proposed new method for calculating the Washup Account Balance (WAB) and Washup Drawdown (WD)</t>
  </si>
  <si>
    <t>Closing Washup account balance (CWAB)</t>
  </si>
  <si>
    <t>WAB (IM 3.1.4 (1) and (2))</t>
  </si>
  <si>
    <t>Washup Amount (WA) - IM 3.1.4 (3)</t>
  </si>
  <si>
    <t>Washup Drawdown DPP4 limit - IM 3.1.4 (5)</t>
  </si>
  <si>
    <t>CWAB with replacement cost of capital - as per IM 3.1.4 (2A) (a) (i) and 3.1.4 (2A) (b) (i)</t>
  </si>
  <si>
    <t>CWAB with replacement cost of capital - as per 3.1.4 (2) (b) (i)</t>
  </si>
  <si>
    <t>This model shows the Draft (proposed) IM amendments in spreadsheet form.</t>
  </si>
  <si>
    <t>Weighted WACC</t>
  </si>
  <si>
    <t>The most important difference between the Proposed method and the Current method is the 2025 WAB value as that is available to draw down in future years.</t>
  </si>
  <si>
    <t>DPP3WACC * WeightedWACC</t>
  </si>
  <si>
    <t>Weighted DPP3/DPP4 WACC</t>
  </si>
  <si>
    <t>Total</t>
  </si>
  <si>
    <t>Discount rate</t>
  </si>
  <si>
    <t>Wash-up draw-downs PV</t>
  </si>
  <si>
    <t>Check</t>
  </si>
  <si>
    <t>Check Present Value (PV) of washup amounts and drawdown</t>
  </si>
  <si>
    <t>Wash-up amounts PV</t>
  </si>
  <si>
    <t>This is the cost of capital rate to get from the 2025 "revenue date" to the 2026 "revenue date".</t>
  </si>
  <si>
    <t>WAB (IM 3.1.4 (1) and (2A))</t>
  </si>
  <si>
    <t>This model should not be used for purposes other than those stated above.</t>
  </si>
  <si>
    <t>This example assumes Washup Accruals (previously named "Washup Amounts") of zero from 2026 onwards to simplify the example and to show that full WAB drawdown occurs.</t>
  </si>
  <si>
    <t>Applicable WACC</t>
  </si>
  <si>
    <t>This example assumes there is no Revenue Foregone (which is part of the washup formulae) - for simplicity.</t>
  </si>
  <si>
    <t>Weighted DPP3/DPP4 WACC calculation</t>
  </si>
  <si>
    <t>WeightedWACC * DPP4WACC</t>
  </si>
  <si>
    <t>Published 21 Oct 2024 v1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</si>
</sst>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00%"/>
    <numFmt numFmtId="165" formatCode="_(* 0_);_(* \(0\);_(* &quot;–&quot;??_);_(@_)"/>
    <numFmt numFmtId="166" formatCode="0.0000%"/>
    <numFmt numFmtId="167" formatCode="_(* #,##0_);_(* \(#,##0\);_(* &quot;–&quot;???_);_(* @_)"/>
    <numFmt numFmtId="168" formatCode="_-* #,##0_-;\-* #,##0_-;_-* &quot;-&quot;??_-;_-@_-"/>
    <numFmt numFmtId="169" formatCode="_-* #,##0.000_-;\-* #,##0.000_-;_-* &quot;-&quot;??_-;_-@_-"/>
  </numFmts>
  <fonts count="23" x14ac:knownFonts="1">
    <font>
      <sz val="11"/>
      <color theme="1"/>
      <name val="Aptos Narrow"/>
      <family val="2"/>
      <scheme val="minor"/>
    </font>
    <font>
      <b/>
      <sz val="11"/>
      <color theme="1"/>
      <name val="Aptos Narrow"/>
      <family val="2"/>
      <scheme val="minor"/>
    </font>
    <font>
      <sz val="11"/>
      <name val="Aptos Narrow"/>
      <family val="2"/>
      <scheme val="minor"/>
    </font>
    <font>
      <sz val="11"/>
      <color rgb="FFC00000"/>
      <name val="Aptos Narrow"/>
      <family val="2"/>
      <scheme val="minor"/>
    </font>
    <font>
      <sz val="11"/>
      <color theme="1"/>
      <name val="Aptos Narrow"/>
      <family val="2"/>
      <scheme val="minor"/>
    </font>
    <font>
      <b/>
      <sz val="13"/>
      <color theme="3"/>
      <name val="Aptos Narrow"/>
      <family val="2"/>
      <scheme val="minor"/>
    </font>
    <font>
      <b/>
      <sz val="18"/>
      <name val="Aptos Narrow"/>
      <family val="2"/>
      <scheme val="minor"/>
    </font>
    <font>
      <sz val="11"/>
      <name val="Calibri"/>
      <family val="2"/>
    </font>
    <font>
      <b/>
      <sz val="10"/>
      <name val="Aptos Narrow"/>
      <family val="4"/>
      <scheme val="minor"/>
    </font>
    <font>
      <b/>
      <sz val="14"/>
      <color theme="1"/>
      <name val="Aptos Narrow"/>
      <family val="2"/>
      <scheme val="minor"/>
    </font>
    <font>
      <sz val="11"/>
      <color theme="4"/>
      <name val="Aptos Narrow"/>
      <family val="2"/>
      <scheme val="minor"/>
    </font>
    <font>
      <sz val="11"/>
      <color theme="0" tint="-0.499984740745262"/>
      <name val="Aptos Narrow"/>
      <family val="2"/>
      <scheme val="minor"/>
    </font>
    <font>
      <b/>
      <sz val="16"/>
      <color theme="1"/>
      <name val="Aptos Narrow"/>
      <family val="2"/>
      <scheme val="minor"/>
    </font>
    <font>
      <b/>
      <sz val="12"/>
      <color theme="1"/>
      <name val="Aptos Narrow"/>
      <family val="2"/>
      <scheme val="minor"/>
    </font>
    <font>
      <b/>
      <sz val="18"/>
      <color indexed="56"/>
      <name val="Cambria"/>
      <family val="2"/>
    </font>
    <font>
      <b/>
      <sz val="20"/>
      <color rgb="FFC00000"/>
      <name val="Aptos Narrow"/>
      <family val="2"/>
      <scheme val="minor"/>
    </font>
    <font>
      <b/>
      <sz val="10"/>
      <color theme="1"/>
      <name val="Aptos Narrow"/>
      <family val="2"/>
      <scheme val="minor"/>
    </font>
    <font>
      <b/>
      <sz val="20"/>
      <color theme="2"/>
      <name val="Aptos Narrow"/>
      <family val="2"/>
      <scheme val="minor"/>
    </font>
    <font>
      <b/>
      <sz val="16"/>
      <name val="Aptos Narrow"/>
      <family val="2"/>
      <scheme val="minor"/>
    </font>
    <font>
      <i/>
      <sz val="10"/>
      <name val="Aptos Narrow"/>
      <family val="4"/>
      <scheme val="minor"/>
    </font>
    <font>
      <sz val="11"/>
      <color theme="2"/>
      <name val="Aptos Narrow"/>
      <family val="2"/>
      <scheme val="minor"/>
    </font>
    <font>
      <b/>
      <sz val="11"/>
      <name val="Aptos Narrow"/>
      <family val="2"/>
      <scheme val="minor"/>
    </font>
    <font>
      <sz val="11"/>
      <color theme="3"/>
      <name val="Aptos Narrow"/>
      <family val="2"/>
      <scheme val="minor"/>
    </font>
  </fonts>
  <fills count="7">
    <fill>
      <patternFill patternType="none"/>
    </fill>
    <fill>
      <patternFill patternType="gray125"/>
    </fill>
    <fill>
      <patternFill patternType="solid">
        <fgColor rgb="FF80AAA2"/>
        <bgColor indexed="64"/>
      </patternFill>
    </fill>
    <fill>
      <patternFill patternType="solid">
        <fgColor rgb="FFD3E2DF"/>
        <bgColor indexed="64"/>
      </patternFill>
    </fill>
    <fill>
      <patternFill patternType="solid">
        <fgColor theme="6"/>
        <bgColor indexed="64"/>
      </patternFill>
    </fill>
    <fill>
      <patternFill patternType="solid">
        <fgColor theme="4"/>
        <bgColor indexed="64"/>
      </patternFill>
    </fill>
    <fill>
      <patternFill patternType="solid">
        <fgColor theme="3"/>
        <bgColor indexed="64"/>
      </patternFill>
    </fill>
  </fills>
  <borders count="21">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rgb="FFFF0000"/>
      </left>
      <right style="thick">
        <color rgb="FFFF0000"/>
      </right>
      <top/>
      <bottom/>
      <diagonal/>
    </border>
    <border>
      <left style="thick">
        <color rgb="FFFF0000"/>
      </left>
      <right/>
      <top/>
      <bottom/>
      <diagonal/>
    </border>
    <border>
      <left/>
      <right/>
      <top/>
      <bottom style="thick">
        <color theme="4" tint="0.4999847407452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theme="7"/>
      </top>
      <bottom style="thin">
        <color theme="7"/>
      </bottom>
      <diagonal/>
    </border>
    <border>
      <left/>
      <right/>
      <top style="thin">
        <color theme="0" tint="-0.14996795556505021"/>
      </top>
      <bottom style="thin">
        <color theme="0" tint="-0.14996795556505021"/>
      </bottom>
      <diagonal/>
    </border>
    <border>
      <left style="thin">
        <color indexed="64"/>
      </left>
      <right/>
      <top style="thin">
        <color indexed="64"/>
      </top>
      <bottom/>
      <diagonal/>
    </border>
    <border>
      <left/>
      <right/>
      <top style="thin">
        <color indexed="64"/>
      </top>
      <bottom/>
      <diagonal/>
    </border>
    <border>
      <left/>
      <right style="thick">
        <color rgb="FFFF0000"/>
      </right>
      <top/>
      <bottom/>
      <diagonal/>
    </border>
    <border>
      <left style="medium">
        <color rgb="FFFF0000"/>
      </left>
      <right/>
      <top/>
      <bottom/>
      <diagonal/>
    </border>
  </borders>
  <cellStyleXfs count="14">
    <xf numFmtId="0" fontId="0" fillId="0" borderId="0"/>
    <xf numFmtId="9" fontId="4" fillId="0" borderId="0" applyFont="0" applyFill="0" applyBorder="0" applyAlignment="0" applyProtection="0"/>
    <xf numFmtId="0" fontId="5" fillId="0" borderId="9" applyNumberFormat="0" applyFill="0" applyAlignment="0" applyProtection="0"/>
    <xf numFmtId="165" fontId="7" fillId="0" borderId="0" applyFont="0" applyFill="0" applyBorder="0" applyAlignment="0" applyProtection="0">
      <alignment horizontal="left"/>
      <protection locked="0"/>
    </xf>
    <xf numFmtId="0" fontId="8" fillId="4" borderId="15" applyNumberFormat="0" applyFill="0">
      <alignment horizontal="centerContinuous" wrapText="1"/>
    </xf>
    <xf numFmtId="0" fontId="14" fillId="0" borderId="0" applyNumberFormat="0" applyFill="0" applyBorder="0" applyAlignment="0" applyProtection="0"/>
    <xf numFmtId="49" fontId="17" fillId="0" borderId="0" applyFill="0" applyAlignment="0"/>
    <xf numFmtId="49" fontId="18" fillId="0" borderId="0" applyFill="0" applyAlignment="0"/>
    <xf numFmtId="49" fontId="19" fillId="0" borderId="0" applyFill="0" applyProtection="0">
      <alignment horizontal="left" indent="1"/>
    </xf>
    <xf numFmtId="49" fontId="6" fillId="0" borderId="0" applyFill="0" applyAlignment="0"/>
    <xf numFmtId="167" fontId="2" fillId="0" borderId="0" applyFont="0" applyFill="0" applyBorder="0" applyAlignment="0" applyProtection="0"/>
    <xf numFmtId="0" fontId="20" fillId="5" borderId="15" applyNumberFormat="0" applyFill="0" applyAlignment="0">
      <protection locked="0"/>
    </xf>
    <xf numFmtId="0" fontId="4" fillId="6" borderId="15" applyNumberFormat="0" applyFill="0" applyAlignment="0"/>
    <xf numFmtId="43" fontId="4" fillId="0" borderId="0" applyFont="0" applyFill="0" applyBorder="0" applyAlignment="0" applyProtection="0"/>
  </cellStyleXfs>
  <cellXfs count="86">
    <xf numFmtId="0" fontId="0" fillId="0" borderId="0" xfId="0"/>
    <xf numFmtId="0" fontId="2" fillId="0" borderId="0" xfId="0" applyFont="1"/>
    <xf numFmtId="3" fontId="0" fillId="0" borderId="0" xfId="0" applyNumberFormat="1"/>
    <xf numFmtId="0" fontId="1" fillId="0" borderId="0" xfId="0" applyFont="1"/>
    <xf numFmtId="10" fontId="3" fillId="0" borderId="0" xfId="0" applyNumberFormat="1" applyFont="1"/>
    <xf numFmtId="0" fontId="1" fillId="0" borderId="1" xfId="0" applyFont="1" applyBorder="1"/>
    <xf numFmtId="0" fontId="0" fillId="0" borderId="1" xfId="0" applyBorder="1"/>
    <xf numFmtId="0" fontId="0" fillId="0" borderId="3" xfId="0" applyBorder="1"/>
    <xf numFmtId="0" fontId="0" fillId="0" borderId="5" xfId="0" applyBorder="1" applyAlignment="1">
      <alignment wrapText="1"/>
    </xf>
    <xf numFmtId="3" fontId="2" fillId="0" borderId="0" xfId="0" applyNumberFormat="1" applyFont="1"/>
    <xf numFmtId="164" fontId="0" fillId="0" borderId="0" xfId="1" applyNumberFormat="1" applyFont="1"/>
    <xf numFmtId="3" fontId="0" fillId="0" borderId="7" xfId="0" applyNumberFormat="1" applyBorder="1"/>
    <xf numFmtId="3" fontId="0" fillId="0" borderId="8" xfId="0" applyNumberFormat="1" applyBorder="1"/>
    <xf numFmtId="3" fontId="2" fillId="0" borderId="7" xfId="0" applyNumberFormat="1" applyFont="1" applyBorder="1"/>
    <xf numFmtId="0" fontId="0" fillId="0" borderId="10" xfId="0" applyBorder="1" applyAlignment="1">
      <alignment wrapText="1"/>
    </xf>
    <xf numFmtId="0" fontId="0" fillId="0" borderId="13" xfId="0" applyBorder="1" applyAlignment="1">
      <alignment horizontal="center"/>
    </xf>
    <xf numFmtId="0" fontId="0" fillId="0" borderId="14" xfId="0" applyBorder="1" applyAlignment="1">
      <alignment horizontal="center"/>
    </xf>
    <xf numFmtId="165" fontId="6" fillId="2" borderId="0" xfId="3" applyFont="1" applyFill="1" applyBorder="1" applyAlignment="1" applyProtection="1">
      <alignment horizontal="left"/>
    </xf>
    <xf numFmtId="0" fontId="0" fillId="2" borderId="0" xfId="0" applyFill="1"/>
    <xf numFmtId="10" fontId="3" fillId="0" borderId="0" xfId="1" applyNumberFormat="1" applyFont="1"/>
    <xf numFmtId="165" fontId="8" fillId="3" borderId="0" xfId="3" applyFont="1" applyFill="1" applyBorder="1" applyAlignment="1" applyProtection="1">
      <alignment horizontal="centerContinuous" wrapText="1"/>
    </xf>
    <xf numFmtId="0" fontId="8" fillId="3" borderId="0" xfId="4" applyFill="1" applyBorder="1">
      <alignment horizontal="centerContinuous" wrapText="1"/>
    </xf>
    <xf numFmtId="3" fontId="3" fillId="0" borderId="0" xfId="0" applyNumberFormat="1" applyFont="1"/>
    <xf numFmtId="3" fontId="3" fillId="0" borderId="1" xfId="0" applyNumberFormat="1" applyFont="1" applyBorder="1"/>
    <xf numFmtId="0" fontId="9" fillId="0" borderId="0" xfId="0" applyFont="1"/>
    <xf numFmtId="14" fontId="10" fillId="0" borderId="0" xfId="0" applyNumberFormat="1" applyFont="1"/>
    <xf numFmtId="10" fontId="10" fillId="0" borderId="0" xfId="0" applyNumberFormat="1" applyFont="1"/>
    <xf numFmtId="0" fontId="10" fillId="0" borderId="0" xfId="0" applyFont="1"/>
    <xf numFmtId="14" fontId="0" fillId="0" borderId="0" xfId="0" applyNumberFormat="1"/>
    <xf numFmtId="2" fontId="0" fillId="0" borderId="0" xfId="1" applyNumberFormat="1" applyFont="1" applyBorder="1"/>
    <xf numFmtId="166" fontId="0" fillId="0" borderId="0" xfId="1" applyNumberFormat="1" applyFont="1" applyBorder="1"/>
    <xf numFmtId="0" fontId="0" fillId="0" borderId="16" xfId="0" applyBorder="1"/>
    <xf numFmtId="10" fontId="3" fillId="0" borderId="16" xfId="0" applyNumberFormat="1" applyFont="1" applyBorder="1"/>
    <xf numFmtId="0" fontId="3" fillId="0" borderId="16" xfId="0" applyFont="1" applyBorder="1"/>
    <xf numFmtId="14" fontId="3" fillId="0" borderId="16" xfId="0" applyNumberFormat="1" applyFont="1" applyBorder="1"/>
    <xf numFmtId="14" fontId="10" fillId="0" borderId="16" xfId="0" applyNumberFormat="1" applyFont="1" applyBorder="1"/>
    <xf numFmtId="14" fontId="0" fillId="0" borderId="16" xfId="0" applyNumberFormat="1" applyBorder="1"/>
    <xf numFmtId="2" fontId="0" fillId="0" borderId="16" xfId="1" applyNumberFormat="1" applyFont="1" applyBorder="1"/>
    <xf numFmtId="166" fontId="0" fillId="0" borderId="16" xfId="1" applyNumberFormat="1" applyFont="1" applyBorder="1"/>
    <xf numFmtId="166" fontId="0" fillId="0" borderId="16" xfId="0" applyNumberFormat="1" applyBorder="1"/>
    <xf numFmtId="10" fontId="11" fillId="0" borderId="0" xfId="0" applyNumberFormat="1" applyFont="1"/>
    <xf numFmtId="0" fontId="0" fillId="0" borderId="17" xfId="0" applyBorder="1"/>
    <xf numFmtId="0" fontId="0" fillId="0" borderId="18" xfId="0" applyBorder="1"/>
    <xf numFmtId="0" fontId="12" fillId="0" borderId="0" xfId="0" applyFont="1" applyAlignment="1">
      <alignment horizontal="center" vertical="center" wrapText="1"/>
    </xf>
    <xf numFmtId="0" fontId="13" fillId="0" borderId="0" xfId="0" applyFont="1" applyAlignment="1">
      <alignment horizontal="center" vertical="center" wrapText="1"/>
    </xf>
    <xf numFmtId="0" fontId="15" fillId="0" borderId="1" xfId="5" applyFont="1" applyFill="1" applyBorder="1" applyAlignment="1">
      <alignment horizontal="centerContinuous"/>
    </xf>
    <xf numFmtId="0" fontId="0" fillId="0" borderId="0" xfId="0" applyAlignment="1">
      <alignment horizontal="centerContinuous"/>
    </xf>
    <xf numFmtId="15" fontId="16" fillId="0" borderId="1" xfId="0" applyNumberFormat="1" applyFont="1" applyBorder="1" applyAlignment="1">
      <alignment horizontal="centerContinuous"/>
    </xf>
    <xf numFmtId="0" fontId="0" fillId="0" borderId="11" xfId="0" applyBorder="1"/>
    <xf numFmtId="49" fontId="17" fillId="0" borderId="0" xfId="6" applyFill="1"/>
    <xf numFmtId="0" fontId="0" fillId="0" borderId="0" xfId="0" applyAlignment="1">
      <alignment horizontal="left" vertical="top"/>
    </xf>
    <xf numFmtId="0" fontId="7" fillId="3" borderId="1" xfId="7" applyNumberFormat="1" applyFont="1" applyFill="1" applyBorder="1" applyAlignment="1"/>
    <xf numFmtId="0" fontId="7" fillId="3" borderId="0" xfId="7" applyNumberFormat="1" applyFont="1" applyFill="1" applyAlignment="1"/>
    <xf numFmtId="0" fontId="7" fillId="3" borderId="0" xfId="7" applyNumberFormat="1" applyFont="1" applyFill="1" applyAlignment="1">
      <alignment wrapText="1"/>
    </xf>
    <xf numFmtId="49" fontId="19" fillId="0" borderId="0" xfId="8" applyAlignment="1">
      <alignment horizontal="left" vertical="top" indent="1"/>
    </xf>
    <xf numFmtId="49" fontId="6" fillId="2" borderId="0" xfId="9" applyFill="1" applyAlignment="1">
      <alignment horizontal="left" vertical="top" indent="1"/>
    </xf>
    <xf numFmtId="167" fontId="0" fillId="0" borderId="0" xfId="10" applyFont="1" applyFill="1" applyBorder="1" applyAlignment="1">
      <alignment horizontal="left" vertical="top"/>
    </xf>
    <xf numFmtId="0" fontId="0" fillId="0" borderId="0" xfId="0" applyAlignment="1">
      <alignment horizontal="left" vertical="top" wrapText="1"/>
    </xf>
    <xf numFmtId="49" fontId="15" fillId="0" borderId="0" xfId="6" applyFont="1" applyFill="1"/>
    <xf numFmtId="3" fontId="2" fillId="0" borderId="1" xfId="0" applyNumberFormat="1" applyFont="1" applyBorder="1"/>
    <xf numFmtId="3" fontId="2" fillId="0" borderId="8" xfId="0" applyNumberFormat="1" applyFont="1" applyBorder="1"/>
    <xf numFmtId="3" fontId="21" fillId="0" borderId="1" xfId="0" applyNumberFormat="1" applyFont="1" applyBorder="1"/>
    <xf numFmtId="3" fontId="21" fillId="0" borderId="0" xfId="0" applyNumberFormat="1" applyFont="1"/>
    <xf numFmtId="3" fontId="1" fillId="0" borderId="0" xfId="0" applyNumberFormat="1" applyFont="1"/>
    <xf numFmtId="3" fontId="1" fillId="0" borderId="7" xfId="0" applyNumberFormat="1" applyFont="1" applyBorder="1"/>
    <xf numFmtId="0" fontId="22" fillId="3" borderId="0" xfId="2" applyFont="1" applyFill="1" applyBorder="1" applyAlignment="1">
      <alignment horizontal="left"/>
    </xf>
    <xf numFmtId="0" fontId="0" fillId="0" borderId="0" xfId="0" applyAlignment="1">
      <alignment wrapText="1"/>
    </xf>
    <xf numFmtId="10" fontId="0" fillId="0" borderId="0" xfId="1" applyNumberFormat="1" applyFont="1"/>
    <xf numFmtId="10" fontId="0" fillId="0" borderId="0" xfId="0" applyNumberFormat="1"/>
    <xf numFmtId="10" fontId="0" fillId="0" borderId="19" xfId="1" applyNumberFormat="1" applyFont="1" applyBorder="1"/>
    <xf numFmtId="10" fontId="0" fillId="0" borderId="7" xfId="1" applyNumberFormat="1" applyFont="1" applyBorder="1"/>
    <xf numFmtId="168" fontId="0" fillId="0" borderId="0" xfId="13" applyNumberFormat="1" applyFont="1"/>
    <xf numFmtId="168" fontId="0" fillId="0" borderId="0" xfId="13" applyNumberFormat="1" applyFont="1" applyAlignment="1">
      <alignment horizontal="right"/>
    </xf>
    <xf numFmtId="168" fontId="0" fillId="0" borderId="0" xfId="13" applyNumberFormat="1" applyFont="1" applyFill="1" applyBorder="1"/>
    <xf numFmtId="169" fontId="0" fillId="0" borderId="0" xfId="13" applyNumberFormat="1" applyFont="1"/>
    <xf numFmtId="169" fontId="0" fillId="0" borderId="20" xfId="13" applyNumberFormat="1" applyFont="1" applyBorder="1"/>
    <xf numFmtId="168" fontId="0" fillId="0" borderId="20" xfId="13" applyNumberFormat="1" applyFont="1" applyBorder="1"/>
    <xf numFmtId="0" fontId="0" fillId="0" borderId="1" xfId="0" applyBorder="1" applyAlignment="1">
      <alignment horizontal="center"/>
    </xf>
    <xf numFmtId="0" fontId="0" fillId="0" borderId="0" xfId="0"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11" xfId="0" applyBorder="1" applyAlignment="1">
      <alignment horizontal="center"/>
    </xf>
    <xf numFmtId="0" fontId="0" fillId="0" borderId="4" xfId="0" applyBorder="1" applyAlignment="1">
      <alignment horizontal="center"/>
    </xf>
    <xf numFmtId="0" fontId="0" fillId="0" borderId="5" xfId="0" applyBorder="1" applyAlignment="1">
      <alignment horizontal="center" wrapText="1"/>
    </xf>
    <xf numFmtId="0" fontId="0" fillId="0" borderId="12" xfId="0" applyBorder="1" applyAlignment="1">
      <alignment horizontal="center" wrapText="1"/>
    </xf>
    <xf numFmtId="0" fontId="0" fillId="0" borderId="6" xfId="0" applyBorder="1" applyAlignment="1">
      <alignment horizontal="center" wrapText="1"/>
    </xf>
  </cellXfs>
  <cellStyles count="14">
    <cellStyle name="Comma" xfId="13" builtinId="3"/>
    <cellStyle name="Comma [0] 2" xfId="10" xr:uid="{8F01B65C-6927-4379-983E-B66D49F16CA3}"/>
    <cellStyle name="Explanatory Text 2" xfId="8" xr:uid="{8E8F94F2-6BF2-4D41-AED9-2576D382DCA0}"/>
    <cellStyle name="Heading 1 2" xfId="9" xr:uid="{0C3D73A8-1FA1-4CF2-AC5E-2041CB49E722}"/>
    <cellStyle name="Heading 2" xfId="2" builtinId="17"/>
    <cellStyle name="Heading 2 2" xfId="7" xr:uid="{E79FE3F8-94DB-4CF8-BDE7-0045267805C3}"/>
    <cellStyle name="Input 2" xfId="11" xr:uid="{D8E92F06-7A90-4553-B54F-51C7D8EA4D25}"/>
    <cellStyle name="Label" xfId="4" xr:uid="{773DAB66-369C-4EB7-A681-6FA64F8B545C}"/>
    <cellStyle name="Normal" xfId="0" builtinId="0"/>
    <cellStyle name="Output 2" xfId="12" xr:uid="{241E4B0E-D88C-45DC-A969-EC40711D3376}"/>
    <cellStyle name="Percent" xfId="1" builtinId="5"/>
    <cellStyle name="Title 2" xfId="6" xr:uid="{19F5B104-8D87-4867-A69A-4F4E1607785F}"/>
    <cellStyle name="Title 2 2" xfId="5" xr:uid="{D0B2A4AB-DBE9-48C0-A862-FAD81D3BBD07}"/>
    <cellStyle name="Year" xfId="3" xr:uid="{F4B49082-D6AA-4905-A8E1-FB942E4CF757}"/>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calcChain" Target="calcChain.xml" Id="rId8" /><Relationship Type="http://schemas.openxmlformats.org/officeDocument/2006/relationships/worksheet" Target="worksheets/sheet3.xml" Id="rId3" /><Relationship Type="http://schemas.openxmlformats.org/officeDocument/2006/relationships/sharedStrings" Target="sharedString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tyles" Target="styles.xml" Id="rId6" /><Relationship Type="http://schemas.openxmlformats.org/officeDocument/2006/relationships/theme" Target="theme/theme1.xml" Id="rId5" /><Relationship Type="http://schemas.openxmlformats.org/officeDocument/2006/relationships/worksheet" Target="worksheets/sheet4.xml" Id="rId4" /><Relationship Type="http://schemas.openxmlformats.org/officeDocument/2006/relationships/customXml" Target="/customXML/item.xml" Id="imanage.xml" /></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314325</xdr:colOff>
      <xdr:row>0</xdr:row>
      <xdr:rowOff>142875</xdr:rowOff>
    </xdr:from>
    <xdr:to>
      <xdr:col>1</xdr:col>
      <xdr:colOff>884522</xdr:colOff>
      <xdr:row>1</xdr:row>
      <xdr:rowOff>657975</xdr:rowOff>
    </xdr:to>
    <xdr:pic>
      <xdr:nvPicPr>
        <xdr:cNvPr id="2" name="Picture 1">
          <a:extLst>
            <a:ext uri="{FF2B5EF4-FFF2-40B4-BE49-F238E27FC236}">
              <a16:creationId xmlns:a16="http://schemas.microsoft.com/office/drawing/2014/main" id="{1B29ED3A-633D-4F2E-A8C5-4361164CA4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 y="142875"/>
          <a:ext cx="2465672" cy="705600"/>
        </a:xfrm>
        <a:prstGeom prst="rect">
          <a:avLst/>
        </a:prstGeom>
      </xdr:spPr>
    </xdr:pic>
    <xdr:clientData/>
  </xdr:twoCellAnchor>
  <xdr:twoCellAnchor editAs="oneCell">
    <xdr:from>
      <xdr:col>0</xdr:col>
      <xdr:colOff>0</xdr:colOff>
      <xdr:row>1</xdr:row>
      <xdr:rowOff>2179320</xdr:rowOff>
    </xdr:from>
    <xdr:to>
      <xdr:col>4</xdr:col>
      <xdr:colOff>0</xdr:colOff>
      <xdr:row>14</xdr:row>
      <xdr:rowOff>0</xdr:rowOff>
    </xdr:to>
    <xdr:pic>
      <xdr:nvPicPr>
        <xdr:cNvPr id="3" name="Picture 2">
          <a:extLst>
            <a:ext uri="{FF2B5EF4-FFF2-40B4-BE49-F238E27FC236}">
              <a16:creationId xmlns:a16="http://schemas.microsoft.com/office/drawing/2014/main" id="{094E1ACC-A3D2-4D01-9478-E8356F4545C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369820"/>
          <a:ext cx="9629775" cy="3230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352425</xdr:colOff>
      <xdr:row>13</xdr:row>
      <xdr:rowOff>161925</xdr:rowOff>
    </xdr:from>
    <xdr:to>
      <xdr:col>3</xdr:col>
      <xdr:colOff>228600</xdr:colOff>
      <xdr:row>18</xdr:row>
      <xdr:rowOff>38100</xdr:rowOff>
    </xdr:to>
    <xdr:cxnSp macro="">
      <xdr:nvCxnSpPr>
        <xdr:cNvPr id="2" name="Straight Arrow Connector 1">
          <a:extLst>
            <a:ext uri="{FF2B5EF4-FFF2-40B4-BE49-F238E27FC236}">
              <a16:creationId xmlns:a16="http://schemas.microsoft.com/office/drawing/2014/main" id="{2E7FF133-49E1-4638-AAB6-ECE7436E0FD2}"/>
            </a:ext>
          </a:extLst>
        </xdr:cNvPr>
        <xdr:cNvCxnSpPr/>
      </xdr:nvCxnSpPr>
      <xdr:spPr>
        <a:xfrm>
          <a:off x="3190875" y="2990850"/>
          <a:ext cx="1114425" cy="800100"/>
        </a:xfrm>
        <a:prstGeom prst="straightConnector1">
          <a:avLst/>
        </a:prstGeom>
        <a:ln w="0">
          <a:solidFill>
            <a:schemeClr val="accent3">
              <a:lumMod val="40000"/>
              <a:lumOff val="60000"/>
            </a:schemeClr>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xdr:col>
      <xdr:colOff>381000</xdr:colOff>
      <xdr:row>14</xdr:row>
      <xdr:rowOff>19050</xdr:rowOff>
    </xdr:from>
    <xdr:to>
      <xdr:col>4</xdr:col>
      <xdr:colOff>257175</xdr:colOff>
      <xdr:row>18</xdr:row>
      <xdr:rowOff>76200</xdr:rowOff>
    </xdr:to>
    <xdr:cxnSp macro="">
      <xdr:nvCxnSpPr>
        <xdr:cNvPr id="3" name="Straight Arrow Connector 2">
          <a:extLst>
            <a:ext uri="{FF2B5EF4-FFF2-40B4-BE49-F238E27FC236}">
              <a16:creationId xmlns:a16="http://schemas.microsoft.com/office/drawing/2014/main" id="{CCF93D74-B27F-446A-945B-47A60F03B82D}"/>
            </a:ext>
          </a:extLst>
        </xdr:cNvPr>
        <xdr:cNvCxnSpPr/>
      </xdr:nvCxnSpPr>
      <xdr:spPr>
        <a:xfrm>
          <a:off x="3895725" y="3028950"/>
          <a:ext cx="1000125" cy="800100"/>
        </a:xfrm>
        <a:prstGeom prst="straightConnector1">
          <a:avLst/>
        </a:prstGeom>
        <a:ln w="0">
          <a:solidFill>
            <a:schemeClr val="accent3">
              <a:lumMod val="40000"/>
              <a:lumOff val="60000"/>
            </a:schemeClr>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400050</xdr:colOff>
      <xdr:row>13</xdr:row>
      <xdr:rowOff>171450</xdr:rowOff>
    </xdr:from>
    <xdr:to>
      <xdr:col>5</xdr:col>
      <xdr:colOff>276225</xdr:colOff>
      <xdr:row>18</xdr:row>
      <xdr:rowOff>47625</xdr:rowOff>
    </xdr:to>
    <xdr:cxnSp macro="">
      <xdr:nvCxnSpPr>
        <xdr:cNvPr id="4" name="Straight Arrow Connector 3">
          <a:extLst>
            <a:ext uri="{FF2B5EF4-FFF2-40B4-BE49-F238E27FC236}">
              <a16:creationId xmlns:a16="http://schemas.microsoft.com/office/drawing/2014/main" id="{BD7A6073-8142-4D81-B5C2-FD8E0A278CBC}"/>
            </a:ext>
          </a:extLst>
        </xdr:cNvPr>
        <xdr:cNvCxnSpPr/>
      </xdr:nvCxnSpPr>
      <xdr:spPr>
        <a:xfrm>
          <a:off x="4476750" y="3000375"/>
          <a:ext cx="1000125" cy="800100"/>
        </a:xfrm>
        <a:prstGeom prst="straightConnector1">
          <a:avLst/>
        </a:prstGeom>
        <a:ln w="0">
          <a:solidFill>
            <a:schemeClr val="accent3">
              <a:lumMod val="40000"/>
              <a:lumOff val="60000"/>
            </a:schemeClr>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xdr:col>
      <xdr:colOff>495300</xdr:colOff>
      <xdr:row>14</xdr:row>
      <xdr:rowOff>28575</xdr:rowOff>
    </xdr:from>
    <xdr:to>
      <xdr:col>7</xdr:col>
      <xdr:colOff>152400</xdr:colOff>
      <xdr:row>23</xdr:row>
      <xdr:rowOff>47625</xdr:rowOff>
    </xdr:to>
    <xdr:cxnSp macro="">
      <xdr:nvCxnSpPr>
        <xdr:cNvPr id="5" name="Straight Arrow Connector 4">
          <a:extLst>
            <a:ext uri="{FF2B5EF4-FFF2-40B4-BE49-F238E27FC236}">
              <a16:creationId xmlns:a16="http://schemas.microsoft.com/office/drawing/2014/main" id="{94578949-7066-43EB-B86B-BDC56305761E}"/>
            </a:ext>
          </a:extLst>
        </xdr:cNvPr>
        <xdr:cNvCxnSpPr/>
      </xdr:nvCxnSpPr>
      <xdr:spPr>
        <a:xfrm>
          <a:off x="5695950" y="3038475"/>
          <a:ext cx="781050" cy="1304925"/>
        </a:xfrm>
        <a:prstGeom prst="straightConnector1">
          <a:avLst/>
        </a:prstGeom>
        <a:ln w="0">
          <a:solidFill>
            <a:schemeClr val="accent3">
              <a:lumMod val="40000"/>
              <a:lumOff val="60000"/>
            </a:schemeClr>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419100</xdr:colOff>
      <xdr:row>14</xdr:row>
      <xdr:rowOff>38100</xdr:rowOff>
    </xdr:from>
    <xdr:to>
      <xdr:col>6</xdr:col>
      <xdr:colOff>133350</xdr:colOff>
      <xdr:row>23</xdr:row>
      <xdr:rowOff>19050</xdr:rowOff>
    </xdr:to>
    <xdr:cxnSp macro="">
      <xdr:nvCxnSpPr>
        <xdr:cNvPr id="6" name="Straight Arrow Connector 5">
          <a:extLst>
            <a:ext uri="{FF2B5EF4-FFF2-40B4-BE49-F238E27FC236}">
              <a16:creationId xmlns:a16="http://schemas.microsoft.com/office/drawing/2014/main" id="{9DED97E9-5B26-4D7A-B6DD-B76F44EC0275}"/>
            </a:ext>
          </a:extLst>
        </xdr:cNvPr>
        <xdr:cNvCxnSpPr/>
      </xdr:nvCxnSpPr>
      <xdr:spPr>
        <a:xfrm>
          <a:off x="5057775" y="3048000"/>
          <a:ext cx="838200" cy="1266825"/>
        </a:xfrm>
        <a:prstGeom prst="straightConnector1">
          <a:avLst/>
        </a:prstGeom>
        <a:ln w="0">
          <a:solidFill>
            <a:schemeClr val="accent3">
              <a:lumMod val="40000"/>
              <a:lumOff val="60000"/>
            </a:schemeClr>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6472B-BAF6-4AB2-9F17-53ACC449C1F5}">
  <sheetPr>
    <pageSetUpPr fitToPage="1"/>
  </sheetPr>
  <dimension ref="A1:D16"/>
  <sheetViews>
    <sheetView showGridLines="0" tabSelected="1" view="pageBreakPreview" zoomScaleNormal="100" zoomScaleSheetLayoutView="100" workbookViewId="0">
      <selection activeCell="A16" sqref="A16"/>
    </sheetView>
  </sheetViews>
  <sheetFormatPr defaultColWidth="9.1328125" defaultRowHeight="15" customHeight="1" x14ac:dyDescent="0.45"/>
  <cols>
    <col min="1" max="1" width="26.53125" customWidth="1"/>
    <col min="2" max="2" width="43.1328125" customWidth="1"/>
    <col min="3" max="3" width="32.6640625" customWidth="1"/>
    <col min="4" max="4" width="32.33203125" customWidth="1"/>
  </cols>
  <sheetData>
    <row r="1" spans="1:4" ht="15" customHeight="1" x14ac:dyDescent="0.45">
      <c r="A1" s="41"/>
      <c r="B1" s="42"/>
      <c r="C1" s="42"/>
      <c r="D1" s="42"/>
    </row>
    <row r="2" spans="1:4" ht="189" customHeight="1" x14ac:dyDescent="0.45">
      <c r="A2" s="6"/>
      <c r="B2" s="43"/>
      <c r="C2" s="44"/>
    </row>
    <row r="3" spans="1:4" ht="22.5" customHeight="1" x14ac:dyDescent="0.85">
      <c r="A3" s="45" t="s">
        <v>36</v>
      </c>
      <c r="B3" s="46"/>
      <c r="C3" s="46"/>
      <c r="D3" s="46"/>
    </row>
    <row r="4" spans="1:4" ht="22.5" customHeight="1" x14ac:dyDescent="0.85">
      <c r="A4" s="45" t="s">
        <v>39</v>
      </c>
      <c r="B4" s="46"/>
      <c r="C4" s="46"/>
      <c r="D4" s="46"/>
    </row>
    <row r="5" spans="1:4" ht="22.5" customHeight="1" x14ac:dyDescent="0.85">
      <c r="A5" s="45" t="s">
        <v>40</v>
      </c>
      <c r="B5" s="46"/>
      <c r="C5" s="46"/>
      <c r="D5" s="46"/>
    </row>
    <row r="6" spans="1:4" ht="22.5" customHeight="1" x14ac:dyDescent="0.85">
      <c r="A6" s="45" t="s">
        <v>41</v>
      </c>
      <c r="B6" s="46"/>
      <c r="C6" s="46"/>
      <c r="D6" s="46"/>
    </row>
    <row r="7" spans="1:4" ht="42" customHeight="1" x14ac:dyDescent="0.45">
      <c r="A7" s="6"/>
    </row>
    <row r="8" spans="1:4" ht="15" customHeight="1" x14ac:dyDescent="0.45">
      <c r="A8" s="6"/>
    </row>
    <row r="9" spans="1:4" ht="15" customHeight="1" x14ac:dyDescent="0.45">
      <c r="A9" s="6"/>
    </row>
    <row r="10" spans="1:4" ht="15" customHeight="1" x14ac:dyDescent="0.45">
      <c r="A10" s="6"/>
    </row>
    <row r="11" spans="1:4" ht="15" customHeight="1" x14ac:dyDescent="0.45">
      <c r="A11" s="6"/>
    </row>
    <row r="12" spans="1:4" ht="15" customHeight="1" x14ac:dyDescent="0.45">
      <c r="A12" s="6"/>
    </row>
    <row r="13" spans="1:4" ht="15" customHeight="1" x14ac:dyDescent="0.45">
      <c r="A13" s="6"/>
    </row>
    <row r="14" spans="1:4" ht="15" customHeight="1" x14ac:dyDescent="0.45">
      <c r="A14" s="6"/>
    </row>
    <row r="15" spans="1:4" ht="15" customHeight="1" x14ac:dyDescent="0.45">
      <c r="A15" s="47" t="s">
        <v>73</v>
      </c>
      <c r="B15" s="46"/>
      <c r="C15" s="46"/>
      <c r="D15" s="46"/>
    </row>
    <row r="16" spans="1:4" ht="15" customHeight="1" x14ac:dyDescent="0.45">
      <c r="A16" s="7"/>
      <c r="B16" s="48"/>
      <c r="C16" s="48"/>
      <c r="D16" s="48"/>
    </row>
  </sheetData>
  <sheetProtection formatColumns="0" formatRows="0"/>
  <pageMargins left="0.70866141732283472" right="0.70866141732283472" top="0.74803149606299213" bottom="0.74803149606299213" header="0.31496062992125984" footer="0.31496062992125984"/>
  <pageSetup paperSize="9" scale="9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A3E42-C2F3-4FE3-9686-B21EFA7BF8B6}">
  <sheetPr>
    <pageSetUpPr fitToPage="1"/>
  </sheetPr>
  <dimension ref="A1:D8"/>
  <sheetViews>
    <sheetView showGridLines="0" view="pageBreakPreview" zoomScaleNormal="100" zoomScaleSheetLayoutView="100" workbookViewId="0"/>
  </sheetViews>
  <sheetFormatPr defaultColWidth="9.1328125" defaultRowHeight="15" customHeight="1" x14ac:dyDescent="0.45"/>
  <cols>
    <col min="1" max="1" width="3.6640625" customWidth="1"/>
    <col min="2" max="2" width="3.6640625" style="50" customWidth="1"/>
    <col min="3" max="3" width="131" customWidth="1"/>
    <col min="4" max="4" width="3.6640625" customWidth="1"/>
  </cols>
  <sheetData>
    <row r="1" spans="1:4" ht="26.65" x14ac:dyDescent="0.85">
      <c r="A1" s="58" t="s">
        <v>37</v>
      </c>
    </row>
    <row r="2" spans="1:4" ht="15" customHeight="1" x14ac:dyDescent="0.45">
      <c r="A2" s="51" t="s">
        <v>42</v>
      </c>
      <c r="B2" s="52"/>
      <c r="C2" s="53"/>
      <c r="D2" s="53"/>
    </row>
    <row r="3" spans="1:4" ht="15" customHeight="1" x14ac:dyDescent="0.85">
      <c r="A3" s="49"/>
      <c r="B3" s="54"/>
    </row>
    <row r="4" spans="1:4" ht="23.25" x14ac:dyDescent="0.45">
      <c r="A4" s="18"/>
      <c r="B4" s="55" t="s">
        <v>38</v>
      </c>
      <c r="C4" s="18"/>
      <c r="D4" s="18"/>
    </row>
    <row r="5" spans="1:4" ht="15" customHeight="1" x14ac:dyDescent="0.45">
      <c r="B5" s="56">
        <v>1</v>
      </c>
      <c r="C5" s="57" t="s">
        <v>54</v>
      </c>
    </row>
    <row r="6" spans="1:4" ht="14.25" x14ac:dyDescent="0.45">
      <c r="B6" s="56">
        <v>2</v>
      </c>
      <c r="C6" t="s">
        <v>43</v>
      </c>
    </row>
    <row r="7" spans="1:4" ht="15" customHeight="1" x14ac:dyDescent="0.45">
      <c r="B7" s="56">
        <v>3</v>
      </c>
      <c r="C7" s="57" t="s">
        <v>67</v>
      </c>
    </row>
    <row r="8" spans="1:4" ht="15" customHeight="1" x14ac:dyDescent="0.45">
      <c r="B8" s="56"/>
      <c r="C8" s="57"/>
    </row>
  </sheetData>
  <sheetProtection formatColumns="0" formatRows="0"/>
  <pageMargins left="0.23622047244094491" right="0.23622047244094491" top="0.74803149606299213" bottom="0.74803149606299213" header="0.31496062992125984" footer="0.31496062992125984"/>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C260D-DFAB-4521-9DA4-92854C886056}">
  <dimension ref="A1:Q27"/>
  <sheetViews>
    <sheetView showGridLines="0" workbookViewId="0"/>
  </sheetViews>
  <sheetFormatPr defaultRowHeight="14.25" x14ac:dyDescent="0.45"/>
  <cols>
    <col min="1" max="1" width="33.3984375" bestFit="1" customWidth="1"/>
    <col min="2" max="2" width="11.19921875" customWidth="1"/>
    <col min="3" max="3" width="11.86328125" customWidth="1"/>
  </cols>
  <sheetData>
    <row r="1" spans="1:17" ht="23.25" x14ac:dyDescent="0.7">
      <c r="A1" s="17" t="s">
        <v>71</v>
      </c>
      <c r="B1" s="18"/>
      <c r="C1" s="18"/>
      <c r="D1" s="18"/>
      <c r="E1" s="18"/>
      <c r="F1" s="18"/>
      <c r="G1" s="18"/>
      <c r="H1" s="18"/>
      <c r="I1" s="18"/>
      <c r="J1" s="18"/>
      <c r="K1" s="18"/>
      <c r="L1" s="18"/>
      <c r="M1" s="18"/>
      <c r="N1" s="18"/>
      <c r="O1" s="18"/>
      <c r="P1" s="18"/>
      <c r="Q1" s="18"/>
    </row>
    <row r="3" spans="1:17" x14ac:dyDescent="0.45">
      <c r="A3" s="3"/>
      <c r="B3" s="3" t="s">
        <v>18</v>
      </c>
      <c r="C3" s="3" t="s">
        <v>19</v>
      </c>
    </row>
    <row r="4" spans="1:17" x14ac:dyDescent="0.45">
      <c r="A4" s="31" t="s">
        <v>20</v>
      </c>
      <c r="B4" s="32">
        <v>4.2299999999999997E-2</v>
      </c>
      <c r="C4" s="32">
        <v>6.0199999999999997E-2</v>
      </c>
    </row>
    <row r="5" spans="1:17" x14ac:dyDescent="0.45">
      <c r="A5" s="31" t="s">
        <v>21</v>
      </c>
      <c r="B5" s="33">
        <v>148</v>
      </c>
      <c r="C5" s="33">
        <v>148</v>
      </c>
    </row>
    <row r="6" spans="1:17" x14ac:dyDescent="0.45">
      <c r="A6" s="31" t="s">
        <v>22</v>
      </c>
      <c r="B6" s="34">
        <v>45747</v>
      </c>
      <c r="C6" s="34">
        <v>46112</v>
      </c>
    </row>
    <row r="7" spans="1:17" x14ac:dyDescent="0.45">
      <c r="A7" s="31"/>
      <c r="B7" s="35"/>
      <c r="C7" s="35"/>
    </row>
    <row r="8" spans="1:17" x14ac:dyDescent="0.45">
      <c r="A8" s="31" t="s">
        <v>23</v>
      </c>
      <c r="B8" s="36">
        <f>B6-B5</f>
        <v>45599</v>
      </c>
      <c r="C8" s="36">
        <f>C6-C5</f>
        <v>45964</v>
      </c>
    </row>
    <row r="9" spans="1:17" x14ac:dyDescent="0.45">
      <c r="A9" s="31" t="s">
        <v>24</v>
      </c>
      <c r="B9" s="31">
        <f>B6-B8</f>
        <v>148</v>
      </c>
      <c r="C9" s="31">
        <f>C8-B6</f>
        <v>217</v>
      </c>
    </row>
    <row r="10" spans="1:17" x14ac:dyDescent="0.45">
      <c r="A10" s="31"/>
      <c r="B10" s="31"/>
      <c r="C10" s="31"/>
    </row>
    <row r="11" spans="1:17" x14ac:dyDescent="0.45">
      <c r="A11" s="31" t="s">
        <v>25</v>
      </c>
      <c r="B11" s="37">
        <f>B9/SUM($B$9:$C$9)</f>
        <v>0.40547945205479452</v>
      </c>
      <c r="C11" s="37">
        <f>C9/SUM($B$9:$C$9)</f>
        <v>0.59452054794520548</v>
      </c>
    </row>
    <row r="12" spans="1:17" x14ac:dyDescent="0.45">
      <c r="A12" s="31"/>
      <c r="B12" s="31"/>
      <c r="C12" s="31"/>
    </row>
    <row r="13" spans="1:17" x14ac:dyDescent="0.45">
      <c r="A13" s="31" t="s">
        <v>55</v>
      </c>
      <c r="B13" s="31"/>
      <c r="C13" s="38">
        <f>SUMPRODUCT(B11:C11,B4:C4)</f>
        <v>5.2941917808219177E-2</v>
      </c>
    </row>
    <row r="14" spans="1:17" x14ac:dyDescent="0.45">
      <c r="A14" s="31" t="s">
        <v>26</v>
      </c>
      <c r="B14" s="31"/>
      <c r="C14" s="39">
        <f>ROUND(C13,4)</f>
        <v>5.2900000000000003E-2</v>
      </c>
    </row>
    <row r="15" spans="1:17" ht="18" x14ac:dyDescent="0.55000000000000004">
      <c r="A15" s="24"/>
    </row>
    <row r="17" spans="1:3" x14ac:dyDescent="0.45">
      <c r="A17" s="3"/>
      <c r="B17" s="3"/>
      <c r="C17" s="3"/>
    </row>
    <row r="18" spans="1:3" x14ac:dyDescent="0.45">
      <c r="B18" s="26"/>
      <c r="C18" s="26"/>
    </row>
    <row r="19" spans="1:3" x14ac:dyDescent="0.45">
      <c r="B19" s="27"/>
      <c r="C19" s="27"/>
    </row>
    <row r="20" spans="1:3" x14ac:dyDescent="0.45">
      <c r="B20" s="25"/>
      <c r="C20" s="25"/>
    </row>
    <row r="21" spans="1:3" x14ac:dyDescent="0.45">
      <c r="B21" s="25"/>
      <c r="C21" s="25"/>
    </row>
    <row r="22" spans="1:3" x14ac:dyDescent="0.45">
      <c r="B22" s="28"/>
      <c r="C22" s="28"/>
    </row>
    <row r="25" spans="1:3" x14ac:dyDescent="0.45">
      <c r="B25" s="29"/>
      <c r="C25" s="29"/>
    </row>
    <row r="27" spans="1:3" x14ac:dyDescent="0.45">
      <c r="C27" s="30"/>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3C7F5-FCF8-45C2-9E16-D25DE5F385D6}">
  <dimension ref="A2:S64"/>
  <sheetViews>
    <sheetView zoomScaleNormal="100" workbookViewId="0">
      <selection activeCell="L14" sqref="L14"/>
    </sheetView>
  </sheetViews>
  <sheetFormatPr defaultRowHeight="14.25" x14ac:dyDescent="0.45"/>
  <cols>
    <col min="1" max="1" width="39.73046875" customWidth="1"/>
    <col min="2" max="2" width="9.46484375" customWidth="1"/>
    <col min="3" max="16" width="7.86328125" customWidth="1"/>
    <col min="18" max="18" width="11.06640625" customWidth="1"/>
    <col min="19" max="19" width="11.19921875" customWidth="1"/>
    <col min="20" max="20" width="24" customWidth="1"/>
  </cols>
  <sheetData>
    <row r="2" spans="1:19" ht="33" customHeight="1" x14ac:dyDescent="0.7">
      <c r="A2" s="17" t="s">
        <v>16</v>
      </c>
      <c r="B2" s="18"/>
      <c r="C2" s="18"/>
      <c r="D2" s="18"/>
      <c r="E2" s="18"/>
      <c r="F2" s="18"/>
      <c r="G2" s="18"/>
      <c r="H2" s="18"/>
      <c r="I2" s="18"/>
      <c r="J2" s="18"/>
      <c r="K2" s="18"/>
      <c r="L2" s="18"/>
      <c r="M2" s="18"/>
      <c r="N2" s="18"/>
      <c r="O2" s="18"/>
      <c r="P2" s="18"/>
      <c r="Q2" s="18"/>
      <c r="R2" s="18"/>
      <c r="S2" s="18"/>
    </row>
    <row r="3" spans="1:19" x14ac:dyDescent="0.45">
      <c r="B3" s="10"/>
      <c r="E3" s="1"/>
    </row>
    <row r="4" spans="1:19" x14ac:dyDescent="0.45">
      <c r="A4" t="s">
        <v>1</v>
      </c>
      <c r="B4" s="19">
        <v>4.2299999999999997E-2</v>
      </c>
    </row>
    <row r="5" spans="1:19" x14ac:dyDescent="0.45">
      <c r="A5" t="s">
        <v>13</v>
      </c>
      <c r="B5" s="4">
        <v>6.0199999999999997E-2</v>
      </c>
      <c r="D5" t="s">
        <v>17</v>
      </c>
    </row>
    <row r="6" spans="1:19" x14ac:dyDescent="0.45">
      <c r="A6" t="s">
        <v>58</v>
      </c>
      <c r="B6" s="40">
        <f>'Weighted WACC'!C14</f>
        <v>5.2900000000000003E-2</v>
      </c>
      <c r="D6" t="s">
        <v>65</v>
      </c>
    </row>
    <row r="8" spans="1:19" ht="33" customHeight="1" x14ac:dyDescent="0.7">
      <c r="A8" s="17" t="s">
        <v>47</v>
      </c>
      <c r="B8" s="18"/>
      <c r="C8" s="18"/>
      <c r="D8" s="18"/>
      <c r="E8" s="18"/>
      <c r="F8" s="18"/>
      <c r="G8" s="18"/>
      <c r="H8" s="18"/>
      <c r="I8" s="18"/>
      <c r="J8" s="18"/>
      <c r="K8" s="18"/>
      <c r="L8" s="18"/>
      <c r="M8" s="18"/>
      <c r="N8" s="18"/>
      <c r="O8" s="18"/>
      <c r="P8" s="18"/>
      <c r="Q8" s="18"/>
      <c r="R8" s="18"/>
      <c r="S8" s="18"/>
    </row>
    <row r="9" spans="1:19" x14ac:dyDescent="0.45">
      <c r="A9" s="65" t="s">
        <v>68</v>
      </c>
      <c r="B9" s="20"/>
      <c r="C9" s="21"/>
      <c r="D9" s="21"/>
      <c r="E9" s="21"/>
      <c r="F9" s="21"/>
      <c r="G9" s="21"/>
      <c r="H9" s="21"/>
      <c r="I9" s="21"/>
      <c r="J9" s="21"/>
      <c r="K9" s="21"/>
      <c r="L9" s="21"/>
      <c r="M9" s="21"/>
      <c r="N9" s="21"/>
      <c r="O9" s="21"/>
      <c r="P9" s="21"/>
      <c r="Q9" s="21"/>
      <c r="R9" s="21"/>
      <c r="S9" s="21"/>
    </row>
    <row r="10" spans="1:19" x14ac:dyDescent="0.45">
      <c r="A10" s="65" t="s">
        <v>45</v>
      </c>
      <c r="B10" s="20"/>
      <c r="C10" s="21"/>
      <c r="D10" s="21"/>
      <c r="E10" s="21"/>
      <c r="F10" s="21"/>
      <c r="G10" s="21"/>
      <c r="H10" s="21"/>
      <c r="I10" s="21"/>
      <c r="J10" s="21"/>
      <c r="K10" s="21"/>
      <c r="L10" s="21"/>
      <c r="M10" s="21"/>
      <c r="N10" s="21"/>
      <c r="O10" s="21"/>
      <c r="P10" s="21"/>
      <c r="Q10" s="21"/>
      <c r="R10" s="21"/>
      <c r="S10" s="21"/>
    </row>
    <row r="12" spans="1:19" x14ac:dyDescent="0.45">
      <c r="B12" s="3">
        <v>2021</v>
      </c>
      <c r="C12" s="3">
        <v>2022</v>
      </c>
      <c r="D12" s="3">
        <v>2023</v>
      </c>
      <c r="E12" s="3">
        <v>2024</v>
      </c>
      <c r="F12" s="3">
        <v>2025</v>
      </c>
      <c r="G12" s="5">
        <v>2026</v>
      </c>
      <c r="H12" s="3">
        <v>2027</v>
      </c>
      <c r="I12" s="3">
        <v>2028</v>
      </c>
      <c r="J12" s="3">
        <v>2029</v>
      </c>
      <c r="K12" s="3">
        <v>2030</v>
      </c>
      <c r="L12" s="3">
        <v>2031</v>
      </c>
      <c r="M12" s="3">
        <v>2032</v>
      </c>
      <c r="N12" s="3">
        <v>2033</v>
      </c>
      <c r="O12" s="3">
        <v>2034</v>
      </c>
      <c r="P12" s="3">
        <v>2035</v>
      </c>
    </row>
    <row r="13" spans="1:19" x14ac:dyDescent="0.45">
      <c r="B13" s="3"/>
      <c r="C13" s="3"/>
      <c r="D13" s="3"/>
      <c r="E13" s="3"/>
      <c r="F13" s="3"/>
      <c r="G13" s="5"/>
      <c r="H13" s="3"/>
      <c r="I13" s="3"/>
      <c r="J13" s="3"/>
      <c r="K13" s="3"/>
      <c r="L13" s="3"/>
      <c r="M13" s="3"/>
      <c r="N13" s="3"/>
      <c r="O13" s="3"/>
      <c r="P13" s="3"/>
    </row>
    <row r="14" spans="1:19" x14ac:dyDescent="0.45">
      <c r="A14" t="s">
        <v>50</v>
      </c>
      <c r="B14" s="22">
        <v>-2000</v>
      </c>
      <c r="C14" s="22">
        <v>2000</v>
      </c>
      <c r="D14" s="22">
        <v>13000</v>
      </c>
      <c r="E14" s="22">
        <v>12000</v>
      </c>
      <c r="F14" s="22">
        <v>21000</v>
      </c>
      <c r="G14" s="23">
        <v>0</v>
      </c>
      <c r="H14" s="22">
        <v>0</v>
      </c>
      <c r="I14" s="22">
        <v>0</v>
      </c>
      <c r="J14" s="22">
        <v>0</v>
      </c>
      <c r="K14" s="22">
        <v>0</v>
      </c>
      <c r="L14" s="22">
        <v>0</v>
      </c>
      <c r="M14" s="22">
        <v>0</v>
      </c>
      <c r="N14" s="22">
        <v>0</v>
      </c>
      <c r="O14" s="22">
        <v>0</v>
      </c>
      <c r="P14" s="22">
        <v>0</v>
      </c>
    </row>
    <row r="15" spans="1:19" ht="15.75" customHeight="1" x14ac:dyDescent="0.45">
      <c r="B15" s="2"/>
      <c r="C15" s="2"/>
      <c r="D15" s="2"/>
      <c r="E15" s="2"/>
      <c r="F15" s="2"/>
      <c r="G15" s="6"/>
    </row>
    <row r="16" spans="1:19" x14ac:dyDescent="0.45">
      <c r="A16" t="s">
        <v>48</v>
      </c>
      <c r="C16" s="2">
        <f>B14*(1+$B$4)^2</f>
        <v>-2172.7785800000001</v>
      </c>
      <c r="D16" s="2">
        <f t="shared" ref="D16:F16" si="0">C14*(1+$B$4)^2</f>
        <v>2172.7785800000001</v>
      </c>
      <c r="E16" s="2">
        <f t="shared" si="0"/>
        <v>14123.06077</v>
      </c>
      <c r="F16" s="2">
        <f t="shared" si="0"/>
        <v>13036.671480000001</v>
      </c>
      <c r="G16" s="6"/>
    </row>
    <row r="17" spans="1:17" x14ac:dyDescent="0.45">
      <c r="A17" t="s">
        <v>28</v>
      </c>
      <c r="C17" s="2"/>
      <c r="D17" s="2">
        <f>C16</f>
        <v>-2172.7785800000001</v>
      </c>
      <c r="E17" s="2">
        <f t="shared" ref="E17:F17" si="1">D16</f>
        <v>2172.7785800000001</v>
      </c>
      <c r="F17" s="2">
        <f t="shared" si="1"/>
        <v>14123.06077</v>
      </c>
      <c r="G17" s="6"/>
    </row>
    <row r="18" spans="1:17" x14ac:dyDescent="0.45">
      <c r="C18" s="2"/>
      <c r="D18" s="2"/>
      <c r="E18" s="2"/>
      <c r="G18" s="6"/>
    </row>
    <row r="19" spans="1:17" x14ac:dyDescent="0.45">
      <c r="A19" t="s">
        <v>0</v>
      </c>
      <c r="D19" s="2">
        <f>B14*(1+$B$4)^2</f>
        <v>-2172.7785800000001</v>
      </c>
      <c r="E19" s="2">
        <f>C14*(1+$B$4)^2</f>
        <v>2172.7785800000001</v>
      </c>
      <c r="F19" s="2">
        <f>D14*(1+$B$4)^2</f>
        <v>14123.06077</v>
      </c>
      <c r="G19" s="6"/>
    </row>
    <row r="20" spans="1:17" x14ac:dyDescent="0.45">
      <c r="G20" s="6"/>
    </row>
    <row r="21" spans="1:17" ht="28.5" x14ac:dyDescent="0.45">
      <c r="A21" s="66" t="s">
        <v>52</v>
      </c>
      <c r="E21" s="2">
        <f>D14*(1+$B$4)</f>
        <v>13549.9</v>
      </c>
      <c r="F21" s="2">
        <f>E14*(1+$B$4)</f>
        <v>12507.6</v>
      </c>
      <c r="G21" s="6"/>
    </row>
    <row r="23" spans="1:17" x14ac:dyDescent="0.45">
      <c r="A23" t="s">
        <v>66</v>
      </c>
      <c r="E23" s="9">
        <f>E21+E14</f>
        <v>25549.9</v>
      </c>
      <c r="F23" s="13">
        <f>F21+F14</f>
        <v>33507.599999999999</v>
      </c>
      <c r="G23" s="11">
        <f>F23*(1+$B$6)+G14-G24</f>
        <v>22110.899999999991</v>
      </c>
      <c r="H23" s="2">
        <f t="shared" ref="H23:P23" si="2">G23*(1+$B$5)+H14-H24</f>
        <v>0</v>
      </c>
      <c r="I23" s="2">
        <f t="shared" si="2"/>
        <v>0</v>
      </c>
      <c r="J23" s="2">
        <f t="shared" si="2"/>
        <v>0</v>
      </c>
      <c r="K23" s="2">
        <f t="shared" si="2"/>
        <v>0</v>
      </c>
      <c r="L23" s="2">
        <f t="shared" si="2"/>
        <v>0</v>
      </c>
      <c r="M23" s="2">
        <f t="shared" si="2"/>
        <v>0</v>
      </c>
      <c r="N23" s="2">
        <f t="shared" si="2"/>
        <v>0</v>
      </c>
      <c r="O23" s="2">
        <f t="shared" si="2"/>
        <v>0</v>
      </c>
      <c r="P23" s="2">
        <f t="shared" si="2"/>
        <v>0</v>
      </c>
    </row>
    <row r="24" spans="1:17" x14ac:dyDescent="0.45">
      <c r="A24" s="3" t="s">
        <v>51</v>
      </c>
      <c r="B24" s="3"/>
      <c r="C24" s="3"/>
      <c r="D24" s="3"/>
      <c r="E24" s="63"/>
      <c r="F24" s="63"/>
      <c r="G24" s="64">
        <f>E23*(1+$B$4)*(1+$B$6)-F19*(1+$B$6)</f>
        <v>13169.252040000003</v>
      </c>
      <c r="H24" s="64">
        <f>F23*(1+$B$6)*(1+$B$5)-G24*(1+$B$5)</f>
        <v>23441.976179999991</v>
      </c>
      <c r="I24" s="63">
        <f>G23*(1+$B$5)^2-H24*(1+$B$5)</f>
        <v>0</v>
      </c>
      <c r="J24" s="63">
        <f t="shared" ref="J24:P24" si="3">H23*(1+$B$5)^2-I24*(1+$B$5)</f>
        <v>0</v>
      </c>
      <c r="K24" s="63">
        <f t="shared" si="3"/>
        <v>0</v>
      </c>
      <c r="L24" s="63">
        <f t="shared" si="3"/>
        <v>0</v>
      </c>
      <c r="M24" s="63">
        <f t="shared" si="3"/>
        <v>0</v>
      </c>
      <c r="N24" s="63">
        <f t="shared" si="3"/>
        <v>0</v>
      </c>
      <c r="O24" s="63">
        <f t="shared" si="3"/>
        <v>0</v>
      </c>
      <c r="P24" s="63">
        <f t="shared" si="3"/>
        <v>0</v>
      </c>
    </row>
    <row r="25" spans="1:17" x14ac:dyDescent="0.45">
      <c r="E25" s="2"/>
      <c r="F25" s="2"/>
      <c r="G25" s="2"/>
      <c r="H25" s="2"/>
      <c r="I25" s="2"/>
      <c r="J25" s="2"/>
      <c r="K25" s="2"/>
      <c r="L25" s="2"/>
      <c r="M25" s="2"/>
      <c r="N25" s="2"/>
      <c r="O25" s="2"/>
      <c r="P25" s="2"/>
    </row>
    <row r="26" spans="1:17" x14ac:dyDescent="0.45">
      <c r="A26" t="s">
        <v>11</v>
      </c>
      <c r="D26" s="2">
        <f t="shared" ref="D26:E26" si="4">B14*(1+$B$4)^2</f>
        <v>-2172.7785800000001</v>
      </c>
      <c r="E26" s="2">
        <f t="shared" si="4"/>
        <v>2172.7785800000001</v>
      </c>
      <c r="F26" s="2">
        <f>D14*(1+$B$4)^2</f>
        <v>14123.06077</v>
      </c>
      <c r="G26" s="2">
        <f>E14*(1+$B$4)*(1+$B$6)</f>
        <v>13169.252039999999</v>
      </c>
      <c r="H26" s="2">
        <f>F14*(1+$B$6)*(1+$B$5)</f>
        <v>23441.976179999998</v>
      </c>
      <c r="I26" s="2"/>
    </row>
    <row r="27" spans="1:17" x14ac:dyDescent="0.45">
      <c r="D27" s="2"/>
      <c r="E27" s="2"/>
      <c r="F27" s="2"/>
      <c r="G27" s="2"/>
      <c r="H27" s="2"/>
      <c r="I27" s="2"/>
    </row>
    <row r="28" spans="1:17" x14ac:dyDescent="0.45">
      <c r="A28" s="3" t="s">
        <v>63</v>
      </c>
      <c r="L28" s="67"/>
    </row>
    <row r="29" spans="1:17" x14ac:dyDescent="0.45">
      <c r="A29" t="s">
        <v>69</v>
      </c>
      <c r="B29" s="68">
        <f>$B$4</f>
        <v>4.2299999999999997E-2</v>
      </c>
      <c r="C29" s="68">
        <f t="shared" ref="C29:F29" si="5">$B$4</f>
        <v>4.2299999999999997E-2</v>
      </c>
      <c r="D29" s="68">
        <f t="shared" si="5"/>
        <v>4.2299999999999997E-2</v>
      </c>
      <c r="E29" s="68">
        <f t="shared" si="5"/>
        <v>4.2299999999999997E-2</v>
      </c>
      <c r="F29" s="69">
        <f t="shared" si="5"/>
        <v>4.2299999999999997E-2</v>
      </c>
      <c r="G29" s="70">
        <f>B6</f>
        <v>5.2900000000000003E-2</v>
      </c>
      <c r="H29" s="67">
        <f t="shared" ref="H29:P29" si="6">$B$5</f>
        <v>6.0199999999999997E-2</v>
      </c>
      <c r="I29" s="67">
        <f t="shared" si="6"/>
        <v>6.0199999999999997E-2</v>
      </c>
      <c r="J29" s="67">
        <f t="shared" si="6"/>
        <v>6.0199999999999997E-2</v>
      </c>
      <c r="K29" s="67">
        <f t="shared" si="6"/>
        <v>6.0199999999999997E-2</v>
      </c>
      <c r="L29" s="67">
        <f t="shared" si="6"/>
        <v>6.0199999999999997E-2</v>
      </c>
      <c r="M29" s="67">
        <f t="shared" si="6"/>
        <v>6.0199999999999997E-2</v>
      </c>
      <c r="N29" s="67">
        <f t="shared" si="6"/>
        <v>6.0199999999999997E-2</v>
      </c>
      <c r="O29" s="67">
        <f t="shared" si="6"/>
        <v>6.0199999999999997E-2</v>
      </c>
      <c r="P29" s="67">
        <f t="shared" si="6"/>
        <v>6.0199999999999997E-2</v>
      </c>
      <c r="Q29" t="s">
        <v>59</v>
      </c>
    </row>
    <row r="30" spans="1:17" x14ac:dyDescent="0.45">
      <c r="A30" t="s">
        <v>60</v>
      </c>
      <c r="B30" s="74">
        <f>1/(1+B29)</f>
        <v>0.95941667466180558</v>
      </c>
      <c r="C30" s="75">
        <f>B30/(1+C29)</f>
        <v>0.9204803556191169</v>
      </c>
      <c r="D30" s="74">
        <f t="shared" ref="D30:K30" si="7">C30/(1+D29)</f>
        <v>0.88312420187960938</v>
      </c>
      <c r="E30" s="74">
        <f t="shared" si="7"/>
        <v>0.84728408508069597</v>
      </c>
      <c r="F30" s="74">
        <f t="shared" si="7"/>
        <v>0.81289847940199167</v>
      </c>
      <c r="G30" s="74">
        <f t="shared" si="7"/>
        <v>0.77205668097824265</v>
      </c>
      <c r="H30" s="74">
        <f t="shared" si="7"/>
        <v>0.72821795979838011</v>
      </c>
      <c r="I30" s="74">
        <f t="shared" si="7"/>
        <v>0.68686847745555568</v>
      </c>
      <c r="J30" s="74">
        <f t="shared" si="7"/>
        <v>0.64786689063908287</v>
      </c>
      <c r="K30" s="74">
        <f t="shared" si="7"/>
        <v>0.61107988175729377</v>
      </c>
      <c r="L30" s="74">
        <f t="shared" ref="L30" si="8">K30/(1+L29)</f>
        <v>0.57638170322325388</v>
      </c>
      <c r="M30" s="74">
        <f t="shared" ref="M30" si="9">L30/(1+M29)</f>
        <v>0.54365374761672691</v>
      </c>
      <c r="N30" s="74">
        <f t="shared" ref="N30" si="10">M30/(1+N29)</f>
        <v>0.51278414225309088</v>
      </c>
      <c r="O30" s="74">
        <f t="shared" ref="O30" si="11">N30/(1+O29)</f>
        <v>0.48366736677333605</v>
      </c>
      <c r="P30" s="74">
        <f t="shared" ref="P30" si="12">O30/(1+P29)</f>
        <v>0.45620389244796833</v>
      </c>
      <c r="Q30" s="72"/>
    </row>
    <row r="31" spans="1:17" x14ac:dyDescent="0.45">
      <c r="A31" t="s">
        <v>64</v>
      </c>
      <c r="B31" s="71">
        <f>B14*B30</f>
        <v>-1918.8333493236112</v>
      </c>
      <c r="C31" s="71">
        <f t="shared" ref="C31:G31" si="13">C14*C30</f>
        <v>1840.9607112382339</v>
      </c>
      <c r="D31" s="71">
        <f t="shared" si="13"/>
        <v>11480.614624434922</v>
      </c>
      <c r="E31" s="71">
        <f t="shared" si="13"/>
        <v>10167.409020968351</v>
      </c>
      <c r="F31" s="71">
        <f t="shared" si="13"/>
        <v>17070.868067441825</v>
      </c>
      <c r="G31" s="71">
        <f t="shared" si="13"/>
        <v>0</v>
      </c>
      <c r="H31" s="71">
        <f t="shared" ref="H31" si="14">H14*H30</f>
        <v>0</v>
      </c>
      <c r="I31" s="71">
        <f t="shared" ref="I31" si="15">I14*I30</f>
        <v>0</v>
      </c>
      <c r="J31" s="71">
        <f t="shared" ref="J31" si="16">J14*J30</f>
        <v>0</v>
      </c>
      <c r="K31" s="71">
        <f t="shared" ref="K31:L31" si="17">K14*K30</f>
        <v>0</v>
      </c>
      <c r="L31" s="71">
        <f t="shared" si="17"/>
        <v>0</v>
      </c>
      <c r="M31" s="71">
        <f t="shared" ref="M31" si="18">M14*M30</f>
        <v>0</v>
      </c>
      <c r="N31" s="71">
        <f t="shared" ref="N31" si="19">N14*N30</f>
        <v>0</v>
      </c>
      <c r="O31" s="71">
        <f t="shared" ref="O31" si="20">O14*O30</f>
        <v>0</v>
      </c>
      <c r="P31" s="71">
        <f t="shared" ref="P31" si="21">P14*P30</f>
        <v>0</v>
      </c>
      <c r="Q31" s="76">
        <f>SUM(B31:P31)</f>
        <v>38641.019074759723</v>
      </c>
    </row>
    <row r="32" spans="1:17" x14ac:dyDescent="0.45">
      <c r="A32" t="s">
        <v>61</v>
      </c>
      <c r="B32" s="71">
        <f>B19*B30</f>
        <v>0</v>
      </c>
      <c r="C32" s="71">
        <f t="shared" ref="C32:F32" si="22">C19*C30</f>
        <v>0</v>
      </c>
      <c r="D32" s="71">
        <f t="shared" si="22"/>
        <v>-1918.8333493236112</v>
      </c>
      <c r="E32" s="71">
        <f t="shared" si="22"/>
        <v>1840.9607112382339</v>
      </c>
      <c r="F32" s="71">
        <f t="shared" si="22"/>
        <v>11480.614624434922</v>
      </c>
      <c r="G32" s="76">
        <f>G24*G30</f>
        <v>10167.409020968353</v>
      </c>
      <c r="H32" s="71">
        <f t="shared" ref="H32:P32" si="23">H24*H30</f>
        <v>17070.868067441817</v>
      </c>
      <c r="I32" s="71">
        <f t="shared" si="23"/>
        <v>0</v>
      </c>
      <c r="J32" s="71">
        <f t="shared" si="23"/>
        <v>0</v>
      </c>
      <c r="K32" s="71">
        <f t="shared" si="23"/>
        <v>0</v>
      </c>
      <c r="L32" s="71">
        <f t="shared" si="23"/>
        <v>0</v>
      </c>
      <c r="M32" s="71">
        <f t="shared" si="23"/>
        <v>0</v>
      </c>
      <c r="N32" s="71">
        <f t="shared" si="23"/>
        <v>0</v>
      </c>
      <c r="O32" s="71">
        <f t="shared" si="23"/>
        <v>0</v>
      </c>
      <c r="P32" s="71">
        <f t="shared" si="23"/>
        <v>0</v>
      </c>
      <c r="Q32" s="76">
        <f>SUM(B32:P32)</f>
        <v>38641.019074759715</v>
      </c>
    </row>
    <row r="33" spans="1:19" x14ac:dyDescent="0.45">
      <c r="A33" t="s">
        <v>62</v>
      </c>
      <c r="B33" s="71"/>
      <c r="C33" s="71"/>
      <c r="D33" s="71"/>
      <c r="E33" s="71"/>
      <c r="F33" s="71"/>
      <c r="G33" s="71"/>
      <c r="H33" s="71"/>
      <c r="I33" s="71"/>
      <c r="J33" s="71"/>
      <c r="K33" s="71"/>
      <c r="L33" s="71"/>
      <c r="M33" s="71"/>
      <c r="N33" s="71"/>
      <c r="O33" s="71"/>
      <c r="P33" s="71"/>
      <c r="Q33" s="73">
        <v>0</v>
      </c>
    </row>
    <row r="34" spans="1:19" x14ac:dyDescent="0.45">
      <c r="G34" s="2"/>
      <c r="H34" s="2"/>
    </row>
    <row r="35" spans="1:19" ht="33" customHeight="1" x14ac:dyDescent="0.7">
      <c r="A35" s="17" t="s">
        <v>46</v>
      </c>
      <c r="B35" s="18"/>
      <c r="C35" s="18"/>
      <c r="D35" s="18"/>
      <c r="E35" s="18"/>
      <c r="F35" s="18"/>
      <c r="G35" s="18"/>
      <c r="H35" s="18"/>
      <c r="I35" s="18"/>
      <c r="J35" s="18"/>
      <c r="K35" s="18"/>
      <c r="L35" s="18"/>
      <c r="M35" s="18"/>
      <c r="N35" s="18"/>
      <c r="O35" s="18"/>
      <c r="P35" s="18"/>
      <c r="Q35" s="18"/>
      <c r="R35" s="18"/>
      <c r="S35" s="18"/>
    </row>
    <row r="36" spans="1:19" x14ac:dyDescent="0.45">
      <c r="A36" s="65" t="s">
        <v>27</v>
      </c>
      <c r="B36" s="20"/>
      <c r="C36" s="21"/>
      <c r="D36" s="21"/>
      <c r="E36" s="21"/>
      <c r="F36" s="21"/>
      <c r="G36" s="21"/>
      <c r="H36" s="21"/>
      <c r="I36" s="21"/>
      <c r="J36" s="21"/>
      <c r="K36" s="21"/>
      <c r="L36" s="21"/>
      <c r="M36" s="21"/>
      <c r="N36" s="21"/>
      <c r="O36" s="21"/>
      <c r="P36" s="21"/>
      <c r="Q36" s="21"/>
      <c r="R36" s="21"/>
      <c r="S36" s="21"/>
    </row>
    <row r="37" spans="1:19" x14ac:dyDescent="0.45">
      <c r="A37" s="65" t="s">
        <v>70</v>
      </c>
      <c r="B37" s="20"/>
      <c r="C37" s="21"/>
      <c r="D37" s="21"/>
      <c r="E37" s="21"/>
      <c r="F37" s="21"/>
      <c r="G37" s="21"/>
      <c r="H37" s="21"/>
      <c r="I37" s="21"/>
      <c r="J37" s="21"/>
      <c r="K37" s="21"/>
      <c r="L37" s="21"/>
      <c r="M37" s="21"/>
      <c r="N37" s="21"/>
      <c r="O37" s="21"/>
      <c r="P37" s="21"/>
      <c r="Q37" s="21"/>
      <c r="R37" s="21"/>
      <c r="S37" s="21"/>
    </row>
    <row r="38" spans="1:19" x14ac:dyDescent="0.45">
      <c r="A38" s="65" t="s">
        <v>44</v>
      </c>
      <c r="B38" s="20"/>
      <c r="C38" s="21"/>
      <c r="D38" s="21"/>
      <c r="E38" s="21"/>
      <c r="F38" s="21"/>
      <c r="G38" s="21"/>
      <c r="H38" s="21"/>
      <c r="I38" s="21"/>
      <c r="J38" s="21"/>
      <c r="K38" s="21"/>
      <c r="L38" s="21"/>
      <c r="M38" s="21"/>
      <c r="N38" s="21"/>
      <c r="O38" s="21"/>
      <c r="P38" s="21"/>
      <c r="Q38" s="21"/>
      <c r="R38" s="21"/>
      <c r="S38" s="21"/>
    </row>
    <row r="40" spans="1:19" x14ac:dyDescent="0.45">
      <c r="B40" s="3">
        <v>2021</v>
      </c>
      <c r="C40" s="3">
        <v>2022</v>
      </c>
      <c r="D40" s="3">
        <v>2023</v>
      </c>
      <c r="E40" s="3">
        <v>2024</v>
      </c>
      <c r="F40" s="3">
        <v>2025</v>
      </c>
      <c r="G40" s="5">
        <v>2026</v>
      </c>
      <c r="H40" s="3">
        <v>2027</v>
      </c>
      <c r="I40" s="3">
        <v>2028</v>
      </c>
      <c r="J40" s="3">
        <v>2029</v>
      </c>
      <c r="K40" s="3">
        <v>2030</v>
      </c>
      <c r="L40" s="3">
        <v>2031</v>
      </c>
      <c r="M40" s="3">
        <v>2032</v>
      </c>
      <c r="N40" s="3">
        <v>2033</v>
      </c>
      <c r="O40" s="3">
        <v>2034</v>
      </c>
      <c r="P40" s="3">
        <v>2035</v>
      </c>
    </row>
    <row r="42" spans="1:19" ht="28.5" x14ac:dyDescent="0.45">
      <c r="A42" s="66" t="s">
        <v>53</v>
      </c>
      <c r="E42" s="2">
        <f>D14*(1+$B$6)</f>
        <v>13687.699999999999</v>
      </c>
      <c r="F42" s="2">
        <f>E14*(1+$B$6)</f>
        <v>12634.8</v>
      </c>
      <c r="G42" s="6"/>
    </row>
    <row r="43" spans="1:19" x14ac:dyDescent="0.45">
      <c r="A43" t="s">
        <v>49</v>
      </c>
      <c r="E43" s="9">
        <f>E42+E14</f>
        <v>25687.699999999997</v>
      </c>
      <c r="F43" s="9">
        <f>F42+F14</f>
        <v>33634.800000000003</v>
      </c>
      <c r="G43" s="12">
        <f>F43*(1+$B$5)+G14-G49</f>
        <v>22339.136009074009</v>
      </c>
      <c r="H43" s="2">
        <f>G43*(1+$B$5)+H14-H49</f>
        <v>260.3151892080059</v>
      </c>
      <c r="I43" s="2">
        <f t="shared" ref="I43:P43" si="24">H43*(1+$B$5)+I14-I49</f>
        <v>2.6716406864579767E-12</v>
      </c>
      <c r="J43" s="2">
        <f t="shared" si="24"/>
        <v>4.714593160315415E-14</v>
      </c>
      <c r="K43" s="2">
        <f t="shared" si="24"/>
        <v>0</v>
      </c>
      <c r="L43" s="2">
        <f t="shared" si="24"/>
        <v>0</v>
      </c>
      <c r="M43" s="2">
        <f t="shared" si="24"/>
        <v>0</v>
      </c>
      <c r="N43" s="2">
        <f t="shared" si="24"/>
        <v>0</v>
      </c>
      <c r="O43" s="2">
        <f t="shared" si="24"/>
        <v>0</v>
      </c>
      <c r="P43" s="2">
        <f t="shared" si="24"/>
        <v>0</v>
      </c>
    </row>
    <row r="44" spans="1:19" x14ac:dyDescent="0.45">
      <c r="G44" s="6"/>
    </row>
    <row r="45" spans="1:19" x14ac:dyDescent="0.45">
      <c r="A45" t="s">
        <v>29</v>
      </c>
      <c r="G45" s="59">
        <f>E43</f>
        <v>25687.699999999997</v>
      </c>
      <c r="H45" s="9">
        <f t="shared" ref="H45:P45" si="25">F43</f>
        <v>33634.800000000003</v>
      </c>
      <c r="I45" s="9">
        <f t="shared" si="25"/>
        <v>22339.136009074009</v>
      </c>
      <c r="J45" s="9">
        <f t="shared" si="25"/>
        <v>260.3151892080059</v>
      </c>
      <c r="K45" s="9">
        <f t="shared" si="25"/>
        <v>2.6716406864579767E-12</v>
      </c>
      <c r="L45" s="9">
        <f t="shared" si="25"/>
        <v>4.714593160315415E-14</v>
      </c>
      <c r="M45" s="9">
        <f t="shared" si="25"/>
        <v>0</v>
      </c>
      <c r="N45" s="9">
        <f t="shared" si="25"/>
        <v>0</v>
      </c>
      <c r="O45" s="9">
        <f t="shared" si="25"/>
        <v>0</v>
      </c>
      <c r="P45" s="9">
        <f t="shared" si="25"/>
        <v>0</v>
      </c>
    </row>
    <row r="46" spans="1:19" x14ac:dyDescent="0.45">
      <c r="A46" t="s">
        <v>30</v>
      </c>
      <c r="G46" s="59">
        <f>MIN(G45,0)</f>
        <v>0</v>
      </c>
      <c r="H46" s="9">
        <f t="shared" ref="H46:P46" si="26">MIN(H45,0)</f>
        <v>0</v>
      </c>
      <c r="I46" s="9">
        <f t="shared" si="26"/>
        <v>0</v>
      </c>
      <c r="J46" s="9">
        <f t="shared" si="26"/>
        <v>0</v>
      </c>
      <c r="K46" s="9">
        <f t="shared" si="26"/>
        <v>0</v>
      </c>
      <c r="L46" s="9">
        <f t="shared" si="26"/>
        <v>0</v>
      </c>
      <c r="M46" s="9">
        <f t="shared" si="26"/>
        <v>0</v>
      </c>
      <c r="N46" s="9">
        <f t="shared" si="26"/>
        <v>0</v>
      </c>
      <c r="O46" s="9">
        <f t="shared" si="26"/>
        <v>0</v>
      </c>
      <c r="P46" s="9">
        <f t="shared" si="26"/>
        <v>0</v>
      </c>
    </row>
    <row r="47" spans="1:19" x14ac:dyDescent="0.45">
      <c r="A47" t="s">
        <v>31</v>
      </c>
      <c r="G47" s="59">
        <f>MAX(G45,0)</f>
        <v>25687.699999999997</v>
      </c>
      <c r="H47" s="9">
        <f t="shared" ref="H47:P47" si="27">MAX(H45,0)</f>
        <v>33634.800000000003</v>
      </c>
      <c r="I47" s="9">
        <f t="shared" si="27"/>
        <v>22339.136009074009</v>
      </c>
      <c r="J47" s="9">
        <f t="shared" si="27"/>
        <v>260.3151892080059</v>
      </c>
      <c r="K47" s="9">
        <f t="shared" si="27"/>
        <v>2.6716406864579767E-12</v>
      </c>
      <c r="L47" s="9">
        <f t="shared" si="27"/>
        <v>4.714593160315415E-14</v>
      </c>
      <c r="M47" s="9">
        <f t="shared" si="27"/>
        <v>0</v>
      </c>
      <c r="N47" s="9">
        <f t="shared" si="27"/>
        <v>0</v>
      </c>
      <c r="O47" s="9">
        <f t="shared" si="27"/>
        <v>0</v>
      </c>
      <c r="P47" s="9">
        <f t="shared" si="27"/>
        <v>0</v>
      </c>
    </row>
    <row r="48" spans="1:19" x14ac:dyDescent="0.45">
      <c r="A48" t="s">
        <v>32</v>
      </c>
      <c r="G48" s="59">
        <f>E43*(1+$B$4)*(1+$B$6)-F19*(1+$B$6)</f>
        <v>13320.478950925997</v>
      </c>
      <c r="H48" s="60">
        <f>F43*(1+$B$6)*(1+$B$5)-G49*(1+$B$5)</f>
        <v>23423.63680761226</v>
      </c>
      <c r="I48" s="60">
        <f>G43*(1+$B$5)^2-H49*(1+$B$5)</f>
        <v>275.98616359832522</v>
      </c>
      <c r="J48" s="9">
        <f t="shared" ref="J48:P48" si="28">H43*(1+$B$5)^2-I49*(1+$B$5)</f>
        <v>2.7853275241795927E-12</v>
      </c>
      <c r="K48" s="9">
        <f t="shared" si="28"/>
        <v>4.9984116685664062E-14</v>
      </c>
      <c r="L48" s="9">
        <f t="shared" si="28"/>
        <v>0</v>
      </c>
      <c r="M48" s="9">
        <f t="shared" si="28"/>
        <v>0</v>
      </c>
      <c r="N48" s="9">
        <f t="shared" si="28"/>
        <v>0</v>
      </c>
      <c r="O48" s="9">
        <f t="shared" si="28"/>
        <v>0</v>
      </c>
      <c r="P48" s="9">
        <f t="shared" si="28"/>
        <v>0</v>
      </c>
    </row>
    <row r="49" spans="1:19" x14ac:dyDescent="0.45">
      <c r="A49" s="3" t="s">
        <v>51</v>
      </c>
      <c r="G49" s="61">
        <f>IF(G48&gt;0,MIN(G48,G47),MAX(G48,G46))</f>
        <v>13320.478950925997</v>
      </c>
      <c r="H49" s="62">
        <f t="shared" ref="H49:P49" si="29">IF(H48&gt;0,MIN(H48,H47),MAX(H48,H46))</f>
        <v>23423.63680761226</v>
      </c>
      <c r="I49" s="62">
        <f t="shared" si="29"/>
        <v>275.98616359832522</v>
      </c>
      <c r="J49" s="62">
        <f t="shared" si="29"/>
        <v>2.7853275241795927E-12</v>
      </c>
      <c r="K49" s="62">
        <f t="shared" si="29"/>
        <v>4.9984116685664062E-14</v>
      </c>
      <c r="L49" s="62">
        <f t="shared" si="29"/>
        <v>0</v>
      </c>
      <c r="M49" s="62">
        <f t="shared" si="29"/>
        <v>0</v>
      </c>
      <c r="N49" s="62">
        <f t="shared" si="29"/>
        <v>0</v>
      </c>
      <c r="O49" s="62">
        <f t="shared" si="29"/>
        <v>0</v>
      </c>
      <c r="P49" s="62">
        <f t="shared" si="29"/>
        <v>0</v>
      </c>
    </row>
    <row r="51" spans="1:19" x14ac:dyDescent="0.45">
      <c r="A51" t="s">
        <v>56</v>
      </c>
    </row>
    <row r="53" spans="1:19" ht="23.25" x14ac:dyDescent="0.7">
      <c r="A53" s="17" t="s">
        <v>34</v>
      </c>
      <c r="B53" s="18"/>
      <c r="C53" s="18"/>
      <c r="D53" s="18"/>
      <c r="E53" s="18"/>
      <c r="F53" s="18"/>
      <c r="G53" s="18"/>
      <c r="H53" s="18"/>
      <c r="I53" s="18"/>
      <c r="J53" s="18"/>
      <c r="K53" s="18"/>
      <c r="L53" s="18"/>
      <c r="M53" s="18"/>
      <c r="N53" s="18"/>
      <c r="O53" s="18"/>
      <c r="P53" s="18"/>
      <c r="Q53" s="18"/>
      <c r="R53" s="18"/>
      <c r="S53" s="18"/>
    </row>
    <row r="54" spans="1:19" x14ac:dyDescent="0.45">
      <c r="A54" s="65" t="s">
        <v>33</v>
      </c>
      <c r="B54" s="20"/>
      <c r="C54" s="21"/>
      <c r="D54" s="21"/>
      <c r="E54" s="21"/>
      <c r="F54" s="21"/>
      <c r="G54" s="21"/>
      <c r="H54" s="21"/>
      <c r="I54" s="21"/>
      <c r="J54" s="21"/>
      <c r="K54" s="21"/>
      <c r="L54" s="21"/>
      <c r="M54" s="21"/>
      <c r="N54" s="21"/>
      <c r="O54" s="21"/>
      <c r="P54" s="21"/>
      <c r="Q54" s="21"/>
      <c r="R54" s="21"/>
      <c r="S54" s="21"/>
    </row>
    <row r="56" spans="1:19" ht="57" x14ac:dyDescent="0.45">
      <c r="A56" s="8" t="s">
        <v>14</v>
      </c>
      <c r="B56" s="14" t="s">
        <v>15</v>
      </c>
      <c r="C56" s="83" t="s">
        <v>35</v>
      </c>
      <c r="D56" s="84"/>
      <c r="E56" s="85"/>
    </row>
    <row r="57" spans="1:19" x14ac:dyDescent="0.45">
      <c r="A57" s="6" t="s">
        <v>2</v>
      </c>
      <c r="B57" s="15">
        <v>2023</v>
      </c>
      <c r="C57" s="77" t="s">
        <v>10</v>
      </c>
      <c r="D57" s="78"/>
      <c r="E57" s="79"/>
    </row>
    <row r="58" spans="1:19" x14ac:dyDescent="0.45">
      <c r="A58" s="6" t="s">
        <v>3</v>
      </c>
      <c r="B58" s="15">
        <v>2024</v>
      </c>
      <c r="C58" s="77" t="s">
        <v>10</v>
      </c>
      <c r="D58" s="78"/>
      <c r="E58" s="79"/>
    </row>
    <row r="59" spans="1:19" x14ac:dyDescent="0.45">
      <c r="A59" s="6" t="s">
        <v>4</v>
      </c>
      <c r="B59" s="15">
        <v>2025</v>
      </c>
      <c r="C59" s="77" t="s">
        <v>10</v>
      </c>
      <c r="D59" s="78"/>
      <c r="E59" s="79"/>
    </row>
    <row r="60" spans="1:19" x14ac:dyDescent="0.45">
      <c r="A60" s="6" t="s">
        <v>5</v>
      </c>
      <c r="B60" s="15">
        <v>2026</v>
      </c>
      <c r="C60" s="77" t="s">
        <v>57</v>
      </c>
      <c r="D60" s="78"/>
      <c r="E60" s="79"/>
    </row>
    <row r="61" spans="1:19" x14ac:dyDescent="0.45">
      <c r="A61" s="6" t="s">
        <v>6</v>
      </c>
      <c r="B61" s="15">
        <v>2027</v>
      </c>
      <c r="C61" s="77" t="s">
        <v>72</v>
      </c>
      <c r="D61" s="78"/>
      <c r="E61" s="79"/>
    </row>
    <row r="62" spans="1:19" x14ac:dyDescent="0.45">
      <c r="A62" s="6" t="s">
        <v>7</v>
      </c>
      <c r="B62" s="15">
        <v>2028</v>
      </c>
      <c r="C62" s="77" t="s">
        <v>12</v>
      </c>
      <c r="D62" s="78"/>
      <c r="E62" s="79"/>
    </row>
    <row r="63" spans="1:19" x14ac:dyDescent="0.45">
      <c r="A63" s="6" t="s">
        <v>8</v>
      </c>
      <c r="B63" s="15">
        <v>2029</v>
      </c>
      <c r="C63" s="77" t="s">
        <v>12</v>
      </c>
      <c r="D63" s="78"/>
      <c r="E63" s="79"/>
    </row>
    <row r="64" spans="1:19" x14ac:dyDescent="0.45">
      <c r="A64" s="7" t="s">
        <v>9</v>
      </c>
      <c r="B64" s="16">
        <v>2030</v>
      </c>
      <c r="C64" s="80" t="s">
        <v>12</v>
      </c>
      <c r="D64" s="81"/>
      <c r="E64" s="82"/>
    </row>
  </sheetData>
  <mergeCells count="9">
    <mergeCell ref="C62:E62"/>
    <mergeCell ref="C63:E63"/>
    <mergeCell ref="C64:E64"/>
    <mergeCell ref="C56:E56"/>
    <mergeCell ref="C57:E57"/>
    <mergeCell ref="C58:E58"/>
    <mergeCell ref="C59:E59"/>
    <mergeCell ref="C60:E60"/>
    <mergeCell ref="C61:E61"/>
  </mergeCells>
  <pageMargins left="0.7" right="0.7" top="0.75" bottom="0.75" header="0.3" footer="0.3"/>
  <pageSetup paperSize="9" orientation="portrait" r:id="rId1"/>
  <drawing r:id="rId2"/>
</worksheet>
</file>

<file path=customXML/item.xml><?xml version="1.0" encoding="utf-8"?>
<properties xmlns="http://www.imanage.com/work/xmlschema">
  <documentid>iManage!5299674.2</documentid>
  <senderid>KIRSTYB</senderid>
  <senderemail>KIRSTY.BENNETT@COMCOM.GOVT.NZ</senderemail>
  <lastmodified>2024-10-18T14:22:01.0000000+13:00</lastmodified>
  <database>iManage</database>
</properties>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CoverSheet</vt:lpstr>
      <vt:lpstr>Description</vt:lpstr>
      <vt:lpstr>Weighted WACC</vt:lpstr>
      <vt:lpstr>ExampleModel</vt:lpstr>
      <vt:lpstr>CoverSheet!Print_Area</vt:lpstr>
      <vt:lpstr>Description!Print_Area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2024-10-18T01:19:09Z</dcterms:created>
  <dcterms:modified xsi:type="dcterms:W3CDTF">2024-10-18T01:22:01Z</dcterms:modified>
</cp:coreProperties>
</file>