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codeName="ThisWorkbook"/>
  <xr:revisionPtr revIDLastSave="0" documentId="13_ncr:1_{4425A027-F15B-4DB2-8831-B22E1467F595}" xr6:coauthVersionLast="45" xr6:coauthVersionMax="45" xr10:uidLastSave="{00000000-0000-0000-0000-000000000000}"/>
  <bookViews>
    <workbookView xWindow="28680" yWindow="-120" windowWidth="29040" windowHeight="15840" tabRatio="909" xr2:uid="{00000000-000D-0000-FFFF-FFFF00000000}"/>
  </bookViews>
  <sheets>
    <sheet name="Cover Sheet" sheetId="9" r:id="rId1"/>
    <sheet name="Description" sheetId="10" r:id="rId2"/>
    <sheet name="Inputs" sheetId="84" r:id="rId3"/>
    <sheet name="DCF" sheetId="85" r:id="rId4"/>
  </sheets>
  <externalReferences>
    <externalReference r:id="rId5"/>
  </externalReferences>
  <definedNames>
    <definedName name="_xlnm.Print_Area" localSheetId="0">'Cover Sheet'!$A$1:$D$22</definedName>
    <definedName name="_xlnm.Print_Area" localSheetId="3">DCF!$A$1:$Q$104</definedName>
    <definedName name="_xlnm.Print_Area" localSheetId="1">Description!$A$1:$F$11</definedName>
    <definedName name="_xlnm.Print_Area" localSheetId="2">Inputs!$A$1:$Q$76</definedName>
    <definedName name="WACC">'[1]EDB data'!$B$9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85" l="1"/>
  <c r="F40" i="85"/>
  <c r="G40" i="85"/>
  <c r="H40" i="85"/>
  <c r="I40" i="85"/>
  <c r="J40" i="85"/>
  <c r="K40" i="85"/>
  <c r="L40" i="85"/>
  <c r="M40" i="85"/>
  <c r="N40" i="85"/>
  <c r="D40" i="85"/>
  <c r="E15" i="85"/>
  <c r="F15" i="85"/>
  <c r="G15" i="85"/>
  <c r="H15" i="85"/>
  <c r="I15" i="85"/>
  <c r="J15" i="85"/>
  <c r="K15" i="85"/>
  <c r="L15" i="85"/>
  <c r="M15" i="85"/>
  <c r="N15" i="85"/>
  <c r="D15" i="85"/>
  <c r="E91" i="85" l="1"/>
  <c r="F91" i="85"/>
  <c r="G91" i="85"/>
  <c r="H91" i="85"/>
  <c r="I91" i="85"/>
  <c r="J91" i="85"/>
  <c r="K91" i="85"/>
  <c r="L91" i="85"/>
  <c r="M91" i="85"/>
  <c r="N91" i="85"/>
  <c r="D91" i="85"/>
  <c r="D66" i="85" l="1"/>
  <c r="E66" i="85"/>
  <c r="F66" i="85"/>
  <c r="G66" i="85"/>
  <c r="H66" i="85"/>
  <c r="I66" i="85"/>
  <c r="J66" i="85"/>
  <c r="K66" i="85"/>
  <c r="L66" i="85"/>
  <c r="M66" i="85"/>
  <c r="N66" i="85"/>
  <c r="I44" i="85" l="1"/>
  <c r="E44" i="85"/>
  <c r="F44" i="85"/>
  <c r="G44" i="85"/>
  <c r="C40" i="84"/>
  <c r="C43" i="84" s="1"/>
  <c r="C48" i="84" s="1"/>
  <c r="C66" i="84" s="1"/>
  <c r="C37" i="84"/>
  <c r="C34" i="84"/>
  <c r="C47" i="85" l="1"/>
  <c r="D48" i="85" s="1"/>
  <c r="C44" i="85"/>
  <c r="D15" i="84"/>
  <c r="C40" i="85"/>
  <c r="C15" i="85"/>
  <c r="C5" i="84"/>
  <c r="C28" i="84"/>
  <c r="C64" i="84"/>
  <c r="C65" i="84" s="1"/>
  <c r="C63" i="84"/>
  <c r="D52" i="84"/>
  <c r="C54" i="85" l="1"/>
  <c r="C22" i="85" s="1"/>
  <c r="D55" i="85" l="1"/>
  <c r="E94" i="85" l="1"/>
  <c r="F94" i="85"/>
  <c r="G94" i="85"/>
  <c r="H94" i="85"/>
  <c r="I94" i="85"/>
  <c r="J94" i="85"/>
  <c r="K94" i="85"/>
  <c r="L94" i="85"/>
  <c r="M94" i="85"/>
  <c r="N94" i="85"/>
  <c r="D94" i="85"/>
  <c r="E93" i="85"/>
  <c r="F93" i="85"/>
  <c r="G93" i="85"/>
  <c r="H93" i="85"/>
  <c r="I93" i="85"/>
  <c r="J93" i="85"/>
  <c r="K93" i="85"/>
  <c r="L93" i="85"/>
  <c r="M93" i="85"/>
  <c r="N93" i="85"/>
  <c r="D93" i="85"/>
  <c r="E65" i="85"/>
  <c r="F65" i="85"/>
  <c r="G65" i="85"/>
  <c r="H65" i="85"/>
  <c r="I65" i="85"/>
  <c r="J65" i="85"/>
  <c r="K65" i="85"/>
  <c r="L65" i="85"/>
  <c r="M65" i="85"/>
  <c r="N65" i="85"/>
  <c r="D65" i="85"/>
  <c r="E49" i="85"/>
  <c r="E79" i="85" s="1"/>
  <c r="F49" i="85"/>
  <c r="F79" i="85" s="1"/>
  <c r="G49" i="85"/>
  <c r="H49" i="85"/>
  <c r="I49" i="85"/>
  <c r="I79" i="85" s="1"/>
  <c r="J49" i="85"/>
  <c r="J79" i="85" s="1"/>
  <c r="K49" i="85"/>
  <c r="L49" i="85"/>
  <c r="L79" i="85" s="1"/>
  <c r="M49" i="85"/>
  <c r="M79" i="85" s="1"/>
  <c r="N49" i="85"/>
  <c r="N79" i="85" s="1"/>
  <c r="D49" i="85"/>
  <c r="H44" i="85"/>
  <c r="J44" i="85"/>
  <c r="K44" i="85"/>
  <c r="L44" i="85"/>
  <c r="M44" i="85"/>
  <c r="N44" i="85"/>
  <c r="D44" i="85"/>
  <c r="D43" i="85"/>
  <c r="E42" i="85"/>
  <c r="F42" i="85"/>
  <c r="G42" i="85"/>
  <c r="H42" i="85"/>
  <c r="I42" i="85"/>
  <c r="J42" i="85"/>
  <c r="K42" i="85"/>
  <c r="L42" i="85"/>
  <c r="M42" i="85"/>
  <c r="N42" i="85"/>
  <c r="D42" i="85"/>
  <c r="E28" i="85"/>
  <c r="F28" i="85"/>
  <c r="G28" i="85"/>
  <c r="H28" i="85"/>
  <c r="I28" i="85"/>
  <c r="J28" i="85"/>
  <c r="K28" i="85"/>
  <c r="L28" i="85"/>
  <c r="M28" i="85"/>
  <c r="N28" i="85"/>
  <c r="D28" i="85"/>
  <c r="E17" i="85"/>
  <c r="F17" i="85"/>
  <c r="G17" i="85"/>
  <c r="H17" i="85"/>
  <c r="I17" i="85"/>
  <c r="J17" i="85"/>
  <c r="K17" i="85"/>
  <c r="L17" i="85"/>
  <c r="M17" i="85"/>
  <c r="N17" i="85"/>
  <c r="D17" i="85"/>
  <c r="D78" i="85"/>
  <c r="M70" i="85"/>
  <c r="I70" i="85"/>
  <c r="E70" i="85"/>
  <c r="H79" i="85"/>
  <c r="D56" i="85" l="1"/>
  <c r="D67" i="85"/>
  <c r="E64" i="85" s="1"/>
  <c r="E67" i="85" s="1"/>
  <c r="F64" i="85" s="1"/>
  <c r="F67" i="85" s="1"/>
  <c r="G64" i="85" s="1"/>
  <c r="G67" i="85" s="1"/>
  <c r="H64" i="85" s="1"/>
  <c r="H67" i="85" s="1"/>
  <c r="I64" i="85" s="1"/>
  <c r="I67" i="85" s="1"/>
  <c r="J64" i="85" s="1"/>
  <c r="J67" i="85" s="1"/>
  <c r="K64" i="85" s="1"/>
  <c r="K67" i="85" s="1"/>
  <c r="L64" i="85" s="1"/>
  <c r="L67" i="85" s="1"/>
  <c r="M64" i="85" s="1"/>
  <c r="M67" i="85" s="1"/>
  <c r="N64" i="85" s="1"/>
  <c r="N67" i="85" s="1"/>
  <c r="D70" i="85"/>
  <c r="J70" i="85"/>
  <c r="D80" i="85"/>
  <c r="D86" i="85" s="1"/>
  <c r="D95" i="85" s="1"/>
  <c r="D96" i="85" s="1"/>
  <c r="D97" i="85" s="1"/>
  <c r="F70" i="85"/>
  <c r="N70" i="85"/>
  <c r="D50" i="85"/>
  <c r="L70" i="85"/>
  <c r="H70" i="85"/>
  <c r="D26" i="85"/>
  <c r="D84" i="85"/>
  <c r="D79" i="85"/>
  <c r="G70" i="85"/>
  <c r="K70" i="85"/>
  <c r="G79" i="85"/>
  <c r="K79" i="85"/>
  <c r="D51" i="85" l="1"/>
  <c r="D59" i="85" s="1"/>
  <c r="D58" i="85" s="1"/>
  <c r="D57" i="85"/>
  <c r="D98" i="85"/>
  <c r="D29" i="85" s="1"/>
  <c r="D102" i="85"/>
  <c r="E48" i="85"/>
  <c r="E50" i="85" s="1"/>
  <c r="N74" i="85"/>
  <c r="D85" i="85"/>
  <c r="D81" i="85"/>
  <c r="D60" i="85" l="1"/>
  <c r="D103" i="85"/>
  <c r="D104" i="85" s="1"/>
  <c r="E101" i="85" s="1"/>
  <c r="D27" i="85"/>
  <c r="D30" i="85" s="1"/>
  <c r="E78" i="85"/>
  <c r="E80" i="85" s="1"/>
  <c r="D87" i="85"/>
  <c r="D88" i="85" s="1"/>
  <c r="E84" i="85" s="1"/>
  <c r="E51" i="85"/>
  <c r="E59" i="85" l="1"/>
  <c r="F48" i="85"/>
  <c r="F50" i="85" s="1"/>
  <c r="E81" i="85" l="1"/>
  <c r="F51" i="85" l="1"/>
  <c r="F78" i="85"/>
  <c r="F80" i="85" s="1"/>
  <c r="F81" i="85" l="1"/>
  <c r="F59" i="85"/>
  <c r="G48" i="85"/>
  <c r="G50" i="85" s="1"/>
  <c r="G51" i="85" l="1"/>
  <c r="G78" i="85"/>
  <c r="G80" i="85" s="1"/>
  <c r="G59" i="85" l="1"/>
  <c r="H48" i="85"/>
  <c r="H50" i="85" s="1"/>
  <c r="H51" i="85" l="1"/>
  <c r="G81" i="85"/>
  <c r="H78" i="85" l="1"/>
  <c r="H80" i="85" s="1"/>
  <c r="H59" i="85"/>
  <c r="I48" i="85"/>
  <c r="I50" i="85" s="1"/>
  <c r="I51" i="85" l="1"/>
  <c r="H81" i="85" l="1"/>
  <c r="I78" i="85" s="1"/>
  <c r="I80" i="85" s="1"/>
  <c r="I59" i="85"/>
  <c r="J48" i="85"/>
  <c r="J50" i="85" s="1"/>
  <c r="J51" i="85" l="1"/>
  <c r="J59" i="85" l="1"/>
  <c r="K48" i="85"/>
  <c r="K50" i="85" s="1"/>
  <c r="I81" i="85"/>
  <c r="J78" i="85" l="1"/>
  <c r="J80" i="85" s="1"/>
  <c r="K51" i="85"/>
  <c r="K59" i="85" l="1"/>
  <c r="L48" i="85"/>
  <c r="L50" i="85" s="1"/>
  <c r="J81" i="85" l="1"/>
  <c r="K78" i="85" s="1"/>
  <c r="K80" i="85" s="1"/>
  <c r="L51" i="85"/>
  <c r="L59" i="85" l="1"/>
  <c r="M48" i="85"/>
  <c r="M50" i="85" s="1"/>
  <c r="M51" i="85" l="1"/>
  <c r="K81" i="85"/>
  <c r="M59" i="85" l="1"/>
  <c r="N48" i="85"/>
  <c r="N50" i="85" s="1"/>
  <c r="L78" i="85"/>
  <c r="L80" i="85" s="1"/>
  <c r="L81" i="85" l="1"/>
  <c r="M78" i="85" s="1"/>
  <c r="M80" i="85" s="1"/>
  <c r="N51" i="85"/>
  <c r="N59" i="85" l="1"/>
  <c r="N8" i="85" s="1"/>
  <c r="M81" i="85" l="1"/>
  <c r="N78" i="85" l="1"/>
  <c r="N80" i="85" s="1"/>
  <c r="N81" i="85" l="1"/>
  <c r="N72" i="84" l="1"/>
  <c r="N73" i="84" s="1"/>
  <c r="M72" i="84"/>
  <c r="M73" i="84" s="1"/>
  <c r="L72" i="84"/>
  <c r="L73" i="84" s="1"/>
  <c r="K72" i="84"/>
  <c r="K73" i="84" s="1"/>
  <c r="J72" i="84"/>
  <c r="J73" i="84" s="1"/>
  <c r="I72" i="84"/>
  <c r="I73" i="84" s="1"/>
  <c r="H72" i="84"/>
  <c r="H73" i="84" s="1"/>
  <c r="G72" i="84"/>
  <c r="G73" i="84" s="1"/>
  <c r="F72" i="84"/>
  <c r="F73" i="84" s="1"/>
  <c r="E72" i="84"/>
  <c r="E73" i="84" s="1"/>
  <c r="D72" i="84"/>
  <c r="D73" i="84" s="1"/>
  <c r="N70" i="84"/>
  <c r="E70" i="84"/>
  <c r="D70" i="84"/>
  <c r="E52" i="84"/>
  <c r="E55" i="84" s="1"/>
  <c r="E56" i="84" s="1"/>
  <c r="E57" i="84" s="1"/>
  <c r="E58" i="84" s="1"/>
  <c r="D55" i="84"/>
  <c r="D56" i="84" s="1"/>
  <c r="D57" i="84" s="1"/>
  <c r="D58" i="84" s="1"/>
  <c r="F51" i="84"/>
  <c r="F70" i="84" s="1"/>
  <c r="N40" i="84"/>
  <c r="N43" i="84" s="1"/>
  <c r="M40" i="84"/>
  <c r="M43" i="84" s="1"/>
  <c r="L40" i="84"/>
  <c r="L43" i="84" s="1"/>
  <c r="K40" i="84"/>
  <c r="K43" i="84" s="1"/>
  <c r="J40" i="84"/>
  <c r="J43" i="84" s="1"/>
  <c r="I40" i="84"/>
  <c r="I43" i="84" s="1"/>
  <c r="H40" i="84"/>
  <c r="H43" i="84" s="1"/>
  <c r="G40" i="84"/>
  <c r="G43" i="84" s="1"/>
  <c r="F40" i="84"/>
  <c r="F43" i="84" s="1"/>
  <c r="E40" i="84"/>
  <c r="E43" i="84" s="1"/>
  <c r="D40" i="84"/>
  <c r="D43" i="84" s="1"/>
  <c r="N34" i="84"/>
  <c r="N37" i="84" s="1"/>
  <c r="M34" i="84"/>
  <c r="M37" i="84" s="1"/>
  <c r="L34" i="84"/>
  <c r="L37" i="84" s="1"/>
  <c r="K34" i="84"/>
  <c r="K37" i="84" s="1"/>
  <c r="J34" i="84"/>
  <c r="J37" i="84" s="1"/>
  <c r="I34" i="84"/>
  <c r="I37" i="84" s="1"/>
  <c r="H34" i="84"/>
  <c r="H37" i="84" s="1"/>
  <c r="G34" i="84"/>
  <c r="G37" i="84" s="1"/>
  <c r="F34" i="84"/>
  <c r="F37" i="84" s="1"/>
  <c r="E34" i="84"/>
  <c r="E37" i="84" s="1"/>
  <c r="D34" i="84"/>
  <c r="D37" i="84" s="1"/>
  <c r="N28" i="84"/>
  <c r="F28" i="84"/>
  <c r="E28" i="84"/>
  <c r="D28" i="84"/>
  <c r="N15" i="84"/>
  <c r="N43" i="85" s="1"/>
  <c r="N57" i="85" s="1"/>
  <c r="M15" i="84"/>
  <c r="M43" i="85" s="1"/>
  <c r="M57" i="85" s="1"/>
  <c r="L15" i="84"/>
  <c r="L43" i="85" s="1"/>
  <c r="L57" i="85" s="1"/>
  <c r="K15" i="84"/>
  <c r="K43" i="85" s="1"/>
  <c r="K57" i="85" s="1"/>
  <c r="J15" i="84"/>
  <c r="J43" i="85" s="1"/>
  <c r="J57" i="85" s="1"/>
  <c r="I15" i="84"/>
  <c r="I43" i="85" s="1"/>
  <c r="I57" i="85" s="1"/>
  <c r="H15" i="84"/>
  <c r="H43" i="85" s="1"/>
  <c r="H57" i="85" s="1"/>
  <c r="G15" i="84"/>
  <c r="G43" i="85" s="1"/>
  <c r="G57" i="85" s="1"/>
  <c r="F15" i="84"/>
  <c r="F43" i="85" s="1"/>
  <c r="F57" i="85" s="1"/>
  <c r="E15" i="84"/>
  <c r="E43" i="85" s="1"/>
  <c r="E57" i="85" s="1"/>
  <c r="N5" i="84"/>
  <c r="E5" i="84"/>
  <c r="D5" i="84"/>
  <c r="F5" i="84" l="1"/>
  <c r="G51" i="84"/>
  <c r="G52" i="84" s="1"/>
  <c r="G55" i="84" s="1"/>
  <c r="F52" i="84"/>
  <c r="F55" i="84" s="1"/>
  <c r="F56" i="84" s="1"/>
  <c r="F57" i="84" s="1"/>
  <c r="F58" i="84" s="1"/>
  <c r="E85" i="85"/>
  <c r="E56" i="85"/>
  <c r="E26" i="85" s="1"/>
  <c r="E55" i="85"/>
  <c r="E86" i="85"/>
  <c r="E95" i="85" s="1"/>
  <c r="E96" i="85" s="1"/>
  <c r="E97" i="85" s="1"/>
  <c r="E87" i="85"/>
  <c r="F56" i="85"/>
  <c r="F26" i="85" s="1"/>
  <c r="F85" i="85"/>
  <c r="F55" i="85"/>
  <c r="F86" i="85"/>
  <c r="F95" i="85" s="1"/>
  <c r="F96" i="85" s="1"/>
  <c r="F97" i="85" s="1"/>
  <c r="F87" i="85"/>
  <c r="J56" i="85"/>
  <c r="J26" i="85" s="1"/>
  <c r="J85" i="85"/>
  <c r="J55" i="85"/>
  <c r="J86" i="85"/>
  <c r="J95" i="85" s="1"/>
  <c r="J96" i="85" s="1"/>
  <c r="J97" i="85" s="1"/>
  <c r="J102" i="85" s="1"/>
  <c r="J87" i="85"/>
  <c r="N56" i="85"/>
  <c r="N26" i="85" s="1"/>
  <c r="N85" i="85"/>
  <c r="N55" i="85"/>
  <c r="N86" i="85"/>
  <c r="N95" i="85" s="1"/>
  <c r="N96" i="85" s="1"/>
  <c r="N97" i="85" s="1"/>
  <c r="N102" i="85" s="1"/>
  <c r="N87" i="85"/>
  <c r="H51" i="84"/>
  <c r="H70" i="84" s="1"/>
  <c r="I85" i="85"/>
  <c r="I56" i="85"/>
  <c r="I26" i="85" s="1"/>
  <c r="I55" i="85"/>
  <c r="I58" i="85" s="1"/>
  <c r="I86" i="85"/>
  <c r="I95" i="85" s="1"/>
  <c r="I96" i="85" s="1"/>
  <c r="I97" i="85" s="1"/>
  <c r="I102" i="85" s="1"/>
  <c r="I87" i="85"/>
  <c r="G56" i="85"/>
  <c r="G26" i="85" s="1"/>
  <c r="G85" i="85"/>
  <c r="G55" i="85"/>
  <c r="G86" i="85"/>
  <c r="G95" i="85" s="1"/>
  <c r="G96" i="85" s="1"/>
  <c r="G97" i="85" s="1"/>
  <c r="G87" i="85"/>
  <c r="K56" i="85"/>
  <c r="K26" i="85" s="1"/>
  <c r="K85" i="85"/>
  <c r="K55" i="85"/>
  <c r="K86" i="85"/>
  <c r="K95" i="85" s="1"/>
  <c r="K96" i="85" s="1"/>
  <c r="K97" i="85" s="1"/>
  <c r="K102" i="85" s="1"/>
  <c r="K87" i="85"/>
  <c r="M56" i="85"/>
  <c r="M26" i="85" s="1"/>
  <c r="M85" i="85"/>
  <c r="M55" i="85"/>
  <c r="M86" i="85"/>
  <c r="M95" i="85" s="1"/>
  <c r="M96" i="85" s="1"/>
  <c r="M97" i="85" s="1"/>
  <c r="M102" i="85" s="1"/>
  <c r="M87" i="85"/>
  <c r="H85" i="85"/>
  <c r="H56" i="85"/>
  <c r="H26" i="85" s="1"/>
  <c r="H55" i="85"/>
  <c r="H86" i="85"/>
  <c r="H95" i="85" s="1"/>
  <c r="H96" i="85" s="1"/>
  <c r="H97" i="85" s="1"/>
  <c r="H102" i="85" s="1"/>
  <c r="H87" i="85"/>
  <c r="L56" i="85"/>
  <c r="L26" i="85" s="1"/>
  <c r="L85" i="85"/>
  <c r="L55" i="85"/>
  <c r="L86" i="85"/>
  <c r="L95" i="85" s="1"/>
  <c r="L96" i="85" s="1"/>
  <c r="L97" i="85" s="1"/>
  <c r="L102" i="85" s="1"/>
  <c r="L87" i="85"/>
  <c r="M48" i="84"/>
  <c r="M74" i="84" s="1"/>
  <c r="M75" i="84" s="1"/>
  <c r="M18" i="85" s="1"/>
  <c r="M19" i="85" s="1"/>
  <c r="N48" i="84"/>
  <c r="N59" i="84" s="1"/>
  <c r="L48" i="84"/>
  <c r="L74" i="84" s="1"/>
  <c r="L75" i="84" s="1"/>
  <c r="L18" i="85" s="1"/>
  <c r="L19" i="85" s="1"/>
  <c r="K48" i="84"/>
  <c r="K59" i="84" s="1"/>
  <c r="J48" i="84"/>
  <c r="J59" i="84" s="1"/>
  <c r="G48" i="84"/>
  <c r="G59" i="84" s="1"/>
  <c r="D48" i="84"/>
  <c r="I48" i="84"/>
  <c r="I74" i="84" s="1"/>
  <c r="I75" i="84" s="1"/>
  <c r="I18" i="85" s="1"/>
  <c r="I19" i="85" s="1"/>
  <c r="F48" i="84"/>
  <c r="F59" i="84" s="1"/>
  <c r="E48" i="84"/>
  <c r="E74" i="84" s="1"/>
  <c r="E75" i="84" s="1"/>
  <c r="E18" i="85" s="1"/>
  <c r="E19" i="85" s="1"/>
  <c r="H48" i="84"/>
  <c r="G5" i="84"/>
  <c r="G70" i="84"/>
  <c r="H5" i="84"/>
  <c r="G56" i="84"/>
  <c r="G57" i="84" s="1"/>
  <c r="G58" i="84" s="1"/>
  <c r="L58" i="85" l="1"/>
  <c r="L27" i="85" s="1"/>
  <c r="J58" i="85"/>
  <c r="J27" i="85" s="1"/>
  <c r="H58" i="85"/>
  <c r="H27" i="85" s="1"/>
  <c r="F58" i="85"/>
  <c r="F27" i="85" s="1"/>
  <c r="G58" i="85"/>
  <c r="G60" i="85" s="1"/>
  <c r="M58" i="85"/>
  <c r="M27" i="85" s="1"/>
  <c r="K58" i="85"/>
  <c r="K27" i="85" s="1"/>
  <c r="N58" i="85"/>
  <c r="N27" i="85" s="1"/>
  <c r="I27" i="85"/>
  <c r="I60" i="85"/>
  <c r="D59" i="84"/>
  <c r="D60" i="84" s="1"/>
  <c r="C67" i="84"/>
  <c r="C23" i="85" s="1"/>
  <c r="C24" i="85" s="1"/>
  <c r="C35" i="85" s="1"/>
  <c r="G28" i="84"/>
  <c r="M59" i="84"/>
  <c r="H52" i="84"/>
  <c r="H55" i="84" s="1"/>
  <c r="H56" i="84" s="1"/>
  <c r="H57" i="84" s="1"/>
  <c r="H58" i="84" s="1"/>
  <c r="F102" i="85"/>
  <c r="F98" i="85"/>
  <c r="F29" i="85" s="1"/>
  <c r="E102" i="85"/>
  <c r="E98" i="85"/>
  <c r="E29" i="85" s="1"/>
  <c r="G102" i="85"/>
  <c r="G98" i="85"/>
  <c r="G29" i="85" s="1"/>
  <c r="E58" i="85"/>
  <c r="E60" i="85" s="1"/>
  <c r="G74" i="84"/>
  <c r="G75" i="84" s="1"/>
  <c r="G18" i="85" s="1"/>
  <c r="G19" i="85" s="1"/>
  <c r="E88" i="85"/>
  <c r="F84" i="85" s="1"/>
  <c r="F88" i="85" s="1"/>
  <c r="G84" i="85" s="1"/>
  <c r="G88" i="85" s="1"/>
  <c r="H84" i="85" s="1"/>
  <c r="H88" i="85" s="1"/>
  <c r="I84" i="85" s="1"/>
  <c r="I88" i="85" s="1"/>
  <c r="J84" i="85" s="1"/>
  <c r="J88" i="85" s="1"/>
  <c r="K84" i="85" s="1"/>
  <c r="K88" i="85" s="1"/>
  <c r="L84" i="85" s="1"/>
  <c r="L88" i="85" s="1"/>
  <c r="M84" i="85" s="1"/>
  <c r="M88" i="85" s="1"/>
  <c r="N84" i="85" s="1"/>
  <c r="N88" i="85" s="1"/>
  <c r="D71" i="85"/>
  <c r="D72" i="85" s="1"/>
  <c r="D31" i="85"/>
  <c r="D32" i="85" s="1"/>
  <c r="D74" i="84"/>
  <c r="D75" i="84" s="1"/>
  <c r="D18" i="85" s="1"/>
  <c r="D19" i="85" s="1"/>
  <c r="F60" i="84"/>
  <c r="I51" i="84"/>
  <c r="H28" i="84"/>
  <c r="N74" i="84"/>
  <c r="N75" i="84" s="1"/>
  <c r="N18" i="85" s="1"/>
  <c r="N19" i="85" s="1"/>
  <c r="L59" i="84"/>
  <c r="K74" i="84"/>
  <c r="K75" i="84" s="1"/>
  <c r="K18" i="85" s="1"/>
  <c r="K19" i="85" s="1"/>
  <c r="J74" i="84"/>
  <c r="J75" i="84" s="1"/>
  <c r="J18" i="85" s="1"/>
  <c r="J19" i="85" s="1"/>
  <c r="I59" i="84"/>
  <c r="F74" i="84"/>
  <c r="F75" i="84" s="1"/>
  <c r="F18" i="85" s="1"/>
  <c r="F19" i="85" s="1"/>
  <c r="E59" i="84"/>
  <c r="E60" i="84" s="1"/>
  <c r="H59" i="84"/>
  <c r="H60" i="84" s="1"/>
  <c r="H74" i="84"/>
  <c r="H75" i="84" s="1"/>
  <c r="H18" i="85" s="1"/>
  <c r="H19" i="85" s="1"/>
  <c r="G60" i="84"/>
  <c r="G27" i="85" l="1"/>
  <c r="G30" i="85"/>
  <c r="F60" i="85"/>
  <c r="K60" i="85"/>
  <c r="J60" i="85"/>
  <c r="H60" i="85"/>
  <c r="L60" i="85"/>
  <c r="F30" i="85"/>
  <c r="N60" i="85"/>
  <c r="M60" i="85"/>
  <c r="E27" i="85"/>
  <c r="E103" i="85"/>
  <c r="E104" i="85" s="1"/>
  <c r="F101" i="85" s="1"/>
  <c r="I52" i="84"/>
  <c r="I55" i="84" s="1"/>
  <c r="I56" i="84" s="1"/>
  <c r="I57" i="84" s="1"/>
  <c r="I58" i="84" s="1"/>
  <c r="I60" i="84" s="1"/>
  <c r="I5" i="84"/>
  <c r="I28" i="84"/>
  <c r="J51" i="84"/>
  <c r="I70" i="84"/>
  <c r="G71" i="85"/>
  <c r="G72" i="85" s="1"/>
  <c r="G31" i="85"/>
  <c r="H31" i="85"/>
  <c r="H71" i="85"/>
  <c r="H72" i="85" s="1"/>
  <c r="E71" i="85"/>
  <c r="E72" i="85" s="1"/>
  <c r="E31" i="85"/>
  <c r="D35" i="85"/>
  <c r="F71" i="85"/>
  <c r="F72" i="85" s="1"/>
  <c r="F31" i="85"/>
  <c r="G32" i="85" l="1"/>
  <c r="G35" i="85" s="1"/>
  <c r="F32" i="85"/>
  <c r="F35" i="85" s="1"/>
  <c r="E30" i="85"/>
  <c r="E32" i="85" s="1"/>
  <c r="E35" i="85" s="1"/>
  <c r="F103" i="85"/>
  <c r="F104" i="85" s="1"/>
  <c r="G101" i="85" s="1"/>
  <c r="I71" i="85"/>
  <c r="I72" i="85" s="1"/>
  <c r="I31" i="85"/>
  <c r="J28" i="84"/>
  <c r="J5" i="84"/>
  <c r="J70" i="84"/>
  <c r="K51" i="84"/>
  <c r="J52" i="84"/>
  <c r="J55" i="84" s="1"/>
  <c r="J56" i="84" s="1"/>
  <c r="J57" i="84" s="1"/>
  <c r="J58" i="84" s="1"/>
  <c r="J60" i="84" s="1"/>
  <c r="G103" i="85" l="1"/>
  <c r="G104" i="85" s="1"/>
  <c r="H101" i="85" s="1"/>
  <c r="J71" i="85"/>
  <c r="J72" i="85" s="1"/>
  <c r="J31" i="85"/>
  <c r="L51" i="84"/>
  <c r="K70" i="84"/>
  <c r="K52" i="84"/>
  <c r="K55" i="84" s="1"/>
  <c r="K56" i="84" s="1"/>
  <c r="K57" i="84" s="1"/>
  <c r="K58" i="84" s="1"/>
  <c r="K60" i="84" s="1"/>
  <c r="K28" i="84"/>
  <c r="K5" i="84"/>
  <c r="H103" i="85" l="1"/>
  <c r="H98" i="85" s="1"/>
  <c r="H29" i="85" s="1"/>
  <c r="H30" i="85" s="1"/>
  <c r="M51" i="84"/>
  <c r="L52" i="84"/>
  <c r="L55" i="84" s="1"/>
  <c r="L56" i="84" s="1"/>
  <c r="L57" i="84" s="1"/>
  <c r="L58" i="84" s="1"/>
  <c r="L60" i="84" s="1"/>
  <c r="L70" i="84"/>
  <c r="L5" i="84"/>
  <c r="L28" i="84"/>
  <c r="K71" i="85"/>
  <c r="K72" i="85" s="1"/>
  <c r="K31" i="85"/>
  <c r="H104" i="85" l="1"/>
  <c r="I101" i="85" s="1"/>
  <c r="I103" i="85" s="1"/>
  <c r="H32" i="85"/>
  <c r="H35" i="85" s="1"/>
  <c r="L71" i="85"/>
  <c r="L72" i="85" s="1"/>
  <c r="L31" i="85"/>
  <c r="M28" i="84"/>
  <c r="M52" i="84"/>
  <c r="M55" i="84" s="1"/>
  <c r="M56" i="84" s="1"/>
  <c r="M57" i="84" s="1"/>
  <c r="M58" i="84" s="1"/>
  <c r="M60" i="84" s="1"/>
  <c r="M5" i="84"/>
  <c r="M70" i="84"/>
  <c r="N52" i="84"/>
  <c r="N55" i="84" s="1"/>
  <c r="N56" i="84" s="1"/>
  <c r="N57" i="84" s="1"/>
  <c r="N58" i="84" s="1"/>
  <c r="N60" i="84" s="1"/>
  <c r="I98" i="85" l="1"/>
  <c r="I29" i="85" s="1"/>
  <c r="I30" i="85" s="1"/>
  <c r="I32" i="85" s="1"/>
  <c r="I35" i="85" s="1"/>
  <c r="I104" i="85"/>
  <c r="J101" i="85" s="1"/>
  <c r="J103" i="85" s="1"/>
  <c r="J98" i="85" s="1"/>
  <c r="J29" i="85" s="1"/>
  <c r="J30" i="85" s="1"/>
  <c r="M31" i="85"/>
  <c r="M71" i="85"/>
  <c r="M72" i="85" s="1"/>
  <c r="N71" i="85"/>
  <c r="N72" i="85" s="1"/>
  <c r="N31" i="85"/>
  <c r="J104" i="85" l="1"/>
  <c r="K101" i="85" s="1"/>
  <c r="K103" i="85" s="1"/>
  <c r="K98" i="85" s="1"/>
  <c r="K29" i="85" s="1"/>
  <c r="K30" i="85" s="1"/>
  <c r="K32" i="85" s="1"/>
  <c r="K35" i="85" s="1"/>
  <c r="N73" i="85"/>
  <c r="N75" i="85" s="1"/>
  <c r="N9" i="85" s="1"/>
  <c r="J32" i="85"/>
  <c r="J35" i="85" s="1"/>
  <c r="K104" i="85" l="1"/>
  <c r="L101" i="85" s="1"/>
  <c r="L103" i="85" s="1"/>
  <c r="L98" i="85" s="1"/>
  <c r="L29" i="85" s="1"/>
  <c r="L30" i="85" s="1"/>
  <c r="L104" i="85" l="1"/>
  <c r="M101" i="85" s="1"/>
  <c r="M103" i="85" s="1"/>
  <c r="M98" i="85" s="1"/>
  <c r="M29" i="85" s="1"/>
  <c r="M30" i="85" s="1"/>
  <c r="M32" i="85" s="1"/>
  <c r="M35" i="85" s="1"/>
  <c r="L32" i="85"/>
  <c r="L35" i="85" s="1"/>
  <c r="M104" i="85" l="1"/>
  <c r="N101" i="85" s="1"/>
  <c r="N103" i="85" s="1"/>
  <c r="N98" i="85" s="1"/>
  <c r="N29" i="85" s="1"/>
  <c r="N30" i="85" s="1"/>
  <c r="N32" i="85" l="1"/>
  <c r="N35" i="85" s="1"/>
  <c r="N104" i="85"/>
  <c r="N36" i="85" l="1"/>
  <c r="N7" i="85" s="1"/>
  <c r="N10" i="85" s="1"/>
  <c r="N12" i="85" s="1"/>
</calcChain>
</file>

<file path=xl/sharedStrings.xml><?xml version="1.0" encoding="utf-8"?>
<sst xmlns="http://schemas.openxmlformats.org/spreadsheetml/2006/main" count="458" uniqueCount="162">
  <si>
    <t>Description</t>
  </si>
  <si>
    <t>Inputs</t>
  </si>
  <si>
    <t>Notes</t>
  </si>
  <si>
    <t>Depreciation</t>
  </si>
  <si>
    <t>Tax depreciation</t>
  </si>
  <si>
    <t>Risk free rate</t>
  </si>
  <si>
    <t>Asset beta</t>
  </si>
  <si>
    <t>Equity beta</t>
  </si>
  <si>
    <t>TAMRP</t>
  </si>
  <si>
    <t>Average investor tax rate</t>
  </si>
  <si>
    <t>Debt risk premium</t>
  </si>
  <si>
    <t>Debt issuance costs</t>
  </si>
  <si>
    <t>Leverage</t>
  </si>
  <si>
    <t>Debt from all sources as a proportion of total financing</t>
  </si>
  <si>
    <t>Days from mid-year to year-end</t>
  </si>
  <si>
    <t>Days from revenue date to year-end</t>
  </si>
  <si>
    <t>Mid-year date</t>
  </si>
  <si>
    <t>Revenue date</t>
  </si>
  <si>
    <t>Telecommunications</t>
  </si>
  <si>
    <t>$000</t>
  </si>
  <si>
    <t>Financial loss asset</t>
  </si>
  <si>
    <t>%</t>
  </si>
  <si>
    <t>Crown financing</t>
  </si>
  <si>
    <t>Crown financing (opening value)</t>
  </si>
  <si>
    <t>UFB costs</t>
  </si>
  <si>
    <t>Weighted average asset life</t>
  </si>
  <si>
    <t>Crown financing (closing value)</t>
  </si>
  <si>
    <t>Cost of debt</t>
  </si>
  <si>
    <t>Index</t>
  </si>
  <si>
    <t>Compounding factors</t>
  </si>
  <si>
    <t>Cost of equity</t>
  </si>
  <si>
    <t>Corporate tax rate</t>
  </si>
  <si>
    <t xml:space="preserve">Tax </t>
  </si>
  <si>
    <t>Regulated provider data</t>
  </si>
  <si>
    <t>Count</t>
  </si>
  <si>
    <t>General description</t>
  </si>
  <si>
    <t>All figures are purely illustrative</t>
  </si>
  <si>
    <t>Cost of capital</t>
  </si>
  <si>
    <t>UFB revenues</t>
  </si>
  <si>
    <t>Tax costs</t>
  </si>
  <si>
    <t>Years</t>
  </si>
  <si>
    <t>Intermediate calculations</t>
  </si>
  <si>
    <t>Roll forward of unallocated UFB fibre assets</t>
  </si>
  <si>
    <t>Roll forward of Crown financing</t>
  </si>
  <si>
    <t>Asset roll forward inputs</t>
  </si>
  <si>
    <t>Weighted average tax asset life</t>
  </si>
  <si>
    <t>Asset-related information</t>
  </si>
  <si>
    <t>Compounding factor step 1</t>
  </si>
  <si>
    <t>Cost of capital (post-tax WACC)</t>
  </si>
  <si>
    <t>Index factor</t>
  </si>
  <si>
    <t>Number of days (for partial year adjustment)</t>
  </si>
  <si>
    <t>Part year adjustment factor</t>
  </si>
  <si>
    <t>Opening tax asset base value</t>
  </si>
  <si>
    <t xml:space="preserve">Tax depreciation </t>
  </si>
  <si>
    <t>Closing tax asset base value</t>
  </si>
  <si>
    <t>Roll forward of allocated tax assets</t>
  </si>
  <si>
    <t>Roll forward of unallocated tax assets</t>
  </si>
  <si>
    <t>Tax calculations</t>
  </si>
  <si>
    <t>Discounted cash flow financial loss asset</t>
  </si>
  <si>
    <t>Cash flow inputs</t>
  </si>
  <si>
    <t>Net cash flows</t>
  </si>
  <si>
    <t>Cash flows</t>
  </si>
  <si>
    <t>Add present value benefit of Crown financing</t>
  </si>
  <si>
    <t>Start date</t>
  </si>
  <si>
    <t>Full year to</t>
  </si>
  <si>
    <t>Date</t>
  </si>
  <si>
    <t>Days from mid-year to implementation date</t>
  </si>
  <si>
    <t>Compounding factor from mid-year</t>
  </si>
  <si>
    <t>Days from revenue date to implementation date</t>
  </si>
  <si>
    <t>Compounding factor from revenue date</t>
  </si>
  <si>
    <t>Revenue date compounding</t>
  </si>
  <si>
    <t>Mid-year date compounding</t>
  </si>
  <si>
    <t>As at</t>
  </si>
  <si>
    <t>Present value benefit of Crown financing</t>
  </si>
  <si>
    <t>Present value of net drawdown of Crown financing</t>
  </si>
  <si>
    <t>Years prior to 31 Dec 2021 for compounding index</t>
  </si>
  <si>
    <t>Net drawdown of Crown financing (nominal values)</t>
  </si>
  <si>
    <t>Tax costs (at corporate tax rate)</t>
  </si>
  <si>
    <t>Revenue date compounding is used for revenue cash flows</t>
  </si>
  <si>
    <t>12 equal monthly transactions can be approximated by a single payment at the mid-year date</t>
  </si>
  <si>
    <t>This model has been prepared and published for consultation purposes only</t>
  </si>
  <si>
    <t>Financial losses</t>
  </si>
  <si>
    <t>1.1.2(2)</t>
  </si>
  <si>
    <t>1.1.2(1)</t>
  </si>
  <si>
    <t>Present value of total net cash flows</t>
  </si>
  <si>
    <t>Present value of annual net cash flows</t>
  </si>
  <si>
    <t>UFB revenues cash flows</t>
  </si>
  <si>
    <t>Present value of UFB revenues cash flows</t>
  </si>
  <si>
    <t>Present value of UFB costs cash flows</t>
  </si>
  <si>
    <t>Sum of UFB costs cash flows</t>
  </si>
  <si>
    <t>UFB value of net commisisoned assets cash flow</t>
  </si>
  <si>
    <t>UFB cost allocation adjustment cash flow</t>
  </si>
  <si>
    <t>UFB operating expenditure cash flow</t>
  </si>
  <si>
    <t>UFB tax costs cash flow</t>
  </si>
  <si>
    <t>1.1.2(2) and (4)</t>
  </si>
  <si>
    <t>1.1.2(2) and (3)</t>
  </si>
  <si>
    <t>1.1.2(3)</t>
  </si>
  <si>
    <t>Opening cost allocator value (start of part or full year)</t>
  </si>
  <si>
    <t>Closing cost allocator value (end of part or full year)</t>
  </si>
  <si>
    <t>Less sum of net drawdowns (nominal value)</t>
  </si>
  <si>
    <t>Sum of present value of net drawdowns</t>
  </si>
  <si>
    <t>1.1.2(4)</t>
  </si>
  <si>
    <t>UFB revenues cash flow</t>
  </si>
  <si>
    <t>Crown financing advanced</t>
  </si>
  <si>
    <t>Crown financing repaid</t>
  </si>
  <si>
    <t>UFB taxable income</t>
  </si>
  <si>
    <t>Information only - not directly used in Schedule B calculation</t>
  </si>
  <si>
    <t>1.1.2(6)</t>
  </si>
  <si>
    <t>Add UFB asset base closing value at implementation date</t>
  </si>
  <si>
    <t>Compounding factor (mid-year date)</t>
  </si>
  <si>
    <t>Compounding factor (revenue date)</t>
  </si>
  <si>
    <t>UFB unallocated opening asset values</t>
  </si>
  <si>
    <t>UFB value of net commissioned assets (allocated)</t>
  </si>
  <si>
    <t>UFB unallocated closing asset values</t>
  </si>
  <si>
    <t>UFB opening asset values</t>
  </si>
  <si>
    <t>UFB value of net commissioned assets (unallocated)</t>
  </si>
  <si>
    <t>UFB closing asset values</t>
  </si>
  <si>
    <t>Adjustment for cost allocation to allow tax allocated roll forward</t>
  </si>
  <si>
    <t>Tax (before tax losses)</t>
  </si>
  <si>
    <t xml:space="preserve">Tax loss calculation </t>
  </si>
  <si>
    <t>Opening tax losses</t>
  </si>
  <si>
    <t>Current period tax losses</t>
  </si>
  <si>
    <t>Utilised tax losses</t>
  </si>
  <si>
    <t>Closing tax losses</t>
  </si>
  <si>
    <t>Financial loss asset at implementation date</t>
  </si>
  <si>
    <t>Sch B reference</t>
  </si>
  <si>
    <t>7 months to</t>
  </si>
  <si>
    <t>6 months to</t>
  </si>
  <si>
    <t>Start date compounding</t>
  </si>
  <si>
    <t>Days from start date to implementation date</t>
  </si>
  <si>
    <t>Compounding factor from start date</t>
  </si>
  <si>
    <t>Number of days in part or full year</t>
  </si>
  <si>
    <t>UFB unallocated asset base opening value at start date</t>
  </si>
  <si>
    <t>Compounding factor (start date)</t>
  </si>
  <si>
    <t>UFB asset base opening value at start date</t>
  </si>
  <si>
    <t>Present value of UFB asset base opening value</t>
  </si>
  <si>
    <t>UFB value of net commisisoned assets cash flow (opening value at start date)</t>
  </si>
  <si>
    <t>Depreciation (allocated)</t>
  </si>
  <si>
    <t>Roll forward of allocated UFB fibre assets</t>
  </si>
  <si>
    <t>Start date compounding is used for asset base opening cash flow</t>
  </si>
  <si>
    <t>Check allocated roll forward</t>
  </si>
  <si>
    <t>1.1.4(2) of main determination</t>
  </si>
  <si>
    <t>Illustration of DCF financial loss asset calculation</t>
  </si>
  <si>
    <t>Published 13 August 2020</t>
  </si>
  <si>
    <t>1.1.2(2) and (5)</t>
  </si>
  <si>
    <t>1.1.2(2) and 1.1.7</t>
  </si>
  <si>
    <t>1.1.2(2) and (6)</t>
  </si>
  <si>
    <t>1.1.7 - 1.1.9</t>
  </si>
  <si>
    <t>1.1.10 - 1.1.13</t>
  </si>
  <si>
    <t>1.1.2(5)</t>
  </si>
  <si>
    <t>Fibre input methodologies further consultation draft decisions</t>
  </si>
  <si>
    <t xml:space="preserve">This model illustrates the calculation of the financial loss asset in accordance with Schedule B of the '[Further consultation – initial value of financial loss asset] Fibre Input Methodologies Determination 2020' published on 13 August 2020.
</t>
  </si>
  <si>
    <t>Assume revenue inputs relate only to UFB</t>
  </si>
  <si>
    <t>Assume opening asset value input is pre-cost allocation (requiring cost allocation to be applied)</t>
  </si>
  <si>
    <t>Assume commisisoned asset inputs are pre-cost allocation (requiring cost allocation to be applied). Also, are net of disposed assets.</t>
  </si>
  <si>
    <t>Assume opex inputs are post-cost allocation (no need to apply cost allocation)</t>
  </si>
  <si>
    <t>Simplified assumption for illustration only</t>
  </si>
  <si>
    <t>Mid-year date compounding is used for compounding investments, cost allocation adjustments, opex and tax cash flows, and for calculating the benefit of Crown financing</t>
  </si>
  <si>
    <t>12 equal monthly transactions on the 20th of the month following the mid-year date can be approximated by a single payment on the revenue date</t>
  </si>
  <si>
    <t>Financial loss asset will only exist if loss calculation in cell N10 is negative</t>
  </si>
  <si>
    <t>Compounding factor based on post-tax WACC</t>
  </si>
  <si>
    <t>Simplified calculations for illustration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</si>
</sst>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_(* #,##0.00_);_(* \(#,##0.00\);_(* &quot;-&quot;??_);_(@_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@_)"/>
    <numFmt numFmtId="170" formatCode="_(* #,##0.0_);_(* \(#,##0.0\);_(* &quot;–&quot;???_);_(* @_)"/>
    <numFmt numFmtId="171" formatCode="_(* #,##0.00_);_(* \(#,##0.00\);_(* &quot;–&quot;???_);_(* @_)"/>
    <numFmt numFmtId="172" formatCode="_(* #,##0.0000_);_(* \(#,##0.0000\);_(* &quot;–&quot;??_);_(* @_)"/>
    <numFmt numFmtId="173" formatCode="[$-1409]d\ mmm\ yy;@"/>
    <numFmt numFmtId="174" formatCode="_(* #,##0%_);_(* \(#,##0%\);_(* &quot;–&quot;???_);_(* @_)"/>
    <numFmt numFmtId="175" formatCode="_(* #,##0.0%_);_(* \(#,##0.0%\);_(* &quot;–&quot;??_);_(* @_)"/>
    <numFmt numFmtId="176" formatCode="_(* #,##0.00%_);_(* \(#,##0.00%\);_(* &quot;–&quot;???_);_(* @_)"/>
    <numFmt numFmtId="177" formatCode="_(* #,##0.000%_);_(* \(#,##0.000%\);_(* &quot;–&quot;???_);_(* @_)"/>
    <numFmt numFmtId="178" formatCode="_(* #,##0%_);_(* \(#,##0%\);_(* &quot;–&quot;??_);_(* @_)"/>
    <numFmt numFmtId="179" formatCode="_(* 0_);_(* \(0\);_(* &quot;–&quot;??_);_(@_)"/>
    <numFmt numFmtId="180" formatCode="_(* #,##0_);_(* \(#,##0\);_(* &quot;–&quot;???_);_(* @_)"/>
    <numFmt numFmtId="181" formatCode="_(* #,##0.0000%_);_(* \(#,##0.0000%\);_(* &quot;–&quot;???_);_(* @_)"/>
    <numFmt numFmtId="182" formatCode="_(* #,##0.000_);_(* \(#,##0.000\);_(* &quot;–&quot;???_);_(* @_)"/>
    <numFmt numFmtId="183" formatCode="0_ ;\-0\ "/>
    <numFmt numFmtId="184" formatCode="_(* #,##0_);_(* \(#,##0\);_(* &quot;-&quot;??_);_(@_)"/>
    <numFmt numFmtId="185" formatCode="_-* #,##0_-;\-* #,##0_-;_-* &quot;-&quot;??_-;_-@_-"/>
    <numFmt numFmtId="186" formatCode="_(* #,##0_);_(* \(#,##0\);_(* &quot;–&quot;??_);_(* @_)"/>
    <numFmt numFmtId="187" formatCode="0.0000%"/>
    <numFmt numFmtId="188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4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0"/>
      <name val="Calibri"/>
      <family val="4"/>
      <scheme val="minor"/>
    </font>
    <font>
      <b/>
      <sz val="10"/>
      <color theme="1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rgb="FF645F3A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4"/>
      <scheme val="minor"/>
    </font>
    <font>
      <b/>
      <sz val="10"/>
      <name val="Calibri"/>
      <family val="2"/>
      <scheme val="minor"/>
    </font>
    <font>
      <sz val="10"/>
      <color rgb="FF645F3A"/>
      <name val="Calibri"/>
      <family val="2"/>
      <scheme val="minor"/>
    </font>
    <font>
      <b/>
      <sz val="11"/>
      <color rgb="FFC00000"/>
      <name val="Calibri"/>
      <family val="4"/>
      <scheme val="minor"/>
    </font>
    <font>
      <b/>
      <sz val="11"/>
      <color rgb="FF645F3A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9C4A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rgb="FFB0A978"/>
      </top>
      <bottom style="thin">
        <color rgb="FFB0A978"/>
      </bottom>
      <diagonal/>
    </border>
    <border>
      <left/>
      <right style="thin">
        <color rgb="FFB0A978"/>
      </right>
      <top style="thin">
        <color rgb="FFB0A978"/>
      </top>
      <bottom style="thin">
        <color rgb="FFB0A978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B0A978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rgb="FFB0A978"/>
      </right>
      <top style="thin">
        <color rgb="FFB0A978"/>
      </top>
      <bottom style="thin">
        <color theme="7"/>
      </bottom>
      <diagonal/>
    </border>
    <border>
      <left/>
      <right/>
      <top style="thin">
        <color rgb="FFB0A978"/>
      </top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1"/>
      </top>
      <bottom style="thin">
        <color rgb="FFB0A978"/>
      </bottom>
      <diagonal/>
    </border>
    <border>
      <left/>
      <right/>
      <top style="thin">
        <color theme="1"/>
      </top>
      <bottom style="thin">
        <color theme="8"/>
      </bottom>
      <diagonal/>
    </border>
    <border>
      <left/>
      <right/>
      <top style="thin">
        <color rgb="FFB0A978"/>
      </top>
      <bottom style="thin">
        <color indexed="64"/>
      </bottom>
      <diagonal/>
    </border>
  </borders>
  <cellStyleXfs count="79">
    <xf numFmtId="0" fontId="0" fillId="0" borderId="0"/>
    <xf numFmtId="164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26" fillId="0" borderId="0" applyFill="0" applyAlignment="0"/>
    <xf numFmtId="49" fontId="14" fillId="0" borderId="0" applyFill="0" applyAlignment="0"/>
    <xf numFmtId="49" fontId="15" fillId="0" borderId="0" applyFill="0" applyAlignment="0"/>
    <xf numFmtId="49" fontId="16" fillId="33" borderId="0" applyFill="0" applyBorder="0">
      <alignment horizontal="left"/>
    </xf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17" applyNumberFormat="0" applyAlignment="0">
      <protection locked="0"/>
    </xf>
    <xf numFmtId="0" fontId="1" fillId="0" borderId="17" applyNumberFormat="0" applyAlignment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0" fillId="0" borderId="0" applyNumberFormat="0" applyFill="0" applyBorder="0" applyAlignment="0" applyProtection="0"/>
    <xf numFmtId="0" fontId="1" fillId="7" borderId="4" applyNumberFormat="0" applyFont="0" applyAlignment="0" applyProtection="0"/>
    <xf numFmtId="49" fontId="20" fillId="0" borderId="0" applyFill="0" applyProtection="0">
      <alignment horizontal="left" indent="1"/>
    </xf>
    <xf numFmtId="0" fontId="2" fillId="0" borderId="5" applyNumberFormat="0" applyFill="0" applyAlignment="0" applyProtection="0"/>
    <xf numFmtId="0" fontId="1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179" fontId="18" fillId="0" borderId="0" applyFont="0" applyFill="0" applyBorder="0" applyAlignment="0" applyProtection="0">
      <alignment horizontal="left"/>
      <protection locked="0"/>
    </xf>
    <xf numFmtId="167" fontId="1" fillId="34" borderId="18" applyNumberFormat="0" applyFont="0" applyFill="0" applyAlignment="0" applyProtection="0"/>
    <xf numFmtId="177" fontId="13" fillId="32" borderId="0" applyFont="0" applyBorder="0"/>
    <xf numFmtId="176" fontId="18" fillId="0" borderId="0" applyFont="0" applyFill="0" applyBorder="0" applyAlignment="0" applyProtection="0">
      <protection locked="0"/>
    </xf>
    <xf numFmtId="175" fontId="13" fillId="0" borderId="0" applyFont="0" applyFill="0" applyBorder="0" applyAlignment="0" applyProtection="0">
      <alignment horizontal="center" vertical="top" wrapText="1"/>
    </xf>
    <xf numFmtId="174" fontId="27" fillId="0" borderId="17" applyNumberFormat="0" applyAlignment="0"/>
    <xf numFmtId="0" fontId="17" fillId="0" borderId="17" applyNumberFormat="0">
      <alignment horizontal="centerContinuous" wrapText="1"/>
    </xf>
    <xf numFmtId="173" fontId="18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>
      <protection locked="0"/>
    </xf>
    <xf numFmtId="169" fontId="19" fillId="0" borderId="0" applyFont="0" applyFill="0" applyBorder="0" applyAlignment="0" applyProtection="0">
      <alignment horizontal="left"/>
      <protection locked="0"/>
    </xf>
    <xf numFmtId="170" fontId="18" fillId="0" borderId="0" applyFont="0" applyFill="0" applyBorder="0" applyAlignment="0" applyProtection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1" fontId="1" fillId="32" borderId="0" applyFont="0" applyBorder="0"/>
    <xf numFmtId="182" fontId="1" fillId="0" borderId="0" applyFont="0" applyFill="0" applyBorder="0" applyAlignment="0" applyProtection="0"/>
    <xf numFmtId="0" fontId="13" fillId="35" borderId="17" applyNumberFormat="0" applyAlignment="0" applyProtection="0"/>
    <xf numFmtId="49" fontId="20" fillId="0" borderId="0" applyFill="0" applyProtection="0">
      <alignment horizontal="left" inden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17" fillId="36" borderId="14" applyNumberFormat="0" applyFill="0">
      <alignment horizontal="centerContinuous" wrapText="1"/>
    </xf>
    <xf numFmtId="0" fontId="31" fillId="5" borderId="20" applyNumberFormat="0" applyAlignment="0" applyProtection="0"/>
    <xf numFmtId="174" fontId="32" fillId="37" borderId="14" applyNumberFormat="0" applyFill="0" applyAlignment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>
      <alignment horizontal="left"/>
      <protection locked="0"/>
    </xf>
    <xf numFmtId="0" fontId="33" fillId="0" borderId="22" applyNumberFormat="0" applyFill="0" applyAlignment="0" applyProtection="0"/>
    <xf numFmtId="170" fontId="1" fillId="34" borderId="23" applyNumberFormat="0" applyFont="0" applyFill="0" applyAlignment="0" applyProtection="0"/>
    <xf numFmtId="0" fontId="34" fillId="38" borderId="1" applyNumberFormat="0" applyAlignment="0" applyProtection="0"/>
  </cellStyleXfs>
  <cellXfs count="142">
    <xf numFmtId="0" fontId="0" fillId="0" borderId="0" xfId="0"/>
    <xf numFmtId="0" fontId="0" fillId="0" borderId="0" xfId="0"/>
    <xf numFmtId="0" fontId="12" fillId="32" borderId="6" xfId="0" applyFont="1" applyFill="1" applyBorder="1"/>
    <xf numFmtId="0" fontId="12" fillId="32" borderId="7" xfId="0" applyFont="1" applyFill="1" applyBorder="1"/>
    <xf numFmtId="0" fontId="12" fillId="32" borderId="8" xfId="0" applyFont="1" applyFill="1" applyBorder="1"/>
    <xf numFmtId="0" fontId="12" fillId="32" borderId="9" xfId="0" applyFont="1" applyFill="1" applyBorder="1" applyAlignment="1">
      <alignment horizontal="centerContinuous"/>
    </xf>
    <xf numFmtId="0" fontId="12" fillId="32" borderId="0" xfId="0" applyFont="1" applyFill="1" applyBorder="1" applyAlignment="1">
      <alignment horizontal="centerContinuous"/>
    </xf>
    <xf numFmtId="0" fontId="12" fillId="32" borderId="9" xfId="0" applyFont="1" applyFill="1" applyBorder="1"/>
    <xf numFmtId="0" fontId="0" fillId="0" borderId="0" xfId="0" applyBorder="1"/>
    <xf numFmtId="0" fontId="12" fillId="32" borderId="10" xfId="0" applyFont="1" applyFill="1" applyBorder="1"/>
    <xf numFmtId="0" fontId="12" fillId="32" borderId="9" xfId="0" applyFont="1" applyFill="1" applyBorder="1" applyAlignment="1"/>
    <xf numFmtId="0" fontId="12" fillId="32" borderId="0" xfId="0" applyFont="1" applyFill="1" applyBorder="1"/>
    <xf numFmtId="49" fontId="26" fillId="0" borderId="0" xfId="5"/>
    <xf numFmtId="169" fontId="0" fillId="0" borderId="0" xfId="56" applyFont="1" applyBorder="1" applyAlignment="1" applyProtection="1"/>
    <xf numFmtId="0" fontId="0" fillId="0" borderId="0" xfId="0" applyFill="1" applyBorder="1"/>
    <xf numFmtId="0" fontId="0" fillId="0" borderId="13" xfId="0" applyFont="1" applyFill="1" applyBorder="1"/>
    <xf numFmtId="0" fontId="0" fillId="0" borderId="12" xfId="0" applyFont="1" applyFill="1" applyBorder="1"/>
    <xf numFmtId="0" fontId="0" fillId="0" borderId="11" xfId="0" applyFont="1" applyFill="1" applyBorder="1"/>
    <xf numFmtId="0" fontId="0" fillId="0" borderId="0" xfId="0" applyFont="1" applyBorder="1"/>
    <xf numFmtId="49" fontId="20" fillId="0" borderId="0" xfId="65" applyAlignment="1">
      <alignment vertical="top"/>
    </xf>
    <xf numFmtId="169" fontId="1" fillId="0" borderId="16" xfId="14" applyNumberFormat="1" applyFill="1" applyBorder="1" applyAlignment="1"/>
    <xf numFmtId="179" fontId="1" fillId="0" borderId="16" xfId="14" applyNumberFormat="1" applyFill="1" applyBorder="1" applyAlignment="1"/>
    <xf numFmtId="0" fontId="24" fillId="0" borderId="16" xfId="58" applyFill="1" applyBorder="1" applyAlignment="1" applyProtection="1"/>
    <xf numFmtId="169" fontId="0" fillId="0" borderId="15" xfId="14" applyNumberFormat="1" applyFont="1" applyFill="1" applyBorder="1" applyAlignment="1"/>
    <xf numFmtId="0" fontId="23" fillId="32" borderId="10" xfId="0" applyFont="1" applyFill="1" applyBorder="1"/>
    <xf numFmtId="49" fontId="26" fillId="0" borderId="0" xfId="5" applyFill="1" applyAlignment="1">
      <alignment horizontal="centerContinuous"/>
    </xf>
    <xf numFmtId="169" fontId="1" fillId="0" borderId="16" xfId="14" applyNumberFormat="1" applyFill="1" applyBorder="1" applyAlignment="1">
      <alignment vertical="top"/>
    </xf>
    <xf numFmtId="169" fontId="1" fillId="0" borderId="0" xfId="14" applyNumberFormat="1" applyFill="1" applyBorder="1" applyAlignment="1">
      <alignment vertical="top"/>
    </xf>
    <xf numFmtId="0" fontId="2" fillId="0" borderId="0" xfId="0" applyFont="1"/>
    <xf numFmtId="3" fontId="0" fillId="0" borderId="0" xfId="66" applyNumberFormat="1" applyFont="1"/>
    <xf numFmtId="3" fontId="0" fillId="0" borderId="0" xfId="0" applyNumberFormat="1"/>
    <xf numFmtId="0" fontId="0" fillId="0" borderId="0" xfId="0" applyAlignment="1">
      <alignment wrapText="1"/>
    </xf>
    <xf numFmtId="184" fontId="25" fillId="0" borderId="17" xfId="13" applyNumberFormat="1">
      <protection locked="0"/>
    </xf>
    <xf numFmtId="185" fontId="25" fillId="0" borderId="17" xfId="13" applyNumberFormat="1">
      <protection locked="0"/>
    </xf>
    <xf numFmtId="0" fontId="17" fillId="0" borderId="17" xfId="52" applyAlignment="1">
      <alignment horizontal="left" wrapText="1"/>
    </xf>
    <xf numFmtId="0" fontId="1" fillId="0" borderId="17" xfId="14"/>
    <xf numFmtId="3" fontId="1" fillId="0" borderId="17" xfId="14" applyNumberFormat="1"/>
    <xf numFmtId="0" fontId="1" fillId="0" borderId="24" xfId="14" applyBorder="1"/>
    <xf numFmtId="3" fontId="1" fillId="0" borderId="24" xfId="14" applyNumberFormat="1" applyBorder="1"/>
    <xf numFmtId="184" fontId="0" fillId="0" borderId="0" xfId="0" applyNumberFormat="1"/>
    <xf numFmtId="165" fontId="35" fillId="0" borderId="17" xfId="52" quotePrefix="1" applyNumberFormat="1" applyFont="1" applyAlignment="1">
      <alignment horizontal="left" wrapText="1"/>
    </xf>
    <xf numFmtId="49" fontId="16" fillId="0" borderId="0" xfId="8" applyFill="1">
      <alignment horizontal="left"/>
    </xf>
    <xf numFmtId="0" fontId="17" fillId="0" borderId="24" xfId="52" applyBorder="1" applyAlignment="1">
      <alignment horizontal="left" wrapText="1"/>
    </xf>
    <xf numFmtId="49" fontId="20" fillId="0" borderId="0" xfId="20">
      <alignment horizontal="left" indent="1"/>
    </xf>
    <xf numFmtId="0" fontId="17" fillId="0" borderId="0" xfId="52" applyBorder="1" applyAlignment="1">
      <alignment horizontal="left" wrapText="1"/>
    </xf>
    <xf numFmtId="3" fontId="1" fillId="0" borderId="0" xfId="14" applyNumberFormat="1" applyBorder="1"/>
    <xf numFmtId="3" fontId="0" fillId="0" borderId="24" xfId="0" applyNumberFormat="1" applyBorder="1"/>
    <xf numFmtId="0" fontId="17" fillId="0" borderId="25" xfId="52" applyBorder="1" applyAlignment="1">
      <alignment horizontal="left" wrapText="1"/>
    </xf>
    <xf numFmtId="0" fontId="1" fillId="0" borderId="0" xfId="14" applyBorder="1"/>
    <xf numFmtId="3" fontId="1" fillId="0" borderId="17" xfId="14" applyNumberFormat="1" applyBorder="1"/>
    <xf numFmtId="49" fontId="36" fillId="0" borderId="21" xfId="8" applyFont="1" applyFill="1" applyBorder="1">
      <alignment horizontal="left"/>
    </xf>
    <xf numFmtId="9" fontId="25" fillId="0" borderId="0" xfId="67" applyFont="1" applyBorder="1" applyProtection="1">
      <protection locked="0"/>
    </xf>
    <xf numFmtId="186" fontId="25" fillId="0" borderId="17" xfId="13" applyNumberFormat="1">
      <protection locked="0"/>
    </xf>
    <xf numFmtId="0" fontId="17" fillId="0" borderId="26" xfId="52" applyBorder="1" applyAlignment="1">
      <alignment horizontal="left" wrapText="1"/>
    </xf>
    <xf numFmtId="3" fontId="0" fillId="0" borderId="27" xfId="0" applyNumberFormat="1" applyBorder="1"/>
    <xf numFmtId="3" fontId="0" fillId="0" borderId="28" xfId="0" applyNumberFormat="1" applyBorder="1"/>
    <xf numFmtId="2" fontId="17" fillId="0" borderId="17" xfId="52" applyNumberFormat="1" applyAlignment="1">
      <alignment horizontal="left" wrapText="1"/>
    </xf>
    <xf numFmtId="49" fontId="36" fillId="0" borderId="0" xfId="8" applyFont="1" applyFill="1" applyBorder="1">
      <alignment horizontal="left"/>
    </xf>
    <xf numFmtId="9" fontId="1" fillId="0" borderId="17" xfId="67" applyBorder="1"/>
    <xf numFmtId="0" fontId="35" fillId="0" borderId="17" xfId="52" applyFont="1" applyAlignment="1">
      <alignment horizontal="left" wrapText="1"/>
    </xf>
    <xf numFmtId="0" fontId="37" fillId="32" borderId="0" xfId="0" applyFont="1" applyFill="1" applyBorder="1" applyAlignment="1">
      <alignment horizontal="centerContinuous"/>
    </xf>
    <xf numFmtId="0" fontId="38" fillId="0" borderId="0" xfId="0" applyFont="1"/>
    <xf numFmtId="0" fontId="37" fillId="32" borderId="0" xfId="0" applyFont="1" applyFill="1" applyBorder="1"/>
    <xf numFmtId="0" fontId="35" fillId="0" borderId="0" xfId="0" applyFont="1"/>
    <xf numFmtId="184" fontId="25" fillId="0" borderId="0" xfId="13" applyNumberFormat="1" applyBorder="1">
      <protection locked="0"/>
    </xf>
    <xf numFmtId="185" fontId="25" fillId="0" borderId="0" xfId="13" applyNumberFormat="1" applyBorder="1">
      <protection locked="0"/>
    </xf>
    <xf numFmtId="0" fontId="0" fillId="0" borderId="17" xfId="14" applyFont="1"/>
    <xf numFmtId="49" fontId="15" fillId="0" borderId="0" xfId="7" applyFill="1" applyAlignment="1">
      <alignment horizontal="left"/>
    </xf>
    <xf numFmtId="0" fontId="0" fillId="0" borderId="0" xfId="0" applyBorder="1" applyAlignment="1">
      <alignment wrapText="1"/>
    </xf>
    <xf numFmtId="165" fontId="35" fillId="0" borderId="21" xfId="52" quotePrefix="1" applyNumberFormat="1" applyFont="1" applyBorder="1" applyAlignment="1">
      <alignment horizontal="left" wrapText="1"/>
    </xf>
    <xf numFmtId="186" fontId="25" fillId="0" borderId="24" xfId="13" applyNumberFormat="1" applyBorder="1">
      <protection locked="0"/>
    </xf>
    <xf numFmtId="0" fontId="17" fillId="0" borderId="0" xfId="52" applyFill="1" applyBorder="1" applyAlignment="1">
      <alignment horizontal="left" wrapText="1"/>
    </xf>
    <xf numFmtId="9" fontId="25" fillId="0" borderId="17" xfId="67" applyNumberFormat="1" applyFont="1" applyBorder="1" applyProtection="1">
      <protection locked="0"/>
    </xf>
    <xf numFmtId="0" fontId="21" fillId="32" borderId="0" xfId="0" applyFont="1" applyFill="1" applyBorder="1" applyAlignment="1">
      <alignment horizontal="centerContinuous"/>
    </xf>
    <xf numFmtId="49" fontId="26" fillId="0" borderId="0" xfId="5" applyFont="1" applyFill="1" applyAlignment="1">
      <alignment horizontal="centerContinuous"/>
    </xf>
    <xf numFmtId="169" fontId="0" fillId="0" borderId="15" xfId="14" applyNumberFormat="1" applyFont="1" applyFill="1" applyBorder="1" applyAlignment="1">
      <alignment wrapText="1"/>
    </xf>
    <xf numFmtId="49" fontId="14" fillId="0" borderId="16" xfId="6" applyFill="1" applyBorder="1" applyAlignment="1">
      <alignment horizontal="left"/>
    </xf>
    <xf numFmtId="0" fontId="39" fillId="0" borderId="0" xfId="69" applyFont="1" applyAlignment="1">
      <alignment horizontal="left" indent="1"/>
    </xf>
    <xf numFmtId="3" fontId="1" fillId="0" borderId="21" xfId="14" applyNumberFormat="1" applyBorder="1"/>
    <xf numFmtId="49" fontId="14" fillId="0" borderId="0" xfId="6" applyFill="1" applyBorder="1" applyAlignment="1"/>
    <xf numFmtId="0" fontId="21" fillId="0" borderId="1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9" fontId="25" fillId="0" borderId="17" xfId="67" applyFont="1" applyBorder="1" applyProtection="1">
      <protection locked="0"/>
    </xf>
    <xf numFmtId="10" fontId="25" fillId="0" borderId="17" xfId="67" applyNumberFormat="1" applyFont="1" applyBorder="1" applyProtection="1">
      <protection locked="0"/>
    </xf>
    <xf numFmtId="10" fontId="27" fillId="0" borderId="17" xfId="67" applyNumberFormat="1" applyFont="1" applyBorder="1"/>
    <xf numFmtId="10" fontId="0" fillId="0" borderId="0" xfId="0" applyNumberFormat="1"/>
    <xf numFmtId="49" fontId="16" fillId="0" borderId="0" xfId="8" applyFill="1" applyBorder="1">
      <alignment horizontal="left"/>
    </xf>
    <xf numFmtId="173" fontId="40" fillId="0" borderId="17" xfId="13" applyNumberFormat="1" applyFont="1" applyAlignment="1">
      <protection locked="0"/>
    </xf>
    <xf numFmtId="2" fontId="17" fillId="0" borderId="0" xfId="52" applyNumberFormat="1" applyFill="1" applyBorder="1" applyAlignment="1">
      <alignment horizontal="left" wrapText="1"/>
    </xf>
    <xf numFmtId="49" fontId="15" fillId="0" borderId="0" xfId="6" applyFont="1"/>
    <xf numFmtId="0" fontId="41" fillId="0" borderId="0" xfId="0" applyFont="1"/>
    <xf numFmtId="184" fontId="41" fillId="0" borderId="0" xfId="0" applyNumberFormat="1" applyFont="1"/>
    <xf numFmtId="187" fontId="0" fillId="0" borderId="0" xfId="67" applyNumberFormat="1" applyFont="1"/>
    <xf numFmtId="49" fontId="20" fillId="35" borderId="0" xfId="20" applyFill="1">
      <alignment horizontal="left" indent="1"/>
    </xf>
    <xf numFmtId="184" fontId="0" fillId="0" borderId="0" xfId="0" applyNumberFormat="1" applyBorder="1"/>
    <xf numFmtId="10" fontId="1" fillId="0" borderId="0" xfId="67" applyNumberFormat="1" applyFont="1"/>
    <xf numFmtId="2" fontId="17" fillId="0" borderId="21" xfId="52" applyNumberFormat="1" applyBorder="1" applyAlignment="1">
      <alignment horizontal="left" wrapText="1"/>
    </xf>
    <xf numFmtId="2" fontId="17" fillId="0" borderId="29" xfId="52" applyNumberFormat="1" applyBorder="1" applyAlignment="1">
      <alignment horizontal="left" wrapText="1"/>
    </xf>
    <xf numFmtId="0" fontId="1" fillId="0" borderId="21" xfId="14" applyBorder="1"/>
    <xf numFmtId="10" fontId="27" fillId="0" borderId="21" xfId="67" applyNumberFormat="1" applyFont="1" applyBorder="1"/>
    <xf numFmtId="0" fontId="0" fillId="0" borderId="29" xfId="14" applyFont="1" applyBorder="1"/>
    <xf numFmtId="9" fontId="25" fillId="0" borderId="29" xfId="67" applyFont="1" applyBorder="1" applyProtection="1">
      <protection locked="0"/>
    </xf>
    <xf numFmtId="10" fontId="25" fillId="0" borderId="29" xfId="67" applyNumberFormat="1" applyFont="1" applyBorder="1" applyProtection="1">
      <protection locked="0"/>
    </xf>
    <xf numFmtId="2" fontId="35" fillId="0" borderId="17" xfId="52" applyNumberFormat="1" applyFont="1" applyAlignment="1">
      <alignment horizontal="left" wrapText="1"/>
    </xf>
    <xf numFmtId="0" fontId="25" fillId="0" borderId="17" xfId="51" applyNumberFormat="1" applyFont="1"/>
    <xf numFmtId="49" fontId="15" fillId="0" borderId="0" xfId="6" applyFont="1" applyFill="1"/>
    <xf numFmtId="0" fontId="0" fillId="0" borderId="0" xfId="0" applyFill="1"/>
    <xf numFmtId="184" fontId="20" fillId="0" borderId="0" xfId="66" applyNumberFormat="1" applyFont="1" applyAlignment="1">
      <alignment horizontal="left" indent="1"/>
    </xf>
    <xf numFmtId="9" fontId="27" fillId="0" borderId="17" xfId="67" applyNumberFormat="1" applyFont="1" applyBorder="1"/>
    <xf numFmtId="0" fontId="17" fillId="0" borderId="25" xfId="52" applyBorder="1" applyAlignment="1">
      <alignment horizontal="left" wrapText="1" indent="1"/>
    </xf>
    <xf numFmtId="169" fontId="35" fillId="0" borderId="17" xfId="52" applyNumberFormat="1" applyFont="1" applyAlignment="1">
      <alignment horizontal="left" wrapText="1"/>
    </xf>
    <xf numFmtId="1" fontId="27" fillId="0" borderId="17" xfId="67" applyNumberFormat="1" applyFont="1" applyBorder="1"/>
    <xf numFmtId="173" fontId="44" fillId="0" borderId="17" xfId="53" applyFont="1" applyFill="1" applyBorder="1" applyAlignment="1"/>
    <xf numFmtId="2" fontId="27" fillId="0" borderId="17" xfId="67" applyNumberFormat="1" applyFont="1" applyBorder="1"/>
    <xf numFmtId="183" fontId="43" fillId="39" borderId="0" xfId="52" quotePrefix="1" applyNumberFormat="1" applyFont="1" applyFill="1" applyBorder="1" applyAlignment="1">
      <alignment horizontal="center" wrapText="1"/>
    </xf>
    <xf numFmtId="173" fontId="45" fillId="39" borderId="0" xfId="52" applyNumberFormat="1" applyFont="1" applyFill="1" applyBorder="1" applyAlignment="1">
      <alignment horizontal="center" vertical="center" wrapText="1"/>
    </xf>
    <xf numFmtId="173" fontId="42" fillId="39" borderId="0" xfId="52" applyNumberFormat="1" applyFont="1" applyFill="1" applyBorder="1" applyAlignment="1">
      <alignment horizontal="center" vertical="center" wrapText="1"/>
    </xf>
    <xf numFmtId="0" fontId="39" fillId="0" borderId="0" xfId="69" applyFont="1" applyAlignment="1">
      <alignment horizontal="left"/>
    </xf>
    <xf numFmtId="2" fontId="27" fillId="0" borderId="0" xfId="0" applyNumberFormat="1" applyFont="1"/>
    <xf numFmtId="2" fontId="46" fillId="0" borderId="17" xfId="67" applyNumberFormat="1" applyFont="1" applyBorder="1"/>
    <xf numFmtId="3" fontId="47" fillId="0" borderId="17" xfId="14" applyNumberFormat="1" applyFont="1"/>
    <xf numFmtId="9" fontId="0" fillId="0" borderId="0" xfId="67" applyFont="1"/>
    <xf numFmtId="10" fontId="0" fillId="0" borderId="0" xfId="67" applyNumberFormat="1" applyFont="1" applyBorder="1"/>
    <xf numFmtId="2" fontId="25" fillId="0" borderId="17" xfId="13" applyNumberFormat="1">
      <protection locked="0"/>
    </xf>
    <xf numFmtId="3" fontId="48" fillId="0" borderId="17" xfId="14" applyNumberFormat="1" applyFont="1"/>
    <xf numFmtId="2" fontId="48" fillId="0" borderId="0" xfId="0" applyNumberFormat="1" applyFont="1"/>
    <xf numFmtId="9" fontId="48" fillId="0" borderId="17" xfId="14" applyNumberFormat="1" applyFont="1"/>
    <xf numFmtId="3" fontId="48" fillId="0" borderId="29" xfId="14" applyNumberFormat="1" applyFont="1" applyBorder="1"/>
    <xf numFmtId="4" fontId="48" fillId="0" borderId="17" xfId="14" applyNumberFormat="1" applyFont="1"/>
    <xf numFmtId="0" fontId="43" fillId="0" borderId="17" xfId="52" applyFont="1" applyAlignment="1">
      <alignment horizontal="left" wrapText="1"/>
    </xf>
    <xf numFmtId="0" fontId="43" fillId="0" borderId="17" xfId="52" applyFont="1" applyAlignment="1">
      <alignment horizontal="left" wrapText="1" indent="1"/>
    </xf>
    <xf numFmtId="3" fontId="1" fillId="0" borderId="27" xfId="14" applyNumberFormat="1" applyBorder="1"/>
    <xf numFmtId="188" fontId="27" fillId="0" borderId="17" xfId="67" applyNumberFormat="1" applyFont="1" applyBorder="1"/>
    <xf numFmtId="186" fontId="25" fillId="0" borderId="0" xfId="13" applyNumberFormat="1" applyBorder="1">
      <protection locked="0"/>
    </xf>
    <xf numFmtId="2" fontId="13" fillId="0" borderId="17" xfId="67" applyNumberFormat="1" applyFont="1" applyBorder="1"/>
    <xf numFmtId="184" fontId="49" fillId="0" borderId="0" xfId="0" applyNumberFormat="1" applyFont="1"/>
    <xf numFmtId="0" fontId="49" fillId="0" borderId="0" xfId="0" applyFont="1"/>
    <xf numFmtId="0" fontId="50" fillId="0" borderId="17" xfId="52" applyFont="1" applyAlignment="1">
      <alignment horizontal="left" wrapText="1"/>
    </xf>
    <xf numFmtId="165" fontId="51" fillId="0" borderId="17" xfId="52" quotePrefix="1" applyNumberFormat="1" applyFont="1" applyAlignment="1">
      <alignment horizontal="left" wrapText="1"/>
    </xf>
    <xf numFmtId="3" fontId="51" fillId="0" borderId="17" xfId="14" applyNumberFormat="1" applyFont="1" applyAlignment="1">
      <alignment horizontal="right"/>
    </xf>
    <xf numFmtId="0" fontId="0" fillId="0" borderId="21" xfId="14" applyFont="1" applyFill="1" applyBorder="1" applyAlignment="1">
      <alignment vertical="top" wrapText="1"/>
    </xf>
    <xf numFmtId="0" fontId="1" fillId="0" borderId="21" xfId="14" applyFill="1" applyBorder="1" applyAlignment="1">
      <alignment wrapText="1"/>
    </xf>
  </cellXfs>
  <cellStyles count="79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Array" xfId="64" xr:uid="{07691C0A-FD31-4313-8425-4D1A5051034B}"/>
    <cellStyle name="Bad" xfId="11" builtinId="27" hidden="1"/>
    <cellStyle name="Calculation" xfId="15" builtinId="22" hidden="1"/>
    <cellStyle name="Check Cell" xfId="17" builtinId="23" hidden="1"/>
    <cellStyle name="Comma" xfId="1" builtinId="3" hidden="1"/>
    <cellStyle name="Comma" xfId="66" builtinId="3"/>
    <cellStyle name="Comma [0]" xfId="2" builtinId="6" customBuiltin="1"/>
    <cellStyle name="Comma [0] 2" xfId="74" xr:uid="{9324336E-8C92-4F03-BCF4-4488D715A1A1}"/>
    <cellStyle name="Comma [1]" xfId="57" xr:uid="{00000000-0005-0000-0000-00001D000000}"/>
    <cellStyle name="Comma [2]" xfId="55" xr:uid="{00000000-0005-0000-0000-00001E000000}"/>
    <cellStyle name="Comma [3]" xfId="63" xr:uid="{A1D469F7-D750-4585-894C-4600530DCF29}"/>
    <cellStyle name="Comma [4]" xfId="54" xr:uid="{00000000-0005-0000-0000-00001F000000}"/>
    <cellStyle name="Currency" xfId="3" builtinId="4" hidden="1"/>
    <cellStyle name="Currency [0]" xfId="4" builtinId="7" hidden="1"/>
    <cellStyle name="Date (short)" xfId="53" xr:uid="{00000000-0005-0000-0000-000022000000}"/>
    <cellStyle name="Explanatory Text" xfId="20" builtinId="53" customBuiltin="1"/>
    <cellStyle name="Explanatory Text 2" xfId="69" xr:uid="{B1307C26-DC44-4BBD-A897-0BF294B252FA}"/>
    <cellStyle name="Explanatory Text 3" xfId="65" xr:uid="{9EA0B1FA-BB76-4B50-A9D9-96E13C099AF5}"/>
    <cellStyle name="Followed Hyperlink" xfId="61" builtinId="9" customBuiltin="1"/>
    <cellStyle name="Good" xfId="10" builtinId="26" hidden="1"/>
    <cellStyle name="Heading 1" xfId="6" builtinId="16" customBuiltin="1"/>
    <cellStyle name="Heading 1 2" xfId="70" xr:uid="{371243F4-6F5B-4791-A7CC-37EF24296CAA}"/>
    <cellStyle name="Heading 2" xfId="7" builtinId="17" customBuiltin="1"/>
    <cellStyle name="Heading 2 2" xfId="76" xr:uid="{9E3E1A61-0780-477F-A53B-386870D4E83C}"/>
    <cellStyle name="Heading 3" xfId="8" builtinId="18" customBuiltin="1"/>
    <cellStyle name="Heading 4" xfId="9" builtinId="19" hidden="1"/>
    <cellStyle name="Hyperlink" xfId="58" builtinId="8" customBuiltin="1"/>
    <cellStyle name="Input" xfId="13" builtinId="20" customBuiltin="1"/>
    <cellStyle name="Input 2" xfId="78" xr:uid="{B185D805-4E3A-4A87-A521-ABB7441B2DC0}"/>
    <cellStyle name="Label" xfId="52" xr:uid="{00000000-0005-0000-0000-00002B000000}"/>
    <cellStyle name="Label 2" xfId="71" xr:uid="{ADEBDDD1-1B20-4AAB-9A0B-1C7D8EF8F4DC}"/>
    <cellStyle name="Link" xfId="51" xr:uid="{00000000-0005-0000-0000-00002C000000}"/>
    <cellStyle name="Link 2" xfId="73" xr:uid="{4B1CE514-28A7-4423-A2FE-5831364C9CC9}"/>
    <cellStyle name="Linked Cell" xfId="16" builtinId="24" hidden="1"/>
    <cellStyle name="Neutral" xfId="12" builtinId="28" hidden="1"/>
    <cellStyle name="Normal" xfId="0" builtinId="0" customBuiltin="1"/>
    <cellStyle name="Note" xfId="19" builtinId="10" hidden="1"/>
    <cellStyle name="Output" xfId="14" builtinId="21" customBuiltin="1"/>
    <cellStyle name="Output 2" xfId="72" xr:uid="{D18A827E-FCDF-4EF5-9393-F014F632DBFB}"/>
    <cellStyle name="Percent" xfId="59" builtinId="5" hidden="1" customBuiltin="1"/>
    <cellStyle name="Percent" xfId="67" builtinId="5"/>
    <cellStyle name="Percent [0]" xfId="60" xr:uid="{00000000-0005-0000-0000-000033000000}"/>
    <cellStyle name="Percent [1]" xfId="50" xr:uid="{00000000-0005-0000-0000-000034000000}"/>
    <cellStyle name="Percent [2]" xfId="49" xr:uid="{00000000-0005-0000-0000-000035000000}"/>
    <cellStyle name="Percent [3]" xfId="48" xr:uid="{00000000-0005-0000-0000-000036000000}"/>
    <cellStyle name="Percent [4]" xfId="62" xr:uid="{79194CCB-4C1F-48BE-9FC9-8A0A23BD7FB1}"/>
    <cellStyle name="Rt border" xfId="47" xr:uid="{00000000-0005-0000-0000-000037000000}"/>
    <cellStyle name="Rt margin 2" xfId="77" xr:uid="{D02FDD80-45B1-452F-BCBB-66B6DBEC4E1B}"/>
    <cellStyle name="Text" xfId="56" xr:uid="{00000000-0005-0000-0000-000038000000}"/>
    <cellStyle name="Text 2" xfId="75" xr:uid="{E66BF284-AB94-4790-832B-E784C51AD4E5}"/>
    <cellStyle name="Title" xfId="5" builtinId="15" customBuiltin="1"/>
    <cellStyle name="Title 2" xfId="68" xr:uid="{CCD881BE-777C-459B-960A-BD698B1C6BD1}"/>
    <cellStyle name="Total" xfId="21" builtinId="25" hidden="1"/>
    <cellStyle name="Warning Text" xfId="18" builtinId="11" hidden="1"/>
    <cellStyle name="Year" xfId="46" xr:uid="{00000000-0005-0000-0000-00003C000000}"/>
  </cellStyles>
  <dxfs count="0"/>
  <tableStyles count="0" defaultTableStyle="TableStyleMedium2" defaultPivotStyle="PivotStyleLight16"/>
  <colors>
    <mruColors>
      <color rgb="FF645F3A"/>
      <color rgb="FFC9C4A3"/>
      <color rgb="FFC00000"/>
      <color rgb="FFEAE8DA"/>
      <color rgb="FFB0A97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1</xdr:col>
      <xdr:colOff>815956</xdr:colOff>
      <xdr:row>1</xdr:row>
      <xdr:rowOff>767969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6A5812-3E3B-4333-AC41-3E7F165A9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47650"/>
          <a:ext cx="2339956" cy="71081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</xdr:row>
      <xdr:rowOff>247650</xdr:rowOff>
    </xdr:from>
    <xdr:to>
      <xdr:col>4</xdr:col>
      <xdr:colOff>104775</xdr:colOff>
      <xdr:row>21</xdr:row>
      <xdr:rowOff>133350</xdr:rowOff>
    </xdr:to>
    <xdr:pic>
      <xdr:nvPicPr>
        <xdr:cNvPr id="7" name="Picture 6" descr="Fibre Summary Document-cover template">
          <a:extLst>
            <a:ext uri="{FF2B5EF4-FFF2-40B4-BE49-F238E27FC236}">
              <a16:creationId xmlns:a16="http://schemas.microsoft.com/office/drawing/2014/main" id="{382D9398-4058-4A3A-B400-A461A6236EB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800" y="1952625"/>
          <a:ext cx="8782050" cy="4038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44822</xdr:colOff>
      <xdr:row>7</xdr:row>
      <xdr:rowOff>133908</xdr:rowOff>
    </xdr:from>
    <xdr:to>
      <xdr:col>4</xdr:col>
      <xdr:colOff>694765</xdr:colOff>
      <xdr:row>8</xdr:row>
      <xdr:rowOff>156883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CD2215-4F88-492A-BDC6-0346984D2074}"/>
            </a:ext>
          </a:extLst>
        </xdr:cNvPr>
        <xdr:cNvSpPr txBox="1"/>
      </xdr:nvSpPr>
      <xdr:spPr>
        <a:xfrm>
          <a:off x="224116" y="2195790"/>
          <a:ext cx="10668002" cy="32502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1.   Financial quantities in this model are expressed in NZD000</a:t>
          </a:r>
        </a:p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2.   The modelling assumes a 'financial loss year' of 30 June, with part years in 2011/12 and 2021/22</a:t>
          </a:r>
        </a:p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3.</a:t>
          </a:r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  All data used by the model are entered in the Inputs worksheet. All inputs are illustrative only and not intended to relate to any specific</a:t>
          </a:r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regulated provider</a:t>
          </a:r>
          <a:b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4.   </a:t>
          </a:r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The model makes a number of simplifying assumptions. For example:</a:t>
          </a:r>
        </a:p>
        <a:p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      - regulatory depreciation and tax depreciation are calculated on a straight-line basis using an illustrative average asset life</a:t>
          </a:r>
        </a:p>
        <a:p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      - the present value benefit of Crown financing is calculated using a compounding factor based on the post-tax WACC (not post-tax cost of debt, or cost of equity)</a:t>
          </a:r>
        </a:p>
        <a:p>
          <a:r>
            <a:rPr lang="en-NZ" sz="11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      - WACC inputs are illustrative only and are not intended to reflect observed parameters</a:t>
          </a:r>
        </a:p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       - opening and closing cost allocation values are set to 100% during the loss period. These can be changed on the Inputs</a:t>
          </a:r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worksheet (row 16) to observe the effect of changing cost allocation.</a:t>
          </a:r>
        </a:p>
        <a:p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       - the value of pre-2011 assets at the start date of 1 December 2011 is set to nil. This can be changed on the Inputs worksheet (cell C8) to observe the effect of including pre-2011 assets.</a:t>
          </a:r>
          <a:endParaRPr lang="en-NZ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5.  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en-NZ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red font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applied to cells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containing input values (which can be altered by users) on the Inputs worksheet.</a:t>
          </a:r>
          <a:endParaRPr lang="en-N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A </a:t>
          </a:r>
          <a:r>
            <a:rPr lang="en-NZ" sz="1100" b="1">
              <a:solidFill>
                <a:schemeClr val="accent5">
                  <a:lumMod val="7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beige</a:t>
          </a:r>
          <a:r>
            <a:rPr lang="en-NZ" sz="1100" b="1" baseline="0">
              <a:solidFill>
                <a:schemeClr val="accent5">
                  <a:lumMod val="7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NZ" sz="1100" b="1">
              <a:solidFill>
                <a:schemeClr val="accent5">
                  <a:lumMod val="75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font </a:t>
          </a:r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is applied to cells on the DCF worksheet</a:t>
          </a:r>
          <a:r>
            <a:rPr lang="en-NZ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containing a formula linking to the Inputs worksheet.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A </a:t>
          </a:r>
          <a:r>
            <a:rPr lang="en-N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font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applied to all numerical cells on the DCF worksheet containing a formula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NZ">
            <a:effectLst/>
          </a:endParaRPr>
        </a:p>
        <a:p>
          <a:r>
            <a:rPr lang="en-NZ" sz="1100">
              <a:latin typeface="Calibri" panose="020F0502020204030204" pitchFamily="34" charset="0"/>
              <a:cs typeface="Calibri" panose="020F0502020204030204" pitchFamily="34" charset="0"/>
            </a:rPr>
            <a:t>       </a:t>
          </a:r>
          <a:endParaRPr lang="en-NZ" sz="1100" b="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r/Documents/Steve/Workplan/Cashflow%20timing/Financial-model-EDB-DPP3-updated-draft-25-September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Description"/>
      <sheetName val="Table of Contents"/>
      <sheetName val="Inputs"/>
      <sheetName val="EDB data"/>
      <sheetName val="TIMING"/>
      <sheetName val="RAB"/>
      <sheetName val="TAX"/>
      <sheetName val="BBAR"/>
      <sheetName val="MAR"/>
      <sheetName val="IRR"/>
      <sheetName val="Outputs"/>
      <sheetName val="Chartbook outputs"/>
    </sheetNames>
    <sheetDataSet>
      <sheetData sheetId="0"/>
      <sheetData sheetId="1"/>
      <sheetData sheetId="2"/>
      <sheetData sheetId="3"/>
      <sheetData sheetId="4">
        <row r="9">
          <cell r="B9">
            <v>4.5699999999999998E-2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emeJM">
  <a:themeElements>
    <a:clrScheme name="comcom">
      <a:dk1>
        <a:sysClr val="windowText" lastClr="000000"/>
      </a:dk1>
      <a:lt1>
        <a:srgbClr val="FFFFFF"/>
      </a:lt1>
      <a:dk2>
        <a:srgbClr val="639B9F"/>
      </a:dk2>
      <a:lt2>
        <a:srgbClr val="D29C2E"/>
      </a:lt2>
      <a:accent1>
        <a:srgbClr val="BA0F2C"/>
      </a:accent1>
      <a:accent2>
        <a:srgbClr val="7EA0AE"/>
      </a:accent2>
      <a:accent3>
        <a:srgbClr val="E89466"/>
      </a:accent3>
      <a:accent4>
        <a:srgbClr val="3F5E58"/>
      </a:accent4>
      <a:accent5>
        <a:srgbClr val="B6AB86"/>
      </a:accent5>
      <a:accent6>
        <a:srgbClr val="654B45"/>
      </a:accent6>
      <a:hlink>
        <a:srgbClr val="7EA0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D22"/>
  <sheetViews>
    <sheetView showGridLines="0" tabSelected="1" view="pageBreakPreview" zoomScaleNormal="100" zoomScaleSheetLayoutView="100" workbookViewId="0"/>
  </sheetViews>
  <sheetFormatPr defaultColWidth="9.1796875" defaultRowHeight="14.5" x14ac:dyDescent="0.35"/>
  <cols>
    <col min="1" max="1" width="26.54296875" style="1" customWidth="1"/>
    <col min="2" max="2" width="43.1796875" style="1" customWidth="1"/>
    <col min="3" max="3" width="32.7265625" style="1" customWidth="1"/>
    <col min="4" max="4" width="32.26953125" style="1" customWidth="1"/>
    <col min="5" max="16384" width="9.1796875" style="1"/>
  </cols>
  <sheetData>
    <row r="1" spans="1:4" ht="15" customHeight="1" x14ac:dyDescent="0.35">
      <c r="A1" s="15"/>
      <c r="B1" s="16"/>
      <c r="C1" s="16"/>
      <c r="D1" s="17"/>
    </row>
    <row r="2" spans="1:4" ht="96.75" customHeight="1" x14ac:dyDescent="0.35">
      <c r="A2" s="24"/>
      <c r="B2" s="11"/>
      <c r="C2" s="11"/>
      <c r="D2" s="7"/>
    </row>
    <row r="3" spans="1:4" ht="22.5" customHeight="1" x14ac:dyDescent="0.6">
      <c r="A3" s="74" t="s">
        <v>18</v>
      </c>
      <c r="B3" s="73"/>
      <c r="C3" s="6"/>
      <c r="D3" s="5"/>
    </row>
    <row r="4" spans="1:4" ht="22.5" customHeight="1" x14ac:dyDescent="0.6">
      <c r="A4" s="25" t="s">
        <v>150</v>
      </c>
      <c r="B4" s="6"/>
      <c r="C4" s="6"/>
      <c r="D4" s="5"/>
    </row>
    <row r="5" spans="1:4" ht="22.5" customHeight="1" x14ac:dyDescent="0.6">
      <c r="A5" s="25" t="s">
        <v>142</v>
      </c>
      <c r="B5" s="6"/>
      <c r="C5" s="6"/>
      <c r="D5" s="5"/>
    </row>
    <row r="6" spans="1:4" ht="22.5" customHeight="1" x14ac:dyDescent="0.6">
      <c r="A6" s="25"/>
      <c r="B6" s="6"/>
      <c r="C6" s="6"/>
      <c r="D6" s="5"/>
    </row>
    <row r="7" spans="1:4" ht="22.5" customHeight="1" x14ac:dyDescent="0.6">
      <c r="A7" s="25"/>
      <c r="B7" s="60"/>
      <c r="C7" s="60"/>
      <c r="D7" s="6"/>
    </row>
    <row r="8" spans="1:4" x14ac:dyDescent="0.35">
      <c r="B8" s="61"/>
      <c r="C8" s="61"/>
    </row>
    <row r="9" spans="1:4" x14ac:dyDescent="0.35">
      <c r="B9" s="61"/>
      <c r="C9" s="61"/>
    </row>
    <row r="10" spans="1:4" x14ac:dyDescent="0.35">
      <c r="B10" s="61"/>
      <c r="C10" s="61"/>
    </row>
    <row r="11" spans="1:4" ht="42" customHeight="1" x14ac:dyDescent="0.35">
      <c r="A11" s="24"/>
      <c r="B11" s="62"/>
      <c r="C11" s="62"/>
      <c r="D11" s="7"/>
    </row>
    <row r="12" spans="1:4" ht="15" customHeight="1" x14ac:dyDescent="0.35">
      <c r="A12" s="24"/>
      <c r="B12" s="18"/>
      <c r="C12" s="18"/>
      <c r="D12" s="10"/>
    </row>
    <row r="13" spans="1:4" ht="15" customHeight="1" x14ac:dyDescent="0.35">
      <c r="A13" s="9"/>
      <c r="B13" s="18"/>
      <c r="C13" s="18"/>
      <c r="D13" s="7"/>
    </row>
    <row r="14" spans="1:4" ht="15" customHeight="1" x14ac:dyDescent="0.35">
      <c r="A14" s="9"/>
      <c r="B14" s="18"/>
      <c r="C14" s="18"/>
      <c r="D14" s="7"/>
    </row>
    <row r="15" spans="1:4" ht="15" customHeight="1" x14ac:dyDescent="0.35">
      <c r="A15" s="9"/>
      <c r="B15" s="18"/>
      <c r="C15" s="18"/>
      <c r="D15" s="7"/>
    </row>
    <row r="16" spans="1:4" ht="15" customHeight="1" x14ac:dyDescent="0.35">
      <c r="A16" s="9"/>
      <c r="B16" s="18"/>
      <c r="C16" s="18"/>
      <c r="D16" s="10"/>
    </row>
    <row r="17" spans="1:4" ht="15" customHeight="1" x14ac:dyDescent="0.35">
      <c r="A17" s="9"/>
      <c r="B17" s="18"/>
      <c r="C17" s="18"/>
      <c r="D17" s="10"/>
    </row>
    <row r="18" spans="1:4" ht="15" customHeight="1" x14ac:dyDescent="0.35">
      <c r="A18" s="9"/>
      <c r="B18" s="18"/>
      <c r="C18" s="18"/>
      <c r="D18" s="7"/>
    </row>
    <row r="19" spans="1:4" ht="15" customHeight="1" x14ac:dyDescent="0.35">
      <c r="A19" s="9"/>
      <c r="B19" s="18"/>
      <c r="C19" s="18"/>
      <c r="D19" s="7"/>
    </row>
    <row r="20" spans="1:4" ht="15" customHeight="1" x14ac:dyDescent="0.35">
      <c r="A20" s="9"/>
      <c r="B20" s="18"/>
      <c r="C20" s="18"/>
      <c r="D20" s="7"/>
    </row>
    <row r="21" spans="1:4" ht="15" customHeight="1" x14ac:dyDescent="0.35">
      <c r="A21" s="80" t="s">
        <v>143</v>
      </c>
      <c r="B21" s="81"/>
      <c r="C21" s="81"/>
      <c r="D21" s="5"/>
    </row>
    <row r="22" spans="1:4" ht="15" customHeight="1" x14ac:dyDescent="0.35">
      <c r="A22" s="4"/>
      <c r="B22" s="3"/>
      <c r="C22" s="3"/>
      <c r="D22" s="2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F21"/>
  <sheetViews>
    <sheetView showGridLines="0" view="pageBreakPreview" zoomScaleNormal="100" zoomScaleSheetLayoutView="100" workbookViewId="0"/>
  </sheetViews>
  <sheetFormatPr defaultColWidth="9.1796875" defaultRowHeight="14.5" x14ac:dyDescent="0.35"/>
  <cols>
    <col min="1" max="1" width="2.7265625" style="1" customWidth="1"/>
    <col min="2" max="2" width="34.7265625" style="1" customWidth="1"/>
    <col min="3" max="3" width="100.7265625" style="1" customWidth="1"/>
    <col min="4" max="5" width="14.7265625" style="1" customWidth="1"/>
    <col min="6" max="6" width="2.7265625" style="1" customWidth="1"/>
    <col min="7" max="16384" width="9.1796875" style="1"/>
  </cols>
  <sheetData>
    <row r="1" spans="1:6" ht="26" x14ac:dyDescent="0.6">
      <c r="A1" s="12" t="s">
        <v>0</v>
      </c>
      <c r="B1" s="8"/>
      <c r="C1" s="8"/>
      <c r="D1" s="8"/>
      <c r="E1" s="8"/>
      <c r="F1" s="8"/>
    </row>
    <row r="2" spans="1:6" x14ac:dyDescent="0.35">
      <c r="A2" s="19" t="s">
        <v>80</v>
      </c>
      <c r="C2" s="8"/>
      <c r="D2" s="8"/>
      <c r="E2" s="8"/>
      <c r="F2" s="8"/>
    </row>
    <row r="3" spans="1:6" x14ac:dyDescent="0.35">
      <c r="A3" s="8"/>
      <c r="B3" s="8"/>
      <c r="C3" s="8"/>
      <c r="D3" s="8"/>
      <c r="E3" s="8"/>
      <c r="F3" s="8"/>
    </row>
    <row r="4" spans="1:6" ht="23.5" x14ac:dyDescent="0.55000000000000004">
      <c r="A4" s="8"/>
      <c r="B4" s="79" t="s">
        <v>35</v>
      </c>
      <c r="C4" s="8"/>
      <c r="D4" s="8"/>
      <c r="E4" s="8"/>
      <c r="F4" s="8"/>
    </row>
    <row r="5" spans="1:6" ht="34.5" customHeight="1" x14ac:dyDescent="0.35">
      <c r="A5" s="8"/>
      <c r="B5" s="140" t="s">
        <v>151</v>
      </c>
      <c r="C5" s="141"/>
      <c r="D5" s="141"/>
      <c r="E5" s="141"/>
      <c r="F5" s="8"/>
    </row>
    <row r="6" spans="1:6" ht="9" customHeight="1" x14ac:dyDescent="0.35">
      <c r="A6" s="8"/>
      <c r="B6" s="14"/>
      <c r="C6" s="14"/>
      <c r="D6" s="14"/>
      <c r="E6" s="14"/>
      <c r="F6" s="8"/>
    </row>
    <row r="7" spans="1:6" ht="23.5" x14ac:dyDescent="0.55000000000000004">
      <c r="A7" s="8"/>
      <c r="B7" s="76" t="s">
        <v>2</v>
      </c>
      <c r="C7" s="20"/>
      <c r="D7" s="21"/>
      <c r="E7" s="22"/>
      <c r="F7" s="8"/>
    </row>
    <row r="8" spans="1:6" ht="216" customHeight="1" x14ac:dyDescent="0.35">
      <c r="A8" s="8"/>
      <c r="B8" s="75"/>
      <c r="C8" s="23"/>
      <c r="D8" s="23"/>
      <c r="E8" s="23"/>
      <c r="F8" s="8"/>
    </row>
    <row r="9" spans="1:6" x14ac:dyDescent="0.35">
      <c r="A9" s="8"/>
      <c r="B9" s="27"/>
      <c r="C9" s="27"/>
      <c r="D9" s="27"/>
      <c r="E9" s="27"/>
      <c r="F9" s="8"/>
    </row>
    <row r="10" spans="1:6" x14ac:dyDescent="0.35">
      <c r="A10" s="8"/>
      <c r="B10" s="26"/>
      <c r="C10" s="26"/>
      <c r="D10" s="26"/>
      <c r="E10" s="26"/>
      <c r="F10" s="8"/>
    </row>
    <row r="11" spans="1:6" x14ac:dyDescent="0.35">
      <c r="A11" s="8"/>
      <c r="B11" s="13"/>
      <c r="C11" s="13"/>
      <c r="D11" s="13"/>
      <c r="E11" s="13"/>
      <c r="F11" s="8"/>
    </row>
    <row r="12" spans="1:6" x14ac:dyDescent="0.35">
      <c r="A12" s="8"/>
      <c r="B12" s="8"/>
      <c r="C12" s="8"/>
      <c r="D12" s="8"/>
      <c r="E12" s="8"/>
      <c r="F12" s="8"/>
    </row>
    <row r="13" spans="1:6" x14ac:dyDescent="0.35">
      <c r="A13" s="8"/>
      <c r="B13" s="8"/>
      <c r="C13" s="8"/>
      <c r="D13" s="8"/>
      <c r="E13" s="8"/>
      <c r="F13" s="8"/>
    </row>
    <row r="14" spans="1:6" x14ac:dyDescent="0.35">
      <c r="A14" s="8"/>
      <c r="B14" s="8"/>
      <c r="C14" s="8"/>
      <c r="D14" s="8"/>
      <c r="E14" s="8"/>
      <c r="F14" s="8"/>
    </row>
    <row r="15" spans="1:6" x14ac:dyDescent="0.35">
      <c r="A15" s="8"/>
      <c r="B15" s="8"/>
      <c r="C15" s="8"/>
      <c r="D15" s="8"/>
      <c r="E15" s="8"/>
      <c r="F15" s="8"/>
    </row>
    <row r="16" spans="1:6" x14ac:dyDescent="0.35">
      <c r="A16" s="8"/>
      <c r="B16" s="8"/>
      <c r="C16" s="8"/>
      <c r="D16" s="8"/>
      <c r="E16" s="8"/>
      <c r="F16" s="8"/>
    </row>
    <row r="17" spans="1:6" x14ac:dyDescent="0.35">
      <c r="A17" s="8"/>
      <c r="B17" s="8"/>
      <c r="C17" s="8"/>
      <c r="D17" s="8"/>
      <c r="E17" s="8"/>
      <c r="F17" s="8"/>
    </row>
    <row r="18" spans="1:6" x14ac:dyDescent="0.35">
      <c r="A18" s="8"/>
      <c r="B18" s="8"/>
      <c r="C18" s="8"/>
      <c r="D18" s="8"/>
      <c r="E18" s="8"/>
      <c r="F18" s="8"/>
    </row>
    <row r="19" spans="1:6" x14ac:dyDescent="0.35">
      <c r="A19" s="8"/>
      <c r="B19" s="8"/>
      <c r="C19" s="8"/>
      <c r="D19" s="8"/>
      <c r="E19" s="8"/>
      <c r="F19" s="8"/>
    </row>
    <row r="20" spans="1:6" x14ac:dyDescent="0.35">
      <c r="A20" s="8"/>
      <c r="B20" s="8"/>
      <c r="C20" s="8"/>
      <c r="D20" s="8"/>
      <c r="E20" s="8"/>
      <c r="F20" s="8"/>
    </row>
    <row r="21" spans="1:6" x14ac:dyDescent="0.35">
      <c r="A21" s="8"/>
      <c r="B21" s="8"/>
      <c r="C21" s="8"/>
      <c r="D21" s="8"/>
      <c r="E21" s="8"/>
      <c r="F21" s="8"/>
    </row>
  </sheetData>
  <sheetProtection formatColumns="0" formatRows="0"/>
  <mergeCells count="1">
    <mergeCell ref="B5:E5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33C6-ACA5-4222-88F1-9B353F7AD99F}">
  <sheetPr>
    <tabColor theme="6"/>
    <pageSetUpPr fitToPage="1"/>
  </sheetPr>
  <dimension ref="A1:XFB75"/>
  <sheetViews>
    <sheetView showGridLines="0" view="pageBreakPreview" zoomScaleNormal="85" zoomScaleSheetLayoutView="100" workbookViewId="0"/>
  </sheetViews>
  <sheetFormatPr defaultColWidth="9.1796875" defaultRowHeight="14.5" x14ac:dyDescent="0.35"/>
  <cols>
    <col min="1" max="1" width="57.453125" style="31" customWidth="1"/>
    <col min="2" max="3" width="12" style="1" customWidth="1"/>
    <col min="4" max="14" width="13.453125" style="1" customWidth="1"/>
    <col min="15" max="15" width="3.1796875" style="1" customWidth="1"/>
    <col min="16" max="16" width="13.81640625" style="1" customWidth="1"/>
    <col min="17" max="17" width="54.7265625" style="1" customWidth="1"/>
    <col min="18" max="16384" width="9.1796875" style="1"/>
  </cols>
  <sheetData>
    <row r="1" spans="1:35" ht="26" x14ac:dyDescent="0.6">
      <c r="A1" s="12" t="s">
        <v>1</v>
      </c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</row>
    <row r="2" spans="1:35" x14ac:dyDescent="0.35">
      <c r="A2" s="117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35" x14ac:dyDescent="0.35">
      <c r="A3" s="7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93" t="s">
        <v>125</v>
      </c>
      <c r="Q3" s="93" t="s">
        <v>2</v>
      </c>
    </row>
    <row r="4" spans="1:35" ht="21" x14ac:dyDescent="0.5">
      <c r="A4" s="67" t="s">
        <v>33</v>
      </c>
      <c r="C4" s="114" t="s">
        <v>63</v>
      </c>
      <c r="D4" s="114" t="s">
        <v>126</v>
      </c>
      <c r="E4" s="114" t="s">
        <v>64</v>
      </c>
      <c r="F4" s="114" t="s">
        <v>64</v>
      </c>
      <c r="G4" s="114" t="s">
        <v>64</v>
      </c>
      <c r="H4" s="114" t="s">
        <v>64</v>
      </c>
      <c r="I4" s="114" t="s">
        <v>64</v>
      </c>
      <c r="J4" s="114" t="s">
        <v>64</v>
      </c>
      <c r="K4" s="114" t="s">
        <v>64</v>
      </c>
      <c r="L4" s="114" t="s">
        <v>64</v>
      </c>
      <c r="M4" s="114" t="s">
        <v>64</v>
      </c>
      <c r="N4" s="114" t="s">
        <v>127</v>
      </c>
      <c r="O4" s="64"/>
      <c r="P4" s="64"/>
    </row>
    <row r="5" spans="1:35" ht="18.5" x14ac:dyDescent="0.45">
      <c r="A5" s="86"/>
      <c r="B5" s="86"/>
      <c r="C5" s="116">
        <f>$C$51</f>
        <v>40878</v>
      </c>
      <c r="D5" s="116">
        <f>$D$51</f>
        <v>41090</v>
      </c>
      <c r="E5" s="116">
        <f>$E$51</f>
        <v>41455</v>
      </c>
      <c r="F5" s="116">
        <f>$F$51</f>
        <v>41820</v>
      </c>
      <c r="G5" s="116">
        <f>$G$51</f>
        <v>42185</v>
      </c>
      <c r="H5" s="116">
        <f>$H$51</f>
        <v>42551</v>
      </c>
      <c r="I5" s="116">
        <f>$I$51</f>
        <v>42916</v>
      </c>
      <c r="J5" s="116">
        <f>$J$51</f>
        <v>43281</v>
      </c>
      <c r="K5" s="116">
        <f>$K$51</f>
        <v>43646</v>
      </c>
      <c r="L5" s="116">
        <f>$L$51</f>
        <v>44012</v>
      </c>
      <c r="M5" s="116">
        <f>$M$51</f>
        <v>44377</v>
      </c>
      <c r="N5" s="116">
        <f>N$51</f>
        <v>44561</v>
      </c>
    </row>
    <row r="6" spans="1:35" s="31" customFormat="1" ht="18.5" x14ac:dyDescent="0.45">
      <c r="A6" s="57" t="s">
        <v>59</v>
      </c>
      <c r="O6" s="94"/>
      <c r="P6" s="9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68"/>
    </row>
    <row r="7" spans="1:35" x14ac:dyDescent="0.35">
      <c r="A7" s="34" t="s">
        <v>102</v>
      </c>
      <c r="B7" s="59" t="s">
        <v>19</v>
      </c>
      <c r="C7" s="32"/>
      <c r="D7" s="32">
        <v>0</v>
      </c>
      <c r="E7" s="32">
        <v>50</v>
      </c>
      <c r="F7" s="32">
        <v>100</v>
      </c>
      <c r="G7" s="32">
        <v>150</v>
      </c>
      <c r="H7" s="32">
        <v>200</v>
      </c>
      <c r="I7" s="32">
        <v>210</v>
      </c>
      <c r="J7" s="32">
        <v>220</v>
      </c>
      <c r="K7" s="32">
        <v>230</v>
      </c>
      <c r="L7" s="33">
        <v>240</v>
      </c>
      <c r="M7" s="33">
        <v>250</v>
      </c>
      <c r="N7" s="33">
        <v>260</v>
      </c>
      <c r="O7" s="94"/>
      <c r="P7" s="30" t="s">
        <v>82</v>
      </c>
      <c r="Q7" s="43" t="s">
        <v>152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x14ac:dyDescent="0.35">
      <c r="A8" s="34" t="s">
        <v>132</v>
      </c>
      <c r="B8" s="59" t="s">
        <v>19</v>
      </c>
      <c r="C8" s="32"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94"/>
      <c r="P8" s="30" t="s">
        <v>82</v>
      </c>
      <c r="Q8" s="43" t="s">
        <v>153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x14ac:dyDescent="0.35">
      <c r="A9" s="34" t="s">
        <v>90</v>
      </c>
      <c r="B9" s="59" t="s">
        <v>19</v>
      </c>
      <c r="C9" s="32"/>
      <c r="D9" s="32">
        <v>50</v>
      </c>
      <c r="E9" s="32">
        <v>100</v>
      </c>
      <c r="F9" s="32">
        <v>150</v>
      </c>
      <c r="G9" s="32">
        <v>200</v>
      </c>
      <c r="H9" s="32">
        <v>200</v>
      </c>
      <c r="I9" s="32">
        <v>200</v>
      </c>
      <c r="J9" s="32">
        <v>200</v>
      </c>
      <c r="K9" s="32">
        <v>200</v>
      </c>
      <c r="L9" s="32">
        <v>200</v>
      </c>
      <c r="M9" s="32">
        <v>200</v>
      </c>
      <c r="N9" s="32">
        <v>200</v>
      </c>
      <c r="O9" s="94"/>
      <c r="P9" s="30" t="s">
        <v>82</v>
      </c>
      <c r="Q9" s="43" t="s">
        <v>154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x14ac:dyDescent="0.35">
      <c r="A10" s="34" t="s">
        <v>92</v>
      </c>
      <c r="B10" s="59" t="s">
        <v>19</v>
      </c>
      <c r="C10" s="32"/>
      <c r="D10" s="32">
        <v>50</v>
      </c>
      <c r="E10" s="32">
        <v>100</v>
      </c>
      <c r="F10" s="32">
        <v>150</v>
      </c>
      <c r="G10" s="32">
        <v>150</v>
      </c>
      <c r="H10" s="32">
        <v>150</v>
      </c>
      <c r="I10" s="32">
        <v>150</v>
      </c>
      <c r="J10" s="32">
        <v>150</v>
      </c>
      <c r="K10" s="32">
        <v>150</v>
      </c>
      <c r="L10" s="32">
        <v>150</v>
      </c>
      <c r="M10" s="32">
        <v>150</v>
      </c>
      <c r="N10" s="33">
        <v>150</v>
      </c>
      <c r="O10" s="94"/>
      <c r="P10" s="30" t="s">
        <v>82</v>
      </c>
      <c r="Q10" s="43" t="s">
        <v>155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x14ac:dyDescent="0.35">
      <c r="A11" s="42"/>
      <c r="B11" s="70"/>
      <c r="C11" s="133"/>
      <c r="D11" s="43"/>
      <c r="E11" s="43"/>
    </row>
    <row r="12" spans="1:35" ht="18.5" x14ac:dyDescent="0.45">
      <c r="A12" s="50" t="s">
        <v>46</v>
      </c>
      <c r="B12" s="63"/>
      <c r="C12" s="63"/>
    </row>
    <row r="13" spans="1:35" x14ac:dyDescent="0.35">
      <c r="A13" s="34" t="s">
        <v>25</v>
      </c>
      <c r="B13" s="59" t="s">
        <v>40</v>
      </c>
      <c r="C13" s="59"/>
      <c r="D13" s="52">
        <v>30</v>
      </c>
      <c r="E13" s="52">
        <v>30</v>
      </c>
      <c r="F13" s="52">
        <v>30</v>
      </c>
      <c r="G13" s="52">
        <v>30</v>
      </c>
      <c r="H13" s="52">
        <v>30</v>
      </c>
      <c r="I13" s="52">
        <v>30</v>
      </c>
      <c r="J13" s="52">
        <v>30</v>
      </c>
      <c r="K13" s="52">
        <v>30</v>
      </c>
      <c r="L13" s="52">
        <v>30</v>
      </c>
      <c r="M13" s="52">
        <v>30</v>
      </c>
      <c r="N13" s="52">
        <v>30</v>
      </c>
      <c r="O13" s="94"/>
      <c r="P13" s="94"/>
      <c r="Q13" s="43" t="s">
        <v>156</v>
      </c>
    </row>
    <row r="14" spans="1:35" x14ac:dyDescent="0.35">
      <c r="A14" s="34"/>
      <c r="B14" s="59"/>
      <c r="C14" s="5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35" ht="18.399999999999999" customHeight="1" x14ac:dyDescent="0.35">
      <c r="A15" s="56" t="s">
        <v>97</v>
      </c>
      <c r="B15" s="56" t="s">
        <v>21</v>
      </c>
      <c r="C15" s="56"/>
      <c r="D15" s="108">
        <f>C16</f>
        <v>1</v>
      </c>
      <c r="E15" s="108">
        <f>D16</f>
        <v>1</v>
      </c>
      <c r="F15" s="108">
        <f t="shared" ref="F15:N15" si="0">E16</f>
        <v>1</v>
      </c>
      <c r="G15" s="108">
        <f t="shared" si="0"/>
        <v>1</v>
      </c>
      <c r="H15" s="108">
        <f t="shared" si="0"/>
        <v>1</v>
      </c>
      <c r="I15" s="108">
        <f t="shared" si="0"/>
        <v>1</v>
      </c>
      <c r="J15" s="108">
        <f t="shared" si="0"/>
        <v>1</v>
      </c>
      <c r="K15" s="108">
        <f t="shared" si="0"/>
        <v>1</v>
      </c>
      <c r="L15" s="108">
        <f t="shared" si="0"/>
        <v>1</v>
      </c>
      <c r="M15" s="108">
        <f t="shared" si="0"/>
        <v>1</v>
      </c>
      <c r="N15" s="108">
        <f t="shared" si="0"/>
        <v>1</v>
      </c>
      <c r="O15" s="39"/>
      <c r="P15" s="39" t="s">
        <v>96</v>
      </c>
      <c r="Q15" s="43"/>
    </row>
    <row r="16" spans="1:35" ht="18.399999999999999" customHeight="1" x14ac:dyDescent="0.35">
      <c r="A16" s="88" t="s">
        <v>98</v>
      </c>
      <c r="B16" s="56" t="s">
        <v>21</v>
      </c>
      <c r="C16" s="82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2">
        <v>1</v>
      </c>
      <c r="M16" s="82">
        <v>1</v>
      </c>
      <c r="N16" s="82">
        <v>1</v>
      </c>
      <c r="O16" s="39"/>
      <c r="P16" s="39" t="s">
        <v>96</v>
      </c>
      <c r="Q16" s="43"/>
    </row>
    <row r="17" spans="1:1024 1038:2046 2060:3068 3082:4090 4104:5112 5126:6134 6148:7156 7170:8192 8206:9214 9228:10236 10250:11258 11272:12280 12294:13302 13316:14324 14338:15360 15374:16382" x14ac:dyDescent="0.35">
      <c r="A17" s="42"/>
      <c r="B17" s="70"/>
      <c r="C17" s="133"/>
      <c r="D17" s="43"/>
      <c r="E17" s="43"/>
    </row>
    <row r="18" spans="1:1024 1038:2046 2060:3068 3082:4090 4104:5112 5126:6134 6148:7156 7170:8192 8206:9214 9228:10236 10250:11258 11272:12280 12294:13302 13316:14324 14338:15360 15374:16382" ht="18.5" x14ac:dyDescent="0.45">
      <c r="A18" s="50" t="s">
        <v>22</v>
      </c>
      <c r="B18" s="63"/>
      <c r="C18" s="63"/>
    </row>
    <row r="19" spans="1:1024 1038:2046 2060:3068 3082:4090 4104:5112 5126:6134 6148:7156 7170:8192 8206:9214 9228:10236 10250:11258 11272:12280 12294:13302 13316:14324 14338:15360 15374:16382" x14ac:dyDescent="0.35">
      <c r="A19" s="34" t="s">
        <v>103</v>
      </c>
      <c r="B19" s="59" t="s">
        <v>19</v>
      </c>
      <c r="C19" s="59"/>
      <c r="D19" s="32">
        <v>30</v>
      </c>
      <c r="E19" s="32">
        <v>50</v>
      </c>
      <c r="F19" s="32">
        <v>70</v>
      </c>
      <c r="G19" s="32">
        <v>100</v>
      </c>
      <c r="H19" s="32">
        <v>100</v>
      </c>
      <c r="I19" s="32">
        <v>100</v>
      </c>
      <c r="J19" s="32">
        <v>100</v>
      </c>
      <c r="K19" s="32">
        <v>100</v>
      </c>
      <c r="L19" s="32">
        <v>100</v>
      </c>
      <c r="M19" s="32">
        <v>100</v>
      </c>
      <c r="N19" s="32">
        <v>100</v>
      </c>
      <c r="O19" s="94"/>
      <c r="P19" s="1" t="s">
        <v>101</v>
      </c>
    </row>
    <row r="20" spans="1:1024 1038:2046 2060:3068 3082:4090 4104:5112 5126:6134 6148:7156 7170:8192 8206:9214 9228:10236 10250:11258 11272:12280 12294:13302 13316:14324 14338:15360 15374:16382" x14ac:dyDescent="0.35">
      <c r="A20" s="53" t="s">
        <v>104</v>
      </c>
      <c r="B20" s="59" t="s">
        <v>19</v>
      </c>
      <c r="C20" s="5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94"/>
      <c r="P20" s="1" t="s">
        <v>101</v>
      </c>
    </row>
    <row r="22" spans="1:1024 1038:2046 2060:3068 3082:4090 4104:5112 5126:6134 6148:7156 7170:8192 8206:9214 9228:10236 10250:11258 11272:12280 12294:13302 13316:14324 14338:15360 15374:16382" ht="18.5" x14ac:dyDescent="0.45">
      <c r="A22" s="50" t="s">
        <v>32</v>
      </c>
    </row>
    <row r="23" spans="1:1024 1038:2046 2060:3068 3082:4090 4104:5112 5126:6134 6148:7156 7170:8192 8206:9214 9228:10236 10250:11258 11272:12280 12294:13302 13316:14324 14338:15360 15374:16382" x14ac:dyDescent="0.35">
      <c r="A23" s="34" t="s">
        <v>45</v>
      </c>
      <c r="B23" s="59" t="s">
        <v>40</v>
      </c>
      <c r="C23" s="59"/>
      <c r="D23" s="52">
        <v>20</v>
      </c>
      <c r="E23" s="52">
        <v>20</v>
      </c>
      <c r="F23" s="52">
        <v>20</v>
      </c>
      <c r="G23" s="52">
        <v>20</v>
      </c>
      <c r="H23" s="52">
        <v>20</v>
      </c>
      <c r="I23" s="52">
        <v>20</v>
      </c>
      <c r="J23" s="52">
        <v>20</v>
      </c>
      <c r="K23" s="52">
        <v>20</v>
      </c>
      <c r="L23" s="52">
        <v>20</v>
      </c>
      <c r="M23" s="52">
        <v>20</v>
      </c>
      <c r="N23" s="52">
        <v>20</v>
      </c>
      <c r="Q23" s="43" t="s">
        <v>156</v>
      </c>
    </row>
    <row r="25" spans="1:1024 1038:2046 2060:3068 3082:4090 4104:5112 5126:6134 6148:7156 7170:8192 8206:9214 9228:10236 10250:11258 11272:12280 12294:13302 13316:14324 14338:15360 15374:16382" x14ac:dyDescent="0.35">
      <c r="A25" s="34" t="s">
        <v>31</v>
      </c>
      <c r="B25" s="34" t="s">
        <v>21</v>
      </c>
      <c r="C25" s="72">
        <v>0.28000000000000003</v>
      </c>
      <c r="D25" s="72">
        <v>0.28000000000000003</v>
      </c>
      <c r="E25" s="72">
        <v>0.28000000000000003</v>
      </c>
      <c r="F25" s="72">
        <v>0.28000000000000003</v>
      </c>
      <c r="G25" s="72">
        <v>0.28000000000000003</v>
      </c>
      <c r="H25" s="72">
        <v>0.28000000000000003</v>
      </c>
      <c r="I25" s="72">
        <v>0.28000000000000003</v>
      </c>
      <c r="J25" s="72">
        <v>0.28000000000000003</v>
      </c>
      <c r="K25" s="72">
        <v>0.28000000000000003</v>
      </c>
      <c r="L25" s="72">
        <v>0.28000000000000003</v>
      </c>
      <c r="M25" s="72">
        <v>0.28000000000000003</v>
      </c>
      <c r="N25" s="72">
        <v>0.28000000000000003</v>
      </c>
      <c r="P25" s="1" t="s">
        <v>141</v>
      </c>
    </row>
    <row r="27" spans="1:1024 1038:2046 2060:3068 3082:4090 4104:5112 5126:6134 6148:7156 7170:8192 8206:9214 9228:10236 10250:11258 11272:12280 12294:13302 13316:14324 14338:15360 15374:16382" ht="21" x14ac:dyDescent="0.5">
      <c r="A27" s="67" t="s">
        <v>37</v>
      </c>
      <c r="C27" s="114" t="s">
        <v>63</v>
      </c>
      <c r="D27" s="114" t="s">
        <v>126</v>
      </c>
      <c r="E27" s="114" t="s">
        <v>64</v>
      </c>
      <c r="F27" s="114" t="s">
        <v>64</v>
      </c>
      <c r="G27" s="114" t="s">
        <v>64</v>
      </c>
      <c r="H27" s="114" t="s">
        <v>64</v>
      </c>
      <c r="I27" s="114" t="s">
        <v>64</v>
      </c>
      <c r="J27" s="114" t="s">
        <v>64</v>
      </c>
      <c r="K27" s="114" t="s">
        <v>64</v>
      </c>
      <c r="L27" s="114" t="s">
        <v>64</v>
      </c>
      <c r="M27" s="114" t="s">
        <v>64</v>
      </c>
      <c r="N27" s="114" t="s">
        <v>127</v>
      </c>
    </row>
    <row r="28" spans="1:1024 1038:2046 2060:3068 3082:4090 4104:5112 5126:6134 6148:7156 7170:8192 8206:9214 9228:10236 10250:11258 11272:12280 12294:13302 13316:14324 14338:15360 15374:16382" ht="18.5" x14ac:dyDescent="0.45">
      <c r="A28" s="57"/>
      <c r="C28" s="116">
        <f>$C$51</f>
        <v>40878</v>
      </c>
      <c r="D28" s="116">
        <f>$D$51</f>
        <v>41090</v>
      </c>
      <c r="E28" s="116">
        <f>$E$51</f>
        <v>41455</v>
      </c>
      <c r="F28" s="116">
        <f>$F$51</f>
        <v>41820</v>
      </c>
      <c r="G28" s="116">
        <f>$G$51</f>
        <v>42185</v>
      </c>
      <c r="H28" s="116">
        <f>$H$51</f>
        <v>42551</v>
      </c>
      <c r="I28" s="116">
        <f>$I$51</f>
        <v>42916</v>
      </c>
      <c r="J28" s="116">
        <f>$J$51</f>
        <v>43281</v>
      </c>
      <c r="K28" s="116">
        <f>$K$51</f>
        <v>43646</v>
      </c>
      <c r="L28" s="116">
        <f>$L$51</f>
        <v>44012</v>
      </c>
      <c r="M28" s="116">
        <f>$M$51</f>
        <v>44377</v>
      </c>
      <c r="N28" s="116">
        <f>N$51</f>
        <v>44561</v>
      </c>
    </row>
    <row r="29" spans="1:1024 1038:2046 2060:3068 3082:4090 4104:5112 5126:6134 6148:7156 7170:8192 8206:9214 9228:10236 10250:11258 11272:12280 12294:13302 13316:14324 14338:15360 15374:16382" x14ac:dyDescent="0.35">
      <c r="A29" s="56" t="s">
        <v>50</v>
      </c>
      <c r="B29" s="56"/>
      <c r="C29" s="56"/>
      <c r="D29" s="104">
        <v>211</v>
      </c>
      <c r="E29" s="104">
        <v>365</v>
      </c>
      <c r="F29" s="104">
        <v>365</v>
      </c>
      <c r="G29" s="104">
        <v>365</v>
      </c>
      <c r="H29" s="104">
        <v>365</v>
      </c>
      <c r="I29" s="104">
        <v>365</v>
      </c>
      <c r="J29" s="104">
        <v>365</v>
      </c>
      <c r="K29" s="104">
        <v>365</v>
      </c>
      <c r="L29" s="104">
        <v>365</v>
      </c>
      <c r="M29" s="104">
        <v>365</v>
      </c>
      <c r="N29" s="104">
        <v>184</v>
      </c>
      <c r="Q29" s="43"/>
    </row>
    <row r="30" spans="1:1024 1038:2046 2060:3068 3082:4090 4104:5112 5126:6134 6148:7156 7170:8192 8206:9214 9228:10236 10250:11258 11272:12280 12294:13302 13316:14324 14338:15360 15374:16382" ht="18.5" x14ac:dyDescent="0.45">
      <c r="A30" s="57"/>
      <c r="O30" s="57"/>
      <c r="P30" s="57"/>
      <c r="AD30" s="57"/>
      <c r="AR30" s="57"/>
      <c r="BF30" s="57"/>
      <c r="BT30" s="57"/>
      <c r="CH30" s="57"/>
      <c r="CV30" s="57"/>
      <c r="DJ30" s="57"/>
      <c r="DX30" s="57"/>
      <c r="EL30" s="57"/>
      <c r="EZ30" s="57"/>
      <c r="FN30" s="57"/>
      <c r="GB30" s="57"/>
      <c r="GP30" s="57"/>
      <c r="HD30" s="57"/>
      <c r="HR30" s="57"/>
      <c r="IF30" s="57"/>
      <c r="IT30" s="57"/>
      <c r="JH30" s="57"/>
      <c r="JV30" s="57"/>
      <c r="KJ30" s="57"/>
      <c r="KX30" s="57"/>
      <c r="LL30" s="57"/>
      <c r="LZ30" s="57"/>
      <c r="MN30" s="57"/>
      <c r="NB30" s="57"/>
      <c r="NP30" s="57"/>
      <c r="OD30" s="57"/>
      <c r="OR30" s="57"/>
      <c r="PF30" s="57"/>
      <c r="PT30" s="57"/>
      <c r="QH30" s="57"/>
      <c r="QV30" s="57"/>
      <c r="RJ30" s="57"/>
      <c r="RX30" s="57"/>
      <c r="SL30" s="57"/>
      <c r="SZ30" s="57"/>
      <c r="TN30" s="57"/>
      <c r="UB30" s="57"/>
      <c r="UP30" s="57"/>
      <c r="VD30" s="57"/>
      <c r="VR30" s="57"/>
      <c r="WF30" s="57"/>
      <c r="WT30" s="57"/>
      <c r="XH30" s="57"/>
      <c r="XV30" s="57"/>
      <c r="YJ30" s="57"/>
      <c r="YX30" s="57"/>
      <c r="ZL30" s="57"/>
      <c r="ZZ30" s="57"/>
      <c r="AAN30" s="57"/>
      <c r="ABB30" s="57"/>
      <c r="ABP30" s="57"/>
      <c r="ACD30" s="57"/>
      <c r="ACR30" s="57"/>
      <c r="ADF30" s="57"/>
      <c r="ADT30" s="57"/>
      <c r="AEH30" s="57"/>
      <c r="AEV30" s="57"/>
      <c r="AFJ30" s="57"/>
      <c r="AFX30" s="57"/>
      <c r="AGL30" s="57"/>
      <c r="AGZ30" s="57"/>
      <c r="AHN30" s="57"/>
      <c r="AIB30" s="57"/>
      <c r="AIP30" s="57"/>
      <c r="AJD30" s="57"/>
      <c r="AJR30" s="57"/>
      <c r="AKF30" s="57"/>
      <c r="AKT30" s="57"/>
      <c r="ALH30" s="57"/>
      <c r="ALV30" s="57"/>
      <c r="AMJ30" s="57"/>
      <c r="AMX30" s="57"/>
      <c r="ANL30" s="57"/>
      <c r="ANZ30" s="57"/>
      <c r="AON30" s="57"/>
      <c r="APB30" s="57"/>
      <c r="APP30" s="57"/>
      <c r="AQD30" s="57"/>
      <c r="AQR30" s="57"/>
      <c r="ARF30" s="57"/>
      <c r="ART30" s="57"/>
      <c r="ASH30" s="57"/>
      <c r="ASV30" s="57"/>
      <c r="ATJ30" s="57"/>
      <c r="ATX30" s="57"/>
      <c r="AUL30" s="57"/>
      <c r="AUZ30" s="57"/>
      <c r="AVN30" s="57"/>
      <c r="AWB30" s="57"/>
      <c r="AWP30" s="57"/>
      <c r="AXD30" s="57"/>
      <c r="AXR30" s="57"/>
      <c r="AYF30" s="57"/>
      <c r="AYT30" s="57"/>
      <c r="AZH30" s="57"/>
      <c r="AZV30" s="57"/>
      <c r="BAJ30" s="57"/>
      <c r="BAX30" s="57"/>
      <c r="BBL30" s="57"/>
      <c r="BBZ30" s="57"/>
      <c r="BCN30" s="57"/>
      <c r="BDB30" s="57"/>
      <c r="BDP30" s="57"/>
      <c r="BED30" s="57"/>
      <c r="BER30" s="57"/>
      <c r="BFF30" s="57"/>
      <c r="BFT30" s="57"/>
      <c r="BGH30" s="57"/>
      <c r="BGV30" s="57"/>
      <c r="BHJ30" s="57"/>
      <c r="BHX30" s="57"/>
      <c r="BIL30" s="57"/>
      <c r="BIZ30" s="57"/>
      <c r="BJN30" s="57"/>
      <c r="BKB30" s="57"/>
      <c r="BKP30" s="57"/>
      <c r="BLD30" s="57"/>
      <c r="BLR30" s="57"/>
      <c r="BMF30" s="57"/>
      <c r="BMT30" s="57"/>
      <c r="BNH30" s="57"/>
      <c r="BNV30" s="57"/>
      <c r="BOJ30" s="57"/>
      <c r="BOX30" s="57"/>
      <c r="BPL30" s="57"/>
      <c r="BPZ30" s="57"/>
      <c r="BQN30" s="57"/>
      <c r="BRB30" s="57"/>
      <c r="BRP30" s="57"/>
      <c r="BSD30" s="57"/>
      <c r="BSR30" s="57"/>
      <c r="BTF30" s="57"/>
      <c r="BTT30" s="57"/>
      <c r="BUH30" s="57"/>
      <c r="BUV30" s="57"/>
      <c r="BVJ30" s="57"/>
      <c r="BVX30" s="57"/>
      <c r="BWL30" s="57"/>
      <c r="BWZ30" s="57"/>
      <c r="BXN30" s="57"/>
      <c r="BYB30" s="57"/>
      <c r="BYP30" s="57"/>
      <c r="BZD30" s="57"/>
      <c r="BZR30" s="57"/>
      <c r="CAF30" s="57"/>
      <c r="CAT30" s="57"/>
      <c r="CBH30" s="57"/>
      <c r="CBV30" s="57"/>
      <c r="CCJ30" s="57"/>
      <c r="CCX30" s="57"/>
      <c r="CDL30" s="57"/>
      <c r="CDZ30" s="57"/>
      <c r="CEN30" s="57"/>
      <c r="CFB30" s="57"/>
      <c r="CFP30" s="57"/>
      <c r="CGD30" s="57"/>
      <c r="CGR30" s="57"/>
      <c r="CHF30" s="57"/>
      <c r="CHT30" s="57"/>
      <c r="CIH30" s="57"/>
      <c r="CIV30" s="57"/>
      <c r="CJJ30" s="57"/>
      <c r="CJX30" s="57"/>
      <c r="CKL30" s="57"/>
      <c r="CKZ30" s="57"/>
      <c r="CLN30" s="57"/>
      <c r="CMB30" s="57"/>
      <c r="CMP30" s="57"/>
      <c r="CND30" s="57"/>
      <c r="CNR30" s="57"/>
      <c r="COF30" s="57"/>
      <c r="COT30" s="57"/>
      <c r="CPH30" s="57"/>
      <c r="CPV30" s="57"/>
      <c r="CQJ30" s="57"/>
      <c r="CQX30" s="57"/>
      <c r="CRL30" s="57"/>
      <c r="CRZ30" s="57"/>
      <c r="CSN30" s="57"/>
      <c r="CTB30" s="57"/>
      <c r="CTP30" s="57"/>
      <c r="CUD30" s="57"/>
      <c r="CUR30" s="57"/>
      <c r="CVF30" s="57"/>
      <c r="CVT30" s="57"/>
      <c r="CWH30" s="57"/>
      <c r="CWV30" s="57"/>
      <c r="CXJ30" s="57"/>
      <c r="CXX30" s="57"/>
      <c r="CYL30" s="57"/>
      <c r="CYZ30" s="57"/>
      <c r="CZN30" s="57"/>
      <c r="DAB30" s="57"/>
      <c r="DAP30" s="57"/>
      <c r="DBD30" s="57"/>
      <c r="DBR30" s="57"/>
      <c r="DCF30" s="57"/>
      <c r="DCT30" s="57"/>
      <c r="DDH30" s="57"/>
      <c r="DDV30" s="57"/>
      <c r="DEJ30" s="57"/>
      <c r="DEX30" s="57"/>
      <c r="DFL30" s="57"/>
      <c r="DFZ30" s="57"/>
      <c r="DGN30" s="57"/>
      <c r="DHB30" s="57"/>
      <c r="DHP30" s="57"/>
      <c r="DID30" s="57"/>
      <c r="DIR30" s="57"/>
      <c r="DJF30" s="57"/>
      <c r="DJT30" s="57"/>
      <c r="DKH30" s="57"/>
      <c r="DKV30" s="57"/>
      <c r="DLJ30" s="57"/>
      <c r="DLX30" s="57"/>
      <c r="DML30" s="57"/>
      <c r="DMZ30" s="57"/>
      <c r="DNN30" s="57"/>
      <c r="DOB30" s="57"/>
      <c r="DOP30" s="57"/>
      <c r="DPD30" s="57"/>
      <c r="DPR30" s="57"/>
      <c r="DQF30" s="57"/>
      <c r="DQT30" s="57"/>
      <c r="DRH30" s="57"/>
      <c r="DRV30" s="57"/>
      <c r="DSJ30" s="57"/>
      <c r="DSX30" s="57"/>
      <c r="DTL30" s="57"/>
      <c r="DTZ30" s="57"/>
      <c r="DUN30" s="57"/>
      <c r="DVB30" s="57"/>
      <c r="DVP30" s="57"/>
      <c r="DWD30" s="57"/>
      <c r="DWR30" s="57"/>
      <c r="DXF30" s="57"/>
      <c r="DXT30" s="57"/>
      <c r="DYH30" s="57"/>
      <c r="DYV30" s="57"/>
      <c r="DZJ30" s="57"/>
      <c r="DZX30" s="57"/>
      <c r="EAL30" s="57"/>
      <c r="EAZ30" s="57"/>
      <c r="EBN30" s="57"/>
      <c r="ECB30" s="57"/>
      <c r="ECP30" s="57"/>
      <c r="EDD30" s="57"/>
      <c r="EDR30" s="57"/>
      <c r="EEF30" s="57"/>
      <c r="EET30" s="57"/>
      <c r="EFH30" s="57"/>
      <c r="EFV30" s="57"/>
      <c r="EGJ30" s="57"/>
      <c r="EGX30" s="57"/>
      <c r="EHL30" s="57"/>
      <c r="EHZ30" s="57"/>
      <c r="EIN30" s="57"/>
      <c r="EJB30" s="57"/>
      <c r="EJP30" s="57"/>
      <c r="EKD30" s="57"/>
      <c r="EKR30" s="57"/>
      <c r="ELF30" s="57"/>
      <c r="ELT30" s="57"/>
      <c r="EMH30" s="57"/>
      <c r="EMV30" s="57"/>
      <c r="ENJ30" s="57"/>
      <c r="ENX30" s="57"/>
      <c r="EOL30" s="57"/>
      <c r="EOZ30" s="57"/>
      <c r="EPN30" s="57"/>
      <c r="EQB30" s="57"/>
      <c r="EQP30" s="57"/>
      <c r="ERD30" s="57"/>
      <c r="ERR30" s="57"/>
      <c r="ESF30" s="57"/>
      <c r="EST30" s="57"/>
      <c r="ETH30" s="57"/>
      <c r="ETV30" s="57"/>
      <c r="EUJ30" s="57"/>
      <c r="EUX30" s="57"/>
      <c r="EVL30" s="57"/>
      <c r="EVZ30" s="57"/>
      <c r="EWN30" s="57"/>
      <c r="EXB30" s="57"/>
      <c r="EXP30" s="57"/>
      <c r="EYD30" s="57"/>
      <c r="EYR30" s="57"/>
      <c r="EZF30" s="57"/>
      <c r="EZT30" s="57"/>
      <c r="FAH30" s="57"/>
      <c r="FAV30" s="57"/>
      <c r="FBJ30" s="57"/>
      <c r="FBX30" s="57"/>
      <c r="FCL30" s="57"/>
      <c r="FCZ30" s="57"/>
      <c r="FDN30" s="57"/>
      <c r="FEB30" s="57"/>
      <c r="FEP30" s="57"/>
      <c r="FFD30" s="57"/>
      <c r="FFR30" s="57"/>
      <c r="FGF30" s="57"/>
      <c r="FGT30" s="57"/>
      <c r="FHH30" s="57"/>
      <c r="FHV30" s="57"/>
      <c r="FIJ30" s="57"/>
      <c r="FIX30" s="57"/>
      <c r="FJL30" s="57"/>
      <c r="FJZ30" s="57"/>
      <c r="FKN30" s="57"/>
      <c r="FLB30" s="57"/>
      <c r="FLP30" s="57"/>
      <c r="FMD30" s="57"/>
      <c r="FMR30" s="57"/>
      <c r="FNF30" s="57"/>
      <c r="FNT30" s="57"/>
      <c r="FOH30" s="57"/>
      <c r="FOV30" s="57"/>
      <c r="FPJ30" s="57"/>
      <c r="FPX30" s="57"/>
      <c r="FQL30" s="57"/>
      <c r="FQZ30" s="57"/>
      <c r="FRN30" s="57"/>
      <c r="FSB30" s="57"/>
      <c r="FSP30" s="57"/>
      <c r="FTD30" s="57"/>
      <c r="FTR30" s="57"/>
      <c r="FUF30" s="57"/>
      <c r="FUT30" s="57"/>
      <c r="FVH30" s="57"/>
      <c r="FVV30" s="57"/>
      <c r="FWJ30" s="57"/>
      <c r="FWX30" s="57"/>
      <c r="FXL30" s="57"/>
      <c r="FXZ30" s="57"/>
      <c r="FYN30" s="57"/>
      <c r="FZB30" s="57"/>
      <c r="FZP30" s="57"/>
      <c r="GAD30" s="57"/>
      <c r="GAR30" s="57"/>
      <c r="GBF30" s="57"/>
      <c r="GBT30" s="57"/>
      <c r="GCH30" s="57"/>
      <c r="GCV30" s="57"/>
      <c r="GDJ30" s="57"/>
      <c r="GDX30" s="57"/>
      <c r="GEL30" s="57"/>
      <c r="GEZ30" s="57"/>
      <c r="GFN30" s="57"/>
      <c r="GGB30" s="57"/>
      <c r="GGP30" s="57"/>
      <c r="GHD30" s="57"/>
      <c r="GHR30" s="57"/>
      <c r="GIF30" s="57"/>
      <c r="GIT30" s="57"/>
      <c r="GJH30" s="57"/>
      <c r="GJV30" s="57"/>
      <c r="GKJ30" s="57"/>
      <c r="GKX30" s="57"/>
      <c r="GLL30" s="57"/>
      <c r="GLZ30" s="57"/>
      <c r="GMN30" s="57"/>
      <c r="GNB30" s="57"/>
      <c r="GNP30" s="57"/>
      <c r="GOD30" s="57"/>
      <c r="GOR30" s="57"/>
      <c r="GPF30" s="57"/>
      <c r="GPT30" s="57"/>
      <c r="GQH30" s="57"/>
      <c r="GQV30" s="57"/>
      <c r="GRJ30" s="57"/>
      <c r="GRX30" s="57"/>
      <c r="GSL30" s="57"/>
      <c r="GSZ30" s="57"/>
      <c r="GTN30" s="57"/>
      <c r="GUB30" s="57"/>
      <c r="GUP30" s="57"/>
      <c r="GVD30" s="57"/>
      <c r="GVR30" s="57"/>
      <c r="GWF30" s="57"/>
      <c r="GWT30" s="57"/>
      <c r="GXH30" s="57"/>
      <c r="GXV30" s="57"/>
      <c r="GYJ30" s="57"/>
      <c r="GYX30" s="57"/>
      <c r="GZL30" s="57"/>
      <c r="GZZ30" s="57"/>
      <c r="HAN30" s="57"/>
      <c r="HBB30" s="57"/>
      <c r="HBP30" s="57"/>
      <c r="HCD30" s="57"/>
      <c r="HCR30" s="57"/>
      <c r="HDF30" s="57"/>
      <c r="HDT30" s="57"/>
      <c r="HEH30" s="57"/>
      <c r="HEV30" s="57"/>
      <c r="HFJ30" s="57"/>
      <c r="HFX30" s="57"/>
      <c r="HGL30" s="57"/>
      <c r="HGZ30" s="57"/>
      <c r="HHN30" s="57"/>
      <c r="HIB30" s="57"/>
      <c r="HIP30" s="57"/>
      <c r="HJD30" s="57"/>
      <c r="HJR30" s="57"/>
      <c r="HKF30" s="57"/>
      <c r="HKT30" s="57"/>
      <c r="HLH30" s="57"/>
      <c r="HLV30" s="57"/>
      <c r="HMJ30" s="57"/>
      <c r="HMX30" s="57"/>
      <c r="HNL30" s="57"/>
      <c r="HNZ30" s="57"/>
      <c r="HON30" s="57"/>
      <c r="HPB30" s="57"/>
      <c r="HPP30" s="57"/>
      <c r="HQD30" s="57"/>
      <c r="HQR30" s="57"/>
      <c r="HRF30" s="57"/>
      <c r="HRT30" s="57"/>
      <c r="HSH30" s="57"/>
      <c r="HSV30" s="57"/>
      <c r="HTJ30" s="57"/>
      <c r="HTX30" s="57"/>
      <c r="HUL30" s="57"/>
      <c r="HUZ30" s="57"/>
      <c r="HVN30" s="57"/>
      <c r="HWB30" s="57"/>
      <c r="HWP30" s="57"/>
      <c r="HXD30" s="57"/>
      <c r="HXR30" s="57"/>
      <c r="HYF30" s="57"/>
      <c r="HYT30" s="57"/>
      <c r="HZH30" s="57"/>
      <c r="HZV30" s="57"/>
      <c r="IAJ30" s="57"/>
      <c r="IAX30" s="57"/>
      <c r="IBL30" s="57"/>
      <c r="IBZ30" s="57"/>
      <c r="ICN30" s="57"/>
      <c r="IDB30" s="57"/>
      <c r="IDP30" s="57"/>
      <c r="IED30" s="57"/>
      <c r="IER30" s="57"/>
      <c r="IFF30" s="57"/>
      <c r="IFT30" s="57"/>
      <c r="IGH30" s="57"/>
      <c r="IGV30" s="57"/>
      <c r="IHJ30" s="57"/>
      <c r="IHX30" s="57"/>
      <c r="IIL30" s="57"/>
      <c r="IIZ30" s="57"/>
      <c r="IJN30" s="57"/>
      <c r="IKB30" s="57"/>
      <c r="IKP30" s="57"/>
      <c r="ILD30" s="57"/>
      <c r="ILR30" s="57"/>
      <c r="IMF30" s="57"/>
      <c r="IMT30" s="57"/>
      <c r="INH30" s="57"/>
      <c r="INV30" s="57"/>
      <c r="IOJ30" s="57"/>
      <c r="IOX30" s="57"/>
      <c r="IPL30" s="57"/>
      <c r="IPZ30" s="57"/>
      <c r="IQN30" s="57"/>
      <c r="IRB30" s="57"/>
      <c r="IRP30" s="57"/>
      <c r="ISD30" s="57"/>
      <c r="ISR30" s="57"/>
      <c r="ITF30" s="57"/>
      <c r="ITT30" s="57"/>
      <c r="IUH30" s="57"/>
      <c r="IUV30" s="57"/>
      <c r="IVJ30" s="57"/>
      <c r="IVX30" s="57"/>
      <c r="IWL30" s="57"/>
      <c r="IWZ30" s="57"/>
      <c r="IXN30" s="57"/>
      <c r="IYB30" s="57"/>
      <c r="IYP30" s="57"/>
      <c r="IZD30" s="57"/>
      <c r="IZR30" s="57"/>
      <c r="JAF30" s="57"/>
      <c r="JAT30" s="57"/>
      <c r="JBH30" s="57"/>
      <c r="JBV30" s="57"/>
      <c r="JCJ30" s="57"/>
      <c r="JCX30" s="57"/>
      <c r="JDL30" s="57"/>
      <c r="JDZ30" s="57"/>
      <c r="JEN30" s="57"/>
      <c r="JFB30" s="57"/>
      <c r="JFP30" s="57"/>
      <c r="JGD30" s="57"/>
      <c r="JGR30" s="57"/>
      <c r="JHF30" s="57"/>
      <c r="JHT30" s="57"/>
      <c r="JIH30" s="57"/>
      <c r="JIV30" s="57"/>
      <c r="JJJ30" s="57"/>
      <c r="JJX30" s="57"/>
      <c r="JKL30" s="57"/>
      <c r="JKZ30" s="57"/>
      <c r="JLN30" s="57"/>
      <c r="JMB30" s="57"/>
      <c r="JMP30" s="57"/>
      <c r="JND30" s="57"/>
      <c r="JNR30" s="57"/>
      <c r="JOF30" s="57"/>
      <c r="JOT30" s="57"/>
      <c r="JPH30" s="57"/>
      <c r="JPV30" s="57"/>
      <c r="JQJ30" s="57"/>
      <c r="JQX30" s="57"/>
      <c r="JRL30" s="57"/>
      <c r="JRZ30" s="57"/>
      <c r="JSN30" s="57"/>
      <c r="JTB30" s="57"/>
      <c r="JTP30" s="57"/>
      <c r="JUD30" s="57"/>
      <c r="JUR30" s="57"/>
      <c r="JVF30" s="57"/>
      <c r="JVT30" s="57"/>
      <c r="JWH30" s="57"/>
      <c r="JWV30" s="57"/>
      <c r="JXJ30" s="57"/>
      <c r="JXX30" s="57"/>
      <c r="JYL30" s="57"/>
      <c r="JYZ30" s="57"/>
      <c r="JZN30" s="57"/>
      <c r="KAB30" s="57"/>
      <c r="KAP30" s="57"/>
      <c r="KBD30" s="57"/>
      <c r="KBR30" s="57"/>
      <c r="KCF30" s="57"/>
      <c r="KCT30" s="57"/>
      <c r="KDH30" s="57"/>
      <c r="KDV30" s="57"/>
      <c r="KEJ30" s="57"/>
      <c r="KEX30" s="57"/>
      <c r="KFL30" s="57"/>
      <c r="KFZ30" s="57"/>
      <c r="KGN30" s="57"/>
      <c r="KHB30" s="57"/>
      <c r="KHP30" s="57"/>
      <c r="KID30" s="57"/>
      <c r="KIR30" s="57"/>
      <c r="KJF30" s="57"/>
      <c r="KJT30" s="57"/>
      <c r="KKH30" s="57"/>
      <c r="KKV30" s="57"/>
      <c r="KLJ30" s="57"/>
      <c r="KLX30" s="57"/>
      <c r="KML30" s="57"/>
      <c r="KMZ30" s="57"/>
      <c r="KNN30" s="57"/>
      <c r="KOB30" s="57"/>
      <c r="KOP30" s="57"/>
      <c r="KPD30" s="57"/>
      <c r="KPR30" s="57"/>
      <c r="KQF30" s="57"/>
      <c r="KQT30" s="57"/>
      <c r="KRH30" s="57"/>
      <c r="KRV30" s="57"/>
      <c r="KSJ30" s="57"/>
      <c r="KSX30" s="57"/>
      <c r="KTL30" s="57"/>
      <c r="KTZ30" s="57"/>
      <c r="KUN30" s="57"/>
      <c r="KVB30" s="57"/>
      <c r="KVP30" s="57"/>
      <c r="KWD30" s="57"/>
      <c r="KWR30" s="57"/>
      <c r="KXF30" s="57"/>
      <c r="KXT30" s="57"/>
      <c r="KYH30" s="57"/>
      <c r="KYV30" s="57"/>
      <c r="KZJ30" s="57"/>
      <c r="KZX30" s="57"/>
      <c r="LAL30" s="57"/>
      <c r="LAZ30" s="57"/>
      <c r="LBN30" s="57"/>
      <c r="LCB30" s="57"/>
      <c r="LCP30" s="57"/>
      <c r="LDD30" s="57"/>
      <c r="LDR30" s="57"/>
      <c r="LEF30" s="57"/>
      <c r="LET30" s="57"/>
      <c r="LFH30" s="57"/>
      <c r="LFV30" s="57"/>
      <c r="LGJ30" s="57"/>
      <c r="LGX30" s="57"/>
      <c r="LHL30" s="57"/>
      <c r="LHZ30" s="57"/>
      <c r="LIN30" s="57"/>
      <c r="LJB30" s="57"/>
      <c r="LJP30" s="57"/>
      <c r="LKD30" s="57"/>
      <c r="LKR30" s="57"/>
      <c r="LLF30" s="57"/>
      <c r="LLT30" s="57"/>
      <c r="LMH30" s="57"/>
      <c r="LMV30" s="57"/>
      <c r="LNJ30" s="57"/>
      <c r="LNX30" s="57"/>
      <c r="LOL30" s="57"/>
      <c r="LOZ30" s="57"/>
      <c r="LPN30" s="57"/>
      <c r="LQB30" s="57"/>
      <c r="LQP30" s="57"/>
      <c r="LRD30" s="57"/>
      <c r="LRR30" s="57"/>
      <c r="LSF30" s="57"/>
      <c r="LST30" s="57"/>
      <c r="LTH30" s="57"/>
      <c r="LTV30" s="57"/>
      <c r="LUJ30" s="57"/>
      <c r="LUX30" s="57"/>
      <c r="LVL30" s="57"/>
      <c r="LVZ30" s="57"/>
      <c r="LWN30" s="57"/>
      <c r="LXB30" s="57"/>
      <c r="LXP30" s="57"/>
      <c r="LYD30" s="57"/>
      <c r="LYR30" s="57"/>
      <c r="LZF30" s="57"/>
      <c r="LZT30" s="57"/>
      <c r="MAH30" s="57"/>
      <c r="MAV30" s="57"/>
      <c r="MBJ30" s="57"/>
      <c r="MBX30" s="57"/>
      <c r="MCL30" s="57"/>
      <c r="MCZ30" s="57"/>
      <c r="MDN30" s="57"/>
      <c r="MEB30" s="57"/>
      <c r="MEP30" s="57"/>
      <c r="MFD30" s="57"/>
      <c r="MFR30" s="57"/>
      <c r="MGF30" s="57"/>
      <c r="MGT30" s="57"/>
      <c r="MHH30" s="57"/>
      <c r="MHV30" s="57"/>
      <c r="MIJ30" s="57"/>
      <c r="MIX30" s="57"/>
      <c r="MJL30" s="57"/>
      <c r="MJZ30" s="57"/>
      <c r="MKN30" s="57"/>
      <c r="MLB30" s="57"/>
      <c r="MLP30" s="57"/>
      <c r="MMD30" s="57"/>
      <c r="MMR30" s="57"/>
      <c r="MNF30" s="57"/>
      <c r="MNT30" s="57"/>
      <c r="MOH30" s="57"/>
      <c r="MOV30" s="57"/>
      <c r="MPJ30" s="57"/>
      <c r="MPX30" s="57"/>
      <c r="MQL30" s="57"/>
      <c r="MQZ30" s="57"/>
      <c r="MRN30" s="57"/>
      <c r="MSB30" s="57"/>
      <c r="MSP30" s="57"/>
      <c r="MTD30" s="57"/>
      <c r="MTR30" s="57"/>
      <c r="MUF30" s="57"/>
      <c r="MUT30" s="57"/>
      <c r="MVH30" s="57"/>
      <c r="MVV30" s="57"/>
      <c r="MWJ30" s="57"/>
      <c r="MWX30" s="57"/>
      <c r="MXL30" s="57"/>
      <c r="MXZ30" s="57"/>
      <c r="MYN30" s="57"/>
      <c r="MZB30" s="57"/>
      <c r="MZP30" s="57"/>
      <c r="NAD30" s="57"/>
      <c r="NAR30" s="57"/>
      <c r="NBF30" s="57"/>
      <c r="NBT30" s="57"/>
      <c r="NCH30" s="57"/>
      <c r="NCV30" s="57"/>
      <c r="NDJ30" s="57"/>
      <c r="NDX30" s="57"/>
      <c r="NEL30" s="57"/>
      <c r="NEZ30" s="57"/>
      <c r="NFN30" s="57"/>
      <c r="NGB30" s="57"/>
      <c r="NGP30" s="57"/>
      <c r="NHD30" s="57"/>
      <c r="NHR30" s="57"/>
      <c r="NIF30" s="57"/>
      <c r="NIT30" s="57"/>
      <c r="NJH30" s="57"/>
      <c r="NJV30" s="57"/>
      <c r="NKJ30" s="57"/>
      <c r="NKX30" s="57"/>
      <c r="NLL30" s="57"/>
      <c r="NLZ30" s="57"/>
      <c r="NMN30" s="57"/>
      <c r="NNB30" s="57"/>
      <c r="NNP30" s="57"/>
      <c r="NOD30" s="57"/>
      <c r="NOR30" s="57"/>
      <c r="NPF30" s="57"/>
      <c r="NPT30" s="57"/>
      <c r="NQH30" s="57"/>
      <c r="NQV30" s="57"/>
      <c r="NRJ30" s="57"/>
      <c r="NRX30" s="57"/>
      <c r="NSL30" s="57"/>
      <c r="NSZ30" s="57"/>
      <c r="NTN30" s="57"/>
      <c r="NUB30" s="57"/>
      <c r="NUP30" s="57"/>
      <c r="NVD30" s="57"/>
      <c r="NVR30" s="57"/>
      <c r="NWF30" s="57"/>
      <c r="NWT30" s="57"/>
      <c r="NXH30" s="57"/>
      <c r="NXV30" s="57"/>
      <c r="NYJ30" s="57"/>
      <c r="NYX30" s="57"/>
      <c r="NZL30" s="57"/>
      <c r="NZZ30" s="57"/>
      <c r="OAN30" s="57"/>
      <c r="OBB30" s="57"/>
      <c r="OBP30" s="57"/>
      <c r="OCD30" s="57"/>
      <c r="OCR30" s="57"/>
      <c r="ODF30" s="57"/>
      <c r="ODT30" s="57"/>
      <c r="OEH30" s="57"/>
      <c r="OEV30" s="57"/>
      <c r="OFJ30" s="57"/>
      <c r="OFX30" s="57"/>
      <c r="OGL30" s="57"/>
      <c r="OGZ30" s="57"/>
      <c r="OHN30" s="57"/>
      <c r="OIB30" s="57"/>
      <c r="OIP30" s="57"/>
      <c r="OJD30" s="57"/>
      <c r="OJR30" s="57"/>
      <c r="OKF30" s="57"/>
      <c r="OKT30" s="57"/>
      <c r="OLH30" s="57"/>
      <c r="OLV30" s="57"/>
      <c r="OMJ30" s="57"/>
      <c r="OMX30" s="57"/>
      <c r="ONL30" s="57"/>
      <c r="ONZ30" s="57"/>
      <c r="OON30" s="57"/>
      <c r="OPB30" s="57"/>
      <c r="OPP30" s="57"/>
      <c r="OQD30" s="57"/>
      <c r="OQR30" s="57"/>
      <c r="ORF30" s="57"/>
      <c r="ORT30" s="57"/>
      <c r="OSH30" s="57"/>
      <c r="OSV30" s="57"/>
      <c r="OTJ30" s="57"/>
      <c r="OTX30" s="57"/>
      <c r="OUL30" s="57"/>
      <c r="OUZ30" s="57"/>
      <c r="OVN30" s="57"/>
      <c r="OWB30" s="57"/>
      <c r="OWP30" s="57"/>
      <c r="OXD30" s="57"/>
      <c r="OXR30" s="57"/>
      <c r="OYF30" s="57"/>
      <c r="OYT30" s="57"/>
      <c r="OZH30" s="57"/>
      <c r="OZV30" s="57"/>
      <c r="PAJ30" s="57"/>
      <c r="PAX30" s="57"/>
      <c r="PBL30" s="57"/>
      <c r="PBZ30" s="57"/>
      <c r="PCN30" s="57"/>
      <c r="PDB30" s="57"/>
      <c r="PDP30" s="57"/>
      <c r="PED30" s="57"/>
      <c r="PER30" s="57"/>
      <c r="PFF30" s="57"/>
      <c r="PFT30" s="57"/>
      <c r="PGH30" s="57"/>
      <c r="PGV30" s="57"/>
      <c r="PHJ30" s="57"/>
      <c r="PHX30" s="57"/>
      <c r="PIL30" s="57"/>
      <c r="PIZ30" s="57"/>
      <c r="PJN30" s="57"/>
      <c r="PKB30" s="57"/>
      <c r="PKP30" s="57"/>
      <c r="PLD30" s="57"/>
      <c r="PLR30" s="57"/>
      <c r="PMF30" s="57"/>
      <c r="PMT30" s="57"/>
      <c r="PNH30" s="57"/>
      <c r="PNV30" s="57"/>
      <c r="POJ30" s="57"/>
      <c r="POX30" s="57"/>
      <c r="PPL30" s="57"/>
      <c r="PPZ30" s="57"/>
      <c r="PQN30" s="57"/>
      <c r="PRB30" s="57"/>
      <c r="PRP30" s="57"/>
      <c r="PSD30" s="57"/>
      <c r="PSR30" s="57"/>
      <c r="PTF30" s="57"/>
      <c r="PTT30" s="57"/>
      <c r="PUH30" s="57"/>
      <c r="PUV30" s="57"/>
      <c r="PVJ30" s="57"/>
      <c r="PVX30" s="57"/>
      <c r="PWL30" s="57"/>
      <c r="PWZ30" s="57"/>
      <c r="PXN30" s="57"/>
      <c r="PYB30" s="57"/>
      <c r="PYP30" s="57"/>
      <c r="PZD30" s="57"/>
      <c r="PZR30" s="57"/>
      <c r="QAF30" s="57"/>
      <c r="QAT30" s="57"/>
      <c r="QBH30" s="57"/>
      <c r="QBV30" s="57"/>
      <c r="QCJ30" s="57"/>
      <c r="QCX30" s="57"/>
      <c r="QDL30" s="57"/>
      <c r="QDZ30" s="57"/>
      <c r="QEN30" s="57"/>
      <c r="QFB30" s="57"/>
      <c r="QFP30" s="57"/>
      <c r="QGD30" s="57"/>
      <c r="QGR30" s="57"/>
      <c r="QHF30" s="57"/>
      <c r="QHT30" s="57"/>
      <c r="QIH30" s="57"/>
      <c r="QIV30" s="57"/>
      <c r="QJJ30" s="57"/>
      <c r="QJX30" s="57"/>
      <c r="QKL30" s="57"/>
      <c r="QKZ30" s="57"/>
      <c r="QLN30" s="57"/>
      <c r="QMB30" s="57"/>
      <c r="QMP30" s="57"/>
      <c r="QND30" s="57"/>
      <c r="QNR30" s="57"/>
      <c r="QOF30" s="57"/>
      <c r="QOT30" s="57"/>
      <c r="QPH30" s="57"/>
      <c r="QPV30" s="57"/>
      <c r="QQJ30" s="57"/>
      <c r="QQX30" s="57"/>
      <c r="QRL30" s="57"/>
      <c r="QRZ30" s="57"/>
      <c r="QSN30" s="57"/>
      <c r="QTB30" s="57"/>
      <c r="QTP30" s="57"/>
      <c r="QUD30" s="57"/>
      <c r="QUR30" s="57"/>
      <c r="QVF30" s="57"/>
      <c r="QVT30" s="57"/>
      <c r="QWH30" s="57"/>
      <c r="QWV30" s="57"/>
      <c r="QXJ30" s="57"/>
      <c r="QXX30" s="57"/>
      <c r="QYL30" s="57"/>
      <c r="QYZ30" s="57"/>
      <c r="QZN30" s="57"/>
      <c r="RAB30" s="57"/>
      <c r="RAP30" s="57"/>
      <c r="RBD30" s="57"/>
      <c r="RBR30" s="57"/>
      <c r="RCF30" s="57"/>
      <c r="RCT30" s="57"/>
      <c r="RDH30" s="57"/>
      <c r="RDV30" s="57"/>
      <c r="REJ30" s="57"/>
      <c r="REX30" s="57"/>
      <c r="RFL30" s="57"/>
      <c r="RFZ30" s="57"/>
      <c r="RGN30" s="57"/>
      <c r="RHB30" s="57"/>
      <c r="RHP30" s="57"/>
      <c r="RID30" s="57"/>
      <c r="RIR30" s="57"/>
      <c r="RJF30" s="57"/>
      <c r="RJT30" s="57"/>
      <c r="RKH30" s="57"/>
      <c r="RKV30" s="57"/>
      <c r="RLJ30" s="57"/>
      <c r="RLX30" s="57"/>
      <c r="RML30" s="57"/>
      <c r="RMZ30" s="57"/>
      <c r="RNN30" s="57"/>
      <c r="ROB30" s="57"/>
      <c r="ROP30" s="57"/>
      <c r="RPD30" s="57"/>
      <c r="RPR30" s="57"/>
      <c r="RQF30" s="57"/>
      <c r="RQT30" s="57"/>
      <c r="RRH30" s="57"/>
      <c r="RRV30" s="57"/>
      <c r="RSJ30" s="57"/>
      <c r="RSX30" s="57"/>
      <c r="RTL30" s="57"/>
      <c r="RTZ30" s="57"/>
      <c r="RUN30" s="57"/>
      <c r="RVB30" s="57"/>
      <c r="RVP30" s="57"/>
      <c r="RWD30" s="57"/>
      <c r="RWR30" s="57"/>
      <c r="RXF30" s="57"/>
      <c r="RXT30" s="57"/>
      <c r="RYH30" s="57"/>
      <c r="RYV30" s="57"/>
      <c r="RZJ30" s="57"/>
      <c r="RZX30" s="57"/>
      <c r="SAL30" s="57"/>
      <c r="SAZ30" s="57"/>
      <c r="SBN30" s="57"/>
      <c r="SCB30" s="57"/>
      <c r="SCP30" s="57"/>
      <c r="SDD30" s="57"/>
      <c r="SDR30" s="57"/>
      <c r="SEF30" s="57"/>
      <c r="SET30" s="57"/>
      <c r="SFH30" s="57"/>
      <c r="SFV30" s="57"/>
      <c r="SGJ30" s="57"/>
      <c r="SGX30" s="57"/>
      <c r="SHL30" s="57"/>
      <c r="SHZ30" s="57"/>
      <c r="SIN30" s="57"/>
      <c r="SJB30" s="57"/>
      <c r="SJP30" s="57"/>
      <c r="SKD30" s="57"/>
      <c r="SKR30" s="57"/>
      <c r="SLF30" s="57"/>
      <c r="SLT30" s="57"/>
      <c r="SMH30" s="57"/>
      <c r="SMV30" s="57"/>
      <c r="SNJ30" s="57"/>
      <c r="SNX30" s="57"/>
      <c r="SOL30" s="57"/>
      <c r="SOZ30" s="57"/>
      <c r="SPN30" s="57"/>
      <c r="SQB30" s="57"/>
      <c r="SQP30" s="57"/>
      <c r="SRD30" s="57"/>
      <c r="SRR30" s="57"/>
      <c r="SSF30" s="57"/>
      <c r="SST30" s="57"/>
      <c r="STH30" s="57"/>
      <c r="STV30" s="57"/>
      <c r="SUJ30" s="57"/>
      <c r="SUX30" s="57"/>
      <c r="SVL30" s="57"/>
      <c r="SVZ30" s="57"/>
      <c r="SWN30" s="57"/>
      <c r="SXB30" s="57"/>
      <c r="SXP30" s="57"/>
      <c r="SYD30" s="57"/>
      <c r="SYR30" s="57"/>
      <c r="SZF30" s="57"/>
      <c r="SZT30" s="57"/>
      <c r="TAH30" s="57"/>
      <c r="TAV30" s="57"/>
      <c r="TBJ30" s="57"/>
      <c r="TBX30" s="57"/>
      <c r="TCL30" s="57"/>
      <c r="TCZ30" s="57"/>
      <c r="TDN30" s="57"/>
      <c r="TEB30" s="57"/>
      <c r="TEP30" s="57"/>
      <c r="TFD30" s="57"/>
      <c r="TFR30" s="57"/>
      <c r="TGF30" s="57"/>
      <c r="TGT30" s="57"/>
      <c r="THH30" s="57"/>
      <c r="THV30" s="57"/>
      <c r="TIJ30" s="57"/>
      <c r="TIX30" s="57"/>
      <c r="TJL30" s="57"/>
      <c r="TJZ30" s="57"/>
      <c r="TKN30" s="57"/>
      <c r="TLB30" s="57"/>
      <c r="TLP30" s="57"/>
      <c r="TMD30" s="57"/>
      <c r="TMR30" s="57"/>
      <c r="TNF30" s="57"/>
      <c r="TNT30" s="57"/>
      <c r="TOH30" s="57"/>
      <c r="TOV30" s="57"/>
      <c r="TPJ30" s="57"/>
      <c r="TPX30" s="57"/>
      <c r="TQL30" s="57"/>
      <c r="TQZ30" s="57"/>
      <c r="TRN30" s="57"/>
      <c r="TSB30" s="57"/>
      <c r="TSP30" s="57"/>
      <c r="TTD30" s="57"/>
      <c r="TTR30" s="57"/>
      <c r="TUF30" s="57"/>
      <c r="TUT30" s="57"/>
      <c r="TVH30" s="57"/>
      <c r="TVV30" s="57"/>
      <c r="TWJ30" s="57"/>
      <c r="TWX30" s="57"/>
      <c r="TXL30" s="57"/>
      <c r="TXZ30" s="57"/>
      <c r="TYN30" s="57"/>
      <c r="TZB30" s="57"/>
      <c r="TZP30" s="57"/>
      <c r="UAD30" s="57"/>
      <c r="UAR30" s="57"/>
      <c r="UBF30" s="57"/>
      <c r="UBT30" s="57"/>
      <c r="UCH30" s="57"/>
      <c r="UCV30" s="57"/>
      <c r="UDJ30" s="57"/>
      <c r="UDX30" s="57"/>
      <c r="UEL30" s="57"/>
      <c r="UEZ30" s="57"/>
      <c r="UFN30" s="57"/>
      <c r="UGB30" s="57"/>
      <c r="UGP30" s="57"/>
      <c r="UHD30" s="57"/>
      <c r="UHR30" s="57"/>
      <c r="UIF30" s="57"/>
      <c r="UIT30" s="57"/>
      <c r="UJH30" s="57"/>
      <c r="UJV30" s="57"/>
      <c r="UKJ30" s="57"/>
      <c r="UKX30" s="57"/>
      <c r="ULL30" s="57"/>
      <c r="ULZ30" s="57"/>
      <c r="UMN30" s="57"/>
      <c r="UNB30" s="57"/>
      <c r="UNP30" s="57"/>
      <c r="UOD30" s="57"/>
      <c r="UOR30" s="57"/>
      <c r="UPF30" s="57"/>
      <c r="UPT30" s="57"/>
      <c r="UQH30" s="57"/>
      <c r="UQV30" s="57"/>
      <c r="URJ30" s="57"/>
      <c r="URX30" s="57"/>
      <c r="USL30" s="57"/>
      <c r="USZ30" s="57"/>
      <c r="UTN30" s="57"/>
      <c r="UUB30" s="57"/>
      <c r="UUP30" s="57"/>
      <c r="UVD30" s="57"/>
      <c r="UVR30" s="57"/>
      <c r="UWF30" s="57"/>
      <c r="UWT30" s="57"/>
      <c r="UXH30" s="57"/>
      <c r="UXV30" s="57"/>
      <c r="UYJ30" s="57"/>
      <c r="UYX30" s="57"/>
      <c r="UZL30" s="57"/>
      <c r="UZZ30" s="57"/>
      <c r="VAN30" s="57"/>
      <c r="VBB30" s="57"/>
      <c r="VBP30" s="57"/>
      <c r="VCD30" s="57"/>
      <c r="VCR30" s="57"/>
      <c r="VDF30" s="57"/>
      <c r="VDT30" s="57"/>
      <c r="VEH30" s="57"/>
      <c r="VEV30" s="57"/>
      <c r="VFJ30" s="57"/>
      <c r="VFX30" s="57"/>
      <c r="VGL30" s="57"/>
      <c r="VGZ30" s="57"/>
      <c r="VHN30" s="57"/>
      <c r="VIB30" s="57"/>
      <c r="VIP30" s="57"/>
      <c r="VJD30" s="57"/>
      <c r="VJR30" s="57"/>
      <c r="VKF30" s="57"/>
      <c r="VKT30" s="57"/>
      <c r="VLH30" s="57"/>
      <c r="VLV30" s="57"/>
      <c r="VMJ30" s="57"/>
      <c r="VMX30" s="57"/>
      <c r="VNL30" s="57"/>
      <c r="VNZ30" s="57"/>
      <c r="VON30" s="57"/>
      <c r="VPB30" s="57"/>
      <c r="VPP30" s="57"/>
      <c r="VQD30" s="57"/>
      <c r="VQR30" s="57"/>
      <c r="VRF30" s="57"/>
      <c r="VRT30" s="57"/>
      <c r="VSH30" s="57"/>
      <c r="VSV30" s="57"/>
      <c r="VTJ30" s="57"/>
      <c r="VTX30" s="57"/>
      <c r="VUL30" s="57"/>
      <c r="VUZ30" s="57"/>
      <c r="VVN30" s="57"/>
      <c r="VWB30" s="57"/>
      <c r="VWP30" s="57"/>
      <c r="VXD30" s="57"/>
      <c r="VXR30" s="57"/>
      <c r="VYF30" s="57"/>
      <c r="VYT30" s="57"/>
      <c r="VZH30" s="57"/>
      <c r="VZV30" s="57"/>
      <c r="WAJ30" s="57"/>
      <c r="WAX30" s="57"/>
      <c r="WBL30" s="57"/>
      <c r="WBZ30" s="57"/>
      <c r="WCN30" s="57"/>
      <c r="WDB30" s="57"/>
      <c r="WDP30" s="57"/>
      <c r="WED30" s="57"/>
      <c r="WER30" s="57"/>
      <c r="WFF30" s="57"/>
      <c r="WFT30" s="57"/>
      <c r="WGH30" s="57"/>
      <c r="WGV30" s="57"/>
      <c r="WHJ30" s="57"/>
      <c r="WHX30" s="57"/>
      <c r="WIL30" s="57"/>
      <c r="WIZ30" s="57"/>
      <c r="WJN30" s="57"/>
      <c r="WKB30" s="57"/>
      <c r="WKP30" s="57"/>
      <c r="WLD30" s="57"/>
      <c r="WLR30" s="57"/>
      <c r="WMF30" s="57"/>
      <c r="WMT30" s="57"/>
      <c r="WNH30" s="57"/>
      <c r="WNV30" s="57"/>
      <c r="WOJ30" s="57"/>
      <c r="WOX30" s="57"/>
      <c r="WPL30" s="57"/>
      <c r="WPZ30" s="57"/>
      <c r="WQN30" s="57"/>
      <c r="WRB30" s="57"/>
      <c r="WRP30" s="57"/>
      <c r="WSD30" s="57"/>
      <c r="WSR30" s="57"/>
      <c r="WTF30" s="57"/>
      <c r="WTT30" s="57"/>
      <c r="WUH30" s="57"/>
      <c r="WUV30" s="57"/>
      <c r="WVJ30" s="57"/>
      <c r="WVX30" s="57"/>
      <c r="WWL30" s="57"/>
      <c r="WWZ30" s="57"/>
      <c r="WXN30" s="57"/>
      <c r="WYB30" s="57"/>
      <c r="WYP30" s="57"/>
      <c r="WZD30" s="57"/>
      <c r="WZR30" s="57"/>
      <c r="XAF30" s="57"/>
      <c r="XAT30" s="57"/>
      <c r="XBH30" s="57"/>
      <c r="XBV30" s="57"/>
      <c r="XCJ30" s="57"/>
      <c r="XCX30" s="57"/>
      <c r="XDL30" s="57"/>
      <c r="XDZ30" s="57"/>
      <c r="XEN30" s="57"/>
      <c r="XFB30" s="57"/>
    </row>
    <row r="31" spans="1:1024 1038:2046 2060:3068 3082:4090 4104:5112 5126:6134 6148:7156 7170:8192 8206:9214 9228:10236 10250:11258 11272:12280 12294:13302 13316:14324 14338:15360 15374:16382" ht="18.5" x14ac:dyDescent="0.45">
      <c r="A31" s="57" t="s">
        <v>30</v>
      </c>
    </row>
    <row r="32" spans="1:1024 1038:2046 2060:3068 3082:4090 4104:5112 5126:6134 6148:7156 7170:8192 8206:9214 9228:10236 10250:11258 11272:12280 12294:13302 13316:14324 14338:15360 15374:16382" x14ac:dyDescent="0.35">
      <c r="A32" s="56" t="s">
        <v>5</v>
      </c>
      <c r="B32" s="66" t="s">
        <v>21</v>
      </c>
      <c r="C32" s="83">
        <v>0.05</v>
      </c>
      <c r="D32" s="83">
        <v>0.05</v>
      </c>
      <c r="E32" s="83">
        <v>0.05</v>
      </c>
      <c r="F32" s="83">
        <v>0.05</v>
      </c>
      <c r="G32" s="83">
        <v>0.05</v>
      </c>
      <c r="H32" s="83">
        <v>0.02</v>
      </c>
      <c r="I32" s="83">
        <v>0.02</v>
      </c>
      <c r="J32" s="83">
        <v>0.02</v>
      </c>
      <c r="K32" s="83">
        <v>0.01</v>
      </c>
      <c r="L32" s="83">
        <v>0.01</v>
      </c>
      <c r="M32" s="83">
        <v>0.01</v>
      </c>
      <c r="N32" s="83">
        <v>0.01</v>
      </c>
      <c r="O32" s="122"/>
      <c r="P32" s="122" t="s">
        <v>148</v>
      </c>
    </row>
    <row r="33" spans="1:16" x14ac:dyDescent="0.35">
      <c r="A33" s="56" t="s">
        <v>6</v>
      </c>
      <c r="B33" s="66"/>
      <c r="C33" s="123">
        <v>0.5</v>
      </c>
      <c r="D33" s="123">
        <v>0.5</v>
      </c>
      <c r="E33" s="123">
        <v>0.5</v>
      </c>
      <c r="F33" s="123">
        <v>0.5</v>
      </c>
      <c r="G33" s="123">
        <v>0.5</v>
      </c>
      <c r="H33" s="123">
        <v>0.5</v>
      </c>
      <c r="I33" s="123">
        <v>0.5</v>
      </c>
      <c r="J33" s="123">
        <v>0.5</v>
      </c>
      <c r="K33" s="123">
        <v>0.5</v>
      </c>
      <c r="L33" s="123">
        <v>0.5</v>
      </c>
      <c r="M33" s="123">
        <v>0.5</v>
      </c>
      <c r="N33" s="123">
        <v>0.5</v>
      </c>
      <c r="O33" s="122"/>
      <c r="P33" s="122" t="s">
        <v>148</v>
      </c>
    </row>
    <row r="34" spans="1:16" x14ac:dyDescent="0.35">
      <c r="A34" s="56" t="s">
        <v>7</v>
      </c>
      <c r="B34" s="35"/>
      <c r="C34" s="118">
        <f t="shared" ref="C34" si="1">C33/(1-C46)</f>
        <v>0.7246376811594204</v>
      </c>
      <c r="D34" s="118">
        <f t="shared" ref="D34:N34" si="2">D33/(1-D46)</f>
        <v>0.7246376811594204</v>
      </c>
      <c r="E34" s="118">
        <f t="shared" si="2"/>
        <v>0.7246376811594204</v>
      </c>
      <c r="F34" s="118">
        <f t="shared" si="2"/>
        <v>0.7246376811594204</v>
      </c>
      <c r="G34" s="118">
        <f t="shared" si="2"/>
        <v>0.7246376811594204</v>
      </c>
      <c r="H34" s="118">
        <f t="shared" si="2"/>
        <v>0.7246376811594204</v>
      </c>
      <c r="I34" s="118">
        <f t="shared" si="2"/>
        <v>0.7246376811594204</v>
      </c>
      <c r="J34" s="118">
        <f t="shared" si="2"/>
        <v>0.7246376811594204</v>
      </c>
      <c r="K34" s="118">
        <f t="shared" si="2"/>
        <v>0.7246376811594204</v>
      </c>
      <c r="L34" s="118">
        <f t="shared" si="2"/>
        <v>0.7246376811594204</v>
      </c>
      <c r="M34" s="118">
        <f t="shared" si="2"/>
        <v>0.7246376811594204</v>
      </c>
      <c r="N34" s="118">
        <f t="shared" si="2"/>
        <v>0.7246376811594204</v>
      </c>
      <c r="O34" s="122"/>
      <c r="P34" s="122" t="s">
        <v>148</v>
      </c>
    </row>
    <row r="35" spans="1:16" x14ac:dyDescent="0.35">
      <c r="A35" s="56" t="s">
        <v>8</v>
      </c>
      <c r="B35" s="66" t="s">
        <v>21</v>
      </c>
      <c r="C35" s="83">
        <v>7.0000000000000007E-2</v>
      </c>
      <c r="D35" s="83">
        <v>7.0000000000000007E-2</v>
      </c>
      <c r="E35" s="83">
        <v>7.0000000000000007E-2</v>
      </c>
      <c r="F35" s="83">
        <v>7.0000000000000007E-2</v>
      </c>
      <c r="G35" s="83">
        <v>7.0000000000000007E-2</v>
      </c>
      <c r="H35" s="83">
        <v>7.0000000000000007E-2</v>
      </c>
      <c r="I35" s="83">
        <v>7.0000000000000007E-2</v>
      </c>
      <c r="J35" s="83">
        <v>7.0000000000000007E-2</v>
      </c>
      <c r="K35" s="83">
        <v>7.0000000000000007E-2</v>
      </c>
      <c r="L35" s="83">
        <v>7.0000000000000007E-2</v>
      </c>
      <c r="M35" s="83">
        <v>7.4999999999999997E-2</v>
      </c>
      <c r="N35" s="83">
        <v>7.4999999999999997E-2</v>
      </c>
      <c r="O35" s="122"/>
      <c r="P35" s="122" t="s">
        <v>148</v>
      </c>
    </row>
    <row r="36" spans="1:16" x14ac:dyDescent="0.35">
      <c r="A36" s="97" t="s">
        <v>9</v>
      </c>
      <c r="B36" s="100" t="s">
        <v>21</v>
      </c>
      <c r="C36" s="101">
        <v>0.28000000000000003</v>
      </c>
      <c r="D36" s="101">
        <v>0.28000000000000003</v>
      </c>
      <c r="E36" s="101">
        <v>0.28000000000000003</v>
      </c>
      <c r="F36" s="101">
        <v>0.28000000000000003</v>
      </c>
      <c r="G36" s="101">
        <v>0.28000000000000003</v>
      </c>
      <c r="H36" s="101">
        <v>0.28000000000000003</v>
      </c>
      <c r="I36" s="101">
        <v>0.28000000000000003</v>
      </c>
      <c r="J36" s="101">
        <v>0.28000000000000003</v>
      </c>
      <c r="K36" s="101">
        <v>0.28000000000000003</v>
      </c>
      <c r="L36" s="101">
        <v>0.28000000000000003</v>
      </c>
      <c r="M36" s="101">
        <v>0.28000000000000003</v>
      </c>
      <c r="N36" s="101">
        <v>0.28000000000000003</v>
      </c>
      <c r="O36" s="122"/>
      <c r="P36" s="122" t="s">
        <v>148</v>
      </c>
    </row>
    <row r="37" spans="1:16" x14ac:dyDescent="0.35">
      <c r="A37" s="96" t="s">
        <v>30</v>
      </c>
      <c r="B37" s="98" t="s">
        <v>21</v>
      </c>
      <c r="C37" s="99">
        <f t="shared" ref="C37" si="3">C32*(1-C36)+C34*C35</f>
        <v>8.6724637681159428E-2</v>
      </c>
      <c r="D37" s="99">
        <f t="shared" ref="D37:N37" si="4">D32*(1-D36)+D34*D35</f>
        <v>8.6724637681159428E-2</v>
      </c>
      <c r="E37" s="99">
        <f t="shared" si="4"/>
        <v>8.6724637681159428E-2</v>
      </c>
      <c r="F37" s="99">
        <f t="shared" si="4"/>
        <v>8.6724637681159428E-2</v>
      </c>
      <c r="G37" s="99">
        <f t="shared" si="4"/>
        <v>8.6724637681159428E-2</v>
      </c>
      <c r="H37" s="99">
        <f t="shared" si="4"/>
        <v>6.5124637681159434E-2</v>
      </c>
      <c r="I37" s="99">
        <f t="shared" si="4"/>
        <v>6.5124637681159434E-2</v>
      </c>
      <c r="J37" s="99">
        <f t="shared" si="4"/>
        <v>6.5124637681159434E-2</v>
      </c>
      <c r="K37" s="99">
        <f t="shared" si="4"/>
        <v>5.7924637681159429E-2</v>
      </c>
      <c r="L37" s="99">
        <f t="shared" si="4"/>
        <v>5.7924637681159429E-2</v>
      </c>
      <c r="M37" s="99">
        <f t="shared" si="4"/>
        <v>6.1547826086956525E-2</v>
      </c>
      <c r="N37" s="99">
        <f t="shared" si="4"/>
        <v>6.1547826086956525E-2</v>
      </c>
      <c r="O37" s="122"/>
      <c r="P37" s="122" t="s">
        <v>148</v>
      </c>
    </row>
    <row r="38" spans="1:16" ht="18.5" x14ac:dyDescent="0.45">
      <c r="A38" s="57"/>
    </row>
    <row r="39" spans="1:16" ht="18.5" x14ac:dyDescent="0.45">
      <c r="A39" s="57" t="s">
        <v>27</v>
      </c>
    </row>
    <row r="40" spans="1:16" x14ac:dyDescent="0.35">
      <c r="A40" s="56" t="s">
        <v>5</v>
      </c>
      <c r="B40" s="66"/>
      <c r="C40" s="84">
        <f t="shared" ref="C40" si="5">C32</f>
        <v>0.05</v>
      </c>
      <c r="D40" s="84">
        <f t="shared" ref="D40:N40" si="6">D32</f>
        <v>0.05</v>
      </c>
      <c r="E40" s="84">
        <f t="shared" si="6"/>
        <v>0.05</v>
      </c>
      <c r="F40" s="84">
        <f t="shared" si="6"/>
        <v>0.05</v>
      </c>
      <c r="G40" s="84">
        <f t="shared" si="6"/>
        <v>0.05</v>
      </c>
      <c r="H40" s="84">
        <f t="shared" si="6"/>
        <v>0.02</v>
      </c>
      <c r="I40" s="84">
        <f t="shared" si="6"/>
        <v>0.02</v>
      </c>
      <c r="J40" s="84">
        <f t="shared" si="6"/>
        <v>0.02</v>
      </c>
      <c r="K40" s="84">
        <f t="shared" si="6"/>
        <v>0.01</v>
      </c>
      <c r="L40" s="84">
        <f t="shared" si="6"/>
        <v>0.01</v>
      </c>
      <c r="M40" s="84">
        <f t="shared" si="6"/>
        <v>0.01</v>
      </c>
      <c r="N40" s="84">
        <f t="shared" si="6"/>
        <v>0.01</v>
      </c>
      <c r="O40" s="122"/>
      <c r="P40" s="122" t="s">
        <v>148</v>
      </c>
    </row>
    <row r="41" spans="1:16" x14ac:dyDescent="0.35">
      <c r="A41" s="56" t="s">
        <v>10</v>
      </c>
      <c r="B41" s="66" t="s">
        <v>21</v>
      </c>
      <c r="C41" s="83">
        <v>0.02</v>
      </c>
      <c r="D41" s="83">
        <v>0.02</v>
      </c>
      <c r="E41" s="83">
        <v>0.02</v>
      </c>
      <c r="F41" s="83">
        <v>0.02</v>
      </c>
      <c r="G41" s="83">
        <v>0.02</v>
      </c>
      <c r="H41" s="83">
        <v>0.02</v>
      </c>
      <c r="I41" s="83">
        <v>0.02</v>
      </c>
      <c r="J41" s="83">
        <v>0.01</v>
      </c>
      <c r="K41" s="83">
        <v>0.01</v>
      </c>
      <c r="L41" s="83">
        <v>0.01</v>
      </c>
      <c r="M41" s="83">
        <v>0.01</v>
      </c>
      <c r="N41" s="83">
        <v>0.01</v>
      </c>
      <c r="O41" s="122"/>
      <c r="P41" s="122" t="s">
        <v>148</v>
      </c>
    </row>
    <row r="42" spans="1:16" x14ac:dyDescent="0.35">
      <c r="A42" s="97" t="s">
        <v>11</v>
      </c>
      <c r="B42" s="100" t="s">
        <v>21</v>
      </c>
      <c r="C42" s="102">
        <v>2E-3</v>
      </c>
      <c r="D42" s="102">
        <v>2E-3</v>
      </c>
      <c r="E42" s="102">
        <v>2E-3</v>
      </c>
      <c r="F42" s="102">
        <v>2E-3</v>
      </c>
      <c r="G42" s="102">
        <v>2E-3</v>
      </c>
      <c r="H42" s="102">
        <v>2E-3</v>
      </c>
      <c r="I42" s="102">
        <v>2E-3</v>
      </c>
      <c r="J42" s="102">
        <v>2E-3</v>
      </c>
      <c r="K42" s="102">
        <v>2E-3</v>
      </c>
      <c r="L42" s="102">
        <v>2E-3</v>
      </c>
      <c r="M42" s="102">
        <v>2E-3</v>
      </c>
      <c r="N42" s="102">
        <v>2E-3</v>
      </c>
      <c r="O42" s="122"/>
      <c r="P42" s="122" t="s">
        <v>148</v>
      </c>
    </row>
    <row r="43" spans="1:16" x14ac:dyDescent="0.35">
      <c r="A43" s="96" t="s">
        <v>27</v>
      </c>
      <c r="B43" s="98" t="s">
        <v>21</v>
      </c>
      <c r="C43" s="99">
        <f t="shared" ref="C43" si="7">C40+C41+C42</f>
        <v>7.2000000000000008E-2</v>
      </c>
      <c r="D43" s="99">
        <f t="shared" ref="D43:N43" si="8">D40+D41+D42</f>
        <v>7.2000000000000008E-2</v>
      </c>
      <c r="E43" s="99">
        <f t="shared" si="8"/>
        <v>7.2000000000000008E-2</v>
      </c>
      <c r="F43" s="99">
        <f t="shared" si="8"/>
        <v>7.2000000000000008E-2</v>
      </c>
      <c r="G43" s="99">
        <f t="shared" si="8"/>
        <v>7.2000000000000008E-2</v>
      </c>
      <c r="H43" s="99">
        <f t="shared" si="8"/>
        <v>4.2000000000000003E-2</v>
      </c>
      <c r="I43" s="99">
        <f t="shared" si="8"/>
        <v>4.2000000000000003E-2</v>
      </c>
      <c r="J43" s="99">
        <f t="shared" si="8"/>
        <v>3.2000000000000001E-2</v>
      </c>
      <c r="K43" s="99">
        <f t="shared" si="8"/>
        <v>2.1999999999999999E-2</v>
      </c>
      <c r="L43" s="99">
        <f t="shared" si="8"/>
        <v>2.1999999999999999E-2</v>
      </c>
      <c r="M43" s="99">
        <f t="shared" si="8"/>
        <v>2.1999999999999999E-2</v>
      </c>
      <c r="N43" s="99">
        <f t="shared" si="8"/>
        <v>2.1999999999999999E-2</v>
      </c>
      <c r="P43" s="122" t="s">
        <v>148</v>
      </c>
    </row>
    <row r="44" spans="1:16" ht="18.5" x14ac:dyDescent="0.45">
      <c r="A44" s="57"/>
      <c r="E44" s="51"/>
      <c r="F44" s="51"/>
      <c r="G44" s="51"/>
      <c r="H44" s="51"/>
      <c r="I44" s="51"/>
      <c r="J44" s="51"/>
      <c r="K44" s="51"/>
      <c r="L44" s="51"/>
      <c r="M44" s="51"/>
    </row>
    <row r="45" spans="1:16" ht="18.5" x14ac:dyDescent="0.45">
      <c r="A45" s="57" t="s">
        <v>12</v>
      </c>
      <c r="N45" s="95"/>
    </row>
    <row r="46" spans="1:16" x14ac:dyDescent="0.35">
      <c r="A46" s="56" t="s">
        <v>13</v>
      </c>
      <c r="B46" s="58" t="s">
        <v>21</v>
      </c>
      <c r="C46" s="72">
        <v>0.31</v>
      </c>
      <c r="D46" s="72">
        <v>0.31</v>
      </c>
      <c r="E46" s="72">
        <v>0.31</v>
      </c>
      <c r="F46" s="72">
        <v>0.31</v>
      </c>
      <c r="G46" s="72">
        <v>0.31</v>
      </c>
      <c r="H46" s="72">
        <v>0.31</v>
      </c>
      <c r="I46" s="72">
        <v>0.31</v>
      </c>
      <c r="J46" s="72">
        <v>0.31</v>
      </c>
      <c r="K46" s="72">
        <v>0.31</v>
      </c>
      <c r="L46" s="72">
        <v>0.31</v>
      </c>
      <c r="M46" s="72">
        <v>0.31</v>
      </c>
      <c r="N46" s="72">
        <v>0.31</v>
      </c>
      <c r="O46" s="122"/>
      <c r="P46" s="122" t="s">
        <v>148</v>
      </c>
    </row>
    <row r="47" spans="1:16" x14ac:dyDescent="0.35">
      <c r="A47" s="1"/>
    </row>
    <row r="48" spans="1:16" x14ac:dyDescent="0.35">
      <c r="A48" s="56" t="s">
        <v>48</v>
      </c>
      <c r="B48" s="66" t="s">
        <v>21</v>
      </c>
      <c r="C48" s="84">
        <f t="shared" ref="C48:N48" si="9">C$43*C$46*(1-C$25)+C$37*(1-C$46)</f>
        <v>7.5910400000000003E-2</v>
      </c>
      <c r="D48" s="84">
        <f t="shared" si="9"/>
        <v>7.5910400000000003E-2</v>
      </c>
      <c r="E48" s="84">
        <f t="shared" si="9"/>
        <v>7.5910400000000003E-2</v>
      </c>
      <c r="F48" s="84">
        <f t="shared" si="9"/>
        <v>7.5910400000000003E-2</v>
      </c>
      <c r="G48" s="84">
        <f t="shared" si="9"/>
        <v>7.5910400000000003E-2</v>
      </c>
      <c r="H48" s="84">
        <f t="shared" si="9"/>
        <v>5.4310400000000002E-2</v>
      </c>
      <c r="I48" s="84">
        <f t="shared" si="9"/>
        <v>5.4310400000000002E-2</v>
      </c>
      <c r="J48" s="84">
        <f t="shared" si="9"/>
        <v>5.2078400000000004E-2</v>
      </c>
      <c r="K48" s="84">
        <f t="shared" si="9"/>
        <v>4.4878400000000006E-2</v>
      </c>
      <c r="L48" s="84">
        <f t="shared" si="9"/>
        <v>4.4878400000000006E-2</v>
      </c>
      <c r="M48" s="84">
        <f t="shared" si="9"/>
        <v>4.7378400000000001E-2</v>
      </c>
      <c r="N48" s="84">
        <f t="shared" si="9"/>
        <v>4.7378400000000001E-2</v>
      </c>
      <c r="P48" s="122" t="s">
        <v>148</v>
      </c>
    </row>
    <row r="49" spans="1:17" x14ac:dyDescent="0.35">
      <c r="A49" s="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7" ht="21" x14ac:dyDescent="0.5">
      <c r="A50" s="67" t="s">
        <v>29</v>
      </c>
      <c r="C50" s="114" t="s">
        <v>63</v>
      </c>
      <c r="D50" s="114" t="s">
        <v>126</v>
      </c>
      <c r="E50" s="114" t="s">
        <v>64</v>
      </c>
      <c r="F50" s="114" t="s">
        <v>64</v>
      </c>
      <c r="G50" s="114" t="s">
        <v>64</v>
      </c>
      <c r="H50" s="114" t="s">
        <v>64</v>
      </c>
      <c r="I50" s="114" t="s">
        <v>64</v>
      </c>
      <c r="J50" s="114" t="s">
        <v>64</v>
      </c>
      <c r="K50" s="114" t="s">
        <v>64</v>
      </c>
      <c r="L50" s="114" t="s">
        <v>64</v>
      </c>
      <c r="M50" s="114" t="s">
        <v>64</v>
      </c>
      <c r="N50" s="114" t="s">
        <v>127</v>
      </c>
    </row>
    <row r="51" spans="1:17" ht="15.75" customHeight="1" x14ac:dyDescent="0.35">
      <c r="A51" s="77"/>
      <c r="C51" s="115">
        <v>40878</v>
      </c>
      <c r="D51" s="115">
        <v>41090</v>
      </c>
      <c r="E51" s="115">
        <v>41455</v>
      </c>
      <c r="F51" s="115">
        <f>+E51+365</f>
        <v>41820</v>
      </c>
      <c r="G51" s="115">
        <f t="shared" ref="G51:M51" si="10">+F51+365</f>
        <v>42185</v>
      </c>
      <c r="H51" s="115">
        <f>+G51+366</f>
        <v>42551</v>
      </c>
      <c r="I51" s="115">
        <f t="shared" si="10"/>
        <v>42916</v>
      </c>
      <c r="J51" s="115">
        <f t="shared" si="10"/>
        <v>43281</v>
      </c>
      <c r="K51" s="115">
        <f t="shared" si="10"/>
        <v>43646</v>
      </c>
      <c r="L51" s="115">
        <f>+K51+366</f>
        <v>44012</v>
      </c>
      <c r="M51" s="115">
        <f t="shared" si="10"/>
        <v>44377</v>
      </c>
      <c r="N51" s="115">
        <v>44561</v>
      </c>
    </row>
    <row r="52" spans="1:17" x14ac:dyDescent="0.35">
      <c r="A52" s="56" t="s">
        <v>131</v>
      </c>
      <c r="B52" s="110" t="s">
        <v>34</v>
      </c>
      <c r="C52" s="110"/>
      <c r="D52" s="111">
        <f>D51-1-C51</f>
        <v>211</v>
      </c>
      <c r="E52" s="111">
        <f t="shared" ref="E52:N52" si="11">E51-D51</f>
        <v>365</v>
      </c>
      <c r="F52" s="111">
        <f t="shared" si="11"/>
        <v>365</v>
      </c>
      <c r="G52" s="111">
        <f t="shared" si="11"/>
        <v>365</v>
      </c>
      <c r="H52" s="111">
        <f t="shared" si="11"/>
        <v>366</v>
      </c>
      <c r="I52" s="111">
        <f t="shared" si="11"/>
        <v>365</v>
      </c>
      <c r="J52" s="111">
        <f t="shared" si="11"/>
        <v>365</v>
      </c>
      <c r="K52" s="111">
        <f t="shared" si="11"/>
        <v>365</v>
      </c>
      <c r="L52" s="111">
        <f t="shared" si="11"/>
        <v>366</v>
      </c>
      <c r="M52" s="111">
        <f t="shared" si="11"/>
        <v>365</v>
      </c>
      <c r="N52" s="111">
        <f t="shared" si="11"/>
        <v>184</v>
      </c>
      <c r="P52" s="39" t="s">
        <v>149</v>
      </c>
    </row>
    <row r="53" spans="1:17" ht="18.5" x14ac:dyDescent="0.45">
      <c r="A53" s="57"/>
      <c r="E53" s="51"/>
      <c r="F53" s="51"/>
      <c r="G53" s="51"/>
      <c r="H53" s="51"/>
      <c r="I53" s="51"/>
      <c r="J53" s="51"/>
      <c r="K53" s="51"/>
      <c r="L53" s="51"/>
      <c r="M53" s="51"/>
    </row>
    <row r="54" spans="1:17" ht="18.5" x14ac:dyDescent="0.45">
      <c r="A54" s="57" t="s">
        <v>71</v>
      </c>
      <c r="N54" s="95"/>
      <c r="Q54" s="43" t="s">
        <v>157</v>
      </c>
    </row>
    <row r="55" spans="1:17" x14ac:dyDescent="0.35">
      <c r="A55" s="56" t="s">
        <v>14</v>
      </c>
      <c r="B55" s="110" t="s">
        <v>34</v>
      </c>
      <c r="C55" s="110"/>
      <c r="D55" s="111">
        <f t="shared" ref="D55:N55" si="12">ROUNDDOWN((D52/2),0)</f>
        <v>105</v>
      </c>
      <c r="E55" s="111">
        <f t="shared" si="12"/>
        <v>182</v>
      </c>
      <c r="F55" s="111">
        <f t="shared" si="12"/>
        <v>182</v>
      </c>
      <c r="G55" s="111">
        <f t="shared" si="12"/>
        <v>182</v>
      </c>
      <c r="H55" s="111">
        <f t="shared" si="12"/>
        <v>183</v>
      </c>
      <c r="I55" s="111">
        <f t="shared" si="12"/>
        <v>182</v>
      </c>
      <c r="J55" s="111">
        <f t="shared" si="12"/>
        <v>182</v>
      </c>
      <c r="K55" s="111">
        <f t="shared" si="12"/>
        <v>182</v>
      </c>
      <c r="L55" s="111">
        <f t="shared" si="12"/>
        <v>183</v>
      </c>
      <c r="M55" s="111">
        <f t="shared" si="12"/>
        <v>182</v>
      </c>
      <c r="N55" s="111">
        <f t="shared" si="12"/>
        <v>92</v>
      </c>
      <c r="P55" s="39" t="s">
        <v>149</v>
      </c>
    </row>
    <row r="56" spans="1:17" x14ac:dyDescent="0.35">
      <c r="A56" s="56" t="s">
        <v>16</v>
      </c>
      <c r="B56" s="110" t="s">
        <v>65</v>
      </c>
      <c r="C56" s="110"/>
      <c r="D56" s="112">
        <f t="shared" ref="D56:N56" si="13">D51-D55</f>
        <v>40985</v>
      </c>
      <c r="E56" s="112">
        <f t="shared" si="13"/>
        <v>41273</v>
      </c>
      <c r="F56" s="112">
        <f t="shared" si="13"/>
        <v>41638</v>
      </c>
      <c r="G56" s="112">
        <f t="shared" si="13"/>
        <v>42003</v>
      </c>
      <c r="H56" s="112">
        <f t="shared" si="13"/>
        <v>42368</v>
      </c>
      <c r="I56" s="112">
        <f t="shared" si="13"/>
        <v>42734</v>
      </c>
      <c r="J56" s="112">
        <f t="shared" si="13"/>
        <v>43099</v>
      </c>
      <c r="K56" s="112">
        <f t="shared" si="13"/>
        <v>43464</v>
      </c>
      <c r="L56" s="112">
        <f t="shared" si="13"/>
        <v>43829</v>
      </c>
      <c r="M56" s="112">
        <f t="shared" si="13"/>
        <v>44195</v>
      </c>
      <c r="N56" s="112">
        <f t="shared" si="13"/>
        <v>44469</v>
      </c>
      <c r="P56" s="39" t="s">
        <v>149</v>
      </c>
      <c r="Q56" s="43" t="s">
        <v>79</v>
      </c>
    </row>
    <row r="57" spans="1:17" x14ac:dyDescent="0.35">
      <c r="A57" s="56" t="s">
        <v>66</v>
      </c>
      <c r="B57" s="110" t="s">
        <v>34</v>
      </c>
      <c r="C57" s="110"/>
      <c r="D57" s="111">
        <f>$N$51-D56</f>
        <v>3576</v>
      </c>
      <c r="E57" s="111">
        <f t="shared" ref="E57:N57" si="14">$N$51-E56</f>
        <v>3288</v>
      </c>
      <c r="F57" s="111">
        <f t="shared" si="14"/>
        <v>2923</v>
      </c>
      <c r="G57" s="111">
        <f t="shared" si="14"/>
        <v>2558</v>
      </c>
      <c r="H57" s="111">
        <f t="shared" si="14"/>
        <v>2193</v>
      </c>
      <c r="I57" s="111">
        <f>$N$51-I56</f>
        <v>1827</v>
      </c>
      <c r="J57" s="111">
        <f t="shared" si="14"/>
        <v>1462</v>
      </c>
      <c r="K57" s="111">
        <f t="shared" si="14"/>
        <v>1097</v>
      </c>
      <c r="L57" s="111">
        <f t="shared" si="14"/>
        <v>732</v>
      </c>
      <c r="M57" s="111">
        <f t="shared" si="14"/>
        <v>366</v>
      </c>
      <c r="N57" s="111">
        <f t="shared" si="14"/>
        <v>92</v>
      </c>
      <c r="P57" s="39" t="s">
        <v>149</v>
      </c>
    </row>
    <row r="58" spans="1:17" x14ac:dyDescent="0.35">
      <c r="A58" s="56" t="s">
        <v>75</v>
      </c>
      <c r="B58" s="110" t="s">
        <v>40</v>
      </c>
      <c r="C58" s="110"/>
      <c r="D58" s="113">
        <f>D57/365.25</f>
        <v>9.7905544147843937</v>
      </c>
      <c r="E58" s="113">
        <f t="shared" ref="E58:N58" si="15">E57/365.25</f>
        <v>9.0020533880903493</v>
      </c>
      <c r="F58" s="113">
        <f t="shared" si="15"/>
        <v>8.002737850787133</v>
      </c>
      <c r="G58" s="113">
        <f t="shared" si="15"/>
        <v>7.0034223134839149</v>
      </c>
      <c r="H58" s="113">
        <f t="shared" si="15"/>
        <v>6.0041067761806985</v>
      </c>
      <c r="I58" s="113">
        <f t="shared" si="15"/>
        <v>5.0020533880903493</v>
      </c>
      <c r="J58" s="113">
        <f t="shared" si="15"/>
        <v>4.0027378507871321</v>
      </c>
      <c r="K58" s="113">
        <f t="shared" si="15"/>
        <v>3.0034223134839153</v>
      </c>
      <c r="L58" s="113">
        <f t="shared" si="15"/>
        <v>2.0041067761806981</v>
      </c>
      <c r="M58" s="113">
        <f t="shared" si="15"/>
        <v>1.0020533880903491</v>
      </c>
      <c r="N58" s="113">
        <f t="shared" si="15"/>
        <v>0.2518822724161533</v>
      </c>
      <c r="P58" s="39" t="s">
        <v>149</v>
      </c>
    </row>
    <row r="59" spans="1:17" x14ac:dyDescent="0.35">
      <c r="A59" s="56" t="s">
        <v>47</v>
      </c>
      <c r="B59" s="110" t="s">
        <v>49</v>
      </c>
      <c r="C59" s="110"/>
      <c r="D59" s="132">
        <f t="shared" ref="D59:N59" si="16">1+D48</f>
        <v>1.0759103999999999</v>
      </c>
      <c r="E59" s="132">
        <f t="shared" si="16"/>
        <v>1.0759103999999999</v>
      </c>
      <c r="F59" s="132">
        <f t="shared" si="16"/>
        <v>1.0759103999999999</v>
      </c>
      <c r="G59" s="132">
        <f t="shared" si="16"/>
        <v>1.0759103999999999</v>
      </c>
      <c r="H59" s="132">
        <f t="shared" si="16"/>
        <v>1.0543104000000001</v>
      </c>
      <c r="I59" s="132">
        <f t="shared" si="16"/>
        <v>1.0543104000000001</v>
      </c>
      <c r="J59" s="132">
        <f t="shared" si="16"/>
        <v>1.0520784000000001</v>
      </c>
      <c r="K59" s="132">
        <f t="shared" si="16"/>
        <v>1.0448784</v>
      </c>
      <c r="L59" s="132">
        <f t="shared" si="16"/>
        <v>1.0448784</v>
      </c>
      <c r="M59" s="132">
        <f t="shared" si="16"/>
        <v>1.0473783999999999</v>
      </c>
      <c r="N59" s="132">
        <f t="shared" si="16"/>
        <v>1.0473783999999999</v>
      </c>
      <c r="P59" s="39" t="s">
        <v>149</v>
      </c>
    </row>
    <row r="60" spans="1:17" x14ac:dyDescent="0.35">
      <c r="A60" s="56" t="s">
        <v>67</v>
      </c>
      <c r="B60" s="110" t="s">
        <v>28</v>
      </c>
      <c r="C60" s="110"/>
      <c r="D60" s="119">
        <f t="shared" ref="D60:M60" si="17">D59^D58</f>
        <v>2.0469427216707134</v>
      </c>
      <c r="E60" s="119">
        <f t="shared" si="17"/>
        <v>1.9321916386173117</v>
      </c>
      <c r="F60" s="119">
        <f t="shared" si="17"/>
        <v>1.7959566201827626</v>
      </c>
      <c r="G60" s="119">
        <f t="shared" si="17"/>
        <v>1.6693272639801149</v>
      </c>
      <c r="H60" s="119">
        <f t="shared" si="17"/>
        <v>1.3737422952680203</v>
      </c>
      <c r="I60" s="119">
        <f t="shared" si="17"/>
        <v>1.3028355962447293</v>
      </c>
      <c r="J60" s="119">
        <f t="shared" si="17"/>
        <v>1.2253291958817709</v>
      </c>
      <c r="K60" s="119">
        <f t="shared" si="17"/>
        <v>1.1409392039749555</v>
      </c>
      <c r="L60" s="119">
        <f t="shared" si="17"/>
        <v>1.0919677234532414</v>
      </c>
      <c r="M60" s="119">
        <f t="shared" si="17"/>
        <v>1.0474779600489958</v>
      </c>
      <c r="N60" s="119">
        <f>N59^N58</f>
        <v>1.0117279402284824</v>
      </c>
      <c r="P60" s="39" t="s">
        <v>149</v>
      </c>
    </row>
    <row r="61" spans="1:17" ht="18.5" x14ac:dyDescent="0.45">
      <c r="A61" s="57"/>
      <c r="E61" s="51"/>
      <c r="F61" s="51"/>
      <c r="G61" s="51"/>
      <c r="H61" s="51"/>
      <c r="I61" s="51"/>
      <c r="J61" s="51"/>
      <c r="K61" s="51"/>
      <c r="L61" s="51"/>
      <c r="M61" s="51"/>
    </row>
    <row r="62" spans="1:17" ht="18.5" x14ac:dyDescent="0.45">
      <c r="A62" s="57" t="s">
        <v>128</v>
      </c>
      <c r="N62" s="95"/>
      <c r="Q62" s="43" t="s">
        <v>139</v>
      </c>
    </row>
    <row r="63" spans="1:17" x14ac:dyDescent="0.35">
      <c r="A63" s="56" t="s">
        <v>63</v>
      </c>
      <c r="B63" s="110" t="s">
        <v>65</v>
      </c>
      <c r="C63" s="112">
        <f>C51</f>
        <v>40878</v>
      </c>
      <c r="D63" s="87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P63" s="39" t="s">
        <v>149</v>
      </c>
    </row>
    <row r="64" spans="1:17" x14ac:dyDescent="0.35">
      <c r="A64" s="56" t="s">
        <v>129</v>
      </c>
      <c r="B64" s="110" t="s">
        <v>34</v>
      </c>
      <c r="C64" s="111">
        <f>$N$51-C63</f>
        <v>3683</v>
      </c>
      <c r="D64" s="111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P64" s="39" t="s">
        <v>149</v>
      </c>
    </row>
    <row r="65" spans="1:17" x14ac:dyDescent="0.35">
      <c r="A65" s="56" t="s">
        <v>75</v>
      </c>
      <c r="B65" s="110" t="s">
        <v>40</v>
      </c>
      <c r="C65" s="113">
        <f>C64/365.25</f>
        <v>10.083504449007529</v>
      </c>
      <c r="D65" s="111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P65" s="39" t="s">
        <v>149</v>
      </c>
    </row>
    <row r="66" spans="1:17" x14ac:dyDescent="0.35">
      <c r="A66" s="56" t="s">
        <v>47</v>
      </c>
      <c r="B66" s="110" t="s">
        <v>49</v>
      </c>
      <c r="C66" s="132">
        <f>1+C48</f>
        <v>1.0759103999999999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P66" s="39" t="s">
        <v>149</v>
      </c>
    </row>
    <row r="67" spans="1:17" x14ac:dyDescent="0.35">
      <c r="A67" s="56" t="s">
        <v>130</v>
      </c>
      <c r="B67" s="110" t="s">
        <v>28</v>
      </c>
      <c r="C67" s="119">
        <f>C66^C65</f>
        <v>2.0912911588757686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P67" s="39" t="s">
        <v>149</v>
      </c>
    </row>
    <row r="68" spans="1:17" ht="18.5" x14ac:dyDescent="0.45">
      <c r="A68" s="57"/>
      <c r="E68" s="51"/>
      <c r="F68" s="51"/>
      <c r="G68" s="51"/>
      <c r="H68" s="51"/>
      <c r="I68" s="51"/>
      <c r="J68" s="51"/>
      <c r="K68" s="51"/>
      <c r="L68" s="51"/>
      <c r="M68" s="51"/>
    </row>
    <row r="69" spans="1:17" ht="18.5" x14ac:dyDescent="0.45">
      <c r="A69" s="57" t="s">
        <v>70</v>
      </c>
      <c r="N69" s="95"/>
      <c r="Q69" s="43" t="s">
        <v>78</v>
      </c>
    </row>
    <row r="70" spans="1:17" x14ac:dyDescent="0.35">
      <c r="A70" s="56" t="s">
        <v>15</v>
      </c>
      <c r="B70" s="110" t="s">
        <v>34</v>
      </c>
      <c r="C70" s="110"/>
      <c r="D70" s="111">
        <f t="shared" ref="D70:N70" si="18">ROUNDDOWN((D51-D71),0)</f>
        <v>71</v>
      </c>
      <c r="E70" s="111">
        <f t="shared" si="18"/>
        <v>148</v>
      </c>
      <c r="F70" s="111">
        <f t="shared" si="18"/>
        <v>148</v>
      </c>
      <c r="G70" s="111">
        <f t="shared" si="18"/>
        <v>148</v>
      </c>
      <c r="H70" s="111">
        <f t="shared" si="18"/>
        <v>148</v>
      </c>
      <c r="I70" s="111">
        <f t="shared" si="18"/>
        <v>148</v>
      </c>
      <c r="J70" s="111">
        <f t="shared" si="18"/>
        <v>148</v>
      </c>
      <c r="K70" s="111">
        <f t="shared" si="18"/>
        <v>148</v>
      </c>
      <c r="L70" s="111">
        <f t="shared" si="18"/>
        <v>148</v>
      </c>
      <c r="M70" s="111">
        <f t="shared" si="18"/>
        <v>148</v>
      </c>
      <c r="N70" s="111">
        <f t="shared" si="18"/>
        <v>55</v>
      </c>
      <c r="P70" s="39" t="s">
        <v>149</v>
      </c>
    </row>
    <row r="71" spans="1:17" x14ac:dyDescent="0.35">
      <c r="A71" s="56" t="s">
        <v>17</v>
      </c>
      <c r="B71" s="110" t="s">
        <v>65</v>
      </c>
      <c r="C71" s="110"/>
      <c r="D71" s="87">
        <v>41019</v>
      </c>
      <c r="E71" s="87">
        <v>41307</v>
      </c>
      <c r="F71" s="87">
        <v>41672</v>
      </c>
      <c r="G71" s="87">
        <v>42037</v>
      </c>
      <c r="H71" s="87">
        <v>42403</v>
      </c>
      <c r="I71" s="87">
        <v>42768</v>
      </c>
      <c r="J71" s="87">
        <v>43133</v>
      </c>
      <c r="K71" s="87">
        <v>43498</v>
      </c>
      <c r="L71" s="87">
        <v>43864</v>
      </c>
      <c r="M71" s="87">
        <v>44229</v>
      </c>
      <c r="N71" s="87">
        <v>44506</v>
      </c>
      <c r="P71" s="39" t="s">
        <v>149</v>
      </c>
      <c r="Q71" s="43" t="s">
        <v>158</v>
      </c>
    </row>
    <row r="72" spans="1:17" x14ac:dyDescent="0.35">
      <c r="A72" s="56" t="s">
        <v>68</v>
      </c>
      <c r="B72" s="110" t="s">
        <v>34</v>
      </c>
      <c r="C72" s="110"/>
      <c r="D72" s="111">
        <f>$N$51-D71</f>
        <v>3542</v>
      </c>
      <c r="E72" s="111">
        <f t="shared" ref="E72:N72" si="19">$N$51-E71</f>
        <v>3254</v>
      </c>
      <c r="F72" s="111">
        <f t="shared" si="19"/>
        <v>2889</v>
      </c>
      <c r="G72" s="111">
        <f t="shared" si="19"/>
        <v>2524</v>
      </c>
      <c r="H72" s="111">
        <f t="shared" si="19"/>
        <v>2158</v>
      </c>
      <c r="I72" s="111">
        <f t="shared" si="19"/>
        <v>1793</v>
      </c>
      <c r="J72" s="111">
        <f t="shared" si="19"/>
        <v>1428</v>
      </c>
      <c r="K72" s="111">
        <f t="shared" si="19"/>
        <v>1063</v>
      </c>
      <c r="L72" s="111">
        <f t="shared" si="19"/>
        <v>697</v>
      </c>
      <c r="M72" s="111">
        <f t="shared" si="19"/>
        <v>332</v>
      </c>
      <c r="N72" s="111">
        <f t="shared" si="19"/>
        <v>55</v>
      </c>
      <c r="P72" s="39" t="s">
        <v>149</v>
      </c>
    </row>
    <row r="73" spans="1:17" x14ac:dyDescent="0.35">
      <c r="A73" s="56" t="s">
        <v>75</v>
      </c>
      <c r="B73" s="110" t="s">
        <v>40</v>
      </c>
      <c r="C73" s="110"/>
      <c r="D73" s="113">
        <f t="shared" ref="D73:N73" si="20">D72/365</f>
        <v>9.7041095890410958</v>
      </c>
      <c r="E73" s="113">
        <f t="shared" si="20"/>
        <v>8.9150684931506845</v>
      </c>
      <c r="F73" s="113">
        <f t="shared" si="20"/>
        <v>7.9150684931506845</v>
      </c>
      <c r="G73" s="113">
        <f t="shared" si="20"/>
        <v>6.9150684931506845</v>
      </c>
      <c r="H73" s="113">
        <f t="shared" si="20"/>
        <v>5.912328767123288</v>
      </c>
      <c r="I73" s="113">
        <f t="shared" si="20"/>
        <v>4.912328767123288</v>
      </c>
      <c r="J73" s="113">
        <f t="shared" si="20"/>
        <v>3.9123287671232876</v>
      </c>
      <c r="K73" s="113">
        <f t="shared" si="20"/>
        <v>2.9123287671232876</v>
      </c>
      <c r="L73" s="113">
        <f t="shared" si="20"/>
        <v>1.9095890410958904</v>
      </c>
      <c r="M73" s="113">
        <f t="shared" si="20"/>
        <v>0.90958904109589045</v>
      </c>
      <c r="N73" s="113">
        <f t="shared" si="20"/>
        <v>0.15068493150684931</v>
      </c>
      <c r="P73" s="39" t="s">
        <v>149</v>
      </c>
    </row>
    <row r="74" spans="1:17" x14ac:dyDescent="0.35">
      <c r="A74" s="56" t="s">
        <v>47</v>
      </c>
      <c r="B74" s="110" t="s">
        <v>49</v>
      </c>
      <c r="C74" s="110"/>
      <c r="D74" s="132">
        <f t="shared" ref="D74:N74" si="21">1+D48</f>
        <v>1.0759103999999999</v>
      </c>
      <c r="E74" s="132">
        <f t="shared" si="21"/>
        <v>1.0759103999999999</v>
      </c>
      <c r="F74" s="132">
        <f t="shared" si="21"/>
        <v>1.0759103999999999</v>
      </c>
      <c r="G74" s="132">
        <f t="shared" si="21"/>
        <v>1.0759103999999999</v>
      </c>
      <c r="H74" s="132">
        <f t="shared" si="21"/>
        <v>1.0543104000000001</v>
      </c>
      <c r="I74" s="132">
        <f t="shared" si="21"/>
        <v>1.0543104000000001</v>
      </c>
      <c r="J74" s="132">
        <f t="shared" si="21"/>
        <v>1.0520784000000001</v>
      </c>
      <c r="K74" s="132">
        <f t="shared" si="21"/>
        <v>1.0448784</v>
      </c>
      <c r="L74" s="132">
        <f t="shared" si="21"/>
        <v>1.0448784</v>
      </c>
      <c r="M74" s="132">
        <f t="shared" si="21"/>
        <v>1.0473783999999999</v>
      </c>
      <c r="N74" s="132">
        <f t="shared" si="21"/>
        <v>1.0473783999999999</v>
      </c>
      <c r="P74" s="39" t="s">
        <v>149</v>
      </c>
    </row>
    <row r="75" spans="1:17" x14ac:dyDescent="0.35">
      <c r="A75" s="56" t="s">
        <v>69</v>
      </c>
      <c r="B75" s="110" t="s">
        <v>28</v>
      </c>
      <c r="C75" s="110"/>
      <c r="D75" s="119">
        <f t="shared" ref="D75:M75" si="22">D74^D73</f>
        <v>2.0340368204984278</v>
      </c>
      <c r="E75" s="119">
        <f t="shared" si="22"/>
        <v>1.9199333706225774</v>
      </c>
      <c r="F75" s="119">
        <f t="shared" si="22"/>
        <v>1.7844732894324447</v>
      </c>
      <c r="G75" s="119">
        <f t="shared" si="22"/>
        <v>1.6585705365729757</v>
      </c>
      <c r="H75" s="119">
        <f t="shared" si="22"/>
        <v>1.3670905061760126</v>
      </c>
      <c r="I75" s="119">
        <f t="shared" si="22"/>
        <v>1.2966679510853847</v>
      </c>
      <c r="J75" s="119">
        <f t="shared" si="22"/>
        <v>1.2197179991071909</v>
      </c>
      <c r="K75" s="119">
        <f t="shared" si="22"/>
        <v>1.1363856379905002</v>
      </c>
      <c r="L75" s="119">
        <f t="shared" si="22"/>
        <v>1.0874461248229748</v>
      </c>
      <c r="M75" s="119">
        <f t="shared" si="22"/>
        <v>1.0430041256168305</v>
      </c>
      <c r="N75" s="119">
        <f>N74^N73</f>
        <v>1.0069996313962131</v>
      </c>
      <c r="P75" s="39" t="s">
        <v>149</v>
      </c>
    </row>
  </sheetData>
  <pageMargins left="0.7" right="0.7" top="0.75" bottom="0.75" header="0.3" footer="0.3"/>
  <pageSetup paperSize="8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0DC0-1641-4E92-9287-3BE35E8D4233}">
  <sheetPr>
    <tabColor theme="3" tint="0.39997558519241921"/>
    <pageSetUpPr fitToPage="1"/>
  </sheetPr>
  <dimension ref="A1:Q121"/>
  <sheetViews>
    <sheetView showGridLines="0" view="pageBreakPreview" zoomScaleNormal="85" zoomScaleSheetLayoutView="100" workbookViewId="0"/>
  </sheetViews>
  <sheetFormatPr defaultColWidth="9.1796875" defaultRowHeight="14.5" x14ac:dyDescent="0.35"/>
  <cols>
    <col min="1" max="1" width="62.54296875" style="1" customWidth="1"/>
    <col min="2" max="3" width="15.1796875" style="1" customWidth="1"/>
    <col min="4" max="8" width="14.26953125" style="1" bestFit="1" customWidth="1"/>
    <col min="9" max="9" width="12.81640625" style="1" customWidth="1"/>
    <col min="10" max="11" width="14.26953125" style="1" bestFit="1" customWidth="1"/>
    <col min="12" max="14" width="12.54296875" style="1" customWidth="1"/>
    <col min="15" max="15" width="5.453125" style="1" customWidth="1"/>
    <col min="16" max="16" width="15.453125" style="1" customWidth="1"/>
    <col min="17" max="17" width="52.81640625" style="1" customWidth="1"/>
    <col min="18" max="18" width="15.7265625" style="1" customWidth="1"/>
    <col min="19" max="19" width="33.54296875" style="1" customWidth="1"/>
    <col min="20" max="16384" width="9.1796875" style="1"/>
  </cols>
  <sheetData>
    <row r="1" spans="1:17" ht="30" customHeight="1" x14ac:dyDescent="0.6">
      <c r="A1" s="12" t="s">
        <v>58</v>
      </c>
      <c r="B1" s="28"/>
      <c r="C1" s="28"/>
    </row>
    <row r="2" spans="1:17" x14ac:dyDescent="0.35">
      <c r="A2" s="117" t="s">
        <v>36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7" x14ac:dyDescent="0.35">
      <c r="A3" s="7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93" t="s">
        <v>125</v>
      </c>
      <c r="Q3" s="93" t="s">
        <v>2</v>
      </c>
    </row>
    <row r="4" spans="1:17" ht="21" x14ac:dyDescent="0.5">
      <c r="A4" s="89" t="s">
        <v>20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114" t="s">
        <v>72</v>
      </c>
      <c r="O4" s="39"/>
      <c r="P4" s="39"/>
      <c r="Q4" s="43"/>
    </row>
    <row r="5" spans="1:17" x14ac:dyDescent="0.3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16">
        <v>44561</v>
      </c>
      <c r="O5" s="39"/>
      <c r="P5" s="39"/>
    </row>
    <row r="6" spans="1:17" ht="18.5" x14ac:dyDescent="0.45">
      <c r="A6" s="57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9"/>
      <c r="P6" s="39"/>
      <c r="Q6" s="39"/>
    </row>
    <row r="7" spans="1:17" ht="17" x14ac:dyDescent="0.4">
      <c r="A7" s="34" t="s">
        <v>84</v>
      </c>
      <c r="B7" s="40" t="s">
        <v>19</v>
      </c>
      <c r="C7" s="40"/>
      <c r="D7" s="49"/>
      <c r="E7" s="49"/>
      <c r="F7" s="49"/>
      <c r="G7" s="49"/>
      <c r="H7" s="49"/>
      <c r="I7" s="49"/>
      <c r="J7" s="49"/>
      <c r="K7" s="49"/>
      <c r="L7" s="49"/>
      <c r="M7" s="49"/>
      <c r="N7" s="120">
        <f>N36</f>
        <v>-2223.7495123706299</v>
      </c>
      <c r="O7" s="30"/>
      <c r="P7" s="39" t="s">
        <v>82</v>
      </c>
      <c r="Q7" s="43"/>
    </row>
    <row r="8" spans="1:17" ht="17" x14ac:dyDescent="0.4">
      <c r="A8" s="130" t="s">
        <v>108</v>
      </c>
      <c r="B8" s="40" t="s">
        <v>19</v>
      </c>
      <c r="C8" s="40"/>
      <c r="D8" s="49"/>
      <c r="E8" s="49"/>
      <c r="F8" s="49"/>
      <c r="G8" s="49"/>
      <c r="H8" s="49"/>
      <c r="I8" s="49"/>
      <c r="J8" s="49"/>
      <c r="K8" s="49"/>
      <c r="L8" s="49"/>
      <c r="M8" s="49"/>
      <c r="N8" s="120">
        <f>N59</f>
        <v>1673.8880000324618</v>
      </c>
      <c r="O8" s="30"/>
      <c r="P8" s="39" t="s">
        <v>82</v>
      </c>
    </row>
    <row r="9" spans="1:17" ht="17" x14ac:dyDescent="0.4">
      <c r="A9" s="109" t="s">
        <v>62</v>
      </c>
      <c r="B9" s="40" t="s">
        <v>19</v>
      </c>
      <c r="C9" s="40"/>
      <c r="D9" s="49"/>
      <c r="E9" s="49"/>
      <c r="F9" s="49"/>
      <c r="G9" s="49"/>
      <c r="H9" s="49"/>
      <c r="I9" s="49"/>
      <c r="J9" s="49"/>
      <c r="K9" s="49"/>
      <c r="L9" s="49"/>
      <c r="M9" s="49"/>
      <c r="N9" s="120">
        <f>N75</f>
        <v>320.06954490181147</v>
      </c>
      <c r="O9" s="30"/>
      <c r="P9" s="39" t="s">
        <v>94</v>
      </c>
      <c r="Q9" s="43"/>
    </row>
    <row r="10" spans="1:17" ht="17" x14ac:dyDescent="0.4">
      <c r="A10" s="34" t="s">
        <v>81</v>
      </c>
      <c r="B10" s="40" t="s">
        <v>19</v>
      </c>
      <c r="C10" s="4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20">
        <f>SUM(N7:N9)</f>
        <v>-229.79196743635657</v>
      </c>
      <c r="O10" s="30"/>
      <c r="P10" s="39" t="s">
        <v>82</v>
      </c>
    </row>
    <row r="11" spans="1:17" ht="17" x14ac:dyDescent="0.4">
      <c r="A11" s="34"/>
      <c r="B11" s="40"/>
      <c r="C11" s="4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20"/>
      <c r="O11" s="30"/>
      <c r="P11" s="39"/>
      <c r="Q11" s="43"/>
    </row>
    <row r="12" spans="1:17" ht="17" x14ac:dyDescent="0.4">
      <c r="A12" s="34" t="s">
        <v>124</v>
      </c>
      <c r="B12" s="40" t="s">
        <v>19</v>
      </c>
      <c r="C12" s="4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120">
        <f>-MIN(0, N10)</f>
        <v>229.79196743635657</v>
      </c>
      <c r="O12" s="30"/>
      <c r="P12" s="39" t="s">
        <v>83</v>
      </c>
      <c r="Q12" s="43" t="s">
        <v>159</v>
      </c>
    </row>
    <row r="13" spans="1:17" x14ac:dyDescent="0.35">
      <c r="Q13" s="43"/>
    </row>
    <row r="14" spans="1:17" ht="21" x14ac:dyDescent="0.5">
      <c r="A14" s="89" t="s">
        <v>61</v>
      </c>
      <c r="C14" s="114" t="s">
        <v>63</v>
      </c>
      <c r="D14" s="114" t="s">
        <v>126</v>
      </c>
      <c r="E14" s="114" t="s">
        <v>64</v>
      </c>
      <c r="F14" s="114" t="s">
        <v>64</v>
      </c>
      <c r="G14" s="114" t="s">
        <v>64</v>
      </c>
      <c r="H14" s="114" t="s">
        <v>64</v>
      </c>
      <c r="I14" s="114" t="s">
        <v>64</v>
      </c>
      <c r="J14" s="114" t="s">
        <v>64</v>
      </c>
      <c r="K14" s="114" t="s">
        <v>64</v>
      </c>
      <c r="L14" s="114" t="s">
        <v>64</v>
      </c>
      <c r="M14" s="114" t="s">
        <v>64</v>
      </c>
      <c r="N14" s="114" t="s">
        <v>127</v>
      </c>
      <c r="O14" s="39"/>
      <c r="P14" s="39"/>
      <c r="Q14" s="39"/>
    </row>
    <row r="15" spans="1:17" x14ac:dyDescent="0.35">
      <c r="B15" s="28"/>
      <c r="C15" s="116">
        <f>Inputs!$C$51</f>
        <v>40878</v>
      </c>
      <c r="D15" s="116">
        <f>Inputs!D51</f>
        <v>41090</v>
      </c>
      <c r="E15" s="116">
        <f>Inputs!E51</f>
        <v>41455</v>
      </c>
      <c r="F15" s="116">
        <f>Inputs!F51</f>
        <v>41820</v>
      </c>
      <c r="G15" s="116">
        <f>Inputs!G51</f>
        <v>42185</v>
      </c>
      <c r="H15" s="116">
        <f>Inputs!H51</f>
        <v>42551</v>
      </c>
      <c r="I15" s="116">
        <f>Inputs!I51</f>
        <v>42916</v>
      </c>
      <c r="J15" s="116">
        <f>Inputs!J51</f>
        <v>43281</v>
      </c>
      <c r="K15" s="116">
        <f>Inputs!K51</f>
        <v>43646</v>
      </c>
      <c r="L15" s="116">
        <f>Inputs!L51</f>
        <v>44012</v>
      </c>
      <c r="M15" s="116">
        <f>Inputs!M51</f>
        <v>44377</v>
      </c>
      <c r="N15" s="116">
        <f>Inputs!N51</f>
        <v>44561</v>
      </c>
      <c r="O15" s="39"/>
      <c r="P15" s="39"/>
    </row>
    <row r="16" spans="1:17" ht="18.5" x14ac:dyDescent="0.45">
      <c r="A16" s="57" t="s">
        <v>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9"/>
      <c r="P16" s="39"/>
      <c r="Q16" s="39"/>
    </row>
    <row r="17" spans="1:17" x14ac:dyDescent="0.35">
      <c r="A17" s="34" t="s">
        <v>86</v>
      </c>
      <c r="B17" s="40" t="s">
        <v>19</v>
      </c>
      <c r="C17" s="124"/>
      <c r="D17" s="124">
        <f>Inputs!D7</f>
        <v>0</v>
      </c>
      <c r="E17" s="124">
        <f>Inputs!E7</f>
        <v>50</v>
      </c>
      <c r="F17" s="124">
        <f>Inputs!F7</f>
        <v>100</v>
      </c>
      <c r="G17" s="124">
        <f>Inputs!G7</f>
        <v>150</v>
      </c>
      <c r="H17" s="124">
        <f>Inputs!H7</f>
        <v>200</v>
      </c>
      <c r="I17" s="124">
        <f>Inputs!I7</f>
        <v>210</v>
      </c>
      <c r="J17" s="124">
        <f>Inputs!J7</f>
        <v>220</v>
      </c>
      <c r="K17" s="124">
        <f>Inputs!K7</f>
        <v>230</v>
      </c>
      <c r="L17" s="124">
        <f>Inputs!L7</f>
        <v>240</v>
      </c>
      <c r="M17" s="124">
        <f>Inputs!M7</f>
        <v>250</v>
      </c>
      <c r="N17" s="124">
        <f>Inputs!N7</f>
        <v>260</v>
      </c>
      <c r="O17" s="30"/>
      <c r="P17" s="39" t="s">
        <v>82</v>
      </c>
      <c r="Q17" s="43"/>
    </row>
    <row r="18" spans="1:17" x14ac:dyDescent="0.35">
      <c r="A18" s="34" t="s">
        <v>110</v>
      </c>
      <c r="B18" s="40" t="s">
        <v>28</v>
      </c>
      <c r="C18" s="125"/>
      <c r="D18" s="125">
        <f>Inputs!D75</f>
        <v>2.0340368204984278</v>
      </c>
      <c r="E18" s="125">
        <f>Inputs!E75</f>
        <v>1.9199333706225774</v>
      </c>
      <c r="F18" s="125">
        <f>Inputs!F75</f>
        <v>1.7844732894324447</v>
      </c>
      <c r="G18" s="125">
        <f>Inputs!G75</f>
        <v>1.6585705365729757</v>
      </c>
      <c r="H18" s="125">
        <f>Inputs!H75</f>
        <v>1.3670905061760126</v>
      </c>
      <c r="I18" s="125">
        <f>Inputs!I75</f>
        <v>1.2966679510853847</v>
      </c>
      <c r="J18" s="125">
        <f>Inputs!J75</f>
        <v>1.2197179991071909</v>
      </c>
      <c r="K18" s="125">
        <f>Inputs!K75</f>
        <v>1.1363856379905002</v>
      </c>
      <c r="L18" s="125">
        <f>Inputs!L75</f>
        <v>1.0874461248229748</v>
      </c>
      <c r="M18" s="125">
        <f>Inputs!M75</f>
        <v>1.0430041256168305</v>
      </c>
      <c r="N18" s="125">
        <f>Inputs!N75</f>
        <v>1.0069996313962131</v>
      </c>
      <c r="O18" s="30"/>
      <c r="P18" s="39" t="s">
        <v>144</v>
      </c>
      <c r="Q18" s="43"/>
    </row>
    <row r="19" spans="1:17" x14ac:dyDescent="0.35">
      <c r="A19" s="34" t="s">
        <v>87</v>
      </c>
      <c r="B19" s="40" t="s">
        <v>19</v>
      </c>
      <c r="C19" s="36"/>
      <c r="D19" s="36">
        <f t="shared" ref="D19:N19" si="0">D17*D18</f>
        <v>0</v>
      </c>
      <c r="E19" s="36">
        <f t="shared" si="0"/>
        <v>95.996668531128876</v>
      </c>
      <c r="F19" s="36">
        <f t="shared" si="0"/>
        <v>178.44732894324446</v>
      </c>
      <c r="G19" s="36">
        <f t="shared" si="0"/>
        <v>248.78558048594635</v>
      </c>
      <c r="H19" s="36">
        <f t="shared" si="0"/>
        <v>273.41810123520253</v>
      </c>
      <c r="I19" s="36">
        <f t="shared" si="0"/>
        <v>272.30026972793081</v>
      </c>
      <c r="J19" s="36">
        <f t="shared" si="0"/>
        <v>268.33795980358201</v>
      </c>
      <c r="K19" s="36">
        <f t="shared" si="0"/>
        <v>261.36869673781507</v>
      </c>
      <c r="L19" s="36">
        <f t="shared" si="0"/>
        <v>260.98706995751394</v>
      </c>
      <c r="M19" s="36">
        <f t="shared" si="0"/>
        <v>260.75103140420765</v>
      </c>
      <c r="N19" s="36">
        <f t="shared" si="0"/>
        <v>261.81990416301539</v>
      </c>
      <c r="O19" s="30"/>
      <c r="P19" s="39" t="s">
        <v>82</v>
      </c>
      <c r="Q19" s="43"/>
    </row>
    <row r="20" spans="1:17" x14ac:dyDescent="0.35">
      <c r="A20" s="42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P20" s="39"/>
      <c r="Q20" s="43"/>
    </row>
    <row r="21" spans="1:17" ht="18.5" x14ac:dyDescent="0.45">
      <c r="A21" s="50" t="s">
        <v>24</v>
      </c>
      <c r="B21" s="6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P21" s="39"/>
      <c r="Q21" s="43"/>
    </row>
    <row r="22" spans="1:17" ht="15" customHeight="1" x14ac:dyDescent="0.35">
      <c r="A22" s="34" t="s">
        <v>136</v>
      </c>
      <c r="B22" s="40" t="s">
        <v>19</v>
      </c>
      <c r="C22" s="78">
        <f>C54</f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P22" s="39" t="s">
        <v>82</v>
      </c>
      <c r="Q22" s="43"/>
    </row>
    <row r="23" spans="1:17" x14ac:dyDescent="0.35">
      <c r="A23" s="34" t="s">
        <v>133</v>
      </c>
      <c r="B23" s="40" t="s">
        <v>28</v>
      </c>
      <c r="C23" s="125">
        <f>Inputs!C67</f>
        <v>2.0912911588757686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P23" s="39" t="s">
        <v>144</v>
      </c>
      <c r="Q23" s="43"/>
    </row>
    <row r="24" spans="1:17" x14ac:dyDescent="0.35">
      <c r="A24" s="34" t="s">
        <v>135</v>
      </c>
      <c r="B24" s="40" t="s">
        <v>19</v>
      </c>
      <c r="C24" s="36">
        <f t="shared" ref="C24" si="1">C22*C23</f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P24" s="39" t="s">
        <v>82</v>
      </c>
      <c r="Q24" s="43"/>
    </row>
    <row r="25" spans="1:17" x14ac:dyDescent="0.35">
      <c r="A25" s="34"/>
      <c r="B25" s="69"/>
      <c r="C25" s="36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P25" s="39"/>
      <c r="Q25" s="43"/>
    </row>
    <row r="26" spans="1:17" x14ac:dyDescent="0.35">
      <c r="A26" s="34" t="s">
        <v>90</v>
      </c>
      <c r="B26" s="40" t="s">
        <v>19</v>
      </c>
      <c r="C26" s="36"/>
      <c r="D26" s="36">
        <f t="shared" ref="D26:N26" si="2">D56</f>
        <v>50</v>
      </c>
      <c r="E26" s="36">
        <f>E56</f>
        <v>100</v>
      </c>
      <c r="F26" s="36">
        <f t="shared" si="2"/>
        <v>150</v>
      </c>
      <c r="G26" s="36">
        <f t="shared" si="2"/>
        <v>200</v>
      </c>
      <c r="H26" s="36">
        <f t="shared" si="2"/>
        <v>200</v>
      </c>
      <c r="I26" s="36">
        <f t="shared" si="2"/>
        <v>200</v>
      </c>
      <c r="J26" s="36">
        <f t="shared" si="2"/>
        <v>200</v>
      </c>
      <c r="K26" s="36">
        <f t="shared" si="2"/>
        <v>200</v>
      </c>
      <c r="L26" s="36">
        <f t="shared" si="2"/>
        <v>200</v>
      </c>
      <c r="M26" s="36">
        <f t="shared" si="2"/>
        <v>200</v>
      </c>
      <c r="N26" s="36">
        <f t="shared" si="2"/>
        <v>200</v>
      </c>
      <c r="O26" s="30"/>
      <c r="P26" s="39" t="s">
        <v>82</v>
      </c>
      <c r="Q26" s="43"/>
    </row>
    <row r="27" spans="1:17" x14ac:dyDescent="0.35">
      <c r="A27" s="34" t="s">
        <v>91</v>
      </c>
      <c r="B27" s="40" t="s">
        <v>19</v>
      </c>
      <c r="C27" s="36"/>
      <c r="D27" s="36">
        <f t="shared" ref="D27:N27" si="3">D58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6">
        <f t="shared" si="3"/>
        <v>0</v>
      </c>
      <c r="L27" s="36">
        <f t="shared" si="3"/>
        <v>0</v>
      </c>
      <c r="M27" s="36">
        <f t="shared" si="3"/>
        <v>0</v>
      </c>
      <c r="N27" s="36">
        <f t="shared" si="3"/>
        <v>0</v>
      </c>
      <c r="O27" s="30"/>
      <c r="P27" s="39" t="s">
        <v>95</v>
      </c>
      <c r="Q27" s="43"/>
    </row>
    <row r="28" spans="1:17" x14ac:dyDescent="0.35">
      <c r="A28" s="71" t="s">
        <v>92</v>
      </c>
      <c r="B28" s="40" t="s">
        <v>19</v>
      </c>
      <c r="C28" s="124"/>
      <c r="D28" s="124">
        <f>Inputs!D10</f>
        <v>50</v>
      </c>
      <c r="E28" s="124">
        <f>Inputs!E10</f>
        <v>100</v>
      </c>
      <c r="F28" s="124">
        <f>Inputs!F10</f>
        <v>150</v>
      </c>
      <c r="G28" s="124">
        <f>Inputs!G10</f>
        <v>150</v>
      </c>
      <c r="H28" s="124">
        <f>Inputs!H10</f>
        <v>150</v>
      </c>
      <c r="I28" s="124">
        <f>Inputs!I10</f>
        <v>150</v>
      </c>
      <c r="J28" s="124">
        <f>Inputs!J10</f>
        <v>150</v>
      </c>
      <c r="K28" s="124">
        <f>Inputs!K10</f>
        <v>150</v>
      </c>
      <c r="L28" s="124">
        <f>Inputs!L10</f>
        <v>150</v>
      </c>
      <c r="M28" s="124">
        <f>Inputs!M10</f>
        <v>150</v>
      </c>
      <c r="N28" s="124">
        <f>Inputs!N10</f>
        <v>150</v>
      </c>
      <c r="O28" s="30"/>
      <c r="P28" s="39" t="s">
        <v>82</v>
      </c>
      <c r="Q28" s="43"/>
    </row>
    <row r="29" spans="1:17" x14ac:dyDescent="0.35">
      <c r="A29" s="34" t="s">
        <v>93</v>
      </c>
      <c r="B29" s="40" t="s">
        <v>19</v>
      </c>
      <c r="C29" s="46"/>
      <c r="D29" s="46">
        <f>D98</f>
        <v>0</v>
      </c>
      <c r="E29" s="46">
        <f t="shared" ref="E29:N29" si="4">E98</f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2.641294914178582</v>
      </c>
      <c r="N29" s="46">
        <f t="shared" si="4"/>
        <v>20.859685384776338</v>
      </c>
      <c r="O29" s="30"/>
      <c r="P29" s="39" t="s">
        <v>145</v>
      </c>
      <c r="Q29" s="43"/>
    </row>
    <row r="30" spans="1:17" x14ac:dyDescent="0.35">
      <c r="A30" s="47" t="s">
        <v>89</v>
      </c>
      <c r="B30" s="40" t="s">
        <v>19</v>
      </c>
      <c r="C30" s="55"/>
      <c r="D30" s="55">
        <f t="shared" ref="D30:N30" si="5">SUM(D26:D29)</f>
        <v>100</v>
      </c>
      <c r="E30" s="55">
        <f t="shared" si="5"/>
        <v>200</v>
      </c>
      <c r="F30" s="55">
        <f t="shared" si="5"/>
        <v>300</v>
      </c>
      <c r="G30" s="55">
        <f t="shared" si="5"/>
        <v>350</v>
      </c>
      <c r="H30" s="55">
        <f t="shared" si="5"/>
        <v>350</v>
      </c>
      <c r="I30" s="55">
        <f t="shared" si="5"/>
        <v>350</v>
      </c>
      <c r="J30" s="55">
        <f t="shared" si="5"/>
        <v>350</v>
      </c>
      <c r="K30" s="55">
        <f t="shared" si="5"/>
        <v>350</v>
      </c>
      <c r="L30" s="55">
        <f t="shared" si="5"/>
        <v>350</v>
      </c>
      <c r="M30" s="55">
        <f t="shared" si="5"/>
        <v>352.64129491417856</v>
      </c>
      <c r="N30" s="55">
        <f t="shared" si="5"/>
        <v>370.85968538477636</v>
      </c>
      <c r="O30" s="30"/>
      <c r="P30" s="39" t="s">
        <v>82</v>
      </c>
      <c r="Q30" s="43"/>
    </row>
    <row r="31" spans="1:17" x14ac:dyDescent="0.35">
      <c r="A31" s="34" t="s">
        <v>109</v>
      </c>
      <c r="B31" s="40" t="s">
        <v>28</v>
      </c>
      <c r="C31" s="125"/>
      <c r="D31" s="125">
        <f>Inputs!D60</f>
        <v>2.0469427216707134</v>
      </c>
      <c r="E31" s="125">
        <f>Inputs!E60</f>
        <v>1.9321916386173117</v>
      </c>
      <c r="F31" s="125">
        <f>Inputs!F60</f>
        <v>1.7959566201827626</v>
      </c>
      <c r="G31" s="125">
        <f>Inputs!G60</f>
        <v>1.6693272639801149</v>
      </c>
      <c r="H31" s="125">
        <f>Inputs!H60</f>
        <v>1.3737422952680203</v>
      </c>
      <c r="I31" s="125">
        <f>Inputs!I60</f>
        <v>1.3028355962447293</v>
      </c>
      <c r="J31" s="125">
        <f>Inputs!J60</f>
        <v>1.2253291958817709</v>
      </c>
      <c r="K31" s="125">
        <f>Inputs!K60</f>
        <v>1.1409392039749555</v>
      </c>
      <c r="L31" s="125">
        <f>Inputs!L60</f>
        <v>1.0919677234532414</v>
      </c>
      <c r="M31" s="125">
        <f>Inputs!M60</f>
        <v>1.0474779600489958</v>
      </c>
      <c r="N31" s="125">
        <f>Inputs!N60</f>
        <v>1.0117279402284824</v>
      </c>
      <c r="O31" s="30"/>
      <c r="P31" s="39" t="s">
        <v>144</v>
      </c>
      <c r="Q31" s="43"/>
    </row>
    <row r="32" spans="1:17" x14ac:dyDescent="0.35">
      <c r="A32" s="34" t="s">
        <v>88</v>
      </c>
      <c r="B32" s="40" t="s">
        <v>19</v>
      </c>
      <c r="C32" s="36"/>
      <c r="D32" s="36">
        <f t="shared" ref="D32:N32" si="6">D30*D31</f>
        <v>204.69427216707135</v>
      </c>
      <c r="E32" s="36">
        <f t="shared" si="6"/>
        <v>386.43832772346235</v>
      </c>
      <c r="F32" s="36">
        <f t="shared" si="6"/>
        <v>538.78698605482873</v>
      </c>
      <c r="G32" s="36">
        <f t="shared" si="6"/>
        <v>584.26454239304019</v>
      </c>
      <c r="H32" s="36">
        <f t="shared" si="6"/>
        <v>480.80980334380712</v>
      </c>
      <c r="I32" s="36">
        <f t="shared" si="6"/>
        <v>455.99245868565527</v>
      </c>
      <c r="J32" s="36">
        <f t="shared" si="6"/>
        <v>428.8652185586198</v>
      </c>
      <c r="K32" s="36">
        <f t="shared" si="6"/>
        <v>399.32872139123441</v>
      </c>
      <c r="L32" s="36">
        <f t="shared" si="6"/>
        <v>382.18870320863448</v>
      </c>
      <c r="M32" s="36">
        <f t="shared" si="6"/>
        <v>369.38398422574011</v>
      </c>
      <c r="N32" s="36">
        <f t="shared" si="6"/>
        <v>375.2091056081228</v>
      </c>
      <c r="O32" s="30"/>
      <c r="P32" s="39" t="s">
        <v>82</v>
      </c>
      <c r="Q32" s="43"/>
    </row>
    <row r="33" spans="1:17" x14ac:dyDescent="0.35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P33" s="39"/>
      <c r="Q33" s="43"/>
    </row>
    <row r="34" spans="1:17" ht="14.25" customHeight="1" x14ac:dyDescent="0.45">
      <c r="A34" s="50" t="s">
        <v>60</v>
      </c>
      <c r="B34" s="4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P34" s="39"/>
      <c r="Q34" s="43"/>
    </row>
    <row r="35" spans="1:17" x14ac:dyDescent="0.35">
      <c r="A35" s="34" t="s">
        <v>85</v>
      </c>
      <c r="B35" s="40" t="s">
        <v>19</v>
      </c>
      <c r="C35" s="36">
        <f>-C24</f>
        <v>0</v>
      </c>
      <c r="D35" s="36">
        <f t="shared" ref="D35:N35" si="7">D19-D32</f>
        <v>-204.69427216707135</v>
      </c>
      <c r="E35" s="36">
        <f t="shared" si="7"/>
        <v>-290.44165919233347</v>
      </c>
      <c r="F35" s="36">
        <f t="shared" si="7"/>
        <v>-360.3396571115843</v>
      </c>
      <c r="G35" s="36">
        <f t="shared" si="7"/>
        <v>-335.47896190709383</v>
      </c>
      <c r="H35" s="36">
        <f t="shared" si="7"/>
        <v>-207.39170210860459</v>
      </c>
      <c r="I35" s="36">
        <f t="shared" si="7"/>
        <v>-183.69218895772445</v>
      </c>
      <c r="J35" s="36">
        <f t="shared" si="7"/>
        <v>-160.52725875503779</v>
      </c>
      <c r="K35" s="36">
        <f t="shared" si="7"/>
        <v>-137.96002465341934</v>
      </c>
      <c r="L35" s="36">
        <f t="shared" si="7"/>
        <v>-121.20163325112054</v>
      </c>
      <c r="M35" s="36">
        <f t="shared" si="7"/>
        <v>-108.63295282153246</v>
      </c>
      <c r="N35" s="36">
        <f t="shared" si="7"/>
        <v>-113.3892014451074</v>
      </c>
      <c r="O35" s="30"/>
      <c r="P35" s="39" t="s">
        <v>82</v>
      </c>
      <c r="Q35" s="43"/>
    </row>
    <row r="36" spans="1:17" ht="17" x14ac:dyDescent="0.4">
      <c r="A36" s="34" t="s">
        <v>84</v>
      </c>
      <c r="B36" s="40" t="s">
        <v>19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120">
        <f>SUM(C35:N35)</f>
        <v>-2223.7495123706299</v>
      </c>
      <c r="O36" s="30"/>
      <c r="P36" s="39" t="s">
        <v>82</v>
      </c>
      <c r="Q36" s="43"/>
    </row>
    <row r="37" spans="1:17" x14ac:dyDescent="0.35">
      <c r="A37" s="42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Q37" s="43"/>
    </row>
    <row r="39" spans="1:17" ht="21" x14ac:dyDescent="0.5">
      <c r="A39" s="89" t="s">
        <v>41</v>
      </c>
      <c r="C39" s="114" t="s">
        <v>63</v>
      </c>
      <c r="D39" s="114" t="s">
        <v>126</v>
      </c>
      <c r="E39" s="114" t="s">
        <v>64</v>
      </c>
      <c r="F39" s="114" t="s">
        <v>64</v>
      </c>
      <c r="G39" s="114" t="s">
        <v>64</v>
      </c>
      <c r="H39" s="114" t="s">
        <v>64</v>
      </c>
      <c r="I39" s="114" t="s">
        <v>64</v>
      </c>
      <c r="J39" s="114" t="s">
        <v>64</v>
      </c>
      <c r="K39" s="114" t="s">
        <v>64</v>
      </c>
      <c r="L39" s="114" t="s">
        <v>64</v>
      </c>
      <c r="M39" s="114" t="s">
        <v>64</v>
      </c>
      <c r="N39" s="114" t="s">
        <v>127</v>
      </c>
      <c r="Q39" s="43"/>
    </row>
    <row r="40" spans="1:17" x14ac:dyDescent="0.35">
      <c r="C40" s="116">
        <f>Inputs!$C$51</f>
        <v>40878</v>
      </c>
      <c r="D40" s="116">
        <f>Inputs!D51</f>
        <v>41090</v>
      </c>
      <c r="E40" s="116">
        <f>Inputs!E51</f>
        <v>41455</v>
      </c>
      <c r="F40" s="116">
        <f>Inputs!F51</f>
        <v>41820</v>
      </c>
      <c r="G40" s="116">
        <f>Inputs!G51</f>
        <v>42185</v>
      </c>
      <c r="H40" s="116">
        <f>Inputs!H51</f>
        <v>42551</v>
      </c>
      <c r="I40" s="116">
        <f>Inputs!I51</f>
        <v>42916</v>
      </c>
      <c r="J40" s="116">
        <f>Inputs!J51</f>
        <v>43281</v>
      </c>
      <c r="K40" s="116">
        <f>Inputs!K51</f>
        <v>43646</v>
      </c>
      <c r="L40" s="116">
        <f>Inputs!L51</f>
        <v>44012</v>
      </c>
      <c r="M40" s="116">
        <f>Inputs!M51</f>
        <v>44377</v>
      </c>
      <c r="N40" s="116">
        <f>Inputs!N51</f>
        <v>44561</v>
      </c>
      <c r="Q40" s="43"/>
    </row>
    <row r="41" spans="1:17" ht="18.5" x14ac:dyDescent="0.45">
      <c r="A41" s="50" t="s">
        <v>44</v>
      </c>
      <c r="B41" s="8"/>
      <c r="C41" s="8"/>
      <c r="O41" s="39"/>
      <c r="P41" s="39"/>
      <c r="Q41" s="43"/>
    </row>
    <row r="42" spans="1:17" ht="18.399999999999999" customHeight="1" x14ac:dyDescent="0.35">
      <c r="A42" s="56" t="s">
        <v>51</v>
      </c>
      <c r="B42" s="56" t="s">
        <v>21</v>
      </c>
      <c r="C42" s="56"/>
      <c r="D42" s="126">
        <f>Inputs!D29/365.25</f>
        <v>0.57768651608487342</v>
      </c>
      <c r="E42" s="126">
        <f>Inputs!E29/365.25</f>
        <v>0.99931553730321698</v>
      </c>
      <c r="F42" s="126">
        <f>Inputs!F29/365.25</f>
        <v>0.99931553730321698</v>
      </c>
      <c r="G42" s="126">
        <f>Inputs!G29/365.25</f>
        <v>0.99931553730321698</v>
      </c>
      <c r="H42" s="126">
        <f>Inputs!H29/365.25</f>
        <v>0.99931553730321698</v>
      </c>
      <c r="I42" s="126">
        <f>Inputs!I29/365.25</f>
        <v>0.99931553730321698</v>
      </c>
      <c r="J42" s="126">
        <f>Inputs!J29/365.25</f>
        <v>0.99931553730321698</v>
      </c>
      <c r="K42" s="126">
        <f>Inputs!K29/365.25</f>
        <v>0.99931553730321698</v>
      </c>
      <c r="L42" s="126">
        <f>Inputs!L29/365.25</f>
        <v>0.99931553730321698</v>
      </c>
      <c r="M42" s="126">
        <f>Inputs!M29/365.25</f>
        <v>0.99931553730321698</v>
      </c>
      <c r="N42" s="126">
        <f>Inputs!N29/365.25</f>
        <v>0.50376454483230659</v>
      </c>
      <c r="O42" s="39"/>
      <c r="P42" s="39"/>
      <c r="Q42" s="43"/>
    </row>
    <row r="43" spans="1:17" ht="18.399999999999999" customHeight="1" x14ac:dyDescent="0.35">
      <c r="A43" s="56" t="s">
        <v>97</v>
      </c>
      <c r="B43" s="56" t="s">
        <v>21</v>
      </c>
      <c r="C43" s="126"/>
      <c r="D43" s="126">
        <f>Inputs!D15</f>
        <v>1</v>
      </c>
      <c r="E43" s="126">
        <f>Inputs!E15</f>
        <v>1</v>
      </c>
      <c r="F43" s="126">
        <f>Inputs!F15</f>
        <v>1</v>
      </c>
      <c r="G43" s="126">
        <f>Inputs!G15</f>
        <v>1</v>
      </c>
      <c r="H43" s="126">
        <f>Inputs!H15</f>
        <v>1</v>
      </c>
      <c r="I43" s="126">
        <f>Inputs!I15</f>
        <v>1</v>
      </c>
      <c r="J43" s="126">
        <f>Inputs!J15</f>
        <v>1</v>
      </c>
      <c r="K43" s="126">
        <f>Inputs!K15</f>
        <v>1</v>
      </c>
      <c r="L43" s="126">
        <f>Inputs!L15</f>
        <v>1</v>
      </c>
      <c r="M43" s="126">
        <f>Inputs!M15</f>
        <v>1</v>
      </c>
      <c r="N43" s="126">
        <f>Inputs!N15</f>
        <v>1</v>
      </c>
      <c r="O43" s="39"/>
      <c r="P43" s="39" t="s">
        <v>96</v>
      </c>
      <c r="Q43" s="43"/>
    </row>
    <row r="44" spans="1:17" ht="18.399999999999999" customHeight="1" x14ac:dyDescent="0.35">
      <c r="A44" s="56" t="s">
        <v>98</v>
      </c>
      <c r="B44" s="56" t="s">
        <v>21</v>
      </c>
      <c r="C44" s="126">
        <f>Inputs!C16</f>
        <v>1</v>
      </c>
      <c r="D44" s="126">
        <f>Inputs!D16</f>
        <v>1</v>
      </c>
      <c r="E44" s="126">
        <f>Inputs!E16</f>
        <v>1</v>
      </c>
      <c r="F44" s="126">
        <f>Inputs!F16</f>
        <v>1</v>
      </c>
      <c r="G44" s="126">
        <f>Inputs!G16</f>
        <v>1</v>
      </c>
      <c r="H44" s="126">
        <f>Inputs!H16</f>
        <v>1</v>
      </c>
      <c r="I44" s="126">
        <f>Inputs!I16</f>
        <v>1</v>
      </c>
      <c r="J44" s="126">
        <f>Inputs!J16</f>
        <v>1</v>
      </c>
      <c r="K44" s="126">
        <f>Inputs!K16</f>
        <v>1</v>
      </c>
      <c r="L44" s="126">
        <f>Inputs!L16</f>
        <v>1</v>
      </c>
      <c r="M44" s="126">
        <f>Inputs!M16</f>
        <v>1</v>
      </c>
      <c r="N44" s="126">
        <f>Inputs!N16</f>
        <v>1</v>
      </c>
      <c r="O44" s="39"/>
      <c r="P44" s="39" t="s">
        <v>96</v>
      </c>
      <c r="Q44" s="43"/>
    </row>
    <row r="45" spans="1:17" x14ac:dyDescent="0.35">
      <c r="D45" s="92"/>
      <c r="Q45" s="43"/>
    </row>
    <row r="46" spans="1:17" s="90" customFormat="1" ht="21" x14ac:dyDescent="0.5">
      <c r="A46" s="50" t="s">
        <v>42</v>
      </c>
      <c r="Q46" s="43"/>
    </row>
    <row r="47" spans="1:17" x14ac:dyDescent="0.35">
      <c r="A47" s="129" t="s">
        <v>132</v>
      </c>
      <c r="B47" s="40" t="s">
        <v>19</v>
      </c>
      <c r="C47" s="36">
        <f>Inputs!C8</f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/>
      <c r="P47" s="39" t="s">
        <v>107</v>
      </c>
      <c r="Q47" s="43"/>
    </row>
    <row r="48" spans="1:17" x14ac:dyDescent="0.35">
      <c r="A48" s="129" t="s">
        <v>111</v>
      </c>
      <c r="B48" s="40" t="s">
        <v>19</v>
      </c>
      <c r="C48" s="40"/>
      <c r="D48" s="36">
        <f>C47</f>
        <v>0</v>
      </c>
      <c r="E48" s="36">
        <f>D51</f>
        <v>50</v>
      </c>
      <c r="F48" s="36">
        <f t="shared" ref="F48:N48" si="8">E51</f>
        <v>148.33447410449463</v>
      </c>
      <c r="G48" s="36">
        <f t="shared" si="8"/>
        <v>293.39337594815055</v>
      </c>
      <c r="H48" s="36">
        <f t="shared" si="8"/>
        <v>483.62029064392283</v>
      </c>
      <c r="I48" s="36">
        <f t="shared" si="8"/>
        <v>667.51064829073709</v>
      </c>
      <c r="J48" s="36">
        <f t="shared" si="8"/>
        <v>845.27552288566119</v>
      </c>
      <c r="K48" s="36">
        <f t="shared" si="8"/>
        <v>1017.1189574416032</v>
      </c>
      <c r="L48" s="36">
        <f t="shared" si="8"/>
        <v>1183.238198193035</v>
      </c>
      <c r="M48" s="36">
        <f t="shared" si="8"/>
        <v>1343.823921000203</v>
      </c>
      <c r="N48" s="36">
        <f t="shared" si="8"/>
        <v>1499.0604502116953</v>
      </c>
      <c r="O48" s="39"/>
      <c r="P48" s="39" t="s">
        <v>107</v>
      </c>
      <c r="Q48" s="43"/>
    </row>
    <row r="49" spans="1:17" x14ac:dyDescent="0.35">
      <c r="A49" s="34" t="s">
        <v>115</v>
      </c>
      <c r="B49" s="40" t="s">
        <v>19</v>
      </c>
      <c r="C49" s="40"/>
      <c r="D49" s="124">
        <f>Inputs!D9</f>
        <v>50</v>
      </c>
      <c r="E49" s="124">
        <f>Inputs!E9</f>
        <v>100</v>
      </c>
      <c r="F49" s="124">
        <f>Inputs!F9</f>
        <v>150</v>
      </c>
      <c r="G49" s="124">
        <f>Inputs!G9</f>
        <v>200</v>
      </c>
      <c r="H49" s="124">
        <f>Inputs!H9</f>
        <v>200</v>
      </c>
      <c r="I49" s="124">
        <f>Inputs!I9</f>
        <v>200</v>
      </c>
      <c r="J49" s="124">
        <f>Inputs!J9</f>
        <v>200</v>
      </c>
      <c r="K49" s="124">
        <f>Inputs!K9</f>
        <v>200</v>
      </c>
      <c r="L49" s="124">
        <f>Inputs!L9</f>
        <v>200</v>
      </c>
      <c r="M49" s="124">
        <f>Inputs!M9</f>
        <v>200</v>
      </c>
      <c r="N49" s="124">
        <f>Inputs!N9</f>
        <v>200</v>
      </c>
      <c r="O49" s="39"/>
      <c r="P49" s="39" t="s">
        <v>82</v>
      </c>
      <c r="Q49" s="43"/>
    </row>
    <row r="50" spans="1:17" x14ac:dyDescent="0.35">
      <c r="A50" s="34" t="s">
        <v>3</v>
      </c>
      <c r="B50" s="40" t="s">
        <v>19</v>
      </c>
      <c r="C50" s="40"/>
      <c r="D50" s="127">
        <f>-D48/Inputs!D13*D42</f>
        <v>0</v>
      </c>
      <c r="E50" s="127">
        <f>-E48/Inputs!E13*E42</f>
        <v>-1.6655258955053618</v>
      </c>
      <c r="F50" s="127">
        <f>-F48/Inputs!F13*F42</f>
        <v>-4.9410981563441059</v>
      </c>
      <c r="G50" s="127">
        <f>-G48/Inputs!G13*G42</f>
        <v>-9.7730853042276937</v>
      </c>
      <c r="H50" s="127">
        <f>-H48/Inputs!H13*H42</f>
        <v>-16.109642353185656</v>
      </c>
      <c r="I50" s="127">
        <f>-I48/Inputs!I13*I42</f>
        <v>-22.235125405075888</v>
      </c>
      <c r="J50" s="127">
        <f>-J48/Inputs!J13*J42</f>
        <v>-28.156565444058071</v>
      </c>
      <c r="K50" s="127">
        <f>-K48/Inputs!K13*K42</f>
        <v>-33.880759248568118</v>
      </c>
      <c r="L50" s="127">
        <f>-L48/Inputs!L13*L42</f>
        <v>-39.414277192832103</v>
      </c>
      <c r="M50" s="127">
        <f>-M48/Inputs!M13*M42</f>
        <v>-44.763470788507789</v>
      </c>
      <c r="N50" s="127">
        <f>-N48/Inputs!N13*N42</f>
        <v>-25.172450179233575</v>
      </c>
      <c r="O50" s="39"/>
      <c r="P50" s="39" t="s">
        <v>107</v>
      </c>
      <c r="Q50" s="107"/>
    </row>
    <row r="51" spans="1:17" x14ac:dyDescent="0.35">
      <c r="A51" s="129" t="s">
        <v>113</v>
      </c>
      <c r="B51" s="40" t="s">
        <v>19</v>
      </c>
      <c r="C51" s="40"/>
      <c r="D51" s="78">
        <f>SUM(D48:D50)</f>
        <v>50</v>
      </c>
      <c r="E51" s="78">
        <f t="shared" ref="E51:N51" si="9">SUM(E48:E50)</f>
        <v>148.33447410449463</v>
      </c>
      <c r="F51" s="78">
        <f t="shared" si="9"/>
        <v>293.39337594815055</v>
      </c>
      <c r="G51" s="78">
        <f t="shared" si="9"/>
        <v>483.62029064392283</v>
      </c>
      <c r="H51" s="78">
        <f t="shared" si="9"/>
        <v>667.51064829073709</v>
      </c>
      <c r="I51" s="78">
        <f t="shared" si="9"/>
        <v>845.27552288566119</v>
      </c>
      <c r="J51" s="78">
        <f t="shared" si="9"/>
        <v>1017.1189574416032</v>
      </c>
      <c r="K51" s="78">
        <f t="shared" si="9"/>
        <v>1183.238198193035</v>
      </c>
      <c r="L51" s="78">
        <f t="shared" si="9"/>
        <v>1343.823921000203</v>
      </c>
      <c r="M51" s="78">
        <f t="shared" si="9"/>
        <v>1499.0604502116953</v>
      </c>
      <c r="N51" s="78">
        <f t="shared" si="9"/>
        <v>1673.8880000324618</v>
      </c>
      <c r="O51" s="39"/>
      <c r="P51" s="39" t="s">
        <v>107</v>
      </c>
      <c r="Q51" s="43"/>
    </row>
    <row r="52" spans="1:17" x14ac:dyDescent="0.35">
      <c r="Q52" s="43"/>
    </row>
    <row r="53" spans="1:17" s="90" customFormat="1" ht="18.399999999999999" customHeight="1" x14ac:dyDescent="0.5">
      <c r="A53" s="50" t="s">
        <v>138</v>
      </c>
      <c r="O53" s="91"/>
      <c r="P53" s="91"/>
      <c r="Q53" s="43"/>
    </row>
    <row r="54" spans="1:17" x14ac:dyDescent="0.35">
      <c r="A54" s="129" t="s">
        <v>134</v>
      </c>
      <c r="B54" s="40" t="s">
        <v>19</v>
      </c>
      <c r="C54" s="36">
        <f>C47*C44</f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9"/>
      <c r="P54" s="39"/>
      <c r="Q54" s="43"/>
    </row>
    <row r="55" spans="1:17" x14ac:dyDescent="0.35">
      <c r="A55" s="129" t="s">
        <v>114</v>
      </c>
      <c r="B55" s="40" t="s">
        <v>19</v>
      </c>
      <c r="C55" s="40"/>
      <c r="D55" s="36">
        <f>C54</f>
        <v>0</v>
      </c>
      <c r="E55" s="36">
        <f t="shared" ref="E55:N55" si="10">E48*E43</f>
        <v>50</v>
      </c>
      <c r="F55" s="36">
        <f t="shared" si="10"/>
        <v>148.33447410449463</v>
      </c>
      <c r="G55" s="36">
        <f t="shared" si="10"/>
        <v>293.39337594815055</v>
      </c>
      <c r="H55" s="36">
        <f t="shared" si="10"/>
        <v>483.62029064392283</v>
      </c>
      <c r="I55" s="36">
        <f t="shared" si="10"/>
        <v>667.51064829073709</v>
      </c>
      <c r="J55" s="36">
        <f t="shared" si="10"/>
        <v>845.27552288566119</v>
      </c>
      <c r="K55" s="36">
        <f t="shared" si="10"/>
        <v>1017.1189574416032</v>
      </c>
      <c r="L55" s="36">
        <f t="shared" si="10"/>
        <v>1183.238198193035</v>
      </c>
      <c r="M55" s="36">
        <f t="shared" si="10"/>
        <v>1343.823921000203</v>
      </c>
      <c r="N55" s="36">
        <f t="shared" si="10"/>
        <v>1499.0604502116953</v>
      </c>
      <c r="O55" s="39"/>
      <c r="P55" s="39" t="s">
        <v>107</v>
      </c>
      <c r="Q55" s="43"/>
    </row>
    <row r="56" spans="1:17" x14ac:dyDescent="0.35">
      <c r="A56" s="34" t="s">
        <v>112</v>
      </c>
      <c r="B56" s="40" t="s">
        <v>19</v>
      </c>
      <c r="C56" s="40"/>
      <c r="D56" s="36">
        <f t="shared" ref="D56:N56" si="11">D49*D43</f>
        <v>50</v>
      </c>
      <c r="E56" s="36">
        <f t="shared" si="11"/>
        <v>100</v>
      </c>
      <c r="F56" s="36">
        <f t="shared" si="11"/>
        <v>150</v>
      </c>
      <c r="G56" s="36">
        <f t="shared" si="11"/>
        <v>200</v>
      </c>
      <c r="H56" s="36">
        <f t="shared" si="11"/>
        <v>200</v>
      </c>
      <c r="I56" s="36">
        <f t="shared" si="11"/>
        <v>200</v>
      </c>
      <c r="J56" s="36">
        <f t="shared" si="11"/>
        <v>200</v>
      </c>
      <c r="K56" s="36">
        <f t="shared" si="11"/>
        <v>200</v>
      </c>
      <c r="L56" s="36">
        <f t="shared" si="11"/>
        <v>200</v>
      </c>
      <c r="M56" s="36">
        <f t="shared" si="11"/>
        <v>200</v>
      </c>
      <c r="N56" s="36">
        <f t="shared" si="11"/>
        <v>200</v>
      </c>
      <c r="O56" s="39"/>
      <c r="P56" s="39" t="s">
        <v>107</v>
      </c>
      <c r="Q56" s="43"/>
    </row>
    <row r="57" spans="1:17" x14ac:dyDescent="0.35">
      <c r="A57" s="34" t="s">
        <v>137</v>
      </c>
      <c r="B57" s="40" t="s">
        <v>19</v>
      </c>
      <c r="C57" s="40"/>
      <c r="D57" s="36">
        <f>D50*D43</f>
        <v>0</v>
      </c>
      <c r="E57" s="36">
        <f t="shared" ref="E57:N57" si="12">E50*E43</f>
        <v>-1.6655258955053618</v>
      </c>
      <c r="F57" s="36">
        <f t="shared" si="12"/>
        <v>-4.9410981563441059</v>
      </c>
      <c r="G57" s="36">
        <f t="shared" si="12"/>
        <v>-9.7730853042276937</v>
      </c>
      <c r="H57" s="36">
        <f t="shared" si="12"/>
        <v>-16.109642353185656</v>
      </c>
      <c r="I57" s="36">
        <f t="shared" si="12"/>
        <v>-22.235125405075888</v>
      </c>
      <c r="J57" s="36">
        <f t="shared" si="12"/>
        <v>-28.156565444058071</v>
      </c>
      <c r="K57" s="36">
        <f t="shared" si="12"/>
        <v>-33.880759248568118</v>
      </c>
      <c r="L57" s="36">
        <f t="shared" si="12"/>
        <v>-39.414277192832103</v>
      </c>
      <c r="M57" s="36">
        <f t="shared" si="12"/>
        <v>-44.763470788507789</v>
      </c>
      <c r="N57" s="36">
        <f t="shared" si="12"/>
        <v>-25.172450179233575</v>
      </c>
      <c r="O57" s="39"/>
      <c r="P57" s="39"/>
      <c r="Q57" s="43" t="s">
        <v>106</v>
      </c>
    </row>
    <row r="58" spans="1:17" x14ac:dyDescent="0.35">
      <c r="A58" s="34" t="s">
        <v>91</v>
      </c>
      <c r="B58" s="40" t="s">
        <v>19</v>
      </c>
      <c r="C58" s="40"/>
      <c r="D58" s="36">
        <f>IF(D48=0,D51*((D59/D51)-(D56/D49)),D51*((D59/D51)-(D55/D48)))</f>
        <v>0</v>
      </c>
      <c r="E58" s="36">
        <f t="shared" ref="E58:N58" si="13">E51*((E59/E51)-(E55/E48))</f>
        <v>0</v>
      </c>
      <c r="F58" s="36">
        <f t="shared" si="13"/>
        <v>0</v>
      </c>
      <c r="G58" s="36">
        <f t="shared" si="13"/>
        <v>0</v>
      </c>
      <c r="H58" s="36">
        <f t="shared" si="13"/>
        <v>0</v>
      </c>
      <c r="I58" s="36">
        <f t="shared" si="13"/>
        <v>0</v>
      </c>
      <c r="J58" s="36">
        <f t="shared" si="13"/>
        <v>0</v>
      </c>
      <c r="K58" s="36">
        <f t="shared" si="13"/>
        <v>0</v>
      </c>
      <c r="L58" s="36">
        <f t="shared" si="13"/>
        <v>0</v>
      </c>
      <c r="M58" s="36">
        <f t="shared" si="13"/>
        <v>0</v>
      </c>
      <c r="N58" s="36">
        <f t="shared" si="13"/>
        <v>0</v>
      </c>
      <c r="O58" s="121"/>
      <c r="P58" s="39" t="s">
        <v>96</v>
      </c>
      <c r="Q58" s="43"/>
    </row>
    <row r="59" spans="1:17" ht="17" x14ac:dyDescent="0.4">
      <c r="A59" s="129" t="s">
        <v>116</v>
      </c>
      <c r="B59" s="40" t="s">
        <v>19</v>
      </c>
      <c r="C59" s="40"/>
      <c r="D59" s="36">
        <f t="shared" ref="D59:N59" si="14">D51*D44</f>
        <v>50</v>
      </c>
      <c r="E59" s="36">
        <f t="shared" si="14"/>
        <v>148.33447410449463</v>
      </c>
      <c r="F59" s="36">
        <f t="shared" si="14"/>
        <v>293.39337594815055</v>
      </c>
      <c r="G59" s="36">
        <f t="shared" si="14"/>
        <v>483.62029064392283</v>
      </c>
      <c r="H59" s="36">
        <f t="shared" si="14"/>
        <v>667.51064829073709</v>
      </c>
      <c r="I59" s="36">
        <f t="shared" si="14"/>
        <v>845.27552288566119</v>
      </c>
      <c r="J59" s="36">
        <f t="shared" si="14"/>
        <v>1017.1189574416032</v>
      </c>
      <c r="K59" s="36">
        <f t="shared" si="14"/>
        <v>1183.238198193035</v>
      </c>
      <c r="L59" s="36">
        <f t="shared" si="14"/>
        <v>1343.823921000203</v>
      </c>
      <c r="M59" s="36">
        <f t="shared" si="14"/>
        <v>1499.0604502116953</v>
      </c>
      <c r="N59" s="120">
        <f t="shared" si="14"/>
        <v>1673.8880000324618</v>
      </c>
      <c r="O59" s="39"/>
      <c r="P59" s="39" t="s">
        <v>146</v>
      </c>
      <c r="Q59" s="43"/>
    </row>
    <row r="60" spans="1:17" s="136" customFormat="1" x14ac:dyDescent="0.35">
      <c r="A60" s="137" t="s">
        <v>140</v>
      </c>
      <c r="B60" s="138"/>
      <c r="C60" s="138"/>
      <c r="D60" s="139" t="str">
        <f>IF(ROUND(SUM(D55:D58),0)=ROUND(D59,0),"OK","Error")</f>
        <v>OK</v>
      </c>
      <c r="E60" s="139" t="str">
        <f t="shared" ref="E60:N60" si="15">IF(ROUND(SUM(E55:E58),0)=ROUND(E59,0),"OK","Error")</f>
        <v>OK</v>
      </c>
      <c r="F60" s="139" t="str">
        <f t="shared" si="15"/>
        <v>OK</v>
      </c>
      <c r="G60" s="139" t="str">
        <f t="shared" si="15"/>
        <v>OK</v>
      </c>
      <c r="H60" s="139" t="str">
        <f t="shared" si="15"/>
        <v>OK</v>
      </c>
      <c r="I60" s="139" t="str">
        <f t="shared" si="15"/>
        <v>OK</v>
      </c>
      <c r="J60" s="139" t="str">
        <f t="shared" si="15"/>
        <v>OK</v>
      </c>
      <c r="K60" s="139" t="str">
        <f t="shared" si="15"/>
        <v>OK</v>
      </c>
      <c r="L60" s="139" t="str">
        <f t="shared" si="15"/>
        <v>OK</v>
      </c>
      <c r="M60" s="139" t="str">
        <f t="shared" si="15"/>
        <v>OK</v>
      </c>
      <c r="N60" s="139" t="str">
        <f t="shared" si="15"/>
        <v>OK</v>
      </c>
      <c r="O60" s="135"/>
      <c r="P60" s="135"/>
      <c r="Q60" s="43" t="s">
        <v>106</v>
      </c>
    </row>
    <row r="62" spans="1:17" x14ac:dyDescent="0.3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Q62" s="43"/>
    </row>
    <row r="63" spans="1:17" s="90" customFormat="1" ht="21" x14ac:dyDescent="0.5">
      <c r="A63" s="50" t="s">
        <v>43</v>
      </c>
      <c r="Q63" s="43"/>
    </row>
    <row r="64" spans="1:17" x14ac:dyDescent="0.35">
      <c r="A64" s="53" t="s">
        <v>23</v>
      </c>
      <c r="B64" s="40" t="s">
        <v>19</v>
      </c>
      <c r="C64" s="40"/>
      <c r="D64" s="36">
        <v>0</v>
      </c>
      <c r="E64" s="36">
        <f>D67</f>
        <v>30</v>
      </c>
      <c r="F64" s="36">
        <f t="shared" ref="F64:N64" si="16">E67</f>
        <v>80</v>
      </c>
      <c r="G64" s="36">
        <f t="shared" si="16"/>
        <v>150</v>
      </c>
      <c r="H64" s="36">
        <f t="shared" si="16"/>
        <v>250</v>
      </c>
      <c r="I64" s="36">
        <f t="shared" si="16"/>
        <v>350</v>
      </c>
      <c r="J64" s="36">
        <f t="shared" si="16"/>
        <v>450</v>
      </c>
      <c r="K64" s="36">
        <f t="shared" si="16"/>
        <v>550</v>
      </c>
      <c r="L64" s="36">
        <f t="shared" si="16"/>
        <v>650</v>
      </c>
      <c r="M64" s="36">
        <f t="shared" si="16"/>
        <v>750</v>
      </c>
      <c r="N64" s="36">
        <f t="shared" si="16"/>
        <v>850</v>
      </c>
      <c r="Q64" s="43" t="s">
        <v>106</v>
      </c>
    </row>
    <row r="65" spans="1:17" x14ac:dyDescent="0.35">
      <c r="A65" s="53" t="s">
        <v>103</v>
      </c>
      <c r="B65" s="40" t="s">
        <v>19</v>
      </c>
      <c r="C65" s="40"/>
      <c r="D65" s="124">
        <f>Inputs!D19</f>
        <v>30</v>
      </c>
      <c r="E65" s="124">
        <f>Inputs!E19</f>
        <v>50</v>
      </c>
      <c r="F65" s="124">
        <f>Inputs!F19</f>
        <v>70</v>
      </c>
      <c r="G65" s="124">
        <f>Inputs!G19</f>
        <v>100</v>
      </c>
      <c r="H65" s="124">
        <f>Inputs!H19</f>
        <v>100</v>
      </c>
      <c r="I65" s="124">
        <f>Inputs!I19</f>
        <v>100</v>
      </c>
      <c r="J65" s="124">
        <f>Inputs!J19</f>
        <v>100</v>
      </c>
      <c r="K65" s="124">
        <f>Inputs!K19</f>
        <v>100</v>
      </c>
      <c r="L65" s="124">
        <f>Inputs!L19</f>
        <v>100</v>
      </c>
      <c r="M65" s="124">
        <f>Inputs!M19</f>
        <v>100</v>
      </c>
      <c r="N65" s="124">
        <f>Inputs!N19</f>
        <v>100</v>
      </c>
      <c r="O65" s="30"/>
      <c r="P65" s="39" t="s">
        <v>101</v>
      </c>
      <c r="Q65" s="43"/>
    </row>
    <row r="66" spans="1:17" x14ac:dyDescent="0.35">
      <c r="A66" s="53" t="s">
        <v>104</v>
      </c>
      <c r="B66" s="40" t="s">
        <v>19</v>
      </c>
      <c r="C66" s="40"/>
      <c r="D66" s="124">
        <f>Inputs!D20</f>
        <v>0</v>
      </c>
      <c r="E66" s="124">
        <f>Inputs!E20</f>
        <v>0</v>
      </c>
      <c r="F66" s="124">
        <f>Inputs!F20</f>
        <v>0</v>
      </c>
      <c r="G66" s="124">
        <f>Inputs!G20</f>
        <v>0</v>
      </c>
      <c r="H66" s="124">
        <f>Inputs!H20</f>
        <v>0</v>
      </c>
      <c r="I66" s="124">
        <f>Inputs!I20</f>
        <v>0</v>
      </c>
      <c r="J66" s="124">
        <f>Inputs!J20</f>
        <v>0</v>
      </c>
      <c r="K66" s="124">
        <f>Inputs!K20</f>
        <v>0</v>
      </c>
      <c r="L66" s="124">
        <f>Inputs!L20</f>
        <v>0</v>
      </c>
      <c r="M66" s="124">
        <f>Inputs!M20</f>
        <v>0</v>
      </c>
      <c r="N66" s="124">
        <f>Inputs!N20</f>
        <v>0</v>
      </c>
      <c r="P66" s="39" t="s">
        <v>101</v>
      </c>
      <c r="Q66" s="43"/>
    </row>
    <row r="67" spans="1:17" x14ac:dyDescent="0.35">
      <c r="A67" s="53" t="s">
        <v>26</v>
      </c>
      <c r="B67" s="40" t="s">
        <v>19</v>
      </c>
      <c r="C67" s="40"/>
      <c r="D67" s="54">
        <f>SUM(D64:D66)</f>
        <v>30</v>
      </c>
      <c r="E67" s="54">
        <f t="shared" ref="E67:N67" si="17">SUM(E64:E66)</f>
        <v>80</v>
      </c>
      <c r="F67" s="54">
        <f t="shared" si="17"/>
        <v>150</v>
      </c>
      <c r="G67" s="54">
        <f t="shared" si="17"/>
        <v>250</v>
      </c>
      <c r="H67" s="54">
        <f t="shared" si="17"/>
        <v>350</v>
      </c>
      <c r="I67" s="54">
        <f t="shared" si="17"/>
        <v>450</v>
      </c>
      <c r="J67" s="54">
        <f t="shared" si="17"/>
        <v>550</v>
      </c>
      <c r="K67" s="54">
        <f t="shared" si="17"/>
        <v>650</v>
      </c>
      <c r="L67" s="54">
        <f t="shared" si="17"/>
        <v>750</v>
      </c>
      <c r="M67" s="54">
        <f t="shared" si="17"/>
        <v>850</v>
      </c>
      <c r="N67" s="54">
        <f t="shared" si="17"/>
        <v>950</v>
      </c>
      <c r="O67" s="30"/>
      <c r="P67" s="30"/>
      <c r="Q67" s="43" t="s">
        <v>106</v>
      </c>
    </row>
    <row r="68" spans="1:17" x14ac:dyDescent="0.35">
      <c r="Q68" s="43"/>
    </row>
    <row r="69" spans="1:17" ht="21" x14ac:dyDescent="0.5">
      <c r="A69" s="50" t="s">
        <v>73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7" x14ac:dyDescent="0.35">
      <c r="A70" s="34" t="s">
        <v>76</v>
      </c>
      <c r="B70" s="40" t="s">
        <v>19</v>
      </c>
      <c r="C70" s="40"/>
      <c r="D70" s="36">
        <f>D65-D66</f>
        <v>30</v>
      </c>
      <c r="E70" s="36">
        <f t="shared" ref="E70:N70" si="18">E65-E66</f>
        <v>50</v>
      </c>
      <c r="F70" s="36">
        <f t="shared" si="18"/>
        <v>70</v>
      </c>
      <c r="G70" s="36">
        <f t="shared" si="18"/>
        <v>100</v>
      </c>
      <c r="H70" s="36">
        <f t="shared" si="18"/>
        <v>100</v>
      </c>
      <c r="I70" s="36">
        <f t="shared" si="18"/>
        <v>100</v>
      </c>
      <c r="J70" s="36">
        <f t="shared" si="18"/>
        <v>100</v>
      </c>
      <c r="K70" s="36">
        <f t="shared" si="18"/>
        <v>100</v>
      </c>
      <c r="L70" s="36">
        <f t="shared" si="18"/>
        <v>100</v>
      </c>
      <c r="M70" s="36">
        <f t="shared" si="18"/>
        <v>100</v>
      </c>
      <c r="N70" s="36">
        <f t="shared" si="18"/>
        <v>100</v>
      </c>
      <c r="P70" s="39" t="s">
        <v>101</v>
      </c>
    </row>
    <row r="71" spans="1:17" x14ac:dyDescent="0.35">
      <c r="A71" s="34" t="s">
        <v>109</v>
      </c>
      <c r="B71" s="103" t="s">
        <v>28</v>
      </c>
      <c r="C71" s="103"/>
      <c r="D71" s="128">
        <f>Inputs!D60</f>
        <v>2.0469427216707134</v>
      </c>
      <c r="E71" s="128">
        <f>Inputs!E60</f>
        <v>1.9321916386173117</v>
      </c>
      <c r="F71" s="128">
        <f>Inputs!F60</f>
        <v>1.7959566201827626</v>
      </c>
      <c r="G71" s="128">
        <f>Inputs!G60</f>
        <v>1.6693272639801149</v>
      </c>
      <c r="H71" s="128">
        <f>Inputs!H60</f>
        <v>1.3737422952680203</v>
      </c>
      <c r="I71" s="128">
        <f>Inputs!I60</f>
        <v>1.3028355962447293</v>
      </c>
      <c r="J71" s="128">
        <f>Inputs!J60</f>
        <v>1.2253291958817709</v>
      </c>
      <c r="K71" s="128">
        <f>Inputs!K60</f>
        <v>1.1409392039749555</v>
      </c>
      <c r="L71" s="128">
        <f>Inputs!L60</f>
        <v>1.0919677234532414</v>
      </c>
      <c r="M71" s="128">
        <f>Inputs!M60</f>
        <v>1.0474779600489958</v>
      </c>
      <c r="N71" s="128">
        <f>Inputs!N60</f>
        <v>1.0117279402284824</v>
      </c>
      <c r="P71" s="39" t="s">
        <v>101</v>
      </c>
      <c r="Q71" s="43" t="s">
        <v>160</v>
      </c>
    </row>
    <row r="72" spans="1:17" x14ac:dyDescent="0.35">
      <c r="A72" s="34" t="s">
        <v>74</v>
      </c>
      <c r="B72" s="40" t="s">
        <v>19</v>
      </c>
      <c r="C72" s="40"/>
      <c r="D72" s="36">
        <f>D70*D71</f>
        <v>61.408281650121403</v>
      </c>
      <c r="E72" s="36">
        <f t="shared" ref="E72:N72" si="19">E70*E71</f>
        <v>96.609581930865588</v>
      </c>
      <c r="F72" s="36">
        <f t="shared" si="19"/>
        <v>125.71696341279338</v>
      </c>
      <c r="G72" s="36">
        <f t="shared" si="19"/>
        <v>166.93272639801148</v>
      </c>
      <c r="H72" s="36">
        <f t="shared" si="19"/>
        <v>137.37422952680203</v>
      </c>
      <c r="I72" s="36">
        <f t="shared" si="19"/>
        <v>130.28355962447293</v>
      </c>
      <c r="J72" s="36">
        <f t="shared" si="19"/>
        <v>122.53291958817709</v>
      </c>
      <c r="K72" s="36">
        <f t="shared" si="19"/>
        <v>114.09392039749555</v>
      </c>
      <c r="L72" s="36">
        <f t="shared" si="19"/>
        <v>109.19677234532415</v>
      </c>
      <c r="M72" s="36">
        <f t="shared" si="19"/>
        <v>104.74779600489958</v>
      </c>
      <c r="N72" s="36">
        <f t="shared" si="19"/>
        <v>101.17279402284825</v>
      </c>
      <c r="P72" s="39" t="s">
        <v>101</v>
      </c>
    </row>
    <row r="73" spans="1:17" x14ac:dyDescent="0.35">
      <c r="A73" s="34" t="s">
        <v>100</v>
      </c>
      <c r="B73" s="40" t="s">
        <v>19</v>
      </c>
      <c r="C73" s="4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>
        <f>SUM(D72:N72)</f>
        <v>1270.0695449018115</v>
      </c>
      <c r="P73" s="39" t="s">
        <v>101</v>
      </c>
    </row>
    <row r="74" spans="1:17" x14ac:dyDescent="0.35">
      <c r="A74" s="34" t="s">
        <v>99</v>
      </c>
      <c r="B74" s="40" t="s">
        <v>19</v>
      </c>
      <c r="C74" s="4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>
        <f>-SUM(D70:N70)</f>
        <v>-950</v>
      </c>
      <c r="P74" s="39" t="s">
        <v>101</v>
      </c>
    </row>
    <row r="75" spans="1:17" ht="17" x14ac:dyDescent="0.4">
      <c r="A75" s="47" t="s">
        <v>73</v>
      </c>
      <c r="B75" s="40" t="s">
        <v>19</v>
      </c>
      <c r="C75" s="4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120">
        <f>SUM(N73:N74)</f>
        <v>320.06954490181147</v>
      </c>
      <c r="P75" s="39" t="s">
        <v>94</v>
      </c>
    </row>
    <row r="76" spans="1:17" x14ac:dyDescent="0.35">
      <c r="A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7" s="90" customFormat="1" ht="18.399999999999999" customHeight="1" x14ac:dyDescent="0.5">
      <c r="A77" s="50" t="s">
        <v>56</v>
      </c>
      <c r="O77" s="91"/>
      <c r="P77" s="91"/>
      <c r="Q77" s="43"/>
    </row>
    <row r="78" spans="1:17" x14ac:dyDescent="0.35">
      <c r="A78" s="34" t="s">
        <v>52</v>
      </c>
      <c r="B78" s="40" t="s">
        <v>19</v>
      </c>
      <c r="C78" s="40"/>
      <c r="D78" s="36">
        <f>D48</f>
        <v>0</v>
      </c>
      <c r="E78" s="36">
        <f>D81</f>
        <v>50</v>
      </c>
      <c r="F78" s="36">
        <f t="shared" ref="F78:N78" si="20">E81</f>
        <v>147.50171115674195</v>
      </c>
      <c r="G78" s="36">
        <f t="shared" si="20"/>
        <v>290.1316735698548</v>
      </c>
      <c r="H78" s="36">
        <f t="shared" si="20"/>
        <v>475.63501910674773</v>
      </c>
      <c r="I78" s="36">
        <f t="shared" si="20"/>
        <v>651.86954587280343</v>
      </c>
      <c r="J78" s="36">
        <f t="shared" si="20"/>
        <v>819.29837759852921</v>
      </c>
      <c r="K78" s="36">
        <f t="shared" si="20"/>
        <v>978.3614976774528</v>
      </c>
      <c r="L78" s="36">
        <f t="shared" si="20"/>
        <v>1129.4769053910368</v>
      </c>
      <c r="M78" s="36">
        <f t="shared" si="20"/>
        <v>1273.0417143619159</v>
      </c>
      <c r="N78" s="36">
        <f t="shared" si="20"/>
        <v>1409.4331961220666</v>
      </c>
      <c r="O78" s="39"/>
      <c r="P78" s="39" t="s">
        <v>147</v>
      </c>
      <c r="Q78" s="43" t="s">
        <v>161</v>
      </c>
    </row>
    <row r="79" spans="1:17" x14ac:dyDescent="0.35">
      <c r="A79" s="34" t="s">
        <v>115</v>
      </c>
      <c r="B79" s="40" t="s">
        <v>19</v>
      </c>
      <c r="C79" s="40"/>
      <c r="D79" s="36">
        <f>D49</f>
        <v>50</v>
      </c>
      <c r="E79" s="36">
        <f t="shared" ref="E79:N79" si="21">E49</f>
        <v>100</v>
      </c>
      <c r="F79" s="36">
        <f t="shared" si="21"/>
        <v>150</v>
      </c>
      <c r="G79" s="36">
        <f t="shared" si="21"/>
        <v>200</v>
      </c>
      <c r="H79" s="36">
        <f t="shared" si="21"/>
        <v>200</v>
      </c>
      <c r="I79" s="36">
        <f t="shared" si="21"/>
        <v>200</v>
      </c>
      <c r="J79" s="36">
        <f t="shared" si="21"/>
        <v>200</v>
      </c>
      <c r="K79" s="36">
        <f t="shared" si="21"/>
        <v>200</v>
      </c>
      <c r="L79" s="36">
        <f t="shared" si="21"/>
        <v>200</v>
      </c>
      <c r="M79" s="36">
        <f t="shared" si="21"/>
        <v>200</v>
      </c>
      <c r="N79" s="36">
        <f t="shared" si="21"/>
        <v>200</v>
      </c>
      <c r="O79" s="39"/>
      <c r="P79" s="39" t="s">
        <v>147</v>
      </c>
      <c r="Q79" s="43" t="s">
        <v>161</v>
      </c>
    </row>
    <row r="80" spans="1:17" x14ac:dyDescent="0.35">
      <c r="A80" s="34" t="s">
        <v>53</v>
      </c>
      <c r="B80" s="40" t="s">
        <v>19</v>
      </c>
      <c r="C80" s="40"/>
      <c r="D80" s="124">
        <f>-D78/Inputs!D23*D42</f>
        <v>0</v>
      </c>
      <c r="E80" s="124">
        <f>-E78/Inputs!E23*E42</f>
        <v>-2.4982888432580426</v>
      </c>
      <c r="F80" s="124">
        <f>-F78/Inputs!F23*F42</f>
        <v>-7.3700375868871753</v>
      </c>
      <c r="G80" s="124">
        <f>-G78/Inputs!G23*G42</f>
        <v>-14.496654463107051</v>
      </c>
      <c r="H80" s="124">
        <f>-H78/Inputs!H23*H42</f>
        <v>-23.765473233944274</v>
      </c>
      <c r="I80" s="124">
        <f>-I78/Inputs!I23*I42</f>
        <v>-32.571168274274228</v>
      </c>
      <c r="J80" s="124">
        <f>-J78/Inputs!J23*J42</f>
        <v>-40.936879921076404</v>
      </c>
      <c r="K80" s="124">
        <f>-K78/Inputs!K23*K42</f>
        <v>-48.884592286416193</v>
      </c>
      <c r="L80" s="124">
        <f>-L78/Inputs!L23*L42</f>
        <v>-56.435191029120936</v>
      </c>
      <c r="M80" s="124">
        <f>-M78/Inputs!M23*M42</f>
        <v>-63.608518239849317</v>
      </c>
      <c r="N80" s="124">
        <f>-N78/Inputs!N23*N42</f>
        <v>-35.501123625798797</v>
      </c>
      <c r="O80" s="39"/>
      <c r="P80" s="39" t="s">
        <v>147</v>
      </c>
      <c r="Q80" s="43" t="s">
        <v>161</v>
      </c>
    </row>
    <row r="81" spans="1:17" x14ac:dyDescent="0.35">
      <c r="A81" s="34" t="s">
        <v>54</v>
      </c>
      <c r="B81" s="40" t="s">
        <v>19</v>
      </c>
      <c r="C81" s="40"/>
      <c r="D81" s="54">
        <f>SUM(D78:D80)</f>
        <v>50</v>
      </c>
      <c r="E81" s="54">
        <f>SUM(E78:E80)</f>
        <v>147.50171115674195</v>
      </c>
      <c r="F81" s="54">
        <f t="shared" ref="F81:N81" si="22">SUM(F78:F80)</f>
        <v>290.1316735698548</v>
      </c>
      <c r="G81" s="54">
        <f t="shared" si="22"/>
        <v>475.63501910674773</v>
      </c>
      <c r="H81" s="54">
        <f t="shared" si="22"/>
        <v>651.86954587280343</v>
      </c>
      <c r="I81" s="54">
        <f t="shared" si="22"/>
        <v>819.29837759852921</v>
      </c>
      <c r="J81" s="54">
        <f t="shared" si="22"/>
        <v>978.3614976774528</v>
      </c>
      <c r="K81" s="54">
        <f t="shared" si="22"/>
        <v>1129.4769053910368</v>
      </c>
      <c r="L81" s="54">
        <f t="shared" si="22"/>
        <v>1273.0417143619159</v>
      </c>
      <c r="M81" s="54">
        <f t="shared" si="22"/>
        <v>1409.4331961220666</v>
      </c>
      <c r="N81" s="54">
        <f t="shared" si="22"/>
        <v>1573.9320724962679</v>
      </c>
      <c r="O81" s="39"/>
      <c r="P81" s="39" t="s">
        <v>147</v>
      </c>
      <c r="Q81" s="43" t="s">
        <v>161</v>
      </c>
    </row>
    <row r="82" spans="1:17" x14ac:dyDescent="0.3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P82" s="39"/>
    </row>
    <row r="83" spans="1:17" s="90" customFormat="1" ht="18.399999999999999" customHeight="1" x14ac:dyDescent="0.5">
      <c r="A83" s="50" t="s">
        <v>55</v>
      </c>
      <c r="O83" s="91"/>
      <c r="P83" s="39"/>
      <c r="Q83" s="43"/>
    </row>
    <row r="84" spans="1:17" x14ac:dyDescent="0.35">
      <c r="A84" s="34" t="s">
        <v>52</v>
      </c>
      <c r="B84" s="40" t="s">
        <v>19</v>
      </c>
      <c r="C84" s="40"/>
      <c r="D84" s="36">
        <f>D78*D43</f>
        <v>0</v>
      </c>
      <c r="E84" s="36">
        <f>D88</f>
        <v>50</v>
      </c>
      <c r="F84" s="36">
        <f t="shared" ref="F84:N84" si="23">E88</f>
        <v>147.50171115674195</v>
      </c>
      <c r="G84" s="36">
        <f t="shared" si="23"/>
        <v>290.1316735698548</v>
      </c>
      <c r="H84" s="36">
        <f t="shared" si="23"/>
        <v>475.63501910674773</v>
      </c>
      <c r="I84" s="36">
        <f t="shared" si="23"/>
        <v>651.86954587280343</v>
      </c>
      <c r="J84" s="36">
        <f t="shared" si="23"/>
        <v>819.29837759852921</v>
      </c>
      <c r="K84" s="36">
        <f t="shared" si="23"/>
        <v>978.3614976774528</v>
      </c>
      <c r="L84" s="36">
        <f t="shared" si="23"/>
        <v>1129.4769053910368</v>
      </c>
      <c r="M84" s="36">
        <f t="shared" si="23"/>
        <v>1273.0417143619159</v>
      </c>
      <c r="N84" s="36">
        <f t="shared" si="23"/>
        <v>1409.4331961220666</v>
      </c>
      <c r="O84" s="39"/>
      <c r="P84" s="39" t="s">
        <v>147</v>
      </c>
      <c r="Q84" s="43" t="s">
        <v>161</v>
      </c>
    </row>
    <row r="85" spans="1:17" x14ac:dyDescent="0.35">
      <c r="A85" s="34" t="s">
        <v>112</v>
      </c>
      <c r="B85" s="40" t="s">
        <v>19</v>
      </c>
      <c r="C85" s="40"/>
      <c r="D85" s="36">
        <f t="shared" ref="D85:N85" si="24">D79*D43</f>
        <v>50</v>
      </c>
      <c r="E85" s="36">
        <f t="shared" si="24"/>
        <v>100</v>
      </c>
      <c r="F85" s="36">
        <f t="shared" si="24"/>
        <v>150</v>
      </c>
      <c r="G85" s="36">
        <f t="shared" si="24"/>
        <v>200</v>
      </c>
      <c r="H85" s="36">
        <f t="shared" si="24"/>
        <v>200</v>
      </c>
      <c r="I85" s="36">
        <f t="shared" si="24"/>
        <v>200</v>
      </c>
      <c r="J85" s="36">
        <f t="shared" si="24"/>
        <v>200</v>
      </c>
      <c r="K85" s="36">
        <f t="shared" si="24"/>
        <v>200</v>
      </c>
      <c r="L85" s="36">
        <f t="shared" si="24"/>
        <v>200</v>
      </c>
      <c r="M85" s="36">
        <f t="shared" si="24"/>
        <v>200</v>
      </c>
      <c r="N85" s="36">
        <f t="shared" si="24"/>
        <v>200</v>
      </c>
      <c r="O85" s="39"/>
      <c r="P85" s="39" t="s">
        <v>147</v>
      </c>
      <c r="Q85" s="43" t="s">
        <v>161</v>
      </c>
    </row>
    <row r="86" spans="1:17" x14ac:dyDescent="0.35">
      <c r="A86" s="34" t="s">
        <v>53</v>
      </c>
      <c r="B86" s="40" t="s">
        <v>19</v>
      </c>
      <c r="C86" s="40"/>
      <c r="D86" s="36">
        <f t="shared" ref="D86:N86" si="25">D80*D43</f>
        <v>0</v>
      </c>
      <c r="E86" s="36">
        <f t="shared" si="25"/>
        <v>-2.4982888432580426</v>
      </c>
      <c r="F86" s="36">
        <f t="shared" si="25"/>
        <v>-7.3700375868871753</v>
      </c>
      <c r="G86" s="36">
        <f t="shared" si="25"/>
        <v>-14.496654463107051</v>
      </c>
      <c r="H86" s="36">
        <f t="shared" si="25"/>
        <v>-23.765473233944274</v>
      </c>
      <c r="I86" s="36">
        <f t="shared" si="25"/>
        <v>-32.571168274274228</v>
      </c>
      <c r="J86" s="36">
        <f t="shared" si="25"/>
        <v>-40.936879921076404</v>
      </c>
      <c r="K86" s="36">
        <f t="shared" si="25"/>
        <v>-48.884592286416193</v>
      </c>
      <c r="L86" s="36">
        <f t="shared" si="25"/>
        <v>-56.435191029120936</v>
      </c>
      <c r="M86" s="36">
        <f t="shared" si="25"/>
        <v>-63.608518239849317</v>
      </c>
      <c r="N86" s="36">
        <f t="shared" si="25"/>
        <v>-35.501123625798797</v>
      </c>
      <c r="O86" s="39"/>
      <c r="P86" s="39" t="s">
        <v>147</v>
      </c>
      <c r="Q86" s="43" t="s">
        <v>161</v>
      </c>
    </row>
    <row r="87" spans="1:17" x14ac:dyDescent="0.35">
      <c r="A87" s="34" t="s">
        <v>117</v>
      </c>
      <c r="B87" s="40" t="s">
        <v>19</v>
      </c>
      <c r="C87" s="40"/>
      <c r="D87" s="36">
        <f t="shared" ref="D87:N87" si="26">(D44-D43)*D81</f>
        <v>0</v>
      </c>
      <c r="E87" s="36">
        <f t="shared" si="26"/>
        <v>0</v>
      </c>
      <c r="F87" s="36">
        <f t="shared" si="26"/>
        <v>0</v>
      </c>
      <c r="G87" s="36">
        <f t="shared" si="26"/>
        <v>0</v>
      </c>
      <c r="H87" s="36">
        <f t="shared" si="26"/>
        <v>0</v>
      </c>
      <c r="I87" s="36">
        <f t="shared" si="26"/>
        <v>0</v>
      </c>
      <c r="J87" s="36">
        <f t="shared" si="26"/>
        <v>0</v>
      </c>
      <c r="K87" s="36">
        <f t="shared" si="26"/>
        <v>0</v>
      </c>
      <c r="L87" s="36">
        <f t="shared" si="26"/>
        <v>0</v>
      </c>
      <c r="M87" s="36">
        <f t="shared" si="26"/>
        <v>0</v>
      </c>
      <c r="N87" s="36">
        <f t="shared" si="26"/>
        <v>0</v>
      </c>
      <c r="O87" s="39"/>
      <c r="P87" s="39" t="s">
        <v>147</v>
      </c>
      <c r="Q87" s="43" t="s">
        <v>161</v>
      </c>
    </row>
    <row r="88" spans="1:17" x14ac:dyDescent="0.35">
      <c r="A88" s="34" t="s">
        <v>54</v>
      </c>
      <c r="B88" s="40" t="s">
        <v>19</v>
      </c>
      <c r="C88" s="40"/>
      <c r="D88" s="54">
        <f>SUM(D84:D87)</f>
        <v>50</v>
      </c>
      <c r="E88" s="54">
        <f t="shared" ref="E88:N88" si="27">SUM(E84:E87)</f>
        <v>147.50171115674195</v>
      </c>
      <c r="F88" s="54">
        <f t="shared" si="27"/>
        <v>290.1316735698548</v>
      </c>
      <c r="G88" s="54">
        <f t="shared" si="27"/>
        <v>475.63501910674773</v>
      </c>
      <c r="H88" s="54">
        <f t="shared" si="27"/>
        <v>651.86954587280343</v>
      </c>
      <c r="I88" s="54">
        <f t="shared" si="27"/>
        <v>819.29837759852921</v>
      </c>
      <c r="J88" s="54">
        <f t="shared" si="27"/>
        <v>978.3614976774528</v>
      </c>
      <c r="K88" s="54">
        <f t="shared" si="27"/>
        <v>1129.4769053910368</v>
      </c>
      <c r="L88" s="54">
        <f t="shared" si="27"/>
        <v>1273.0417143619159</v>
      </c>
      <c r="M88" s="54">
        <f t="shared" si="27"/>
        <v>1409.4331961220666</v>
      </c>
      <c r="N88" s="54">
        <f t="shared" si="27"/>
        <v>1573.9320724962679</v>
      </c>
      <c r="O88" s="39"/>
      <c r="P88" s="39" t="s">
        <v>147</v>
      </c>
      <c r="Q88" s="43" t="s">
        <v>161</v>
      </c>
    </row>
    <row r="89" spans="1:17" x14ac:dyDescent="0.35">
      <c r="P89" s="39"/>
      <c r="Q89" s="43"/>
    </row>
    <row r="90" spans="1:17" s="106" customFormat="1" ht="21" x14ac:dyDescent="0.5">
      <c r="A90" s="105" t="s">
        <v>57</v>
      </c>
      <c r="D90" s="114" t="s">
        <v>126</v>
      </c>
      <c r="E90" s="114" t="s">
        <v>64</v>
      </c>
      <c r="F90" s="114" t="s">
        <v>64</v>
      </c>
      <c r="G90" s="114" t="s">
        <v>64</v>
      </c>
      <c r="H90" s="114" t="s">
        <v>64</v>
      </c>
      <c r="I90" s="114" t="s">
        <v>64</v>
      </c>
      <c r="J90" s="114" t="s">
        <v>64</v>
      </c>
      <c r="K90" s="114" t="s">
        <v>64</v>
      </c>
      <c r="L90" s="114" t="s">
        <v>64</v>
      </c>
      <c r="M90" s="114" t="s">
        <v>64</v>
      </c>
      <c r="N90" s="114" t="s">
        <v>127</v>
      </c>
      <c r="P90" s="39"/>
    </row>
    <row r="91" spans="1:17" x14ac:dyDescent="0.35">
      <c r="D91" s="116">
        <f>Inputs!D51</f>
        <v>41090</v>
      </c>
      <c r="E91" s="116">
        <f>Inputs!E51</f>
        <v>41455</v>
      </c>
      <c r="F91" s="116">
        <f>Inputs!F51</f>
        <v>41820</v>
      </c>
      <c r="G91" s="116">
        <f>Inputs!G51</f>
        <v>42185</v>
      </c>
      <c r="H91" s="116">
        <f>Inputs!H51</f>
        <v>42551</v>
      </c>
      <c r="I91" s="116">
        <f>Inputs!I51</f>
        <v>42916</v>
      </c>
      <c r="J91" s="116">
        <f>Inputs!J51</f>
        <v>43281</v>
      </c>
      <c r="K91" s="116">
        <f>Inputs!K51</f>
        <v>43646</v>
      </c>
      <c r="L91" s="116">
        <f>Inputs!L51</f>
        <v>44012</v>
      </c>
      <c r="M91" s="116">
        <f>Inputs!M51</f>
        <v>44377</v>
      </c>
      <c r="N91" s="116">
        <f>Inputs!N51</f>
        <v>44561</v>
      </c>
      <c r="P91" s="39"/>
    </row>
    <row r="92" spans="1:17" s="90" customFormat="1" ht="18.399999999999999" customHeight="1" x14ac:dyDescent="0.5">
      <c r="A92" s="50" t="s">
        <v>39</v>
      </c>
      <c r="O92" s="91"/>
      <c r="P92" s="39"/>
      <c r="Q92" s="43"/>
    </row>
    <row r="93" spans="1:17" x14ac:dyDescent="0.35">
      <c r="A93" s="34" t="s">
        <v>86</v>
      </c>
      <c r="B93" s="40" t="s">
        <v>19</v>
      </c>
      <c r="C93" s="40"/>
      <c r="D93" s="124">
        <f>Inputs!D7</f>
        <v>0</v>
      </c>
      <c r="E93" s="124">
        <f>Inputs!E7</f>
        <v>50</v>
      </c>
      <c r="F93" s="124">
        <f>Inputs!F7</f>
        <v>100</v>
      </c>
      <c r="G93" s="124">
        <f>Inputs!G7</f>
        <v>150</v>
      </c>
      <c r="H93" s="124">
        <f>Inputs!H7</f>
        <v>200</v>
      </c>
      <c r="I93" s="124">
        <f>Inputs!I7</f>
        <v>210</v>
      </c>
      <c r="J93" s="124">
        <f>Inputs!J7</f>
        <v>220</v>
      </c>
      <c r="K93" s="124">
        <f>Inputs!K7</f>
        <v>230</v>
      </c>
      <c r="L93" s="124">
        <f>Inputs!L7</f>
        <v>240</v>
      </c>
      <c r="M93" s="124">
        <f>Inputs!M7</f>
        <v>250</v>
      </c>
      <c r="N93" s="124">
        <f>Inputs!N7</f>
        <v>260</v>
      </c>
      <c r="O93" s="39"/>
      <c r="P93" s="39" t="s">
        <v>147</v>
      </c>
      <c r="Q93" s="43" t="s">
        <v>161</v>
      </c>
    </row>
    <row r="94" spans="1:17" x14ac:dyDescent="0.35">
      <c r="A94" s="34" t="s">
        <v>92</v>
      </c>
      <c r="B94" s="40" t="s">
        <v>19</v>
      </c>
      <c r="C94" s="40"/>
      <c r="D94" s="124">
        <f>-Inputs!D10</f>
        <v>-50</v>
      </c>
      <c r="E94" s="124">
        <f>-Inputs!E10</f>
        <v>-100</v>
      </c>
      <c r="F94" s="124">
        <f>-Inputs!F10</f>
        <v>-150</v>
      </c>
      <c r="G94" s="124">
        <f>-Inputs!G10</f>
        <v>-150</v>
      </c>
      <c r="H94" s="124">
        <f>-Inputs!H10</f>
        <v>-150</v>
      </c>
      <c r="I94" s="124">
        <f>-Inputs!I10</f>
        <v>-150</v>
      </c>
      <c r="J94" s="124">
        <f>-Inputs!J10</f>
        <v>-150</v>
      </c>
      <c r="K94" s="124">
        <f>-Inputs!K10</f>
        <v>-150</v>
      </c>
      <c r="L94" s="124">
        <f>-Inputs!L10</f>
        <v>-150</v>
      </c>
      <c r="M94" s="124">
        <f>-Inputs!M10</f>
        <v>-150</v>
      </c>
      <c r="N94" s="124">
        <f>-Inputs!N10</f>
        <v>-150</v>
      </c>
      <c r="O94" s="39"/>
      <c r="P94" s="39" t="s">
        <v>147</v>
      </c>
      <c r="Q94" s="43" t="s">
        <v>161</v>
      </c>
    </row>
    <row r="95" spans="1:17" x14ac:dyDescent="0.35">
      <c r="A95" s="34" t="s">
        <v>4</v>
      </c>
      <c r="B95" s="40" t="s">
        <v>19</v>
      </c>
      <c r="C95" s="40"/>
      <c r="D95" s="36">
        <f t="shared" ref="D95:N95" si="28">D86</f>
        <v>0</v>
      </c>
      <c r="E95" s="36">
        <f t="shared" si="28"/>
        <v>-2.4982888432580426</v>
      </c>
      <c r="F95" s="36">
        <f t="shared" si="28"/>
        <v>-7.3700375868871753</v>
      </c>
      <c r="G95" s="36">
        <f t="shared" si="28"/>
        <v>-14.496654463107051</v>
      </c>
      <c r="H95" s="36">
        <f t="shared" si="28"/>
        <v>-23.765473233944274</v>
      </c>
      <c r="I95" s="36">
        <f t="shared" si="28"/>
        <v>-32.571168274274228</v>
      </c>
      <c r="J95" s="36">
        <f t="shared" si="28"/>
        <v>-40.936879921076404</v>
      </c>
      <c r="K95" s="36">
        <f t="shared" si="28"/>
        <v>-48.884592286416193</v>
      </c>
      <c r="L95" s="36">
        <f t="shared" si="28"/>
        <v>-56.435191029120936</v>
      </c>
      <c r="M95" s="36">
        <f t="shared" si="28"/>
        <v>-63.608518239849317</v>
      </c>
      <c r="N95" s="36">
        <f t="shared" si="28"/>
        <v>-35.501123625798797</v>
      </c>
      <c r="O95" s="39"/>
      <c r="P95" s="39" t="s">
        <v>147</v>
      </c>
      <c r="Q95" s="43" t="s">
        <v>161</v>
      </c>
    </row>
    <row r="96" spans="1:17" x14ac:dyDescent="0.35">
      <c r="A96" s="34" t="s">
        <v>105</v>
      </c>
      <c r="B96" s="40" t="s">
        <v>19</v>
      </c>
      <c r="C96" s="40"/>
      <c r="D96" s="54">
        <f>SUM(D93:D95)</f>
        <v>-50</v>
      </c>
      <c r="E96" s="54">
        <f t="shared" ref="E96:N96" si="29">SUM(E93:E95)</f>
        <v>-52.498288843258045</v>
      </c>
      <c r="F96" s="54">
        <f t="shared" si="29"/>
        <v>-57.370037586887179</v>
      </c>
      <c r="G96" s="54">
        <f t="shared" si="29"/>
        <v>-14.496654463107051</v>
      </c>
      <c r="H96" s="54">
        <f t="shared" si="29"/>
        <v>26.234526766055726</v>
      </c>
      <c r="I96" s="54">
        <f t="shared" si="29"/>
        <v>27.428831725725772</v>
      </c>
      <c r="J96" s="54">
        <f t="shared" si="29"/>
        <v>29.063120078923596</v>
      </c>
      <c r="K96" s="54">
        <f t="shared" si="29"/>
        <v>31.115407713583807</v>
      </c>
      <c r="L96" s="54">
        <f t="shared" si="29"/>
        <v>33.564808970879064</v>
      </c>
      <c r="M96" s="54">
        <f t="shared" si="29"/>
        <v>36.391481760150683</v>
      </c>
      <c r="N96" s="54">
        <f t="shared" si="29"/>
        <v>74.498876374201203</v>
      </c>
      <c r="O96" s="39"/>
      <c r="P96" s="39" t="s">
        <v>147</v>
      </c>
      <c r="Q96" s="43" t="s">
        <v>161</v>
      </c>
    </row>
    <row r="97" spans="1:17" x14ac:dyDescent="0.35">
      <c r="A97" s="34" t="s">
        <v>118</v>
      </c>
      <c r="B97" s="40" t="s">
        <v>19</v>
      </c>
      <c r="C97" s="40"/>
      <c r="D97" s="36">
        <f>D96*Inputs!D25</f>
        <v>-14.000000000000002</v>
      </c>
      <c r="E97" s="36">
        <f>E96*Inputs!E25</f>
        <v>-14.699520876112254</v>
      </c>
      <c r="F97" s="36">
        <f>F96*Inputs!F25</f>
        <v>-16.063610524328411</v>
      </c>
      <c r="G97" s="36">
        <f>G96*Inputs!G25</f>
        <v>-4.0590632496699746</v>
      </c>
      <c r="H97" s="36">
        <f>H96*Inputs!H25</f>
        <v>7.3456674944956042</v>
      </c>
      <c r="I97" s="36">
        <f>I96*Inputs!I25</f>
        <v>7.6800728832032172</v>
      </c>
      <c r="J97" s="36">
        <f>J96*Inputs!J25</f>
        <v>8.1376736220986086</v>
      </c>
      <c r="K97" s="36">
        <f>K96*Inputs!K25</f>
        <v>8.7123141598034675</v>
      </c>
      <c r="L97" s="36">
        <f>L96*Inputs!L25</f>
        <v>9.3981465118461394</v>
      </c>
      <c r="M97" s="36">
        <f>M96*Inputs!M25</f>
        <v>10.189614892842192</v>
      </c>
      <c r="N97" s="36">
        <f>N96*Inputs!N25</f>
        <v>20.859685384776338</v>
      </c>
      <c r="O97" s="39"/>
      <c r="P97" s="39" t="s">
        <v>147</v>
      </c>
      <c r="Q97" s="43" t="s">
        <v>161</v>
      </c>
    </row>
    <row r="98" spans="1:17" x14ac:dyDescent="0.35">
      <c r="A98" s="34" t="s">
        <v>77</v>
      </c>
      <c r="B98" s="40" t="s">
        <v>19</v>
      </c>
      <c r="C98" s="40"/>
      <c r="D98" s="131">
        <f>IF(D97&lt;0,0,D97-D103)</f>
        <v>0</v>
      </c>
      <c r="E98" s="131">
        <f t="shared" ref="E98:N98" si="30">IF(E97&lt;0,0,E97-E103)</f>
        <v>0</v>
      </c>
      <c r="F98" s="131">
        <f t="shared" si="30"/>
        <v>0</v>
      </c>
      <c r="G98" s="131">
        <f t="shared" si="30"/>
        <v>0</v>
      </c>
      <c r="H98" s="131">
        <f t="shared" si="30"/>
        <v>0</v>
      </c>
      <c r="I98" s="131">
        <f t="shared" si="30"/>
        <v>0</v>
      </c>
      <c r="J98" s="131">
        <f t="shared" si="30"/>
        <v>0</v>
      </c>
      <c r="K98" s="131">
        <f t="shared" si="30"/>
        <v>0</v>
      </c>
      <c r="L98" s="131">
        <f t="shared" si="30"/>
        <v>0</v>
      </c>
      <c r="M98" s="131">
        <f t="shared" si="30"/>
        <v>2.641294914178582</v>
      </c>
      <c r="N98" s="131">
        <f t="shared" si="30"/>
        <v>20.859685384776338</v>
      </c>
      <c r="O98" s="39"/>
      <c r="P98" s="39" t="s">
        <v>147</v>
      </c>
      <c r="Q98" s="43" t="s">
        <v>161</v>
      </c>
    </row>
    <row r="99" spans="1:17" ht="12.75" customHeight="1" x14ac:dyDescent="0.35"/>
    <row r="100" spans="1:17" ht="16.5" customHeight="1" x14ac:dyDescent="0.5">
      <c r="A100" s="50" t="s">
        <v>119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7" x14ac:dyDescent="0.35">
      <c r="A101" s="53" t="s">
        <v>120</v>
      </c>
      <c r="B101" s="40" t="s">
        <v>19</v>
      </c>
      <c r="C101" s="40"/>
      <c r="D101" s="36">
        <v>0</v>
      </c>
      <c r="E101" s="36">
        <f t="shared" ref="E101:N101" si="31">D104</f>
        <v>-14.000000000000002</v>
      </c>
      <c r="F101" s="36">
        <f t="shared" si="31"/>
        <v>-28.699520876112256</v>
      </c>
      <c r="G101" s="36">
        <f t="shared" si="31"/>
        <v>-44.76313140044067</v>
      </c>
      <c r="H101" s="36">
        <f t="shared" si="31"/>
        <v>-48.822194650110646</v>
      </c>
      <c r="I101" s="36">
        <f t="shared" si="31"/>
        <v>-41.476527155615045</v>
      </c>
      <c r="J101" s="36">
        <f t="shared" si="31"/>
        <v>-33.796454272411829</v>
      </c>
      <c r="K101" s="36">
        <f t="shared" si="31"/>
        <v>-25.658780650313219</v>
      </c>
      <c r="L101" s="36">
        <f t="shared" si="31"/>
        <v>-16.946466490509749</v>
      </c>
      <c r="M101" s="36">
        <f t="shared" si="31"/>
        <v>-7.5483199786636099</v>
      </c>
      <c r="N101" s="36">
        <f t="shared" si="31"/>
        <v>0</v>
      </c>
      <c r="P101" s="39" t="s">
        <v>147</v>
      </c>
      <c r="Q101" s="43" t="s">
        <v>161</v>
      </c>
    </row>
    <row r="102" spans="1:17" x14ac:dyDescent="0.35">
      <c r="A102" s="53" t="s">
        <v>121</v>
      </c>
      <c r="B102" s="40" t="s">
        <v>19</v>
      </c>
      <c r="C102" s="40"/>
      <c r="D102" s="36">
        <f>IF(D97&lt;0,D97,0)</f>
        <v>-14.000000000000002</v>
      </c>
      <c r="E102" s="36">
        <f t="shared" ref="E102:N102" si="32">IF(E97&lt;0,E97,0)</f>
        <v>-14.699520876112254</v>
      </c>
      <c r="F102" s="36">
        <f t="shared" si="32"/>
        <v>-16.063610524328411</v>
      </c>
      <c r="G102" s="36">
        <f t="shared" si="32"/>
        <v>-4.0590632496699746</v>
      </c>
      <c r="H102" s="36">
        <f t="shared" si="32"/>
        <v>0</v>
      </c>
      <c r="I102" s="36">
        <f t="shared" si="32"/>
        <v>0</v>
      </c>
      <c r="J102" s="36">
        <f t="shared" si="32"/>
        <v>0</v>
      </c>
      <c r="K102" s="36">
        <f t="shared" si="32"/>
        <v>0</v>
      </c>
      <c r="L102" s="36">
        <f t="shared" si="32"/>
        <v>0</v>
      </c>
      <c r="M102" s="36">
        <f t="shared" si="32"/>
        <v>0</v>
      </c>
      <c r="N102" s="36">
        <f t="shared" si="32"/>
        <v>0</v>
      </c>
      <c r="P102" s="39" t="s">
        <v>147</v>
      </c>
      <c r="Q102" s="43" t="s">
        <v>161</v>
      </c>
    </row>
    <row r="103" spans="1:17" x14ac:dyDescent="0.35">
      <c r="A103" s="53" t="s">
        <v>122</v>
      </c>
      <c r="B103" s="40" t="s">
        <v>19</v>
      </c>
      <c r="C103" s="40"/>
      <c r="D103" s="38">
        <f>IF(D102&lt;0,0,IF(D102=0,IF(D101&gt;-D97,-D101,D97)))</f>
        <v>0</v>
      </c>
      <c r="E103" s="38">
        <f t="shared" ref="E103:N103" si="33">IF(E102&lt;0,0,IF(E102=0,IF(E101&gt;-E97,-E101,E97)))</f>
        <v>0</v>
      </c>
      <c r="F103" s="38">
        <f t="shared" si="33"/>
        <v>0</v>
      </c>
      <c r="G103" s="38">
        <f t="shared" si="33"/>
        <v>0</v>
      </c>
      <c r="H103" s="38">
        <f t="shared" si="33"/>
        <v>7.3456674944956042</v>
      </c>
      <c r="I103" s="38">
        <f t="shared" si="33"/>
        <v>7.6800728832032172</v>
      </c>
      <c r="J103" s="38">
        <f t="shared" si="33"/>
        <v>8.1376736220986086</v>
      </c>
      <c r="K103" s="38">
        <f t="shared" si="33"/>
        <v>8.7123141598034675</v>
      </c>
      <c r="L103" s="38">
        <f t="shared" si="33"/>
        <v>9.3981465118461394</v>
      </c>
      <c r="M103" s="38">
        <f t="shared" si="33"/>
        <v>7.5483199786636099</v>
      </c>
      <c r="N103" s="38">
        <f t="shared" si="33"/>
        <v>0</v>
      </c>
      <c r="P103" s="39" t="s">
        <v>147</v>
      </c>
      <c r="Q103" s="43" t="s">
        <v>161</v>
      </c>
    </row>
    <row r="104" spans="1:17" x14ac:dyDescent="0.35">
      <c r="A104" s="53" t="s">
        <v>123</v>
      </c>
      <c r="B104" s="40" t="s">
        <v>19</v>
      </c>
      <c r="C104" s="40"/>
      <c r="D104" s="131">
        <f t="shared" ref="D104:N104" si="34">SUM(D101:D103)</f>
        <v>-14.000000000000002</v>
      </c>
      <c r="E104" s="131">
        <f t="shared" si="34"/>
        <v>-28.699520876112256</v>
      </c>
      <c r="F104" s="131">
        <f t="shared" si="34"/>
        <v>-44.76313140044067</v>
      </c>
      <c r="G104" s="131">
        <f t="shared" si="34"/>
        <v>-48.822194650110646</v>
      </c>
      <c r="H104" s="131">
        <f t="shared" si="34"/>
        <v>-41.476527155615045</v>
      </c>
      <c r="I104" s="131">
        <f t="shared" si="34"/>
        <v>-33.796454272411829</v>
      </c>
      <c r="J104" s="131">
        <f t="shared" si="34"/>
        <v>-25.658780650313219</v>
      </c>
      <c r="K104" s="131">
        <f t="shared" si="34"/>
        <v>-16.946466490509749</v>
      </c>
      <c r="L104" s="131">
        <f t="shared" si="34"/>
        <v>-7.5483199786636099</v>
      </c>
      <c r="M104" s="131">
        <f t="shared" si="34"/>
        <v>0</v>
      </c>
      <c r="N104" s="131">
        <f t="shared" si="34"/>
        <v>0</v>
      </c>
      <c r="P104" s="39" t="s">
        <v>147</v>
      </c>
      <c r="Q104" s="43" t="s">
        <v>161</v>
      </c>
    </row>
    <row r="114" spans="4:14" x14ac:dyDescent="0.35">
      <c r="N114" s="39"/>
    </row>
    <row r="115" spans="4:14" x14ac:dyDescent="0.3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4:14" x14ac:dyDescent="0.3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20" spans="4:14" x14ac:dyDescent="0.35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4:14" x14ac:dyDescent="0.3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</sheetData>
  <pageMargins left="0.7" right="0.7" top="0.75" bottom="0.75" header="0.3" footer="0.3"/>
  <pageSetup paperSize="8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Description</vt:lpstr>
      <vt:lpstr>Inputs</vt:lpstr>
      <vt:lpstr>DCF</vt:lpstr>
      <vt:lpstr>'Cover Sheet'!Print_Area</vt:lpstr>
      <vt:lpstr>DCF!Print_Area</vt:lpstr>
      <vt:lpstr>Description!Print_Area</vt:lpstr>
      <vt:lpstr>Inputs!Print_Area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2019-12-16T03:14:42Z</dcterms:created>
  <dcterms:modified xsi:type="dcterms:W3CDTF">2020-08-11T21:44:08Z</dcterms:modified>
</cp:coreProperties>
</file>