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codeName="ThisWorkbook"/>
  <xr:revisionPtr revIDLastSave="0" documentId="8_{0E3ED69B-FFB9-4430-A034-02C0AC05F063}" xr6:coauthVersionLast="47" xr6:coauthVersionMax="47" xr10:uidLastSave="{00000000-0000-0000-0000-000000000000}"/>
  <bookViews>
    <workbookView xWindow="-28920" yWindow="-120" windowWidth="29040" windowHeight="15840" tabRatio="909" xr2:uid="{00000000-000D-0000-FFFF-FFFF00000000}"/>
  </bookViews>
  <sheets>
    <sheet name="Cover Sheet" sheetId="9" r:id="rId1"/>
    <sheet name="Description" sheetId="10" r:id="rId2"/>
    <sheet name="Inputs" sheetId="84" r:id="rId3"/>
    <sheet name="DCF" sheetId="150" r:id="rId4"/>
  </sheets>
  <externalReferences>
    <externalReference r:id="rId5"/>
  </externalReferences>
  <definedNames>
    <definedName name="_xlnm.Print_Area" localSheetId="0">'Cover Sheet'!$A$1:$D$22</definedName>
    <definedName name="_xlnm.Print_Area" localSheetId="3">DCF!$A$1:$Q$347</definedName>
    <definedName name="_xlnm.Print_Area" localSheetId="1">Description!$A$1:$F$11</definedName>
    <definedName name="_xlnm.Print_Area" localSheetId="2">Inputs!$A$1:$O$115</definedName>
    <definedName name="WACC">'[1]EDB data'!$B$9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4" i="150" l="1"/>
  <c r="N114" i="150"/>
  <c r="C103" i="150"/>
  <c r="C140" i="150"/>
  <c r="C59" i="150"/>
  <c r="E104" i="84"/>
  <c r="F104" i="84"/>
  <c r="G104" i="84"/>
  <c r="H104" i="84"/>
  <c r="I104" i="84"/>
  <c r="J104" i="84"/>
  <c r="K104" i="84"/>
  <c r="L104" i="84"/>
  <c r="M104" i="84"/>
  <c r="D104" i="84"/>
  <c r="N104" i="84"/>
  <c r="M149" i="150" l="1"/>
  <c r="N119" i="150"/>
  <c r="M119" i="150"/>
  <c r="L119" i="150"/>
  <c r="K119" i="150"/>
  <c r="J119" i="150"/>
  <c r="I119" i="150"/>
  <c r="H119" i="150"/>
  <c r="G119" i="150"/>
  <c r="F119" i="150"/>
  <c r="E119" i="150"/>
  <c r="D119" i="150"/>
  <c r="N118" i="150"/>
  <c r="M118" i="150"/>
  <c r="L118" i="150"/>
  <c r="K118" i="150"/>
  <c r="J118" i="150"/>
  <c r="I118" i="150"/>
  <c r="H118" i="150"/>
  <c r="G118" i="150"/>
  <c r="F118" i="150"/>
  <c r="E118" i="150"/>
  <c r="D118" i="150"/>
  <c r="N103" i="150"/>
  <c r="N140" i="150" s="1"/>
  <c r="M103" i="150"/>
  <c r="M140" i="150" s="1"/>
  <c r="L103" i="150"/>
  <c r="L140" i="150" s="1"/>
  <c r="K103" i="150"/>
  <c r="K140" i="150" s="1"/>
  <c r="J103" i="150"/>
  <c r="J140" i="150" s="1"/>
  <c r="I103" i="150"/>
  <c r="I140" i="150" s="1"/>
  <c r="H103" i="150"/>
  <c r="H140" i="150" s="1"/>
  <c r="G103" i="150"/>
  <c r="G140" i="150" s="1"/>
  <c r="F103" i="150"/>
  <c r="F140" i="150" s="1"/>
  <c r="E103" i="150"/>
  <c r="E140" i="150" s="1"/>
  <c r="D103" i="150"/>
  <c r="D140" i="150" s="1"/>
  <c r="M114" i="150"/>
  <c r="L114" i="150"/>
  <c r="K114" i="150"/>
  <c r="J114" i="150"/>
  <c r="I114" i="150"/>
  <c r="H114" i="150"/>
  <c r="G114" i="150"/>
  <c r="F114" i="150"/>
  <c r="E114" i="150"/>
  <c r="D114" i="150"/>
  <c r="N113" i="150"/>
  <c r="N121" i="150" s="1"/>
  <c r="M113" i="150"/>
  <c r="M121" i="150" s="1"/>
  <c r="L113" i="150"/>
  <c r="L121" i="150" s="1"/>
  <c r="K113" i="150"/>
  <c r="K121" i="150" s="1"/>
  <c r="J113" i="150"/>
  <c r="J121" i="150" s="1"/>
  <c r="I113" i="150"/>
  <c r="I121" i="150" s="1"/>
  <c r="H113" i="150"/>
  <c r="H121" i="150" s="1"/>
  <c r="G113" i="150"/>
  <c r="G121" i="150" s="1"/>
  <c r="F113" i="150"/>
  <c r="F121" i="150" s="1"/>
  <c r="E113" i="150"/>
  <c r="E121" i="150" s="1"/>
  <c r="D113" i="150"/>
  <c r="D121" i="150" s="1"/>
  <c r="N112" i="150"/>
  <c r="M112" i="150"/>
  <c r="L112" i="150"/>
  <c r="K112" i="150"/>
  <c r="J112" i="150"/>
  <c r="I112" i="150"/>
  <c r="H112" i="150"/>
  <c r="G112" i="150"/>
  <c r="F112" i="150"/>
  <c r="E112" i="150"/>
  <c r="D112" i="150"/>
  <c r="D111" i="150"/>
  <c r="N107" i="150"/>
  <c r="M107" i="150"/>
  <c r="L107" i="150"/>
  <c r="K107" i="150"/>
  <c r="J107" i="150"/>
  <c r="I107" i="150"/>
  <c r="H107" i="150"/>
  <c r="G107" i="150"/>
  <c r="F107" i="150"/>
  <c r="E107" i="150"/>
  <c r="D107" i="150"/>
  <c r="N106" i="150"/>
  <c r="M106" i="150"/>
  <c r="L106" i="150"/>
  <c r="K106" i="150"/>
  <c r="J106" i="150"/>
  <c r="I106" i="150"/>
  <c r="H106" i="150"/>
  <c r="G106" i="150"/>
  <c r="F106" i="150"/>
  <c r="E106" i="150"/>
  <c r="D106" i="150"/>
  <c r="D105" i="150"/>
  <c r="M93" i="150"/>
  <c r="N63" i="150"/>
  <c r="M63" i="150"/>
  <c r="L63" i="150"/>
  <c r="K63" i="150"/>
  <c r="J63" i="150"/>
  <c r="I63" i="150"/>
  <c r="H63" i="150"/>
  <c r="G63" i="150"/>
  <c r="F63" i="150"/>
  <c r="E63" i="150"/>
  <c r="D63" i="150"/>
  <c r="C63" i="150"/>
  <c r="N62" i="150"/>
  <c r="M62" i="150"/>
  <c r="L62" i="150"/>
  <c r="K62" i="150"/>
  <c r="J62" i="150"/>
  <c r="I62" i="150"/>
  <c r="H62" i="150"/>
  <c r="G62" i="150"/>
  <c r="F62" i="150"/>
  <c r="F67" i="150" s="1"/>
  <c r="E62" i="150"/>
  <c r="D62" i="150"/>
  <c r="C62" i="150"/>
  <c r="M54" i="150"/>
  <c r="L54" i="150"/>
  <c r="K54" i="150"/>
  <c r="J54" i="150"/>
  <c r="I54" i="150"/>
  <c r="H54" i="150"/>
  <c r="G54" i="150"/>
  <c r="F54" i="150"/>
  <c r="E54" i="150"/>
  <c r="D54" i="150"/>
  <c r="N53" i="150"/>
  <c r="N266" i="150" s="1"/>
  <c r="M53" i="150"/>
  <c r="L53" i="150"/>
  <c r="K53" i="150"/>
  <c r="J53" i="150"/>
  <c r="I53" i="150"/>
  <c r="H53" i="150"/>
  <c r="G53" i="150"/>
  <c r="G266" i="150" s="1"/>
  <c r="F53" i="150"/>
  <c r="F266" i="150" s="1"/>
  <c r="E53" i="150"/>
  <c r="D53" i="150"/>
  <c r="N52" i="150"/>
  <c r="M52" i="150"/>
  <c r="L52" i="150"/>
  <c r="K52" i="150"/>
  <c r="J52" i="150"/>
  <c r="J326" i="150" s="1"/>
  <c r="I52" i="150"/>
  <c r="H52" i="150"/>
  <c r="G52" i="150"/>
  <c r="F52" i="150"/>
  <c r="E52" i="150"/>
  <c r="E326" i="150" s="1"/>
  <c r="D52" i="150"/>
  <c r="C50" i="150"/>
  <c r="N46" i="150"/>
  <c r="M46" i="150"/>
  <c r="L46" i="150"/>
  <c r="K46" i="150"/>
  <c r="J46" i="150"/>
  <c r="I46" i="150"/>
  <c r="H46" i="150"/>
  <c r="G46" i="150"/>
  <c r="F46" i="150"/>
  <c r="E46" i="150"/>
  <c r="D46" i="150"/>
  <c r="N45" i="150"/>
  <c r="M45" i="150"/>
  <c r="L45" i="150"/>
  <c r="K45" i="150"/>
  <c r="J45" i="150"/>
  <c r="I45" i="150"/>
  <c r="H45" i="150"/>
  <c r="G45" i="150"/>
  <c r="F45" i="150"/>
  <c r="E45" i="150"/>
  <c r="D45" i="150"/>
  <c r="C43" i="150"/>
  <c r="C47" i="150" s="1"/>
  <c r="D44" i="150" s="1"/>
  <c r="N40" i="150"/>
  <c r="M40" i="150"/>
  <c r="L40" i="150"/>
  <c r="K40" i="150"/>
  <c r="J40" i="150"/>
  <c r="I40" i="150"/>
  <c r="H40" i="150"/>
  <c r="G40" i="150"/>
  <c r="F40" i="150"/>
  <c r="E40" i="150"/>
  <c r="D40" i="150"/>
  <c r="C40" i="150"/>
  <c r="N27" i="150"/>
  <c r="M27" i="150"/>
  <c r="L27" i="150"/>
  <c r="K27" i="150"/>
  <c r="J27" i="150"/>
  <c r="I27" i="150"/>
  <c r="H27" i="150"/>
  <c r="G27" i="150"/>
  <c r="F27" i="150"/>
  <c r="E27" i="150"/>
  <c r="D27" i="150"/>
  <c r="N26" i="150"/>
  <c r="M26" i="150"/>
  <c r="L26" i="150"/>
  <c r="K26" i="150"/>
  <c r="J26" i="150"/>
  <c r="I26" i="150"/>
  <c r="H26" i="150"/>
  <c r="G26" i="150"/>
  <c r="F26" i="150"/>
  <c r="E26" i="150"/>
  <c r="D26" i="150"/>
  <c r="N17" i="150"/>
  <c r="M17" i="150"/>
  <c r="L17" i="150"/>
  <c r="K17" i="150"/>
  <c r="J17" i="150"/>
  <c r="I17" i="150"/>
  <c r="H17" i="150"/>
  <c r="G17" i="150"/>
  <c r="F17" i="150"/>
  <c r="E17" i="150"/>
  <c r="D17" i="150"/>
  <c r="N15" i="150"/>
  <c r="M15" i="150"/>
  <c r="L15" i="150"/>
  <c r="K15" i="150"/>
  <c r="J15" i="150"/>
  <c r="I15" i="150"/>
  <c r="H15" i="150"/>
  <c r="G15" i="150"/>
  <c r="F15" i="150"/>
  <c r="E15" i="150"/>
  <c r="D15" i="150"/>
  <c r="C15" i="150"/>
  <c r="L274" i="150" l="1"/>
  <c r="L59" i="150"/>
  <c r="E274" i="150"/>
  <c r="E59" i="150"/>
  <c r="M274" i="150"/>
  <c r="M59" i="150"/>
  <c r="F274" i="150"/>
  <c r="F59" i="150"/>
  <c r="N274" i="150"/>
  <c r="N59" i="150"/>
  <c r="G274" i="150"/>
  <c r="G59" i="150"/>
  <c r="H274" i="150"/>
  <c r="H59" i="150"/>
  <c r="I274" i="150"/>
  <c r="I59" i="150"/>
  <c r="J274" i="150"/>
  <c r="J59" i="150"/>
  <c r="D274" i="150"/>
  <c r="D59" i="150"/>
  <c r="K274" i="150"/>
  <c r="K59" i="150"/>
  <c r="E28" i="150"/>
  <c r="E67" i="150"/>
  <c r="M67" i="150"/>
  <c r="I67" i="150"/>
  <c r="I28" i="150"/>
  <c r="I328" i="150" s="1"/>
  <c r="D28" i="150"/>
  <c r="L28" i="150"/>
  <c r="L328" i="150" s="1"/>
  <c r="H28" i="150"/>
  <c r="H328" i="150" s="1"/>
  <c r="K28" i="150"/>
  <c r="K328" i="150" s="1"/>
  <c r="M28" i="150"/>
  <c r="J28" i="150"/>
  <c r="J328" i="150" s="1"/>
  <c r="F28" i="150"/>
  <c r="F276" i="150" s="1"/>
  <c r="N28" i="150"/>
  <c r="N328" i="150" s="1"/>
  <c r="G28" i="150"/>
  <c r="G328" i="150" s="1"/>
  <c r="J67" i="150"/>
  <c r="N67" i="150"/>
  <c r="D115" i="150"/>
  <c r="E111" i="150" s="1"/>
  <c r="E115" i="150" s="1"/>
  <c r="F111" i="150" s="1"/>
  <c r="F115" i="150" s="1"/>
  <c r="G111" i="150" s="1"/>
  <c r="G115" i="150" s="1"/>
  <c r="H111" i="150" s="1"/>
  <c r="H115" i="150" s="1"/>
  <c r="I111" i="150" s="1"/>
  <c r="I115" i="150" s="1"/>
  <c r="J111" i="150" s="1"/>
  <c r="J115" i="150" s="1"/>
  <c r="K111" i="150" s="1"/>
  <c r="K115" i="150" s="1"/>
  <c r="L111" i="150" s="1"/>
  <c r="L115" i="150" s="1"/>
  <c r="M111" i="150" s="1"/>
  <c r="M115" i="150" s="1"/>
  <c r="N111" i="150" s="1"/>
  <c r="N115" i="150" s="1"/>
  <c r="D47" i="150"/>
  <c r="E44" i="150" s="1"/>
  <c r="E47" i="150" s="1"/>
  <c r="F44" i="150" s="1"/>
  <c r="F47" i="150" s="1"/>
  <c r="G44" i="150" s="1"/>
  <c r="G47" i="150" s="1"/>
  <c r="H44" i="150" s="1"/>
  <c r="H47" i="150" s="1"/>
  <c r="I44" i="150" s="1"/>
  <c r="I47" i="150" s="1"/>
  <c r="J44" i="150" s="1"/>
  <c r="J47" i="150" s="1"/>
  <c r="K44" i="150" s="1"/>
  <c r="K47" i="150" s="1"/>
  <c r="L44" i="150" s="1"/>
  <c r="L47" i="150" s="1"/>
  <c r="M44" i="150" s="1"/>
  <c r="M47" i="150" s="1"/>
  <c r="N44" i="150" s="1"/>
  <c r="N47" i="150" s="1"/>
  <c r="D108" i="150"/>
  <c r="E105" i="150" s="1"/>
  <c r="E108" i="150" s="1"/>
  <c r="F105" i="150" s="1"/>
  <c r="F108" i="150" s="1"/>
  <c r="G105" i="150" s="1"/>
  <c r="G108" i="150" s="1"/>
  <c r="H105" i="150" s="1"/>
  <c r="H108" i="150" s="1"/>
  <c r="I105" i="150" s="1"/>
  <c r="I108" i="150" s="1"/>
  <c r="J105" i="150" s="1"/>
  <c r="J108" i="150" s="1"/>
  <c r="K105" i="150" s="1"/>
  <c r="K108" i="150" s="1"/>
  <c r="L105" i="150" s="1"/>
  <c r="L108" i="150" s="1"/>
  <c r="M105" i="150" s="1"/>
  <c r="M108" i="150" s="1"/>
  <c r="N105" i="150" s="1"/>
  <c r="N108" i="150" s="1"/>
  <c r="C64" i="150"/>
  <c r="D61" i="150" s="1"/>
  <c r="D64" i="150" s="1"/>
  <c r="D67" i="150" s="1"/>
  <c r="K67" i="150"/>
  <c r="G67" i="150"/>
  <c r="L67" i="150"/>
  <c r="H67" i="150"/>
  <c r="G326" i="150"/>
  <c r="G195" i="150"/>
  <c r="D266" i="150"/>
  <c r="L266" i="150"/>
  <c r="C295" i="150" a="1"/>
  <c r="C295" i="150" s="1"/>
  <c r="C306" i="150" s="1"/>
  <c r="H326" i="150"/>
  <c r="H204" i="150"/>
  <c r="M266" i="150"/>
  <c r="D326" i="150"/>
  <c r="D168" i="150"/>
  <c r="L240" i="150"/>
  <c r="L326" i="150"/>
  <c r="I266" i="150"/>
  <c r="C22" i="150"/>
  <c r="C55" i="150"/>
  <c r="D51" i="150" s="1"/>
  <c r="D55" i="150" s="1"/>
  <c r="E51" i="150" s="1"/>
  <c r="E55" i="150" s="1"/>
  <c r="F51" i="150" s="1"/>
  <c r="F55" i="150" s="1"/>
  <c r="G51" i="150" s="1"/>
  <c r="G55" i="150" s="1"/>
  <c r="H51" i="150" s="1"/>
  <c r="H55" i="150" s="1"/>
  <c r="I51" i="150" s="1"/>
  <c r="I55" i="150" s="1"/>
  <c r="J51" i="150" s="1"/>
  <c r="J55" i="150" s="1"/>
  <c r="K51" i="150" s="1"/>
  <c r="K55" i="150" s="1"/>
  <c r="L51" i="150" s="1"/>
  <c r="L55" i="150" s="1"/>
  <c r="M51" i="150" s="1"/>
  <c r="M55" i="150" s="1"/>
  <c r="N51" i="150" s="1"/>
  <c r="N55" i="150" s="1"/>
  <c r="N8" i="150" s="1"/>
  <c r="F326" i="150"/>
  <c r="F186" i="150"/>
  <c r="N326" i="150"/>
  <c r="N258" i="150"/>
  <c r="K266" i="150"/>
  <c r="E266" i="150"/>
  <c r="M326" i="150"/>
  <c r="M249" i="150"/>
  <c r="J266" i="150"/>
  <c r="I326" i="150"/>
  <c r="I213" i="150"/>
  <c r="E177" i="150"/>
  <c r="K326" i="150"/>
  <c r="K231" i="150"/>
  <c r="H266" i="150"/>
  <c r="J222" i="150"/>
  <c r="K276" i="150" l="1"/>
  <c r="J276" i="150"/>
  <c r="E276" i="150"/>
  <c r="L276" i="150"/>
  <c r="E328" i="150"/>
  <c r="I276" i="150"/>
  <c r="D328" i="150"/>
  <c r="D276" i="150"/>
  <c r="G276" i="150"/>
  <c r="N276" i="150"/>
  <c r="M328" i="150"/>
  <c r="M276" i="150"/>
  <c r="F328" i="150"/>
  <c r="H276" i="150"/>
  <c r="D152" i="150"/>
  <c r="E61" i="150"/>
  <c r="E64" i="150" s="1"/>
  <c r="F61" i="150" s="1"/>
  <c r="F64" i="150" s="1"/>
  <c r="G61" i="150" s="1"/>
  <c r="G64" i="150" s="1"/>
  <c r="H61" i="150" s="1"/>
  <c r="H64" i="150" s="1"/>
  <c r="I61" i="150" s="1"/>
  <c r="I64" i="150" s="1"/>
  <c r="J61" i="150" s="1"/>
  <c r="J64" i="150" s="1"/>
  <c r="K61" i="150" s="1"/>
  <c r="K64" i="150" s="1"/>
  <c r="L61" i="150" s="1"/>
  <c r="L64" i="150" s="1"/>
  <c r="M61" i="150" s="1"/>
  <c r="M64" i="150" s="1"/>
  <c r="N61" i="150" s="1"/>
  <c r="N64" i="150" s="1"/>
  <c r="C330" i="150"/>
  <c r="D325" i="150" s="1"/>
  <c r="C278" i="150"/>
  <c r="C159" i="150"/>
  <c r="C161" i="150" s="1"/>
  <c r="D158" i="150" s="1"/>
  <c r="K233" i="150"/>
  <c r="L230" i="150" s="1"/>
  <c r="J224" i="150"/>
  <c r="K221" i="150" s="1"/>
  <c r="L242" i="150"/>
  <c r="M239" i="150" s="1"/>
  <c r="H206" i="150"/>
  <c r="I203" i="150" s="1"/>
  <c r="E179" i="150"/>
  <c r="F176" i="150" s="1"/>
  <c r="D170" i="150"/>
  <c r="E167" i="150" s="1"/>
  <c r="I215" i="150"/>
  <c r="J212" i="150" s="1"/>
  <c r="N260" i="150"/>
  <c r="G197" i="150"/>
  <c r="H194" i="150" s="1"/>
  <c r="F188" i="150"/>
  <c r="G185" i="150" s="1"/>
  <c r="M251" i="150"/>
  <c r="N248" i="150" s="1"/>
  <c r="C279" i="150" l="1" a="1"/>
  <c r="C279" i="150" s="1"/>
  <c r="C290" i="150" s="1"/>
  <c r="D160" i="150"/>
  <c r="D265" i="150" s="1"/>
  <c r="D327" i="150" s="1"/>
  <c r="C310" i="150"/>
  <c r="C322" i="150" s="1"/>
  <c r="D161" i="150" l="1"/>
  <c r="E158" i="150" s="1"/>
  <c r="D39" i="84" l="1"/>
  <c r="E39" i="84"/>
  <c r="F39" i="84"/>
  <c r="G39" i="84"/>
  <c r="H39" i="84"/>
  <c r="I39" i="84"/>
  <c r="J39" i="84"/>
  <c r="K39" i="84"/>
  <c r="L39" i="84"/>
  <c r="M39" i="84"/>
  <c r="N39" i="84"/>
  <c r="C39" i="84"/>
  <c r="C32" i="84" l="1"/>
  <c r="N54" i="84" l="1"/>
  <c r="N142" i="150" s="1"/>
  <c r="N145" i="150" s="1"/>
  <c r="M54" i="84"/>
  <c r="M142" i="150" s="1"/>
  <c r="M145" i="150" s="1"/>
  <c r="D102" i="84"/>
  <c r="E101" i="84"/>
  <c r="E84" i="150" s="1"/>
  <c r="F101" i="84"/>
  <c r="F84" i="150" s="1"/>
  <c r="G101" i="84"/>
  <c r="G84" i="150" s="1"/>
  <c r="H100" i="84"/>
  <c r="I100" i="84"/>
  <c r="J100" i="84"/>
  <c r="K102" i="84"/>
  <c r="L101" i="84"/>
  <c r="L84" i="150" s="1"/>
  <c r="M102" i="84"/>
  <c r="M103" i="84" s="1"/>
  <c r="N101" i="84"/>
  <c r="N84" i="150" s="1"/>
  <c r="H93" i="150" l="1"/>
  <c r="M76" i="150"/>
  <c r="M84" i="150"/>
  <c r="J93" i="150"/>
  <c r="I93" i="150"/>
  <c r="N57" i="84"/>
  <c r="N143" i="150" s="1"/>
  <c r="N146" i="150" s="1"/>
  <c r="H102" i="84"/>
  <c r="H103" i="84" s="1"/>
  <c r="N100" i="84"/>
  <c r="F102" i="84"/>
  <c r="F103" i="84" s="1"/>
  <c r="F100" i="84"/>
  <c r="E100" i="84"/>
  <c r="E102" i="84"/>
  <c r="E103" i="84" s="1"/>
  <c r="I102" i="84"/>
  <c r="I103" i="84" s="1"/>
  <c r="D101" i="84"/>
  <c r="D84" i="150" s="1"/>
  <c r="G102" i="84"/>
  <c r="G103" i="84" s="1"/>
  <c r="N102" i="84"/>
  <c r="N103" i="84" s="1"/>
  <c r="J102" i="84"/>
  <c r="J103" i="84" s="1"/>
  <c r="G100" i="84"/>
  <c r="J101" i="84"/>
  <c r="J84" i="150" s="1"/>
  <c r="L100" i="84"/>
  <c r="D100" i="84"/>
  <c r="K101" i="84"/>
  <c r="K84" i="150" s="1"/>
  <c r="K103" i="84"/>
  <c r="I101" i="84"/>
  <c r="I84" i="150" s="1"/>
  <c r="K100" i="84"/>
  <c r="H101" i="84"/>
  <c r="H84" i="150" s="1"/>
  <c r="D103" i="84"/>
  <c r="L102" i="84"/>
  <c r="L103" i="84" s="1"/>
  <c r="H76" i="150" l="1"/>
  <c r="D76" i="150"/>
  <c r="D93" i="150"/>
  <c r="L76" i="150"/>
  <c r="L93" i="150"/>
  <c r="J76" i="150"/>
  <c r="N76" i="150"/>
  <c r="N93" i="150"/>
  <c r="I76" i="150"/>
  <c r="E76" i="150"/>
  <c r="E93" i="150"/>
  <c r="G93" i="150"/>
  <c r="G76" i="150"/>
  <c r="F76" i="150"/>
  <c r="F93" i="150"/>
  <c r="K76" i="150"/>
  <c r="K93" i="150"/>
  <c r="N58" i="84"/>
  <c r="N59" i="84" s="1"/>
  <c r="D54" i="84" l="1"/>
  <c r="D142" i="150" s="1"/>
  <c r="D145" i="150" s="1"/>
  <c r="E160" i="150" s="1"/>
  <c r="E153" i="150" l="1"/>
  <c r="E152" i="150" s="1"/>
  <c r="E169" i="150" s="1"/>
  <c r="E161" i="150"/>
  <c r="F158" i="150" s="1"/>
  <c r="N108" i="84"/>
  <c r="D108" i="84"/>
  <c r="F160" i="150" l="1"/>
  <c r="F154" i="150" s="1"/>
  <c r="E170" i="150"/>
  <c r="F167" i="150" s="1"/>
  <c r="E265" i="150"/>
  <c r="E327" i="150" s="1"/>
  <c r="C42" i="84"/>
  <c r="C45" i="84" s="1"/>
  <c r="C148" i="150" s="1"/>
  <c r="F161" i="150" l="1"/>
  <c r="G158" i="150" s="1"/>
  <c r="D162" i="150"/>
  <c r="D164" i="150" s="1"/>
  <c r="F169" i="150"/>
  <c r="F170" i="150" s="1"/>
  <c r="G167" i="150" s="1"/>
  <c r="G160" i="150"/>
  <c r="F153" i="150"/>
  <c r="F152" i="150" s="1"/>
  <c r="F178" i="150" s="1"/>
  <c r="C50" i="84"/>
  <c r="G154" i="150" l="1"/>
  <c r="G161" i="150"/>
  <c r="H158" i="150" s="1"/>
  <c r="G169" i="150"/>
  <c r="G170" i="150" s="1"/>
  <c r="H167" i="150" s="1"/>
  <c r="F179" i="150"/>
  <c r="G176" i="150" s="1"/>
  <c r="F265" i="150"/>
  <c r="D57" i="84"/>
  <c r="D143" i="150" s="1"/>
  <c r="D146" i="150" s="1"/>
  <c r="G178" i="150" l="1"/>
  <c r="G179" i="150" s="1"/>
  <c r="H176" i="150" s="1"/>
  <c r="H169" i="150"/>
  <c r="H170" i="150" s="1"/>
  <c r="I167" i="150" s="1"/>
  <c r="H160" i="150"/>
  <c r="F327" i="150"/>
  <c r="G153" i="150"/>
  <c r="G152" i="150" s="1"/>
  <c r="G187" i="150" s="1"/>
  <c r="D58" i="84"/>
  <c r="D59" i="84" s="1"/>
  <c r="H154" i="150" l="1"/>
  <c r="H161" i="150"/>
  <c r="I158" i="150" s="1"/>
  <c r="I169" i="150"/>
  <c r="I170" i="150" s="1"/>
  <c r="J167" i="150" s="1"/>
  <c r="H178" i="150"/>
  <c r="H179" i="150" s="1"/>
  <c r="I176" i="150" s="1"/>
  <c r="G265" i="150"/>
  <c r="G327" i="150" s="1"/>
  <c r="G188" i="150"/>
  <c r="H185" i="150" s="1"/>
  <c r="C74" i="84"/>
  <c r="J169" i="150" l="1"/>
  <c r="J170" i="150" s="1"/>
  <c r="K167" i="150" s="1"/>
  <c r="I178" i="150"/>
  <c r="I179" i="150" s="1"/>
  <c r="J176" i="150" s="1"/>
  <c r="I160" i="150"/>
  <c r="I161" i="150" s="1"/>
  <c r="J158" i="150" s="1"/>
  <c r="H153" i="150"/>
  <c r="H152" i="150" s="1"/>
  <c r="H196" i="150" s="1"/>
  <c r="H187" i="150"/>
  <c r="H188" i="150" s="1"/>
  <c r="I185" i="150" s="1"/>
  <c r="N92" i="84"/>
  <c r="E92" i="84"/>
  <c r="D92" i="84"/>
  <c r="C92" i="84"/>
  <c r="J160" i="150" l="1"/>
  <c r="J161" i="150"/>
  <c r="K158" i="150" s="1"/>
  <c r="J154" i="150"/>
  <c r="I154" i="150"/>
  <c r="H265" i="150"/>
  <c r="H197" i="150"/>
  <c r="I194" i="150" s="1"/>
  <c r="J178" i="150"/>
  <c r="J179" i="150" s="1"/>
  <c r="K176" i="150" s="1"/>
  <c r="K169" i="150"/>
  <c r="K170" i="150" s="1"/>
  <c r="L167" i="150" s="1"/>
  <c r="I187" i="150"/>
  <c r="I188" i="150" s="1"/>
  <c r="J185" i="150" s="1"/>
  <c r="G42" i="84"/>
  <c r="G45" i="84" s="1"/>
  <c r="G148" i="150" s="1"/>
  <c r="H42" i="84"/>
  <c r="H45" i="84" s="1"/>
  <c r="H148" i="150" s="1"/>
  <c r="I42" i="84"/>
  <c r="I45" i="84" s="1"/>
  <c r="I148" i="150" s="1"/>
  <c r="J42" i="84"/>
  <c r="J45" i="84" s="1"/>
  <c r="J148" i="150" s="1"/>
  <c r="K42" i="84"/>
  <c r="K45" i="84" s="1"/>
  <c r="K148" i="150" s="1"/>
  <c r="L42" i="84"/>
  <c r="L45" i="84" s="1"/>
  <c r="L148" i="150" s="1"/>
  <c r="M42" i="84"/>
  <c r="M45" i="84" s="1"/>
  <c r="M148" i="150" s="1"/>
  <c r="N42" i="84"/>
  <c r="N45" i="84" s="1"/>
  <c r="I196" i="150" l="1"/>
  <c r="I197" i="150" s="1"/>
  <c r="J194" i="150" s="1"/>
  <c r="J187" i="150"/>
  <c r="J188" i="150" s="1"/>
  <c r="K185" i="150" s="1"/>
  <c r="H327" i="150"/>
  <c r="I153" i="150"/>
  <c r="I152" i="150" s="1"/>
  <c r="I205" i="150" s="1"/>
  <c r="N252" i="150"/>
  <c r="M243" i="150"/>
  <c r="K160" i="150"/>
  <c r="K178" i="150"/>
  <c r="K179" i="150" s="1"/>
  <c r="L176" i="150" s="1"/>
  <c r="N50" i="84"/>
  <c r="N148" i="150"/>
  <c r="N261" i="150" s="1"/>
  <c r="L169" i="150"/>
  <c r="L170" i="150" s="1"/>
  <c r="M167" i="150" s="1"/>
  <c r="J50" i="84"/>
  <c r="M50" i="84"/>
  <c r="L50" i="84"/>
  <c r="K50" i="84"/>
  <c r="I50" i="84"/>
  <c r="H50" i="84"/>
  <c r="G50" i="84"/>
  <c r="K108" i="84"/>
  <c r="J108" i="84"/>
  <c r="M108" i="84"/>
  <c r="I108" i="84"/>
  <c r="G108" i="84"/>
  <c r="L108" i="84"/>
  <c r="H108" i="84"/>
  <c r="N96" i="150" l="1"/>
  <c r="N70" i="150"/>
  <c r="N87" i="150"/>
  <c r="N78" i="150"/>
  <c r="L96" i="150"/>
  <c r="L70" i="150"/>
  <c r="L87" i="150"/>
  <c r="L78" i="150"/>
  <c r="J87" i="150"/>
  <c r="J78" i="150"/>
  <c r="J96" i="150"/>
  <c r="J70" i="150"/>
  <c r="K154" i="150"/>
  <c r="K187" i="150"/>
  <c r="K188" i="150" s="1"/>
  <c r="L185" i="150" s="1"/>
  <c r="L178" i="150"/>
  <c r="L179" i="150" s="1"/>
  <c r="M176" i="150" s="1"/>
  <c r="I265" i="150"/>
  <c r="I206" i="150"/>
  <c r="J203" i="150" s="1"/>
  <c r="M96" i="150"/>
  <c r="M70" i="150"/>
  <c r="M87" i="150"/>
  <c r="M78" i="150"/>
  <c r="G96" i="150"/>
  <c r="G70" i="150"/>
  <c r="G87" i="150"/>
  <c r="G78" i="150"/>
  <c r="H96" i="150"/>
  <c r="H70" i="150"/>
  <c r="H87" i="150"/>
  <c r="H78" i="150"/>
  <c r="I96" i="150"/>
  <c r="I70" i="150"/>
  <c r="I87" i="150"/>
  <c r="I78" i="150"/>
  <c r="K78" i="150"/>
  <c r="K96" i="150"/>
  <c r="K70" i="150"/>
  <c r="K87" i="150"/>
  <c r="M169" i="150"/>
  <c r="M170" i="150" s="1"/>
  <c r="N167" i="150" s="1"/>
  <c r="K161" i="150"/>
  <c r="L158" i="150" s="1"/>
  <c r="J196" i="150"/>
  <c r="J197" i="150" s="1"/>
  <c r="K194" i="150" s="1"/>
  <c r="C5" i="84"/>
  <c r="C63" i="84"/>
  <c r="C64" i="84" s="1"/>
  <c r="J205" i="150" l="1"/>
  <c r="J206" i="150" s="1"/>
  <c r="K203" i="150" s="1"/>
  <c r="J153" i="150"/>
  <c r="J152" i="150" s="1"/>
  <c r="J214" i="150" s="1"/>
  <c r="I327" i="150"/>
  <c r="N169" i="150"/>
  <c r="N170" i="150" s="1"/>
  <c r="L160" i="150"/>
  <c r="L161" i="150" s="1"/>
  <c r="M158" i="150" s="1"/>
  <c r="M178" i="150"/>
  <c r="M179" i="150" s="1"/>
  <c r="N176" i="150" s="1"/>
  <c r="K196" i="150"/>
  <c r="K197" i="150" s="1"/>
  <c r="L194" i="150" s="1"/>
  <c r="L187" i="150"/>
  <c r="L188" i="150" s="1"/>
  <c r="M185" i="150" s="1"/>
  <c r="C83" i="84"/>
  <c r="M187" i="150" l="1"/>
  <c r="M188" i="150" s="1"/>
  <c r="N185" i="150" s="1"/>
  <c r="M162" i="150"/>
  <c r="M164" i="150" s="1"/>
  <c r="M160" i="150"/>
  <c r="M161" i="150"/>
  <c r="N158" i="150" s="1"/>
  <c r="L196" i="150"/>
  <c r="L197" i="150" s="1"/>
  <c r="M194" i="150" s="1"/>
  <c r="M154" i="150"/>
  <c r="L154" i="150"/>
  <c r="J265" i="150"/>
  <c r="J215" i="150"/>
  <c r="K212" i="150" s="1"/>
  <c r="N178" i="150"/>
  <c r="N179" i="150" s="1"/>
  <c r="K205" i="150"/>
  <c r="K206" i="150" s="1"/>
  <c r="L203" i="150" s="1"/>
  <c r="C65" i="84"/>
  <c r="C82" i="84" s="1"/>
  <c r="C84" i="84" s="1"/>
  <c r="C23" i="150" s="1"/>
  <c r="C24" i="150" s="1"/>
  <c r="M198" i="150" l="1"/>
  <c r="M196" i="150"/>
  <c r="M197" i="150" s="1"/>
  <c r="N194" i="150" s="1"/>
  <c r="C35" i="150"/>
  <c r="J327" i="150"/>
  <c r="K153" i="150"/>
  <c r="K152" i="150" s="1"/>
  <c r="K223" i="150" s="1"/>
  <c r="L205" i="150"/>
  <c r="L206" i="150" s="1"/>
  <c r="M203" i="150" s="1"/>
  <c r="N160" i="150"/>
  <c r="N161" i="150" s="1"/>
  <c r="N162" i="150"/>
  <c r="N164" i="150" s="1"/>
  <c r="K214" i="150"/>
  <c r="K215" i="150" s="1"/>
  <c r="L212" i="150" s="1"/>
  <c r="N187" i="150"/>
  <c r="N188" i="150" s="1"/>
  <c r="E54" i="84"/>
  <c r="E142" i="150" s="1"/>
  <c r="E145" i="150" s="1"/>
  <c r="E162" i="150" s="1"/>
  <c r="E164" i="150" s="1"/>
  <c r="N107" i="84"/>
  <c r="N113" i="84" s="1"/>
  <c r="M107" i="84"/>
  <c r="M113" i="84" s="1"/>
  <c r="L107" i="84"/>
  <c r="L113" i="84" s="1"/>
  <c r="K107" i="84"/>
  <c r="K113" i="84" s="1"/>
  <c r="J107" i="84"/>
  <c r="J113" i="84" s="1"/>
  <c r="I107" i="84"/>
  <c r="I113" i="84" s="1"/>
  <c r="H107" i="84"/>
  <c r="H113" i="84" s="1"/>
  <c r="G107" i="84"/>
  <c r="G113" i="84" s="1"/>
  <c r="F42" i="84"/>
  <c r="E42" i="84"/>
  <c r="D42" i="84"/>
  <c r="D45" i="84" s="1"/>
  <c r="N5" i="84"/>
  <c r="E5" i="84"/>
  <c r="D5" i="84"/>
  <c r="D69" i="84" s="1"/>
  <c r="D70" i="84" s="1"/>
  <c r="N154" i="150" l="1"/>
  <c r="M205" i="150"/>
  <c r="M206" i="150" s="1"/>
  <c r="N203" i="150" s="1"/>
  <c r="M207" i="150"/>
  <c r="K224" i="150"/>
  <c r="L221" i="150" s="1"/>
  <c r="K265" i="150"/>
  <c r="L214" i="150"/>
  <c r="L215" i="150" s="1"/>
  <c r="M212" i="150" s="1"/>
  <c r="B333" i="150" a="1"/>
  <c r="B333" i="150" s="1"/>
  <c r="D148" i="150"/>
  <c r="N196" i="150"/>
  <c r="N197" i="150" s="1"/>
  <c r="N198" i="150"/>
  <c r="E69" i="84"/>
  <c r="E70" i="84" s="1"/>
  <c r="E71" i="84" s="1"/>
  <c r="E57" i="84"/>
  <c r="E143" i="150" s="1"/>
  <c r="E146" i="150" s="1"/>
  <c r="N69" i="84"/>
  <c r="N70" i="84" s="1"/>
  <c r="D50" i="84"/>
  <c r="E45" i="84"/>
  <c r="E148" i="150" s="1"/>
  <c r="M110" i="84"/>
  <c r="M111" i="84"/>
  <c r="F45" i="84"/>
  <c r="F148" i="150" s="1"/>
  <c r="D107" i="84"/>
  <c r="D113" i="84" s="1"/>
  <c r="D71" i="84"/>
  <c r="D68" i="84"/>
  <c r="D144" i="150" s="1"/>
  <c r="D147" i="150" s="1"/>
  <c r="E58" i="84"/>
  <c r="E59" i="84" s="1"/>
  <c r="E108" i="84"/>
  <c r="F108" i="84"/>
  <c r="F92" i="84"/>
  <c r="F5" i="84"/>
  <c r="F54" i="84"/>
  <c r="F142" i="150" s="1"/>
  <c r="F145" i="150" s="1"/>
  <c r="F162" i="150" s="1"/>
  <c r="F164" i="150" s="1"/>
  <c r="M189" i="150" l="1"/>
  <c r="N189" i="150"/>
  <c r="L223" i="150"/>
  <c r="L224" i="150" s="1"/>
  <c r="M221" i="150" s="1"/>
  <c r="D96" i="150"/>
  <c r="D70" i="150"/>
  <c r="D87" i="150"/>
  <c r="D78" i="150"/>
  <c r="D171" i="150"/>
  <c r="E171" i="150"/>
  <c r="F171" i="150"/>
  <c r="M171" i="150"/>
  <c r="N171" i="150"/>
  <c r="K327" i="150"/>
  <c r="L153" i="150"/>
  <c r="L152" i="150" s="1"/>
  <c r="L232" i="150" s="1"/>
  <c r="M85" i="150"/>
  <c r="M86" i="150" s="1"/>
  <c r="M151" i="150"/>
  <c r="M150" i="150"/>
  <c r="M94" i="150"/>
  <c r="M95" i="150" s="1"/>
  <c r="N253" i="150"/>
  <c r="N254" i="150" s="1"/>
  <c r="M216" i="150"/>
  <c r="M214" i="150"/>
  <c r="M215" i="150" s="1"/>
  <c r="N212" i="150" s="1"/>
  <c r="E180" i="150"/>
  <c r="F180" i="150"/>
  <c r="M180" i="150"/>
  <c r="N180" i="150"/>
  <c r="N205" i="150"/>
  <c r="N206" i="150" s="1"/>
  <c r="N207" i="150"/>
  <c r="E68" i="84"/>
  <c r="E144" i="150" s="1"/>
  <c r="E147" i="150" s="1"/>
  <c r="F57" i="84"/>
  <c r="E107" i="84"/>
  <c r="E113" i="84" s="1"/>
  <c r="E50" i="84"/>
  <c r="F50" i="84"/>
  <c r="F107" i="84"/>
  <c r="F113" i="84" s="1"/>
  <c r="F69" i="84"/>
  <c r="H111" i="84"/>
  <c r="H110" i="84"/>
  <c r="D111" i="84"/>
  <c r="J111" i="84"/>
  <c r="J110" i="84"/>
  <c r="K110" i="84"/>
  <c r="K111" i="84"/>
  <c r="G110" i="84"/>
  <c r="G111" i="84"/>
  <c r="L110" i="84"/>
  <c r="L111" i="84"/>
  <c r="I111" i="84"/>
  <c r="I110" i="84"/>
  <c r="N110" i="84"/>
  <c r="N111" i="84"/>
  <c r="D110" i="84"/>
  <c r="E32" i="84"/>
  <c r="E74" i="84" s="1"/>
  <c r="G92" i="84"/>
  <c r="M114" i="84"/>
  <c r="M68" i="150" s="1"/>
  <c r="M69" i="150" s="1"/>
  <c r="G5" i="84"/>
  <c r="D87" i="84"/>
  <c r="E87" i="84"/>
  <c r="D78" i="84"/>
  <c r="D88" i="84"/>
  <c r="K78" i="84"/>
  <c r="K88" i="84"/>
  <c r="J78" i="84"/>
  <c r="J88" i="84"/>
  <c r="G78" i="84"/>
  <c r="G88" i="84"/>
  <c r="M78" i="84"/>
  <c r="M88" i="84"/>
  <c r="L88" i="84"/>
  <c r="L78" i="84"/>
  <c r="H88" i="84"/>
  <c r="H78" i="84"/>
  <c r="N88" i="84"/>
  <c r="N78" i="84"/>
  <c r="I88" i="84"/>
  <c r="I78" i="84"/>
  <c r="G54" i="84"/>
  <c r="G142" i="150" s="1"/>
  <c r="G145" i="150" s="1"/>
  <c r="G162" i="150" s="1"/>
  <c r="G164" i="150" s="1"/>
  <c r="B278" i="150" l="1" a="1"/>
  <c r="B278" i="150" s="1"/>
  <c r="D278" i="150" s="1"/>
  <c r="K94" i="150"/>
  <c r="K95" i="150" s="1"/>
  <c r="K150" i="150"/>
  <c r="N214" i="150"/>
  <c r="N215" i="150" s="1"/>
  <c r="N216" i="150"/>
  <c r="L233" i="150"/>
  <c r="M230" i="150" s="1"/>
  <c r="L265" i="150"/>
  <c r="N150" i="150"/>
  <c r="N94" i="150"/>
  <c r="N95" i="150" s="1"/>
  <c r="J85" i="150"/>
  <c r="J86" i="150" s="1"/>
  <c r="J151" i="150"/>
  <c r="D85" i="150"/>
  <c r="D86" i="150" s="1"/>
  <c r="D151" i="150"/>
  <c r="G171" i="150"/>
  <c r="F96" i="150"/>
  <c r="F70" i="150"/>
  <c r="F87" i="150"/>
  <c r="F78" i="150"/>
  <c r="H150" i="150"/>
  <c r="H94" i="150"/>
  <c r="H95" i="150" s="1"/>
  <c r="E268" i="150"/>
  <c r="M77" i="150"/>
  <c r="I85" i="150"/>
  <c r="I86" i="150" s="1"/>
  <c r="I151" i="150"/>
  <c r="F58" i="84"/>
  <c r="F59" i="84" s="1"/>
  <c r="F143" i="150"/>
  <c r="F146" i="150" s="1"/>
  <c r="F189" i="150" s="1"/>
  <c r="H151" i="150"/>
  <c r="H85" i="150"/>
  <c r="H86" i="150" s="1"/>
  <c r="M223" i="150"/>
  <c r="M224" i="150" s="1"/>
  <c r="N221" i="150" s="1"/>
  <c r="M225" i="150"/>
  <c r="I94" i="150"/>
  <c r="I95" i="150" s="1"/>
  <c r="I150" i="150"/>
  <c r="J94" i="150"/>
  <c r="J95" i="150" s="1"/>
  <c r="J150" i="150"/>
  <c r="L151" i="150"/>
  <c r="L85" i="150"/>
  <c r="L86" i="150" s="1"/>
  <c r="L94" i="150"/>
  <c r="L95" i="150" s="1"/>
  <c r="L150" i="150"/>
  <c r="G151" i="150"/>
  <c r="G85" i="150"/>
  <c r="G86" i="150" s="1"/>
  <c r="D94" i="150"/>
  <c r="D95" i="150" s="1"/>
  <c r="D150" i="150"/>
  <c r="G150" i="150"/>
  <c r="G94" i="150"/>
  <c r="G95" i="150" s="1"/>
  <c r="G180" i="150"/>
  <c r="D268" i="150"/>
  <c r="G189" i="150"/>
  <c r="E96" i="150"/>
  <c r="E70" i="150"/>
  <c r="E87" i="150"/>
  <c r="E78" i="150"/>
  <c r="N151" i="150"/>
  <c r="N85" i="150"/>
  <c r="N86" i="150" s="1"/>
  <c r="K151" i="150"/>
  <c r="K85" i="150"/>
  <c r="K86" i="150" s="1"/>
  <c r="B294" i="150" a="1"/>
  <c r="G57" i="84"/>
  <c r="G143" i="150" s="1"/>
  <c r="G146" i="150" s="1"/>
  <c r="G198" i="150" s="1"/>
  <c r="E111" i="84"/>
  <c r="E110" i="84"/>
  <c r="F78" i="84"/>
  <c r="E88" i="84"/>
  <c r="E89" i="84" s="1"/>
  <c r="E18" i="150" s="1"/>
  <c r="E19" i="150" s="1"/>
  <c r="E78" i="84"/>
  <c r="F110" i="84"/>
  <c r="F88" i="84"/>
  <c r="K114" i="84"/>
  <c r="K68" i="150" s="1"/>
  <c r="K69" i="150" s="1"/>
  <c r="L114" i="84"/>
  <c r="L68" i="150" s="1"/>
  <c r="L69" i="150" s="1"/>
  <c r="F68" i="84"/>
  <c r="F144" i="150" s="1"/>
  <c r="F147" i="150" s="1"/>
  <c r="F70" i="84"/>
  <c r="F71" i="84" s="1"/>
  <c r="F87" i="84" s="1"/>
  <c r="H114" i="84"/>
  <c r="H68" i="150" s="1"/>
  <c r="H69" i="150" s="1"/>
  <c r="J114" i="84"/>
  <c r="J68" i="150" s="1"/>
  <c r="J69" i="150" s="1"/>
  <c r="I114" i="84"/>
  <c r="I68" i="150" s="1"/>
  <c r="I69" i="150" s="1"/>
  <c r="F111" i="84"/>
  <c r="G114" i="84"/>
  <c r="G68" i="150" s="1"/>
  <c r="G69" i="150" s="1"/>
  <c r="D112" i="84"/>
  <c r="D149" i="150" s="1"/>
  <c r="H112" i="84"/>
  <c r="H149" i="150" s="1"/>
  <c r="N112" i="84"/>
  <c r="N149" i="150" s="1"/>
  <c r="K112" i="84"/>
  <c r="K149" i="150" s="1"/>
  <c r="J112" i="84"/>
  <c r="J149" i="150" s="1"/>
  <c r="I112" i="84"/>
  <c r="I149" i="150" s="1"/>
  <c r="L112" i="84"/>
  <c r="L149" i="150" s="1"/>
  <c r="G112" i="84"/>
  <c r="G149" i="150" s="1"/>
  <c r="G69" i="84"/>
  <c r="G70" i="84" s="1"/>
  <c r="E60" i="84"/>
  <c r="E77" i="84" s="1"/>
  <c r="H54" i="84"/>
  <c r="H142" i="150" s="1"/>
  <c r="H145" i="150" s="1"/>
  <c r="H5" i="84"/>
  <c r="H92" i="84"/>
  <c r="D89" i="84"/>
  <c r="D18" i="150" s="1"/>
  <c r="D19" i="150" s="1"/>
  <c r="D279" i="150" l="1"/>
  <c r="E280" i="150"/>
  <c r="F280" i="150" s="1"/>
  <c r="G280" i="150" s="1"/>
  <c r="H280" i="150" s="1"/>
  <c r="N289" i="150"/>
  <c r="N262" i="150"/>
  <c r="E79" i="150"/>
  <c r="E71" i="150"/>
  <c r="E88" i="150"/>
  <c r="F32" i="84"/>
  <c r="F74" i="84" s="1"/>
  <c r="B294" i="150"/>
  <c r="E296" i="150"/>
  <c r="E312" i="150" s="1"/>
  <c r="D295" i="150"/>
  <c r="F297" i="150"/>
  <c r="N244" i="150"/>
  <c r="M244" i="150"/>
  <c r="M245" i="150" s="1"/>
  <c r="N263" i="150"/>
  <c r="I77" i="150"/>
  <c r="L77" i="150"/>
  <c r="M208" i="150"/>
  <c r="M209" i="150" s="1"/>
  <c r="N208" i="150"/>
  <c r="N209" i="150" s="1"/>
  <c r="L327" i="150"/>
  <c r="M153" i="150"/>
  <c r="M152" i="150" s="1"/>
  <c r="M241" i="150" s="1"/>
  <c r="M235" i="150"/>
  <c r="N235" i="150"/>
  <c r="N223" i="150"/>
  <c r="N224" i="150" s="1"/>
  <c r="N225" i="150"/>
  <c r="M232" i="150"/>
  <c r="M233" i="150" s="1"/>
  <c r="N230" i="150" s="1"/>
  <c r="M234" i="150"/>
  <c r="E150" i="150"/>
  <c r="E94" i="150"/>
  <c r="E95" i="150" s="1"/>
  <c r="K77" i="150"/>
  <c r="E97" i="150"/>
  <c r="H172" i="150"/>
  <c r="N172" i="150"/>
  <c r="N173" i="150" s="1"/>
  <c r="G172" i="150"/>
  <c r="G173" i="150" s="1"/>
  <c r="E172" i="150"/>
  <c r="E173" i="150" s="1"/>
  <c r="D172" i="150"/>
  <c r="M172" i="150"/>
  <c r="M173" i="150" s="1"/>
  <c r="F172" i="150"/>
  <c r="F173" i="150" s="1"/>
  <c r="N226" i="150"/>
  <c r="M226" i="150"/>
  <c r="M227" i="150" s="1"/>
  <c r="H77" i="150"/>
  <c r="D77" i="150"/>
  <c r="D290" i="150"/>
  <c r="E279" i="150"/>
  <c r="M199" i="150"/>
  <c r="M200" i="150" s="1"/>
  <c r="N199" i="150"/>
  <c r="N200" i="150" s="1"/>
  <c r="H199" i="150"/>
  <c r="G199" i="150"/>
  <c r="G200" i="150" s="1"/>
  <c r="E85" i="150"/>
  <c r="E86" i="150" s="1"/>
  <c r="E151" i="150"/>
  <c r="F281" i="150"/>
  <c r="G268" i="150"/>
  <c r="N77" i="150"/>
  <c r="G77" i="150"/>
  <c r="N217" i="150"/>
  <c r="N218" i="150" s="1"/>
  <c r="M217" i="150"/>
  <c r="M218" i="150" s="1"/>
  <c r="F268" i="150"/>
  <c r="J77" i="150"/>
  <c r="G282" i="150"/>
  <c r="F150" i="150"/>
  <c r="F94" i="150"/>
  <c r="F95" i="150" s="1"/>
  <c r="H162" i="150"/>
  <c r="H164" i="150" s="1"/>
  <c r="H198" i="150"/>
  <c r="H180" i="150"/>
  <c r="H189" i="150"/>
  <c r="H171" i="150"/>
  <c r="F151" i="150"/>
  <c r="F85" i="150"/>
  <c r="F86" i="150" s="1"/>
  <c r="E278" i="150"/>
  <c r="E310" i="150" s="1"/>
  <c r="D310" i="150"/>
  <c r="G58" i="84"/>
  <c r="G59" i="84" s="1"/>
  <c r="E114" i="84"/>
  <c r="E68" i="150" s="1"/>
  <c r="E69" i="150" s="1"/>
  <c r="H57" i="84"/>
  <c r="H143" i="150" s="1"/>
  <c r="H146" i="150" s="1"/>
  <c r="H208" i="150" s="1"/>
  <c r="E112" i="84"/>
  <c r="E149" i="150" s="1"/>
  <c r="F89" i="84"/>
  <c r="F18" i="150" s="1"/>
  <c r="F19" i="150" s="1"/>
  <c r="E79" i="84"/>
  <c r="E31" i="150" s="1"/>
  <c r="F114" i="84"/>
  <c r="F68" i="150" s="1"/>
  <c r="F69" i="150" s="1"/>
  <c r="F112" i="84"/>
  <c r="F149" i="150" s="1"/>
  <c r="H69" i="84"/>
  <c r="H70" i="84" s="1"/>
  <c r="G68" i="84"/>
  <c r="G144" i="150" s="1"/>
  <c r="G147" i="150" s="1"/>
  <c r="G298" i="150" s="1"/>
  <c r="G71" i="84"/>
  <c r="F60" i="84"/>
  <c r="F88" i="150" s="1"/>
  <c r="I54" i="84"/>
  <c r="I142" i="150" s="1"/>
  <c r="I145" i="150" s="1"/>
  <c r="I208" i="150" s="1"/>
  <c r="I92" i="84"/>
  <c r="I5" i="84"/>
  <c r="E72" i="150" l="1"/>
  <c r="I199" i="150"/>
  <c r="E98" i="150"/>
  <c r="H173" i="150"/>
  <c r="M236" i="150"/>
  <c r="H200" i="150"/>
  <c r="N227" i="150"/>
  <c r="H298" i="150"/>
  <c r="I298" i="150" s="1"/>
  <c r="H282" i="150"/>
  <c r="G314" i="150"/>
  <c r="E290" i="150"/>
  <c r="N232" i="150"/>
  <c r="N233" i="150" s="1"/>
  <c r="N234" i="150"/>
  <c r="N236" i="150" s="1"/>
  <c r="D306" i="150"/>
  <c r="E295" i="150"/>
  <c r="E306" i="150" s="1"/>
  <c r="F71" i="150"/>
  <c r="F72" i="150" s="1"/>
  <c r="E89" i="150"/>
  <c r="E77" i="150"/>
  <c r="E80" i="150" s="1"/>
  <c r="M181" i="150"/>
  <c r="M182" i="150" s="1"/>
  <c r="G181" i="150"/>
  <c r="G182" i="150" s="1"/>
  <c r="F181" i="150"/>
  <c r="F182" i="150" s="1"/>
  <c r="E181" i="150"/>
  <c r="H181" i="150"/>
  <c r="H182" i="150" s="1"/>
  <c r="I181" i="150"/>
  <c r="N181" i="150"/>
  <c r="N182" i="150" s="1"/>
  <c r="I280" i="150"/>
  <c r="F97" i="150"/>
  <c r="G281" i="150"/>
  <c r="F313" i="150"/>
  <c r="H281" i="150"/>
  <c r="F79" i="150"/>
  <c r="I172" i="150"/>
  <c r="F296" i="150"/>
  <c r="F89" i="150"/>
  <c r="F77" i="150"/>
  <c r="F279" i="150"/>
  <c r="H207" i="150"/>
  <c r="H283" i="150"/>
  <c r="I162" i="150"/>
  <c r="I164" i="150" s="1"/>
  <c r="I198" i="150"/>
  <c r="I200" i="150" s="1"/>
  <c r="I207" i="150"/>
  <c r="I209" i="150" s="1"/>
  <c r="I189" i="150"/>
  <c r="I180" i="150"/>
  <c r="I171" i="150"/>
  <c r="F278" i="150"/>
  <c r="F310" i="150" s="1"/>
  <c r="F98" i="150"/>
  <c r="D269" i="150"/>
  <c r="D173" i="150"/>
  <c r="D271" i="150" s="1"/>
  <c r="G190" i="150"/>
  <c r="G191" i="150" s="1"/>
  <c r="H190" i="150"/>
  <c r="I190" i="150"/>
  <c r="F190" i="150"/>
  <c r="M190" i="150"/>
  <c r="M191" i="150" s="1"/>
  <c r="N190" i="150"/>
  <c r="N191" i="150" s="1"/>
  <c r="D311" i="150"/>
  <c r="D322" i="150" s="1"/>
  <c r="D329" i="150" s="1"/>
  <c r="D330" i="150" s="1"/>
  <c r="E325" i="150" s="1"/>
  <c r="M265" i="150"/>
  <c r="M327" i="150" s="1"/>
  <c r="M242" i="150"/>
  <c r="N239" i="150" s="1"/>
  <c r="G297" i="150"/>
  <c r="H297" i="150" s="1"/>
  <c r="I297" i="150" s="1"/>
  <c r="G32" i="84"/>
  <c r="G74" i="84" s="1"/>
  <c r="H58" i="84"/>
  <c r="H59" i="84" s="1"/>
  <c r="I57" i="84"/>
  <c r="I143" i="150" s="1"/>
  <c r="I146" i="150" s="1"/>
  <c r="I69" i="84"/>
  <c r="I70" i="84" s="1"/>
  <c r="F77" i="84"/>
  <c r="F79" i="84" s="1"/>
  <c r="F31" i="150" s="1"/>
  <c r="H68" i="84"/>
  <c r="H144" i="150" s="1"/>
  <c r="H147" i="150" s="1"/>
  <c r="H299" i="150" s="1"/>
  <c r="G87" i="84"/>
  <c r="G89" i="84" s="1"/>
  <c r="G18" i="150" s="1"/>
  <c r="G19" i="150" s="1"/>
  <c r="G60" i="84"/>
  <c r="J92" i="84"/>
  <c r="J54" i="84"/>
  <c r="J142" i="150" s="1"/>
  <c r="J145" i="150" s="1"/>
  <c r="J181" i="150" s="1"/>
  <c r="J5" i="84"/>
  <c r="F295" i="150" l="1"/>
  <c r="G295" i="150" s="1"/>
  <c r="H313" i="150"/>
  <c r="J190" i="150"/>
  <c r="I182" i="150"/>
  <c r="F80" i="150"/>
  <c r="J297" i="150"/>
  <c r="H269" i="150"/>
  <c r="I173" i="150"/>
  <c r="H295" i="150"/>
  <c r="I295" i="150" s="1"/>
  <c r="J295" i="150" s="1"/>
  <c r="H314" i="150"/>
  <c r="I281" i="150"/>
  <c r="H32" i="84"/>
  <c r="E311" i="150"/>
  <c r="E322" i="150" s="1"/>
  <c r="E329" i="150" s="1"/>
  <c r="E330" i="150" s="1"/>
  <c r="F325" i="150" s="1"/>
  <c r="J281" i="150"/>
  <c r="G313" i="150"/>
  <c r="H209" i="150"/>
  <c r="H268" i="150"/>
  <c r="E269" i="150"/>
  <c r="E182" i="150"/>
  <c r="E271" i="150" s="1"/>
  <c r="F269" i="150"/>
  <c r="F191" i="150"/>
  <c r="F271" i="150" s="1"/>
  <c r="G296" i="150"/>
  <c r="G312" i="150" s="1"/>
  <c r="J280" i="150"/>
  <c r="H191" i="150"/>
  <c r="H271" i="150" s="1"/>
  <c r="I191" i="150"/>
  <c r="G271" i="150"/>
  <c r="N269" i="150"/>
  <c r="G79" i="150"/>
  <c r="G80" i="150" s="1"/>
  <c r="G71" i="150"/>
  <c r="G72" i="150" s="1"/>
  <c r="G88" i="150"/>
  <c r="G89" i="150" s="1"/>
  <c r="G97" i="150"/>
  <c r="G98" i="150" s="1"/>
  <c r="F290" i="150"/>
  <c r="G278" i="150"/>
  <c r="I283" i="150"/>
  <c r="J283" i="150" s="1"/>
  <c r="H315" i="150"/>
  <c r="I299" i="150"/>
  <c r="J299" i="150" s="1"/>
  <c r="J315" i="150" s="1"/>
  <c r="F312" i="150"/>
  <c r="G279" i="150"/>
  <c r="I313" i="150"/>
  <c r="F311" i="150"/>
  <c r="F306" i="150"/>
  <c r="I282" i="150"/>
  <c r="J282" i="150" s="1"/>
  <c r="J162" i="150"/>
  <c r="J164" i="150" s="1"/>
  <c r="J216" i="150"/>
  <c r="J198" i="150"/>
  <c r="J207" i="150"/>
  <c r="J189" i="150"/>
  <c r="J191" i="150" s="1"/>
  <c r="J180" i="150"/>
  <c r="J182" i="150" s="1"/>
  <c r="J171" i="150"/>
  <c r="J217" i="150"/>
  <c r="J208" i="150"/>
  <c r="J172" i="150"/>
  <c r="J199" i="150"/>
  <c r="I216" i="150"/>
  <c r="I284" i="150"/>
  <c r="I217" i="150"/>
  <c r="I269" i="150" s="1"/>
  <c r="N241" i="150"/>
  <c r="N153" i="150" s="1"/>
  <c r="N152" i="150" s="1"/>
  <c r="N250" i="150" s="1"/>
  <c r="N243" i="150"/>
  <c r="N242" i="150"/>
  <c r="G269" i="150"/>
  <c r="J298" i="150"/>
  <c r="I58" i="84"/>
  <c r="I59" i="84" s="1"/>
  <c r="J57" i="84"/>
  <c r="J143" i="150" s="1"/>
  <c r="J146" i="150" s="1"/>
  <c r="J69" i="84"/>
  <c r="I68" i="84"/>
  <c r="I144" i="150" s="1"/>
  <c r="I147" i="150" s="1"/>
  <c r="I300" i="150" s="1"/>
  <c r="H71" i="84"/>
  <c r="H60" i="84"/>
  <c r="G77" i="84"/>
  <c r="G79" i="84" s="1"/>
  <c r="G31" i="150" s="1"/>
  <c r="H74" i="84"/>
  <c r="K5" i="84"/>
  <c r="K54" i="84"/>
  <c r="K142" i="150" s="1"/>
  <c r="K145" i="150" s="1"/>
  <c r="K92" i="84"/>
  <c r="I315" i="150" l="1"/>
  <c r="J218" i="150"/>
  <c r="K281" i="150"/>
  <c r="J314" i="150"/>
  <c r="G306" i="150"/>
  <c r="K280" i="150"/>
  <c r="J209" i="150"/>
  <c r="J313" i="150"/>
  <c r="I32" i="84"/>
  <c r="I74" i="84" s="1"/>
  <c r="F322" i="150"/>
  <c r="F329" i="150" s="1"/>
  <c r="F330" i="150" s="1"/>
  <c r="G325" i="150" s="1"/>
  <c r="J284" i="150"/>
  <c r="K284" i="150" s="1"/>
  <c r="I316" i="150"/>
  <c r="K295" i="150"/>
  <c r="I218" i="150"/>
  <c r="I271" i="150" s="1"/>
  <c r="I268" i="150"/>
  <c r="G310" i="150"/>
  <c r="G290" i="150"/>
  <c r="K283" i="150"/>
  <c r="K282" i="150"/>
  <c r="J300" i="150"/>
  <c r="K300" i="150" s="1"/>
  <c r="J200" i="150"/>
  <c r="K299" i="150"/>
  <c r="K297" i="150"/>
  <c r="K313" i="150" s="1"/>
  <c r="H278" i="150"/>
  <c r="K298" i="150"/>
  <c r="H279" i="150"/>
  <c r="H311" i="150" s="1"/>
  <c r="N265" i="150"/>
  <c r="N327" i="150" s="1"/>
  <c r="N251" i="150"/>
  <c r="J173" i="150"/>
  <c r="I314" i="150"/>
  <c r="H296" i="150"/>
  <c r="K225" i="150"/>
  <c r="K162" i="150"/>
  <c r="K164" i="150" s="1"/>
  <c r="K198" i="150"/>
  <c r="K207" i="150"/>
  <c r="K216" i="150"/>
  <c r="K171" i="150"/>
  <c r="K180" i="150"/>
  <c r="K189" i="150"/>
  <c r="K172" i="150"/>
  <c r="K217" i="150"/>
  <c r="K208" i="150"/>
  <c r="K226" i="150"/>
  <c r="K199" i="150"/>
  <c r="K181" i="150"/>
  <c r="K190" i="150"/>
  <c r="J225" i="150"/>
  <c r="J285" i="150"/>
  <c r="J226" i="150"/>
  <c r="J269" i="150" s="1"/>
  <c r="N245" i="150"/>
  <c r="N271" i="150" s="1"/>
  <c r="N268" i="150"/>
  <c r="H71" i="150"/>
  <c r="H72" i="150" s="1"/>
  <c r="H97" i="150"/>
  <c r="H98" i="150" s="1"/>
  <c r="H88" i="150"/>
  <c r="H89" i="150" s="1"/>
  <c r="H79" i="150"/>
  <c r="H80" i="150" s="1"/>
  <c r="G311" i="150"/>
  <c r="G322" i="150" s="1"/>
  <c r="J58" i="84"/>
  <c r="J59" i="84" s="1"/>
  <c r="K57" i="84"/>
  <c r="K143" i="150" s="1"/>
  <c r="K146" i="150" s="1"/>
  <c r="J68" i="84"/>
  <c r="J144" i="150" s="1"/>
  <c r="J147" i="150" s="1"/>
  <c r="J301" i="150" s="1"/>
  <c r="J70" i="84"/>
  <c r="J71" i="84" s="1"/>
  <c r="H77" i="84"/>
  <c r="H79" i="84" s="1"/>
  <c r="H31" i="150" s="1"/>
  <c r="K69" i="84"/>
  <c r="K70" i="84" s="1"/>
  <c r="I71" i="84"/>
  <c r="H87" i="84"/>
  <c r="H89" i="84" s="1"/>
  <c r="H18" i="150" s="1"/>
  <c r="H19" i="150" s="1"/>
  <c r="I60" i="84"/>
  <c r="L92" i="84"/>
  <c r="L5" i="84"/>
  <c r="L54" i="84"/>
  <c r="L142" i="150" s="1"/>
  <c r="L145" i="150" s="1"/>
  <c r="K314" i="150" l="1"/>
  <c r="L280" i="150"/>
  <c r="K182" i="150"/>
  <c r="L298" i="150"/>
  <c r="M298" i="150" s="1"/>
  <c r="N298" i="150" s="1"/>
  <c r="K209" i="150"/>
  <c r="L295" i="150"/>
  <c r="M295" i="150" s="1"/>
  <c r="N295" i="150" s="1"/>
  <c r="L300" i="150"/>
  <c r="M300" i="150" s="1"/>
  <c r="N300" i="150" s="1"/>
  <c r="K316" i="150"/>
  <c r="J316" i="150"/>
  <c r="K173" i="150"/>
  <c r="L299" i="150"/>
  <c r="M299" i="150" s="1"/>
  <c r="N299" i="150" s="1"/>
  <c r="K218" i="150"/>
  <c r="M280" i="150"/>
  <c r="N280" i="150" s="1"/>
  <c r="K315" i="150"/>
  <c r="L283" i="150"/>
  <c r="M283" i="150" s="1"/>
  <c r="I88" i="150"/>
  <c r="I89" i="150" s="1"/>
  <c r="I79" i="150"/>
  <c r="I80" i="150" s="1"/>
  <c r="I71" i="150"/>
  <c r="I72" i="150" s="1"/>
  <c r="I97" i="150"/>
  <c r="I98" i="150" s="1"/>
  <c r="L284" i="150"/>
  <c r="G329" i="150"/>
  <c r="G330" i="150" s="1"/>
  <c r="H325" i="150" s="1"/>
  <c r="K200" i="150"/>
  <c r="L282" i="150"/>
  <c r="H310" i="150"/>
  <c r="H290" i="150"/>
  <c r="L297" i="150"/>
  <c r="M297" i="150" s="1"/>
  <c r="N297" i="150" s="1"/>
  <c r="L234" i="150"/>
  <c r="L162" i="150"/>
  <c r="L164" i="150" s="1"/>
  <c r="L198" i="150"/>
  <c r="L207" i="150"/>
  <c r="L216" i="150"/>
  <c r="L225" i="150"/>
  <c r="L171" i="150"/>
  <c r="L180" i="150"/>
  <c r="L189" i="150"/>
  <c r="L199" i="150"/>
  <c r="L235" i="150"/>
  <c r="L217" i="150"/>
  <c r="L208" i="150"/>
  <c r="L172" i="150"/>
  <c r="L226" i="150"/>
  <c r="L190" i="150"/>
  <c r="L181" i="150"/>
  <c r="K301" i="150"/>
  <c r="L301" i="150"/>
  <c r="M301" i="150" s="1"/>
  <c r="J317" i="150"/>
  <c r="K285" i="150"/>
  <c r="K317" i="150" s="1"/>
  <c r="K227" i="150"/>
  <c r="H312" i="150"/>
  <c r="L281" i="150"/>
  <c r="K234" i="150"/>
  <c r="K286" i="150"/>
  <c r="K235" i="150"/>
  <c r="K269" i="150" s="1"/>
  <c r="J227" i="150"/>
  <c r="J271" i="150" s="1"/>
  <c r="J268" i="150"/>
  <c r="K191" i="150"/>
  <c r="I296" i="150"/>
  <c r="I312" i="150" s="1"/>
  <c r="H306" i="150"/>
  <c r="I279" i="150"/>
  <c r="J279" i="150"/>
  <c r="J311" i="150" s="1"/>
  <c r="I278" i="150"/>
  <c r="J32" i="84"/>
  <c r="J74" i="84" s="1"/>
  <c r="K58" i="84"/>
  <c r="K59" i="84" s="1"/>
  <c r="L57" i="84"/>
  <c r="L143" i="150" s="1"/>
  <c r="L146" i="150" s="1"/>
  <c r="I77" i="84"/>
  <c r="I79" i="84" s="1"/>
  <c r="I31" i="150" s="1"/>
  <c r="L69" i="84"/>
  <c r="K68" i="84"/>
  <c r="K144" i="150" s="1"/>
  <c r="K147" i="150" s="1"/>
  <c r="K302" i="150" s="1"/>
  <c r="J87" i="84"/>
  <c r="J89" i="84" s="1"/>
  <c r="J18" i="150" s="1"/>
  <c r="J19" i="150" s="1"/>
  <c r="I87" i="84"/>
  <c r="I89" i="84" s="1"/>
  <c r="I18" i="150" s="1"/>
  <c r="I19" i="150" s="1"/>
  <c r="J60" i="84"/>
  <c r="M92" i="84"/>
  <c r="M5" i="84"/>
  <c r="M57" i="84"/>
  <c r="M143" i="150" s="1"/>
  <c r="M146" i="150" s="1"/>
  <c r="L285" i="150" l="1"/>
  <c r="L317" i="150" s="1"/>
  <c r="L182" i="150"/>
  <c r="L200" i="150"/>
  <c r="L173" i="150"/>
  <c r="L218" i="150"/>
  <c r="L316" i="150"/>
  <c r="L315" i="150"/>
  <c r="H322" i="150"/>
  <c r="H329" i="150" s="1"/>
  <c r="H330" i="150" s="1"/>
  <c r="I325" i="150" s="1"/>
  <c r="M284" i="150"/>
  <c r="M316" i="150" s="1"/>
  <c r="K236" i="150"/>
  <c r="K271" i="150" s="1"/>
  <c r="K268" i="150"/>
  <c r="M281" i="150"/>
  <c r="N281" i="150" s="1"/>
  <c r="N313" i="150" s="1"/>
  <c r="L313" i="150"/>
  <c r="L286" i="150"/>
  <c r="M286" i="150" s="1"/>
  <c r="K318" i="150"/>
  <c r="J79" i="150"/>
  <c r="J80" i="150" s="1"/>
  <c r="J88" i="150"/>
  <c r="J89" i="150" s="1"/>
  <c r="J97" i="150"/>
  <c r="J98" i="150" s="1"/>
  <c r="J71" i="150"/>
  <c r="J72" i="150" s="1"/>
  <c r="I306" i="150"/>
  <c r="J296" i="150"/>
  <c r="N301" i="150"/>
  <c r="L209" i="150"/>
  <c r="J278" i="150"/>
  <c r="J310" i="150" s="1"/>
  <c r="I310" i="150"/>
  <c r="L302" i="150"/>
  <c r="M302" i="150" s="1"/>
  <c r="N302" i="150" s="1"/>
  <c r="M252" i="150"/>
  <c r="M253" i="150"/>
  <c r="M269" i="150" s="1"/>
  <c r="M288" i="150"/>
  <c r="L243" i="150"/>
  <c r="L287" i="150"/>
  <c r="L244" i="150"/>
  <c r="L269" i="150" s="1"/>
  <c r="M282" i="150"/>
  <c r="N282" i="150" s="1"/>
  <c r="N314" i="150" s="1"/>
  <c r="L314" i="150"/>
  <c r="M315" i="150"/>
  <c r="L227" i="150"/>
  <c r="I290" i="150"/>
  <c r="K279" i="150"/>
  <c r="L279" i="150" s="1"/>
  <c r="L311" i="150" s="1"/>
  <c r="I311" i="150"/>
  <c r="I322" i="150" s="1"/>
  <c r="L191" i="150"/>
  <c r="L236" i="150"/>
  <c r="N283" i="150"/>
  <c r="N315" i="150" s="1"/>
  <c r="K32" i="84"/>
  <c r="K74" i="84" s="1"/>
  <c r="L58" i="84"/>
  <c r="L59" i="84" s="1"/>
  <c r="L70" i="84"/>
  <c r="J77" i="84"/>
  <c r="J79" i="84" s="1"/>
  <c r="J31" i="150" s="1"/>
  <c r="M69" i="84"/>
  <c r="M70" i="84" s="1"/>
  <c r="L68" i="84"/>
  <c r="L144" i="150" s="1"/>
  <c r="L147" i="150" s="1"/>
  <c r="L303" i="150" s="1"/>
  <c r="N68" i="84"/>
  <c r="N144" i="150" s="1"/>
  <c r="N147" i="150" s="1"/>
  <c r="N305" i="150" s="1"/>
  <c r="N321" i="150" s="1"/>
  <c r="K71" i="84"/>
  <c r="K60" i="84"/>
  <c r="M58" i="84"/>
  <c r="M59" i="84" s="1"/>
  <c r="I329" i="150" l="1"/>
  <c r="I330" i="150" s="1"/>
  <c r="J325" i="150" s="1"/>
  <c r="M285" i="150"/>
  <c r="M317" i="150" s="1"/>
  <c r="N285" i="150"/>
  <c r="K278" i="150"/>
  <c r="K310" i="150" s="1"/>
  <c r="M314" i="150"/>
  <c r="N284" i="150"/>
  <c r="N316" i="150" s="1"/>
  <c r="M313" i="150"/>
  <c r="N317" i="150"/>
  <c r="N286" i="150"/>
  <c r="N318" i="150" s="1"/>
  <c r="M318" i="150"/>
  <c r="K296" i="150"/>
  <c r="J306" i="150"/>
  <c r="M254" i="150"/>
  <c r="M271" i="150" s="1"/>
  <c r="M268" i="150"/>
  <c r="K290" i="150"/>
  <c r="K311" i="150"/>
  <c r="M279" i="150"/>
  <c r="N279" i="150" s="1"/>
  <c r="N311" i="150" s="1"/>
  <c r="L318" i="150"/>
  <c r="J290" i="150"/>
  <c r="M303" i="150"/>
  <c r="J312" i="150"/>
  <c r="J322" i="150" s="1"/>
  <c r="J329" i="150" s="1"/>
  <c r="J330" i="150" s="1"/>
  <c r="K325" i="150" s="1"/>
  <c r="L245" i="150"/>
  <c r="L271" i="150" s="1"/>
  <c r="L268" i="150"/>
  <c r="L319" i="150"/>
  <c r="M287" i="150"/>
  <c r="N287" i="150" s="1"/>
  <c r="K97" i="150"/>
  <c r="K98" i="150" s="1"/>
  <c r="K79" i="150"/>
  <c r="K80" i="150" s="1"/>
  <c r="K71" i="150"/>
  <c r="K72" i="150" s="1"/>
  <c r="K88" i="150"/>
  <c r="K89" i="150" s="1"/>
  <c r="N288" i="150"/>
  <c r="L278" i="150"/>
  <c r="L32" i="84"/>
  <c r="L74" i="84" s="1"/>
  <c r="L71" i="84"/>
  <c r="K77" i="84"/>
  <c r="K79" i="84" s="1"/>
  <c r="K31" i="150" s="1"/>
  <c r="K87" i="84"/>
  <c r="K89" i="84" s="1"/>
  <c r="K18" i="150" s="1"/>
  <c r="K19" i="150" s="1"/>
  <c r="N71" i="84"/>
  <c r="M68" i="84"/>
  <c r="M144" i="150" s="1"/>
  <c r="M147" i="150" s="1"/>
  <c r="M304" i="150" s="1"/>
  <c r="N304" i="150" s="1"/>
  <c r="L60" i="84"/>
  <c r="M32" i="84"/>
  <c r="M319" i="150" l="1"/>
  <c r="N303" i="150"/>
  <c r="N319" i="150" s="1"/>
  <c r="M320" i="150"/>
  <c r="L296" i="150"/>
  <c r="K306" i="150"/>
  <c r="L310" i="150"/>
  <c r="L290" i="150"/>
  <c r="L79" i="150"/>
  <c r="L80" i="150" s="1"/>
  <c r="L88" i="150"/>
  <c r="L89" i="150" s="1"/>
  <c r="L71" i="150"/>
  <c r="L72" i="150" s="1"/>
  <c r="L97" i="150"/>
  <c r="L98" i="150" s="1"/>
  <c r="M278" i="150"/>
  <c r="M311" i="150"/>
  <c r="K312" i="150"/>
  <c r="K322" i="150" s="1"/>
  <c r="K329" i="150" s="1"/>
  <c r="K330" i="150" s="1"/>
  <c r="L325" i="150" s="1"/>
  <c r="L312" i="150"/>
  <c r="N320" i="150"/>
  <c r="L77" i="84"/>
  <c r="L79" i="84" s="1"/>
  <c r="L31" i="150" s="1"/>
  <c r="L87" i="84"/>
  <c r="L89" i="84" s="1"/>
  <c r="L18" i="150" s="1"/>
  <c r="L19" i="150" s="1"/>
  <c r="M71" i="84"/>
  <c r="N87" i="84"/>
  <c r="N89" i="84" s="1"/>
  <c r="N18" i="150" s="1"/>
  <c r="N19" i="150" s="1"/>
  <c r="M60" i="84"/>
  <c r="N32" i="84"/>
  <c r="M74" i="84"/>
  <c r="L322" i="150" l="1"/>
  <c r="L329" i="150" s="1"/>
  <c r="L330" i="150" s="1"/>
  <c r="M325" i="150" s="1"/>
  <c r="M97" i="150"/>
  <c r="M98" i="150" s="1"/>
  <c r="M88" i="150"/>
  <c r="M89" i="150" s="1"/>
  <c r="M71" i="150"/>
  <c r="M72" i="150" s="1"/>
  <c r="M79" i="150"/>
  <c r="M80" i="150" s="1"/>
  <c r="M290" i="150"/>
  <c r="N278" i="150"/>
  <c r="M310" i="150"/>
  <c r="L306" i="150"/>
  <c r="M296" i="150"/>
  <c r="M77" i="84"/>
  <c r="M79" i="84" s="1"/>
  <c r="M31" i="150" s="1"/>
  <c r="M87" i="84"/>
  <c r="M89" i="84" s="1"/>
  <c r="M18" i="150" s="1"/>
  <c r="M19" i="150" s="1"/>
  <c r="N60" i="84"/>
  <c r="N74" i="84"/>
  <c r="M306" i="150" l="1"/>
  <c r="M312" i="150"/>
  <c r="M322" i="150" s="1"/>
  <c r="M329" i="150" s="1"/>
  <c r="M330" i="150" s="1"/>
  <c r="N325" i="150" s="1"/>
  <c r="N296" i="150"/>
  <c r="N306" i="150" s="1"/>
  <c r="N312" i="150"/>
  <c r="N79" i="150"/>
  <c r="N80" i="150" s="1"/>
  <c r="N71" i="150"/>
  <c r="N97" i="150"/>
  <c r="N98" i="150" s="1"/>
  <c r="N88" i="150"/>
  <c r="N89" i="150" s="1"/>
  <c r="N310" i="150"/>
  <c r="N290" i="150"/>
  <c r="N77" i="84"/>
  <c r="N79" i="84" s="1"/>
  <c r="N31" i="150" s="1"/>
  <c r="N322" i="150" l="1"/>
  <c r="N329" i="150" s="1"/>
  <c r="C333" i="150" s="1" a="1"/>
  <c r="N114" i="84"/>
  <c r="N68" i="150" s="1"/>
  <c r="N69" i="150" s="1"/>
  <c r="N72" i="150" s="1"/>
  <c r="M342" i="150" l="1"/>
  <c r="N341" i="150"/>
  <c r="L339" i="150"/>
  <c r="M337" i="150"/>
  <c r="K336" i="150"/>
  <c r="I335" i="150"/>
  <c r="M338" i="150"/>
  <c r="K337" i="150"/>
  <c r="I337" i="150"/>
  <c r="N342" i="150"/>
  <c r="F335" i="150"/>
  <c r="N343" i="150"/>
  <c r="M340" i="150"/>
  <c r="N337" i="150"/>
  <c r="N340" i="150"/>
  <c r="C333" i="150"/>
  <c r="M335" i="150"/>
  <c r="N339" i="150"/>
  <c r="M339" i="150"/>
  <c r="I338" i="150"/>
  <c r="L336" i="150"/>
  <c r="K335" i="150"/>
  <c r="J334" i="150"/>
  <c r="K334" i="150"/>
  <c r="J338" i="150"/>
  <c r="N336" i="150"/>
  <c r="L334" i="150"/>
  <c r="K339" i="150"/>
  <c r="H337" i="150"/>
  <c r="M336" i="150"/>
  <c r="G336" i="150"/>
  <c r="K340" i="150"/>
  <c r="G335" i="150"/>
  <c r="J336" i="150"/>
  <c r="N338" i="150"/>
  <c r="J339" i="150"/>
  <c r="F334" i="150"/>
  <c r="K338" i="150"/>
  <c r="L335" i="150"/>
  <c r="N335" i="150"/>
  <c r="J335" i="150"/>
  <c r="H336" i="150"/>
  <c r="H335" i="150"/>
  <c r="L338" i="150"/>
  <c r="H334" i="150"/>
  <c r="J337" i="150"/>
  <c r="M341" i="150"/>
  <c r="I336" i="150"/>
  <c r="M334" i="150"/>
  <c r="E334" i="150"/>
  <c r="L340" i="150"/>
  <c r="G334" i="150"/>
  <c r="I334" i="150"/>
  <c r="L341" i="150"/>
  <c r="L337" i="150"/>
  <c r="N334" i="150"/>
  <c r="N330" i="150"/>
  <c r="D60" i="84"/>
  <c r="D32" i="84"/>
  <c r="K333" i="150" l="1"/>
  <c r="K344" i="150" s="1"/>
  <c r="K346" i="150" s="1"/>
  <c r="K120" i="150" s="1"/>
  <c r="K122" i="150" s="1"/>
  <c r="M333" i="150"/>
  <c r="M344" i="150" s="1"/>
  <c r="M346" i="150" s="1"/>
  <c r="M120" i="150" s="1"/>
  <c r="M122" i="150" s="1"/>
  <c r="J333" i="150"/>
  <c r="J344" i="150" s="1"/>
  <c r="J346" i="150" s="1"/>
  <c r="J120" i="150" s="1"/>
  <c r="J122" i="150" s="1"/>
  <c r="H333" i="150"/>
  <c r="H344" i="150" s="1"/>
  <c r="H346" i="150" s="1"/>
  <c r="H120" i="150" s="1"/>
  <c r="H122" i="150" s="1"/>
  <c r="I333" i="150"/>
  <c r="I344" i="150" s="1"/>
  <c r="I346" i="150" s="1"/>
  <c r="I120" i="150" s="1"/>
  <c r="I122" i="150" s="1"/>
  <c r="E333" i="150"/>
  <c r="E344" i="150" s="1"/>
  <c r="E346" i="150" s="1"/>
  <c r="E120" i="150" s="1"/>
  <c r="E122" i="150" s="1"/>
  <c r="G333" i="150"/>
  <c r="G344" i="150" s="1"/>
  <c r="G346" i="150" s="1"/>
  <c r="G120" i="150" s="1"/>
  <c r="G122" i="150" s="1"/>
  <c r="N333" i="150"/>
  <c r="N344" i="150" s="1"/>
  <c r="N346" i="150" s="1"/>
  <c r="N120" i="150" s="1"/>
  <c r="N122" i="150" s="1"/>
  <c r="F333" i="150"/>
  <c r="F344" i="150" s="1"/>
  <c r="F346" i="150" s="1"/>
  <c r="F120" i="150" s="1"/>
  <c r="F122" i="150" s="1"/>
  <c r="L333" i="150"/>
  <c r="L344" i="150" s="1"/>
  <c r="L346" i="150" s="1"/>
  <c r="L120" i="150" s="1"/>
  <c r="L122" i="150" s="1"/>
  <c r="D333" i="150"/>
  <c r="D344" i="150" s="1"/>
  <c r="D346" i="150" s="1"/>
  <c r="D120" i="150" s="1"/>
  <c r="D122" i="150" s="1"/>
  <c r="D97" i="150"/>
  <c r="D98" i="150" s="1"/>
  <c r="N99" i="150" s="1"/>
  <c r="D88" i="150"/>
  <c r="D89" i="150" s="1"/>
  <c r="N90" i="150" s="1"/>
  <c r="D79" i="150"/>
  <c r="D80" i="150" s="1"/>
  <c r="N81" i="150" s="1"/>
  <c r="D71" i="150"/>
  <c r="D77" i="84"/>
  <c r="D79" i="84" s="1"/>
  <c r="D31" i="150" s="1"/>
  <c r="D74" i="84"/>
  <c r="J128" i="150" l="1"/>
  <c r="J123" i="150"/>
  <c r="G128" i="150"/>
  <c r="G123" i="150"/>
  <c r="I123" i="150"/>
  <c r="I128" i="150"/>
  <c r="D128" i="150"/>
  <c r="D123" i="150"/>
  <c r="M123" i="150"/>
  <c r="M128" i="150"/>
  <c r="N128" i="150"/>
  <c r="N123" i="150"/>
  <c r="E128" i="150"/>
  <c r="E123" i="150"/>
  <c r="H128" i="150"/>
  <c r="H123" i="150"/>
  <c r="L123" i="150"/>
  <c r="L128" i="150"/>
  <c r="F128" i="150"/>
  <c r="F123" i="150"/>
  <c r="K123" i="150"/>
  <c r="K128" i="150"/>
  <c r="D114" i="84"/>
  <c r="D68" i="150" s="1"/>
  <c r="D69" i="150" s="1"/>
  <c r="D72" i="150" s="1"/>
  <c r="N73" i="150" s="1"/>
  <c r="N9" i="150" s="1"/>
  <c r="F134" i="150" l="1"/>
  <c r="F135" i="150" s="1"/>
  <c r="F124" i="150"/>
  <c r="F29" i="150" s="1"/>
  <c r="F129" i="150"/>
  <c r="L134" i="150"/>
  <c r="L135" i="150" s="1"/>
  <c r="L129" i="150"/>
  <c r="L124" i="150"/>
  <c r="L29" i="150" s="1"/>
  <c r="I134" i="150"/>
  <c r="I135" i="150" s="1"/>
  <c r="I124" i="150"/>
  <c r="I29" i="150" s="1"/>
  <c r="I129" i="150"/>
  <c r="K134" i="150"/>
  <c r="K135" i="150" s="1"/>
  <c r="K129" i="150"/>
  <c r="K124" i="150"/>
  <c r="K29" i="150" s="1"/>
  <c r="N134" i="150"/>
  <c r="N129" i="150"/>
  <c r="G134" i="150"/>
  <c r="G135" i="150" s="1"/>
  <c r="G129" i="150"/>
  <c r="G124" i="150"/>
  <c r="G29" i="150" s="1"/>
  <c r="J134" i="150"/>
  <c r="J135" i="150" s="1"/>
  <c r="J129" i="150"/>
  <c r="J124" i="150"/>
  <c r="J29" i="150" s="1"/>
  <c r="M134" i="150"/>
  <c r="M129" i="150"/>
  <c r="H134" i="150"/>
  <c r="H135" i="150" s="1"/>
  <c r="H124" i="150"/>
  <c r="H29" i="150" s="1"/>
  <c r="H129" i="150"/>
  <c r="D134" i="150"/>
  <c r="D135" i="150" s="1"/>
  <c r="D136" i="150" s="1"/>
  <c r="E133" i="150" s="1"/>
  <c r="D124" i="150"/>
  <c r="D29" i="150" s="1"/>
  <c r="D129" i="150"/>
  <c r="D130" i="150" s="1"/>
  <c r="E127" i="150" s="1"/>
  <c r="E134" i="150"/>
  <c r="E135" i="150" s="1"/>
  <c r="E124" i="150"/>
  <c r="E29" i="150" s="1"/>
  <c r="E129" i="150"/>
  <c r="E130" i="150" l="1"/>
  <c r="F127" i="150" s="1"/>
  <c r="F130" i="150" s="1"/>
  <c r="G127" i="150" s="1"/>
  <c r="G130" i="150" s="1"/>
  <c r="H127" i="150" s="1"/>
  <c r="H130" i="150" s="1"/>
  <c r="I127" i="150" s="1"/>
  <c r="I130" i="150" s="1"/>
  <c r="J127" i="150" s="1"/>
  <c r="J130" i="150" s="1"/>
  <c r="K127" i="150" s="1"/>
  <c r="K130" i="150" s="1"/>
  <c r="L127" i="150" s="1"/>
  <c r="L130" i="150" s="1"/>
  <c r="M127" i="150" s="1"/>
  <c r="M130" i="150" s="1"/>
  <c r="N127" i="150" s="1"/>
  <c r="N130" i="150" s="1"/>
  <c r="N11" i="150" s="1"/>
  <c r="D30" i="150"/>
  <c r="D32" i="150" s="1"/>
  <c r="D35" i="150" s="1"/>
  <c r="J30" i="150"/>
  <c r="J32" i="150" s="1"/>
  <c r="J35" i="150" s="1"/>
  <c r="L30" i="150"/>
  <c r="L32" i="150" s="1"/>
  <c r="L35" i="150" s="1"/>
  <c r="E136" i="150"/>
  <c r="F133" i="150" s="1"/>
  <c r="F136" i="150" s="1"/>
  <c r="G133" i="150" s="1"/>
  <c r="G136" i="150" s="1"/>
  <c r="H133" i="150" s="1"/>
  <c r="H136" i="150" s="1"/>
  <c r="I133" i="150" s="1"/>
  <c r="I136" i="150" s="1"/>
  <c r="J133" i="150" s="1"/>
  <c r="J136" i="150" s="1"/>
  <c r="K133" i="150" s="1"/>
  <c r="K136" i="150" s="1"/>
  <c r="L133" i="150" s="1"/>
  <c r="L136" i="150" s="1"/>
  <c r="M133" i="150" s="1"/>
  <c r="M135" i="150" s="1"/>
  <c r="G30" i="150"/>
  <c r="G32" i="150" s="1"/>
  <c r="G35" i="150" s="1"/>
  <c r="F30" i="150"/>
  <c r="F32" i="150" s="1"/>
  <c r="F35" i="150" s="1"/>
  <c r="E30" i="150"/>
  <c r="E32" i="150" s="1"/>
  <c r="E35" i="150" s="1"/>
  <c r="I30" i="150"/>
  <c r="I32" i="150" s="1"/>
  <c r="I35" i="150" s="1"/>
  <c r="K30" i="150"/>
  <c r="K32" i="150" s="1"/>
  <c r="K35" i="150" s="1"/>
  <c r="H30" i="150"/>
  <c r="H32" i="150" s="1"/>
  <c r="H35" i="150" s="1"/>
  <c r="M136" i="150" l="1"/>
  <c r="N133" i="150" s="1"/>
  <c r="N135" i="150" s="1"/>
  <c r="M124" i="150"/>
  <c r="M29" i="150" s="1"/>
  <c r="M30" i="150" l="1"/>
  <c r="M32" i="150" s="1"/>
  <c r="M35" i="150" s="1"/>
  <c r="N136" i="150"/>
  <c r="N124" i="150"/>
  <c r="N29" i="150" s="1"/>
  <c r="N30" i="150" l="1"/>
  <c r="N32" i="150" s="1"/>
  <c r="N35" i="150" s="1"/>
  <c r="N36" i="150" s="1"/>
  <c r="N7" i="150" s="1"/>
  <c r="N10"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<sst xmlns="http://schemas.openxmlformats.org/spreadsheetml/2006/main" count="731" uniqueCount="231">
  <si>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</si>
  <si>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</si>
  <si>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</si>
  <si>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</si>
  <si>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</si>
  <si>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</si>
  <si>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</si>
  <si>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</si>
  <si>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</si>
  <si>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</si>
  <si>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</si>
  <si>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</si>
  <si>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</si>
  <si>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</si>
  <si>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</si>
  <si>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Telecommunications</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</si>
  <si>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</si>
  <si>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</si>
  <si>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</si>
  <si>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</si>
  <si>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</si>
  <si>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</si>
  <si>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</si>
  <si>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</si>
  <si>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</si>
  <si>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</si>
  <si>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</si>
  <si>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</si>
  <si>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</si>
  <si>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</si>
  <si>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</si>
  <si>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</si>
  <si>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</si>
  <si>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</si>
  <si>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</si>
  <si>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</si>
  <si>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</si>
  <si>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</si>
  <si>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</si>
  <si>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</si>
  <si>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</si>
  <si>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</si>
  <si>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</si>
  <si>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</si>
  <si>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</si>
  <si>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</si>
  <si>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</si>
  <si>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</si>
  <si>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</si>
  <si>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</si>
  <si>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</si>
  <si>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</si>
  <si>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</si>
  <si>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</si>
  <si>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</si>
  <si>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</si>
  <si>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</si>
  <si>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</si>
  <si>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</si>
  <si>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</si>
  <si>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</si>
  <si>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</si>
  <si>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</si>
  <si>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</si>
  <si>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</si>
  <si>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</si>
  <si>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</si>
  <si>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</si>
  <si>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</si>
  <si>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</si>
  <si>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</si>
  <si>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</si>
  <si>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</si>
  <si>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</si>
  <si>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</si>
  <si>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Subordinated debt premium</t>
  </si>
  <si>
    <t>Crown financing rate</t>
  </si>
  <si>
    <t>Debt like equity drawdown</t>
  </si>
  <si>
    <t>Equity drawdown</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</si>
  <si>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</si>
  <si>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</si>
  <si>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</si>
  <si>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</si>
  <si>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</si>
  <si>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</si>
  <si>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</si>
  <si>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</si>
  <si>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</si>
  <si>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</si>
  <si>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</si>
  <si>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</si>
  <si>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</si>
  <si>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</si>
  <si>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</si>
  <si>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</si>
  <si>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</si>
  <si>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</si>
  <si>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Present value benefit of Crown debt financing</t>
  </si>
  <si>
    <t>Benefit of Crown debt financing</t>
  </si>
  <si>
    <t>Future value of benefit of Crown debt financing</t>
  </si>
  <si>
    <t>Present value benefit of Crown senior debt financing</t>
  </si>
  <si>
    <t>Crown subordinated debt financing rate</t>
  </si>
  <si>
    <t>Present value benefit of Crown subordinated debt financing</t>
  </si>
  <si>
    <t>Depreciation rate</t>
  </si>
  <si>
    <t>Historic depreciation</t>
  </si>
  <si>
    <t>Adjustment for partial depreciation</t>
  </si>
  <si>
    <t>Opening balance</t>
  </si>
  <si>
    <t>Total depreciation</t>
  </si>
  <si>
    <t>Closing balance</t>
  </si>
  <si>
    <t>Benefit of Crown subordinated debt financing</t>
  </si>
  <si>
    <t>Future value of benefit of Crown subordinated debt financing</t>
  </si>
  <si>
    <t>Crown senior debt financing rate</t>
  </si>
  <si>
    <t>Benefit of Crown senior debt financing</t>
  </si>
  <si>
    <t>Future value of benefit of Crown senior debt financing</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</si>
  <si>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</si>
  <si>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</si>
  <si>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</si>
  <si>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</si>
  <si>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</si>
  <si>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</si>
  <si>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</si>
  <si>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</si>
  <si>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</si>
  <si>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</si>
  <si>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</si>
  <si>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</si>
  <si>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</si>
  <si>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</si>
  <si>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</si>
  <si>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</si>
  <si>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</si>
  <si>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</si>
  <si>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</si>
  <si>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</si>
  <si>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</si>
  <si>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</si>
  <si>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</si>
  <si>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</si>
  <si>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</si>
  <si>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</si>
  <si>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</si>
  <si>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</si>
  <si>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</si>
  <si>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</si>
  <si>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</si>
  <si>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</si>
  <si>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</si>
  <si>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</si>
  <si>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</si>
  <si>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</si>
  <si>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</si>
  <si>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</si>
  <si>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</si>
  <si>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</si>
  <si>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</si>
  <si>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</si>
  <si>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</si>
  <si>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</si>
  <si>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</si>
  <si>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</si>
  <si>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</si>
  <si>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</si>
  <si>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</si>
  <si>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</si>
  <si>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</si>
  <si>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</si>
  <si>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</si>
  <si>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</si>
  <si>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</si>
  <si>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</si>
  <si>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</si>
  <si>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</si>
  <si>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</si>
  <si>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</si>
  <si>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</si>
  <si>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</si>
  <si>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</si>
  <si>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</si>
  <si>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</si>
  <si>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</si>
  <si>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</si>
  <si>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</si>
  <si>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</si>
  <si>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</si>
  <si>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Senior debt drawdown as proportion of total debt drawdown</t>
  </si>
  <si>
    <t>Debt like equity as proportion of total equity drawdown</t>
  </si>
  <si>
    <t>Net drawdown</t>
  </si>
  <si>
    <t>Debt as a proportion of net drawdown</t>
  </si>
  <si>
    <t>Net drawdown in the financial loss year that is senior debt</t>
  </si>
  <si>
    <t>Net drawdown in the financial loss year that is subordinated debt</t>
  </si>
  <si>
    <t>Crown debt finance rate</t>
  </si>
  <si>
    <t>Crown equity finance rate</t>
  </si>
  <si>
    <t>Crown senior debt finance rate</t>
  </si>
  <si>
    <t>Crown subordinated debt finance rate</t>
  </si>
  <si>
    <t>Gross cost of debt financing UFB assets</t>
  </si>
  <si>
    <t>UFB costs cash flows</t>
  </si>
  <si>
    <t>Net drawdown in the financial loss year that is debt</t>
  </si>
  <si>
    <t>Total benefit of Crown debt financing</t>
  </si>
  <si>
    <t>Calculate debt financing cost of commissioned assets</t>
  </si>
  <si>
    <t>Add cost of debt financing losses</t>
  </si>
  <si>
    <t>n/a</t>
  </si>
  <si>
    <t>Fibre regulation - initial price-quality regulatory asset base for Chorus as at 1 January 2022</t>
  </si>
  <si>
    <t xml:space="preserve">This model summarises the determination of the “opening RAB value” of the financial loss asset for Chorus Limited for the PQ RAB as of the implementation date under clause 3.3.1(9) of the Fibre Input Methodologies Determination 2020, as amended on 29 November 2021
</t>
  </si>
  <si>
    <t>Chorus Limited data</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</si>
  <si>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</si>
  <si>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</si>
  <si>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</si>
  <si>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</si>
  <si>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</si>
  <si>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</si>
  <si>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</si>
  <si>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</si>
  <si>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</si>
  <si>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</si>
  <si>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</si>
  <si>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</si>
  <si>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</si>
  <si>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</si>
  <si>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</si>
  <si>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</si>
  <si>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Present value of annual benefits</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</si>
  <si>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</si>
  <si>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</si>
  <si>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</si>
  <si>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</si>
  <si>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</si>
  <si>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</si>
  <si>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</si>
  <si>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</si>
  <si>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Published 16 December 2021</t>
  </si>
  <si>
    <t>Demonstration of financial loss asset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</si>
</sst>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b/>
      <sz val="10"/>
      <color theme="1"/>
      <name val="Calibri"/>
      <family val="2"/>
      <scheme val="minor"/>
    </font>
    <font>
      <u/>
      <sz val="10"/>
      <color theme="11"/>
      <name val="Calibri"/>
      <family val="2"/>
      <scheme val="minor"/>
    </font>
    <font>
      <sz val="10"/>
      <color theme="4"/>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sz val="10"/>
      <color theme="0" tint="-0.14999847407452621"/>
      <name val="Calibri"/>
      <family val="2"/>
      <scheme val="minor"/>
    </font>
    <font>
      <sz val="11"/>
      <color theme="0" tint="-0.14999847407452621"/>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4"/>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B4FF3C"/>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3"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6" fillId="0" borderId="0" applyFill="0" applyAlignment="0"/>
    <xf numFmtId="49" fontId="14" fillId="0" borderId="0" applyFill="0" applyAlignment="0"/>
    <xf numFmtId="49" fontId="15" fillId="0" borderId="0" applyFill="0" applyAlignment="0"/>
    <xf numFmtId="49" fontId="16"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5" fillId="0" borderId="17" applyNumberFormat="0" applyAlignment="0">
      <protection locked="0"/>
    </xf>
    <xf numFmtId="0" fontId="1" fillId="0" borderId="17"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0"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8" fillId="0" borderId="0" applyFont="0" applyFill="0" applyBorder="0" applyAlignment="0" applyProtection="0">
      <alignment horizontal="left"/>
      <protection locked="0"/>
    </xf>
    <xf numFmtId="166" fontId="1" fillId="34" borderId="18" applyNumberFormat="0" applyFont="0" applyFill="0" applyAlignment="0" applyProtection="0"/>
    <xf numFmtId="177" fontId="13" fillId="32" borderId="0" applyFont="0" applyBorder="0"/>
    <xf numFmtId="176" fontId="18" fillId="0" borderId="0" applyFont="0" applyFill="0" applyBorder="0" applyAlignment="0" applyProtection="0">
      <protection locked="0"/>
    </xf>
    <xf numFmtId="175" fontId="13" fillId="0" borderId="0" applyFont="0" applyFill="0" applyBorder="0" applyAlignment="0" applyProtection="0">
      <alignment horizontal="center" vertical="top" wrapText="1"/>
    </xf>
    <xf numFmtId="174" fontId="27" fillId="0" borderId="17" applyNumberFormat="0" applyAlignment="0"/>
    <xf numFmtId="0" fontId="17" fillId="0" borderId="17" applyNumberFormat="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69" fontId="19" fillId="0" borderId="0" applyFont="0" applyFill="0" applyBorder="0" applyAlignment="0" applyProtection="0">
      <alignment horizontal="left"/>
      <protection locked="0"/>
    </xf>
    <xf numFmtId="170" fontId="18" fillId="0" borderId="0" applyFont="0" applyFill="0" applyBorder="0" applyAlignment="0" applyProtection="0">
      <protection locked="0"/>
    </xf>
    <xf numFmtId="0" fontId="24"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2"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3" fillId="35" borderId="17" applyNumberFormat="0" applyAlignment="0" applyProtection="0"/>
    <xf numFmtId="49" fontId="20"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9" applyNumberFormat="0" applyFill="0" applyAlignment="0" applyProtection="0"/>
    <xf numFmtId="0" fontId="17" fillId="36" borderId="14" applyNumberFormat="0" applyFill="0">
      <alignment horizontal="centerContinuous" wrapText="1"/>
    </xf>
    <xf numFmtId="0" fontId="31" fillId="5" borderId="20" applyNumberFormat="0" applyAlignment="0" applyProtection="0"/>
    <xf numFmtId="174" fontId="32" fillId="37" borderId="14" applyNumberFormat="0" applyFill="0" applyAlignment="0"/>
    <xf numFmtId="166" fontId="1" fillId="0" borderId="0" applyFont="0" applyFill="0" applyBorder="0" applyAlignment="0" applyProtection="0"/>
    <xf numFmtId="169" fontId="18" fillId="0" borderId="0" applyFont="0" applyFill="0" applyBorder="0" applyAlignment="0" applyProtection="0">
      <alignment horizontal="left"/>
      <protection locked="0"/>
    </xf>
    <xf numFmtId="0" fontId="33" fillId="0" borderId="22" applyNumberFormat="0" applyFill="0" applyAlignment="0" applyProtection="0"/>
    <xf numFmtId="170" fontId="1" fillId="34" borderId="23" applyNumberFormat="0" applyFont="0" applyFill="0" applyAlignment="0" applyProtection="0"/>
    <xf numFmtId="0" fontId="34" fillId="38" borderId="1" applyNumberFormat="0" applyAlignment="0" applyProtection="0"/>
    <xf numFmtId="0" fontId="49" fillId="0" borderId="30" applyNumberFormat="0" applyAlignment="0">
      <alignment vertical="center"/>
      <protection locked="0"/>
    </xf>
    <xf numFmtId="0" fontId="49" fillId="0" borderId="31" applyNumberFormat="0" applyAlignment="0">
      <alignment vertical="center"/>
    </xf>
    <xf numFmtId="0" fontId="49" fillId="42" borderId="0" applyNumberFormat="0" applyAlignment="0">
      <alignment vertical="center"/>
    </xf>
    <xf numFmtId="166" fontId="1" fillId="0" borderId="0" applyFont="0" applyFill="0" applyBorder="0" applyAlignment="0" applyProtection="0"/>
  </cellStyleXfs>
  <cellXfs count="262">
    <xf numFmtId="0" fontId="0" fillId="0" borderId="0" xfId="0"/>
    <xf numFmtId="0" fontId="0" fillId="0" borderId="0" xfId="0"/>
    <xf numFmtId="0" fontId="12" fillId="32" borderId="6" xfId="0" applyFont="1" applyFill="1" applyBorder="1"/>
    <xf numFmtId="0" fontId="12" fillId="32" borderId="7" xfId="0" applyFont="1" applyFill="1" applyBorder="1"/>
    <xf numFmtId="0" fontId="12" fillId="32" borderId="8" xfId="0" applyFont="1" applyFill="1" applyBorder="1"/>
    <xf numFmtId="0" fontId="12" fillId="32" borderId="9" xfId="0" applyFont="1" applyFill="1" applyBorder="1" applyAlignment="1">
      <alignment horizontal="centerContinuous"/>
    </xf>
    <xf numFmtId="0" fontId="12" fillId="32" borderId="0" xfId="0" applyFont="1" applyFill="1" applyBorder="1" applyAlignment="1">
      <alignment horizontal="centerContinuous"/>
    </xf>
    <xf numFmtId="0" fontId="12" fillId="32" borderId="9" xfId="0" applyFont="1" applyFill="1" applyBorder="1"/>
    <xf numFmtId="0" fontId="0" fillId="0" borderId="0" xfId="0" applyBorder="1"/>
    <xf numFmtId="0" fontId="12" fillId="32" borderId="10" xfId="0" applyFont="1" applyFill="1" applyBorder="1"/>
    <xf numFmtId="0" fontId="12" fillId="32" borderId="9" xfId="0" applyFont="1" applyFill="1" applyBorder="1" applyAlignment="1"/>
    <xf numFmtId="0" fontId="12" fillId="32" borderId="0" xfId="0" applyFont="1" applyFill="1" applyBorder="1"/>
    <xf numFmtId="49" fontId="26" fillId="0" borderId="0" xfId="5"/>
    <xf numFmtId="169" fontId="0" fillId="0" borderId="0" xfId="56" applyFont="1" applyBorder="1" applyAlignment="1" applyProtection="1"/>
    <xf numFmtId="0" fontId="0" fillId="0" borderId="0" xfId="0" applyFill="1" applyBorder="1"/>
    <xf numFmtId="0" fontId="0" fillId="0" borderId="13" xfId="0" applyFont="1" applyFill="1" applyBorder="1"/>
    <xf numFmtId="0" fontId="0" fillId="0" borderId="12" xfId="0" applyFont="1" applyFill="1" applyBorder="1"/>
    <xf numFmtId="0" fontId="0" fillId="0" borderId="11" xfId="0" applyFont="1" applyFill="1" applyBorder="1"/>
    <xf numFmtId="0" fontId="0" fillId="0" borderId="0" xfId="0" applyFont="1" applyBorder="1"/>
    <xf numFmtId="49" fontId="20" fillId="0" borderId="0" xfId="65" applyAlignment="1">
      <alignment vertical="top"/>
    </xf>
    <xf numFmtId="169" fontId="1" fillId="0" borderId="16" xfId="14" applyNumberFormat="1" applyFill="1" applyBorder="1" applyAlignment="1"/>
    <xf numFmtId="179" fontId="1" fillId="0" borderId="16" xfId="14" applyNumberFormat="1" applyFill="1" applyBorder="1" applyAlignment="1"/>
    <xf numFmtId="0" fontId="24" fillId="0" borderId="16" xfId="58" applyFill="1" applyBorder="1" applyAlignment="1" applyProtection="1"/>
    <xf numFmtId="169" fontId="0" fillId="0" borderId="15" xfId="14" applyNumberFormat="1" applyFont="1" applyFill="1" applyBorder="1" applyAlignment="1"/>
    <xf numFmtId="0" fontId="23" fillId="32" borderId="10" xfId="0" applyFont="1" applyFill="1" applyBorder="1"/>
    <xf numFmtId="49" fontId="26" fillId="0" borderId="0" xfId="5" applyFill="1" applyAlignment="1">
      <alignment horizontal="centerContinuous"/>
    </xf>
    <xf numFmtId="169" fontId="1" fillId="0" borderId="16" xfId="14" applyNumberFormat="1" applyFill="1" applyBorder="1" applyAlignment="1">
      <alignment vertical="top"/>
    </xf>
    <xf numFmtId="169" fontId="1" fillId="0" borderId="0" xfId="14" applyNumberFormat="1" applyFill="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5" fillId="0" borderId="17" xfId="13" applyNumberFormat="1">
      <protection locked="0"/>
    </xf>
    <xf numFmtId="0" fontId="17" fillId="0" borderId="17" xfId="52" applyAlignment="1">
      <alignment horizontal="left" wrapText="1"/>
    </xf>
    <xf numFmtId="0" fontId="1" fillId="0" borderId="17" xfId="14"/>
    <xf numFmtId="3" fontId="1" fillId="0" borderId="17" xfId="14" applyNumberFormat="1"/>
    <xf numFmtId="0" fontId="1" fillId="0" borderId="24" xfId="14" applyBorder="1"/>
    <xf numFmtId="3" fontId="1" fillId="0" borderId="24" xfId="14" applyNumberFormat="1" applyBorder="1"/>
    <xf numFmtId="184" fontId="0" fillId="0" borderId="0" xfId="0" applyNumberFormat="1"/>
    <xf numFmtId="164" fontId="35" fillId="0" borderId="17" xfId="52" quotePrefix="1" applyNumberFormat="1" applyFont="1" applyAlignment="1">
      <alignment horizontal="left" wrapText="1"/>
    </xf>
    <xf numFmtId="49" fontId="16" fillId="0" borderId="0" xfId="8" applyFill="1">
      <alignment horizontal="left"/>
    </xf>
    <xf numFmtId="0" fontId="17" fillId="0" borderId="24" xfId="52" applyBorder="1" applyAlignment="1">
      <alignment horizontal="left" wrapText="1"/>
    </xf>
    <xf numFmtId="0" fontId="17" fillId="0" borderId="0" xfId="52" applyBorder="1" applyAlignment="1">
      <alignment horizontal="left" wrapText="1"/>
    </xf>
    <xf numFmtId="3" fontId="1" fillId="0" borderId="0" xfId="14" applyNumberFormat="1" applyBorder="1"/>
    <xf numFmtId="3" fontId="0" fillId="0" borderId="24" xfId="0" applyNumberFormat="1" applyBorder="1"/>
    <xf numFmtId="0" fontId="1" fillId="0" borderId="0" xfId="14" applyBorder="1"/>
    <xf numFmtId="3" fontId="1" fillId="0" borderId="17" xfId="14" applyNumberFormat="1" applyBorder="1"/>
    <xf numFmtId="49" fontId="36" fillId="0" borderId="21" xfId="8" applyFont="1" applyFill="1" applyBorder="1">
      <alignment horizontal="left"/>
    </xf>
    <xf numFmtId="9" fontId="25" fillId="0" borderId="0" xfId="67" applyFont="1" applyBorder="1" applyProtection="1">
      <protection locked="0"/>
    </xf>
    <xf numFmtId="3" fontId="0" fillId="0" borderId="27" xfId="0" applyNumberFormat="1" applyBorder="1"/>
    <xf numFmtId="3" fontId="0" fillId="0" borderId="28" xfId="0" applyNumberFormat="1" applyBorder="1"/>
    <xf numFmtId="2" fontId="17" fillId="0" borderId="17" xfId="52" applyNumberFormat="1" applyAlignment="1">
      <alignment horizontal="left" wrapText="1"/>
    </xf>
    <xf numFmtId="49" fontId="36" fillId="0" borderId="0" xfId="8" applyFont="1" applyFill="1" applyBorder="1">
      <alignment horizontal="left"/>
    </xf>
    <xf numFmtId="9" fontId="1" fillId="0" borderId="17" xfId="67" applyBorder="1"/>
    <xf numFmtId="0" fontId="35" fillId="0" borderId="17" xfId="52" applyFont="1" applyAlignment="1">
      <alignment horizontal="left" wrapText="1"/>
    </xf>
    <xf numFmtId="0" fontId="37" fillId="32" borderId="0" xfId="0" applyFont="1" applyFill="1" applyBorder="1" applyAlignment="1">
      <alignment horizontal="centerContinuous"/>
    </xf>
    <xf numFmtId="0" fontId="38" fillId="0" borderId="0" xfId="0" applyFont="1"/>
    <xf numFmtId="0" fontId="37" fillId="32" borderId="0" xfId="0" applyFont="1" applyFill="1" applyBorder="1"/>
    <xf numFmtId="0" fontId="35" fillId="0" borderId="0" xfId="0" applyFont="1"/>
    <xf numFmtId="184" fontId="25" fillId="0" borderId="0" xfId="13" applyNumberFormat="1" applyBorder="1">
      <protection locked="0"/>
    </xf>
    <xf numFmtId="185" fontId="25" fillId="0" borderId="0" xfId="13" applyNumberFormat="1" applyBorder="1">
      <protection locked="0"/>
    </xf>
    <xf numFmtId="0" fontId="0" fillId="0" borderId="17" xfId="14" applyFont="1"/>
    <xf numFmtId="49" fontId="15" fillId="0" borderId="0" xfId="7" applyFill="1" applyAlignment="1">
      <alignment horizontal="left"/>
    </xf>
    <xf numFmtId="0" fontId="0" fillId="0" borderId="0" xfId="0" applyBorder="1" applyAlignment="1">
      <alignment wrapText="1"/>
    </xf>
    <xf numFmtId="164" fontId="35" fillId="0" borderId="21" xfId="52" quotePrefix="1" applyNumberFormat="1" applyFont="1" applyBorder="1" applyAlignment="1">
      <alignment horizontal="left" wrapText="1"/>
    </xf>
    <xf numFmtId="186" fontId="25" fillId="0" borderId="24" xfId="13" applyNumberFormat="1" applyBorder="1">
      <protection locked="0"/>
    </xf>
    <xf numFmtId="0" fontId="17" fillId="0" borderId="0" xfId="52" applyFill="1" applyBorder="1" applyAlignment="1">
      <alignment horizontal="left" wrapText="1"/>
    </xf>
    <xf numFmtId="9" fontId="25" fillId="0" borderId="17" xfId="67" applyNumberFormat="1" applyFont="1" applyBorder="1" applyProtection="1">
      <protection locked="0"/>
    </xf>
    <xf numFmtId="0" fontId="21" fillId="32" borderId="0" xfId="0" applyFont="1" applyFill="1" applyBorder="1" applyAlignment="1">
      <alignment horizontal="centerContinuous"/>
    </xf>
    <xf numFmtId="49" fontId="26" fillId="0" borderId="0" xfId="5" applyFont="1" applyFill="1" applyAlignment="1">
      <alignment horizontal="centerContinuous"/>
    </xf>
    <xf numFmtId="169" fontId="0" fillId="0" borderId="15" xfId="14" applyNumberFormat="1" applyFont="1" applyFill="1" applyBorder="1" applyAlignment="1">
      <alignment wrapText="1"/>
    </xf>
    <xf numFmtId="49" fontId="14" fillId="0" borderId="16" xfId="6" applyFill="1" applyBorder="1" applyAlignment="1">
      <alignment horizontal="left"/>
    </xf>
    <xf numFmtId="0" fontId="39" fillId="0" borderId="0" xfId="69" applyFont="1" applyAlignment="1">
      <alignment horizontal="left" indent="1"/>
    </xf>
    <xf numFmtId="3" fontId="1" fillId="0" borderId="21" xfId="14" applyNumberFormat="1" applyBorder="1"/>
    <xf numFmtId="49" fontId="14" fillId="0" borderId="0" xfId="6" applyFill="1" applyBorder="1" applyAlignment="1"/>
    <xf numFmtId="10" fontId="25" fillId="0" borderId="17" xfId="67" applyNumberFormat="1" applyFont="1" applyBorder="1" applyProtection="1">
      <protection locked="0"/>
    </xf>
    <xf numFmtId="10" fontId="27" fillId="0" borderId="17" xfId="67" applyNumberFormat="1" applyFont="1" applyBorder="1"/>
    <xf numFmtId="49" fontId="16" fillId="0" borderId="0" xfId="8" applyFill="1" applyBorder="1">
      <alignment horizontal="left"/>
    </xf>
    <xf numFmtId="173" fontId="40" fillId="0" borderId="17" xfId="13" applyNumberFormat="1" applyFont="1" applyAlignment="1">
      <protection locked="0"/>
    </xf>
    <xf numFmtId="0" fontId="41" fillId="0" borderId="0" xfId="0" applyFont="1"/>
    <xf numFmtId="184" fontId="41" fillId="0" borderId="0" xfId="0" applyNumberFormat="1" applyFont="1"/>
    <xf numFmtId="187" fontId="0" fillId="0" borderId="0" xfId="67" applyNumberFormat="1" applyFont="1"/>
    <xf numFmtId="10" fontId="1" fillId="0" borderId="0" xfId="67" applyNumberFormat="1" applyFont="1"/>
    <xf numFmtId="0" fontId="1" fillId="0" borderId="21" xfId="14" applyBorder="1"/>
    <xf numFmtId="10" fontId="27" fillId="0" borderId="21" xfId="67" applyNumberFormat="1" applyFont="1" applyBorder="1"/>
    <xf numFmtId="0" fontId="0" fillId="0" borderId="29" xfId="14" applyFont="1" applyBorder="1"/>
    <xf numFmtId="9" fontId="25" fillId="0" borderId="29" xfId="67" applyFont="1" applyBorder="1" applyProtection="1">
      <protection locked="0"/>
    </xf>
    <xf numFmtId="10" fontId="25" fillId="0" borderId="29" xfId="67" applyNumberFormat="1" applyFont="1" applyBorder="1" applyProtection="1">
      <protection locked="0"/>
    </xf>
    <xf numFmtId="0" fontId="25" fillId="0" borderId="17" xfId="51" applyNumberFormat="1" applyFont="1"/>
    <xf numFmtId="0" fontId="0" fillId="0" borderId="0" xfId="0" applyFill="1"/>
    <xf numFmtId="169" fontId="35" fillId="0" borderId="17" xfId="52" applyNumberFormat="1" applyFont="1" applyAlignment="1">
      <alignment horizontal="left" wrapText="1"/>
    </xf>
    <xf numFmtId="1" fontId="27" fillId="0" borderId="17" xfId="67" applyNumberFormat="1" applyFont="1" applyBorder="1"/>
    <xf numFmtId="2" fontId="27" fillId="0" borderId="17" xfId="67" applyNumberFormat="1" applyFont="1" applyBorder="1"/>
    <xf numFmtId="183" fontId="43" fillId="39" borderId="0" xfId="52" quotePrefix="1" applyNumberFormat="1" applyFont="1" applyFill="1" applyBorder="1" applyAlignment="1">
      <alignment horizontal="center" wrapText="1"/>
    </xf>
    <xf numFmtId="173" fontId="42" fillId="39" borderId="0" xfId="52" applyNumberFormat="1" applyFont="1" applyFill="1" applyBorder="1" applyAlignment="1">
      <alignment horizontal="center" vertical="center" wrapText="1"/>
    </xf>
    <xf numFmtId="0" fontId="39" fillId="0" borderId="0" xfId="69" applyFont="1" applyAlignment="1">
      <alignment horizontal="left"/>
    </xf>
    <xf numFmtId="2" fontId="44" fillId="0" borderId="17" xfId="67" applyNumberFormat="1" applyFont="1" applyBorder="1"/>
    <xf numFmtId="3" fontId="45" fillId="0" borderId="17" xfId="14" applyNumberFormat="1" applyFont="1"/>
    <xf numFmtId="9" fontId="0" fillId="0" borderId="0" xfId="67" applyFont="1"/>
    <xf numFmtId="2" fontId="25" fillId="0" borderId="17" xfId="13" applyNumberFormat="1">
      <protection locked="0"/>
    </xf>
    <xf numFmtId="3" fontId="46" fillId="0" borderId="17" xfId="14" applyNumberFormat="1" applyFont="1"/>
    <xf numFmtId="2" fontId="46" fillId="0" borderId="0" xfId="0" applyNumberFormat="1" applyFont="1"/>
    <xf numFmtId="3" fontId="46" fillId="0" borderId="29" xfId="14" applyNumberFormat="1" applyFont="1" applyBorder="1"/>
    <xf numFmtId="0" fontId="43" fillId="0" borderId="17" xfId="52" applyFont="1" applyAlignment="1">
      <alignment horizontal="left" wrapText="1"/>
    </xf>
    <xf numFmtId="3" fontId="1" fillId="0" borderId="27" xfId="14" applyNumberFormat="1" applyBorder="1"/>
    <xf numFmtId="188" fontId="27" fillId="0" borderId="17" xfId="67" applyNumberFormat="1" applyFont="1" applyBorder="1"/>
    <xf numFmtId="2" fontId="13" fillId="0" borderId="17" xfId="67" applyNumberFormat="1" applyFont="1" applyBorder="1"/>
    <xf numFmtId="184" fontId="47" fillId="0" borderId="0" xfId="0" applyNumberFormat="1" applyFont="1"/>
    <xf numFmtId="0" fontId="47" fillId="0" borderId="0" xfId="0" applyFont="1"/>
    <xf numFmtId="3" fontId="1" fillId="0" borderId="17" xfId="14" applyNumberFormat="1" applyFill="1"/>
    <xf numFmtId="3" fontId="46" fillId="0" borderId="17" xfId="14" applyNumberFormat="1" applyFont="1" applyFill="1"/>
    <xf numFmtId="3" fontId="0" fillId="0" borderId="24" xfId="0" applyNumberFormat="1" applyFill="1" applyBorder="1"/>
    <xf numFmtId="3" fontId="0" fillId="0" borderId="28" xfId="0" applyNumberFormat="1" applyFill="1" applyBorder="1"/>
    <xf numFmtId="2" fontId="46" fillId="0" borderId="0" xfId="0" applyNumberFormat="1" applyFont="1" applyFill="1"/>
    <xf numFmtId="10" fontId="27" fillId="0" borderId="17" xfId="66" applyNumberFormat="1" applyFont="1" applyBorder="1"/>
    <xf numFmtId="10" fontId="27" fillId="0" borderId="17" xfId="67" applyNumberFormat="1" applyFont="1" applyFill="1" applyBorder="1"/>
    <xf numFmtId="10" fontId="25" fillId="0" borderId="17" xfId="66" applyNumberFormat="1" applyFont="1" applyBorder="1"/>
    <xf numFmtId="2" fontId="17" fillId="0" borderId="17" xfId="52" applyNumberFormat="1" applyFill="1" applyAlignment="1">
      <alignment horizontal="left" wrapText="1"/>
    </xf>
    <xf numFmtId="164" fontId="35" fillId="0" borderId="17" xfId="52" quotePrefix="1" applyNumberFormat="1" applyFont="1" applyFill="1" applyAlignment="1">
      <alignment horizontal="left" wrapText="1"/>
    </xf>
    <xf numFmtId="0" fontId="17" fillId="0" borderId="25" xfId="52" applyFill="1" applyBorder="1" applyAlignment="1">
      <alignment horizontal="left" wrapText="1"/>
    </xf>
    <xf numFmtId="3" fontId="1" fillId="0" borderId="21" xfId="14" applyNumberFormat="1" applyFill="1" applyBorder="1"/>
    <xf numFmtId="3" fontId="45" fillId="0" borderId="21" xfId="14" applyNumberFormat="1" applyFont="1" applyFill="1" applyBorder="1"/>
    <xf numFmtId="3" fontId="1" fillId="0" borderId="29" xfId="14" applyNumberFormat="1" applyFill="1" applyBorder="1"/>
    <xf numFmtId="10" fontId="25" fillId="0" borderId="17" xfId="67" applyNumberFormat="1" applyFont="1" applyFill="1" applyBorder="1" applyProtection="1">
      <protection locked="0"/>
    </xf>
    <xf numFmtId="0" fontId="0" fillId="0" borderId="17" xfId="14" applyFont="1" applyFill="1"/>
    <xf numFmtId="1" fontId="27" fillId="0" borderId="17" xfId="67" applyNumberFormat="1" applyFont="1" applyFill="1" applyBorder="1"/>
    <xf numFmtId="2" fontId="27" fillId="0" borderId="17" xfId="67" applyNumberFormat="1" applyFont="1" applyFill="1" applyBorder="1"/>
    <xf numFmtId="169" fontId="35" fillId="0" borderId="17" xfId="52" applyNumberFormat="1" applyFont="1" applyFill="1" applyAlignment="1">
      <alignment horizontal="left" wrapText="1"/>
    </xf>
    <xf numFmtId="3" fontId="1" fillId="0" borderId="0" xfId="14" applyNumberFormat="1" applyFill="1" applyBorder="1"/>
    <xf numFmtId="3" fontId="1" fillId="0" borderId="24" xfId="14" applyNumberFormat="1" applyFill="1" applyBorder="1"/>
    <xf numFmtId="2" fontId="25" fillId="0" borderId="17" xfId="13" applyNumberFormat="1" applyFill="1">
      <protection locked="0"/>
    </xf>
    <xf numFmtId="9" fontId="25" fillId="0" borderId="29" xfId="67" applyFont="1" applyFill="1" applyBorder="1" applyProtection="1">
      <protection locked="0"/>
    </xf>
    <xf numFmtId="10" fontId="0" fillId="0" borderId="0" xfId="0" applyNumberFormat="1"/>
    <xf numFmtId="184" fontId="25" fillId="0" borderId="17" xfId="13" applyNumberFormat="1" applyFill="1">
      <protection locked="0"/>
    </xf>
    <xf numFmtId="3" fontId="1" fillId="0" borderId="29" xfId="14" applyNumberFormat="1" applyBorder="1"/>
    <xf numFmtId="9" fontId="25" fillId="0" borderId="17" xfId="67" applyNumberFormat="1" applyFont="1" applyFill="1" applyBorder="1" applyProtection="1">
      <protection locked="0"/>
    </xf>
    <xf numFmtId="2" fontId="44" fillId="0" borderId="0" xfId="67" applyNumberFormat="1" applyFont="1" applyBorder="1"/>
    <xf numFmtId="0" fontId="0" fillId="0" borderId="0" xfId="0" applyAlignment="1">
      <alignment horizontal="right"/>
    </xf>
    <xf numFmtId="189" fontId="1" fillId="0" borderId="17" xfId="14" applyNumberFormat="1" applyFill="1"/>
    <xf numFmtId="10" fontId="35" fillId="0" borderId="17" xfId="67" quotePrefix="1" applyNumberFormat="1" applyFont="1" applyBorder="1" applyAlignment="1">
      <alignment horizontal="left" wrapText="1"/>
    </xf>
    <xf numFmtId="3" fontId="0" fillId="0" borderId="7" xfId="0" applyNumberFormat="1" applyBorder="1"/>
    <xf numFmtId="186" fontId="25" fillId="0" borderId="0" xfId="13" applyNumberFormat="1" applyFill="1" applyBorder="1">
      <protection locked="0"/>
    </xf>
    <xf numFmtId="0" fontId="35" fillId="0" borderId="0" xfId="0" applyFont="1" applyFill="1"/>
    <xf numFmtId="0" fontId="35" fillId="0" borderId="17" xfId="52" applyFont="1" applyFill="1" applyAlignment="1">
      <alignment horizontal="left" wrapText="1"/>
    </xf>
    <xf numFmtId="10" fontId="1" fillId="0" borderId="17" xfId="51" applyNumberFormat="1" applyFont="1" applyFill="1"/>
    <xf numFmtId="10" fontId="1" fillId="0" borderId="17" xfId="51" applyNumberFormat="1" applyFont="1"/>
    <xf numFmtId="3" fontId="46" fillId="0" borderId="29" xfId="14" applyNumberFormat="1" applyFont="1" applyFill="1" applyBorder="1"/>
    <xf numFmtId="10" fontId="46" fillId="0" borderId="17" xfId="14" applyNumberFormat="1" applyFont="1" applyFill="1"/>
    <xf numFmtId="10" fontId="46" fillId="0" borderId="17" xfId="67" applyNumberFormat="1" applyFont="1" applyFill="1" applyBorder="1"/>
    <xf numFmtId="168" fontId="46" fillId="0" borderId="17" xfId="66" applyFont="1" applyFill="1" applyBorder="1"/>
    <xf numFmtId="9" fontId="25" fillId="0" borderId="17" xfId="51" applyNumberFormat="1" applyFont="1" applyFill="1"/>
    <xf numFmtId="184" fontId="13" fillId="0" borderId="17" xfId="51" applyNumberFormat="1" applyFont="1" applyFill="1"/>
    <xf numFmtId="3" fontId="13" fillId="0" borderId="17" xfId="14" applyNumberFormat="1" applyFont="1" applyFill="1"/>
    <xf numFmtId="190" fontId="46" fillId="0" borderId="17" xfId="67" applyNumberFormat="1" applyFont="1" applyFill="1" applyBorder="1"/>
    <xf numFmtId="3" fontId="10" fillId="0" borderId="0" xfId="0" applyNumberFormat="1" applyFont="1"/>
    <xf numFmtId="0" fontId="10" fillId="0" borderId="0" xfId="0" applyFont="1"/>
    <xf numFmtId="3" fontId="46" fillId="0" borderId="0" xfId="0" applyNumberFormat="1" applyFont="1"/>
    <xf numFmtId="3" fontId="46" fillId="0" borderId="7" xfId="0" applyNumberFormat="1" applyFont="1" applyBorder="1"/>
    <xf numFmtId="3" fontId="0" fillId="0" borderId="0" xfId="0" applyNumberFormat="1" applyFont="1"/>
    <xf numFmtId="3" fontId="45" fillId="0" borderId="0" xfId="14" applyNumberFormat="1" applyFont="1" applyFill="1" applyBorder="1"/>
    <xf numFmtId="2" fontId="35" fillId="0" borderId="17" xfId="52" applyNumberFormat="1" applyFont="1" applyAlignment="1">
      <alignment horizontal="left" wrapText="1"/>
    </xf>
    <xf numFmtId="168" fontId="46" fillId="0" borderId="0" xfId="66" applyFont="1" applyFill="1" applyBorder="1"/>
    <xf numFmtId="10" fontId="0" fillId="0" borderId="17" xfId="51" applyNumberFormat="1" applyFont="1"/>
    <xf numFmtId="0" fontId="35" fillId="0" borderId="0" xfId="52" applyFont="1" applyFill="1" applyBorder="1" applyAlignment="1">
      <alignment horizontal="left" wrapText="1"/>
    </xf>
    <xf numFmtId="49" fontId="20" fillId="0" borderId="0" xfId="20">
      <alignment horizontal="left" indent="1"/>
    </xf>
    <xf numFmtId="189" fontId="1" fillId="0" borderId="17" xfId="14" applyNumberFormat="1" applyFont="1" applyFill="1"/>
    <xf numFmtId="3" fontId="50" fillId="0" borderId="17" xfId="14" applyNumberFormat="1" applyFont="1"/>
    <xf numFmtId="0" fontId="35" fillId="0" borderId="17" xfId="52" applyFont="1" applyAlignment="1">
      <alignment horizontal="left" wrapText="1" indent="1"/>
    </xf>
    <xf numFmtId="0" fontId="35" fillId="0" borderId="25" xfId="52" applyFont="1" applyBorder="1" applyAlignment="1">
      <alignment horizontal="left" wrapText="1" indent="1"/>
    </xf>
    <xf numFmtId="0" fontId="35" fillId="0" borderId="25" xfId="52" applyFont="1" applyBorder="1" applyAlignment="1">
      <alignment horizontal="left" wrapText="1"/>
    </xf>
    <xf numFmtId="0" fontId="35" fillId="0" borderId="26" xfId="52" applyFont="1" applyBorder="1" applyAlignment="1">
      <alignment horizontal="left" wrapText="1"/>
    </xf>
    <xf numFmtId="3" fontId="10" fillId="0" borderId="17" xfId="14" applyNumberFormat="1" applyFont="1" applyFill="1"/>
    <xf numFmtId="0" fontId="43" fillId="0" borderId="0" xfId="52" applyFont="1" applyFill="1" applyBorder="1" applyAlignment="1">
      <alignment horizontal="left" wrapText="1"/>
    </xf>
    <xf numFmtId="0" fontId="51" fillId="0" borderId="17" xfId="52" applyFont="1" applyAlignment="1">
      <alignment horizontal="left" wrapText="1"/>
    </xf>
    <xf numFmtId="3" fontId="0" fillId="41" borderId="0" xfId="0" applyNumberFormat="1" applyFill="1"/>
    <xf numFmtId="2" fontId="35" fillId="0" borderId="17" xfId="52" applyNumberFormat="1" applyFont="1" applyFill="1" applyAlignment="1">
      <alignment horizontal="left" wrapText="1"/>
    </xf>
    <xf numFmtId="184" fontId="13" fillId="40" borderId="17" xfId="51" applyNumberFormat="1" applyFont="1" applyFill="1"/>
    <xf numFmtId="173" fontId="27" fillId="0" borderId="17" xfId="53" applyFont="1" applyFill="1" applyBorder="1" applyAlignment="1"/>
    <xf numFmtId="164" fontId="35" fillId="0" borderId="24" xfId="52" quotePrefix="1" applyNumberFormat="1" applyFont="1" applyFill="1" applyBorder="1" applyAlignment="1">
      <alignment horizontal="left" wrapText="1"/>
    </xf>
    <xf numFmtId="164" fontId="35" fillId="0" borderId="24" xfId="52" quotePrefix="1" applyNumberFormat="1" applyFont="1" applyBorder="1" applyAlignment="1">
      <alignment horizontal="left" wrapText="1"/>
    </xf>
    <xf numFmtId="3" fontId="13" fillId="0" borderId="0" xfId="0" applyNumberFormat="1" applyFont="1"/>
    <xf numFmtId="3" fontId="10" fillId="0" borderId="29" xfId="0" applyNumberFormat="1" applyFont="1" applyBorder="1"/>
    <xf numFmtId="0" fontId="0" fillId="0" borderId="24" xfId="0" applyBorder="1"/>
    <xf numFmtId="10" fontId="13" fillId="0" borderId="17" xfId="67" quotePrefix="1" applyNumberFormat="1" applyFont="1" applyBorder="1" applyAlignment="1">
      <alignment horizontal="left" wrapText="1"/>
    </xf>
    <xf numFmtId="3" fontId="1" fillId="0" borderId="17" xfId="14" applyNumberFormat="1" applyFont="1"/>
    <xf numFmtId="164" fontId="13" fillId="0" borderId="17" xfId="52" quotePrefix="1" applyNumberFormat="1" applyFont="1" applyAlignment="1">
      <alignment horizontal="left" wrapText="1"/>
    </xf>
    <xf numFmtId="3" fontId="1" fillId="0" borderId="0" xfId="0" applyNumberFormat="1" applyFont="1"/>
    <xf numFmtId="0" fontId="21" fillId="0" borderId="10" xfId="0" applyFont="1" applyFill="1" applyBorder="1" applyAlignment="1">
      <alignment horizontal="centerContinuous"/>
    </xf>
    <xf numFmtId="0" fontId="12" fillId="0" borderId="9" xfId="0" applyFont="1" applyFill="1" applyBorder="1" applyAlignment="1">
      <alignment horizontal="centerContinuous"/>
    </xf>
    <xf numFmtId="10" fontId="0" fillId="0" borderId="0" xfId="67" applyNumberFormat="1" applyFont="1" applyFill="1"/>
    <xf numFmtId="10" fontId="13" fillId="0" borderId="17" xfId="67" applyNumberFormat="1" applyFont="1" applyFill="1" applyBorder="1"/>
    <xf numFmtId="3" fontId="1" fillId="41" borderId="17" xfId="14" applyNumberFormat="1" applyFill="1"/>
    <xf numFmtId="3" fontId="50" fillId="0" borderId="17" xfId="14" applyNumberFormat="1" applyFont="1" applyFill="1"/>
    <xf numFmtId="3" fontId="45" fillId="0" borderId="17" xfId="14" applyNumberFormat="1" applyFont="1" applyFill="1"/>
    <xf numFmtId="3" fontId="2" fillId="0" borderId="21" xfId="14" applyNumberFormat="1" applyFont="1" applyFill="1" applyBorder="1"/>
    <xf numFmtId="184" fontId="25" fillId="0" borderId="0" xfId="13" applyNumberFormat="1" applyFill="1" applyBorder="1">
      <protection locked="0"/>
    </xf>
    <xf numFmtId="0" fontId="39" fillId="0" borderId="0" xfId="69" applyFont="1" applyFill="1" applyAlignment="1">
      <alignment horizontal="left" indent="1"/>
    </xf>
    <xf numFmtId="9" fontId="25" fillId="0" borderId="0" xfId="67" applyFont="1" applyFill="1" applyBorder="1" applyProtection="1">
      <protection locked="0"/>
    </xf>
    <xf numFmtId="10" fontId="1" fillId="0" borderId="0" xfId="67" applyNumberFormat="1" applyFont="1" applyFill="1"/>
    <xf numFmtId="173" fontId="40" fillId="0" borderId="17" xfId="13" applyNumberFormat="1" applyFont="1" applyFill="1" applyAlignment="1">
      <protection locked="0"/>
    </xf>
    <xf numFmtId="0" fontId="25" fillId="0" borderId="17" xfId="51" applyNumberFormat="1" applyFont="1" applyFill="1"/>
    <xf numFmtId="173" fontId="52" fillId="0" borderId="17" xfId="13" applyNumberFormat="1" applyFont="1" applyFill="1" applyAlignment="1">
      <protection locked="0"/>
    </xf>
    <xf numFmtId="9" fontId="25" fillId="0" borderId="17" xfId="67" applyFont="1" applyFill="1" applyBorder="1"/>
    <xf numFmtId="49" fontId="26" fillId="0" borderId="0" xfId="5" applyAlignment="1">
      <alignment horizontal="left"/>
    </xf>
    <xf numFmtId="49" fontId="15" fillId="0" borderId="0" xfId="6" applyFont="1" applyAlignment="1">
      <alignment horizontal="left"/>
    </xf>
    <xf numFmtId="0" fontId="0" fillId="0" borderId="0" xfId="0" applyAlignment="1">
      <alignment horizontal="left"/>
    </xf>
    <xf numFmtId="49" fontId="36" fillId="0" borderId="0" xfId="8" applyFont="1" applyFill="1" applyBorder="1" applyAlignment="1">
      <alignment horizontal="left"/>
    </xf>
    <xf numFmtId="3" fontId="45" fillId="0" borderId="17" xfId="14" applyNumberFormat="1" applyFont="1" applyAlignment="1">
      <alignment horizontal="left"/>
    </xf>
    <xf numFmtId="49" fontId="36" fillId="0" borderId="21" xfId="8" applyFont="1" applyFill="1" applyBorder="1" applyAlignment="1">
      <alignment horizontal="left"/>
    </xf>
    <xf numFmtId="49" fontId="15" fillId="0" borderId="0" xfId="6" applyFont="1" applyFill="1" applyAlignment="1">
      <alignment horizontal="left"/>
    </xf>
    <xf numFmtId="0" fontId="0" fillId="0" borderId="0" xfId="0" applyFont="1" applyAlignment="1">
      <alignment horizontal="left"/>
    </xf>
    <xf numFmtId="4" fontId="54" fillId="0" borderId="17" xfId="14" applyNumberFormat="1" applyFont="1" applyFill="1"/>
    <xf numFmtId="190" fontId="13" fillId="0" borderId="17" xfId="67" applyNumberFormat="1" applyFont="1" applyFill="1" applyBorder="1"/>
    <xf numFmtId="3" fontId="54" fillId="0" borderId="21" xfId="14" applyNumberFormat="1" applyFont="1" applyFill="1" applyBorder="1"/>
    <xf numFmtId="3" fontId="54" fillId="0" borderId="21" xfId="14" applyNumberFormat="1" applyFont="1" applyBorder="1"/>
    <xf numFmtId="3" fontId="54" fillId="0" borderId="29" xfId="14" applyNumberFormat="1" applyFont="1" applyBorder="1"/>
    <xf numFmtId="10" fontId="54" fillId="0" borderId="17" xfId="67" quotePrefix="1" applyNumberFormat="1" applyFont="1" applyBorder="1" applyAlignment="1">
      <alignment horizontal="left" wrapText="1"/>
    </xf>
    <xf numFmtId="3" fontId="54" fillId="0" borderId="17" xfId="14" applyNumberFormat="1" applyFont="1"/>
    <xf numFmtId="189" fontId="0" fillId="0" borderId="0" xfId="0" applyNumberFormat="1"/>
    <xf numFmtId="189" fontId="1" fillId="0" borderId="21" xfId="14" applyNumberFormat="1" applyBorder="1"/>
    <xf numFmtId="3" fontId="0" fillId="0" borderId="0" xfId="0" applyNumberFormat="1" applyFill="1"/>
    <xf numFmtId="3" fontId="13" fillId="0" borderId="21" xfId="14" applyNumberFormat="1" applyFont="1" applyFill="1" applyBorder="1"/>
    <xf numFmtId="3" fontId="13" fillId="0" borderId="29" xfId="14" applyNumberFormat="1" applyFont="1" applyFill="1" applyBorder="1"/>
    <xf numFmtId="3" fontId="55" fillId="0" borderId="21" xfId="14" applyNumberFormat="1" applyFont="1" applyFill="1" applyBorder="1"/>
    <xf numFmtId="0" fontId="13" fillId="0" borderId="0" xfId="0" applyFont="1" applyFill="1"/>
    <xf numFmtId="0" fontId="56" fillId="0" borderId="0" xfId="0" applyFont="1" applyFill="1"/>
    <xf numFmtId="3" fontId="13" fillId="0" borderId="0" xfId="0" applyNumberFormat="1" applyFont="1" applyFill="1"/>
    <xf numFmtId="0" fontId="35" fillId="0" borderId="26" xfId="52" applyFont="1" applyFill="1" applyBorder="1" applyAlignment="1">
      <alignment horizontal="left" wrapText="1"/>
    </xf>
    <xf numFmtId="0" fontId="43" fillId="0" borderId="26" xfId="52" applyFont="1" applyFill="1" applyBorder="1" applyAlignment="1">
      <alignment horizontal="left" wrapText="1"/>
    </xf>
    <xf numFmtId="0" fontId="13" fillId="0" borderId="0" xfId="0" applyFont="1" applyFill="1" applyAlignment="1">
      <alignment horizontal="left"/>
    </xf>
    <xf numFmtId="0" fontId="43" fillId="0" borderId="17" xfId="52" applyFont="1" applyFill="1" applyAlignment="1">
      <alignment horizontal="left" wrapText="1"/>
    </xf>
    <xf numFmtId="3" fontId="54" fillId="0" borderId="29" xfId="14" applyNumberFormat="1" applyFont="1" applyFill="1" applyBorder="1"/>
    <xf numFmtId="164" fontId="35" fillId="0" borderId="29" xfId="52" quotePrefix="1" applyNumberFormat="1" applyFont="1" applyBorder="1" applyAlignment="1">
      <alignment horizontal="left" wrapText="1"/>
    </xf>
    <xf numFmtId="10" fontId="35" fillId="0" borderId="21" xfId="67" quotePrefix="1" applyNumberFormat="1" applyFont="1" applyBorder="1" applyAlignment="1">
      <alignment horizontal="left" wrapText="1"/>
    </xf>
    <xf numFmtId="3" fontId="1" fillId="0" borderId="29" xfId="14" applyNumberFormat="1" applyFont="1" applyBorder="1"/>
    <xf numFmtId="3" fontId="1" fillId="0" borderId="21" xfId="14" applyNumberFormat="1" applyFont="1" applyBorder="1"/>
    <xf numFmtId="3" fontId="54" fillId="41" borderId="17" xfId="14" applyNumberFormat="1" applyFont="1" applyFill="1"/>
    <xf numFmtId="3" fontId="54" fillId="41" borderId="29" xfId="14" applyNumberFormat="1" applyFont="1" applyFill="1" applyBorder="1"/>
    <xf numFmtId="3" fontId="1" fillId="41" borderId="29" xfId="14" applyNumberFormat="1" applyFill="1" applyBorder="1"/>
    <xf numFmtId="9" fontId="1" fillId="41" borderId="17" xfId="14" applyNumberFormat="1" applyFill="1"/>
    <xf numFmtId="3" fontId="10" fillId="41" borderId="17" xfId="14" applyNumberFormat="1" applyFont="1" applyFill="1"/>
    <xf numFmtId="3" fontId="1" fillId="41" borderId="21" xfId="14" applyNumberFormat="1" applyFill="1" applyBorder="1"/>
    <xf numFmtId="10" fontId="54" fillId="0" borderId="29" xfId="67" quotePrefix="1" applyNumberFormat="1" applyFont="1" applyBorder="1" applyAlignment="1">
      <alignment horizontal="left" wrapText="1"/>
    </xf>
    <xf numFmtId="0" fontId="35" fillId="0" borderId="17" xfId="52" applyFont="1" applyAlignment="1">
      <alignment horizontal="left" vertical="center" wrapText="1"/>
    </xf>
    <xf numFmtId="2" fontId="35" fillId="0" borderId="29" xfId="52" applyNumberFormat="1" applyFont="1" applyBorder="1" applyAlignment="1">
      <alignment horizontal="left" wrapText="1"/>
    </xf>
    <xf numFmtId="2" fontId="35" fillId="0" borderId="21" xfId="52" applyNumberFormat="1" applyFont="1" applyBorder="1" applyAlignment="1">
      <alignment horizontal="left" wrapText="1"/>
    </xf>
    <xf numFmtId="2" fontId="27" fillId="0" borderId="0" xfId="67" applyNumberFormat="1" applyFont="1" applyFill="1" applyBorder="1"/>
    <xf numFmtId="3" fontId="0" fillId="0" borderId="0" xfId="0" applyNumberFormat="1" applyBorder="1"/>
    <xf numFmtId="0" fontId="35" fillId="0" borderId="0" xfId="52" applyFont="1" applyBorder="1" applyAlignment="1">
      <alignment horizontal="left" wrapText="1"/>
    </xf>
    <xf numFmtId="0" fontId="43" fillId="0" borderId="26" xfId="52" applyFont="1" applyBorder="1" applyAlignment="1">
      <alignment horizontal="left" wrapText="1"/>
    </xf>
    <xf numFmtId="10" fontId="35" fillId="0" borderId="17" xfId="67" applyNumberFormat="1" applyFont="1" applyFill="1" applyBorder="1"/>
    <xf numFmtId="10" fontId="35" fillId="0" borderId="17" xfId="67" applyNumberFormat="1" applyFont="1" applyFill="1" applyBorder="1" applyAlignment="1">
      <alignment wrapText="1"/>
    </xf>
    <xf numFmtId="0" fontId="43" fillId="0" borderId="0" xfId="52" applyFont="1" applyBorder="1" applyAlignment="1">
      <alignment horizontal="left" wrapText="1"/>
    </xf>
    <xf numFmtId="0" fontId="35" fillId="0" borderId="17" xfId="52" applyFont="1" applyAlignment="1">
      <alignment horizontal="right" wrapText="1"/>
    </xf>
    <xf numFmtId="10" fontId="35" fillId="0" borderId="17" xfId="67" applyNumberFormat="1" applyFont="1" applyFill="1" applyBorder="1" applyAlignment="1">
      <alignment horizontal="right" wrapText="1"/>
    </xf>
    <xf numFmtId="9" fontId="25" fillId="0" borderId="17" xfId="51" applyNumberFormat="1" applyFont="1" applyFill="1" applyAlignment="1">
      <alignment horizontal="right"/>
    </xf>
    <xf numFmtId="184" fontId="53" fillId="0" borderId="17" xfId="51" applyNumberFormat="1" applyFont="1" applyFill="1"/>
    <xf numFmtId="3" fontId="53" fillId="0" borderId="17" xfId="51" applyNumberFormat="1" applyFont="1" applyFill="1"/>
    <xf numFmtId="3" fontId="1" fillId="41" borderId="17" xfId="14" applyNumberFormat="1" applyFill="1" applyAlignment="1">
      <alignment horizontal="right"/>
    </xf>
    <xf numFmtId="0" fontId="12" fillId="0" borderId="0" xfId="0" applyFont="1" applyFill="1" applyBorder="1" applyAlignment="1">
      <alignment horizontal="centerContinuous"/>
    </xf>
    <xf numFmtId="0" fontId="0" fillId="0" borderId="21" xfId="14" applyFont="1" applyFill="1" applyBorder="1" applyAlignment="1">
      <alignment vertical="top" wrapText="1"/>
    </xf>
    <xf numFmtId="0" fontId="1" fillId="0" borderId="21" xfId="14" applyFill="1" applyBorder="1" applyAlignment="1">
      <alignment wrapText="1"/>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Input calculation" xfId="80" xr:uid="{DB2908ED-785F-42CE-A578-8B5782D93E74}"/>
    <cellStyle name="Input data" xfId="79" xr:uid="{7BBE55CD-BE25-42BB-BE61-BD2468D20FF7}"/>
    <cellStyle name="Input Link (different Worksheet)" xfId="81" xr:uid="{42363EB2-1432-43F9-ACD3-059F8B1D7794}"/>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C9C4A3"/>
      <color rgb="FFB9FB25"/>
      <color rgb="FFEAE8DA"/>
      <color rgb="FFFFFFCC"/>
      <color rgb="FFC00000"/>
      <color rgb="FFB0A978"/>
      <color rgb="FF0000FF"/>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57150</xdr:rowOff>
    </xdr:from>
    <xdr:to>
      <xdr:col>1</xdr:col>
      <xdr:colOff>820718</xdr:colOff>
      <xdr:row>1</xdr:row>
      <xdr:rowOff>772731</xdr:rowOff>
    </xdr:to>
    <xdr:pic>
      <xdr:nvPicPr>
        <xdr:cNvPr id="4" name="Picture 3">
          <a:extLst>
            <a:ext uri="{FF2B5EF4-FFF2-40B4-BE49-F238E27FC236}">
              <a16:creationId xmlns:a16="http://schemas.microsoft.com/office/drawing/2014/main" id="{176A5812-3E3B-4333-AC41-3E7F165A9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7650"/>
          <a:ext cx="2339956" cy="710819"/>
        </a:xfrm>
        <a:prstGeom prst="rect">
          <a:avLst/>
        </a:prstGeom>
      </xdr:spPr>
    </xdr:pic>
    <xdr:clientData/>
  </xdr:twoCellAnchor>
  <xdr:twoCellAnchor editAs="oneCell">
    <xdr:from>
      <xdr:col>0</xdr:col>
      <xdr:colOff>476250</xdr:colOff>
      <xdr:row>4</xdr:row>
      <xdr:rowOff>161925</xdr:rowOff>
    </xdr:from>
    <xdr:to>
      <xdr:col>3</xdr:col>
      <xdr:colOff>2428875</xdr:colOff>
      <xdr:row>18</xdr:row>
      <xdr:rowOff>142875</xdr:rowOff>
    </xdr:to>
    <xdr:pic>
      <xdr:nvPicPr>
        <xdr:cNvPr id="7" name="Picture 6" descr="Fibre Summary Document-cover template">
          <a:extLst>
            <a:ext uri="{FF2B5EF4-FFF2-40B4-BE49-F238E27FC236}">
              <a16:creationId xmlns:a16="http://schemas.microsoft.com/office/drawing/2014/main" id="{382D9398-4058-4A3A-B400-A461A6236EB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76250" y="2152650"/>
          <a:ext cx="8782050" cy="3276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is entered in the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4.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 on the Inputs worksheet.</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on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a:p>
          <a:endParaRPr lang="en-NZ" sz="1100" b="0">
            <a:latin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ver\Documents\Steve\Workplan\Cashflow%20timing\Financial-model-EDB-DPP3-updated-draft-25-Septembe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EDB data"/>
      <sheetName val="TIMING"/>
      <sheetName val="RAB"/>
      <sheetName val="TAX"/>
      <sheetName val="BBAR"/>
      <sheetName val="MAR"/>
      <sheetName val="IRR"/>
      <sheetName val="Outputs"/>
      <sheetName val="Chartbook outputs"/>
    </sheetNames>
    <sheetDataSet>
      <sheetData sheetId="0"/>
      <sheetData sheetId="1"/>
      <sheetData sheetId="2"/>
      <sheetData sheetId="3"/>
      <sheetData sheetId="4">
        <row r="9">
          <cell r="B9">
            <v>4.5699999999999998E-2</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D22"/>
  <sheetViews>
    <sheetView showGridLines="0" tabSelected="1" topLeftCell="E1" zoomScaleNormal="100" zoomScaleSheetLayoutView="100" workbookViewId="0">
      <selection activeCell="K15" sqref="K15"/>
    </sheetView>
  </sheetViews>
  <sheetFormatPr defaultColWidth="9.140625" defaultRowHeight="15" x14ac:dyDescent="0.25"/>
  <cols>
    <col min="1" max="1" width="26.5703125" style="1" customWidth="1"/>
    <col min="2" max="2" width="43.140625" style="1" customWidth="1"/>
    <col min="3" max="3" width="32.7109375" style="1" customWidth="1"/>
    <col min="4" max="4" width="48.28515625" style="1" customWidth="1"/>
    <col min="5" max="16384" width="9.140625" style="1"/>
  </cols>
  <sheetData>
    <row r="1" spans="1:4" ht="15" customHeight="1" x14ac:dyDescent="0.25">
      <c r="A1" s="15"/>
      <c r="B1" s="16"/>
      <c r="C1" s="16"/>
      <c r="D1" s="17"/>
    </row>
    <row r="2" spans="1:4" ht="96.75" customHeight="1" x14ac:dyDescent="0.25">
      <c r="A2" s="24"/>
      <c r="B2" s="11"/>
      <c r="C2" s="11"/>
      <c r="D2" s="7"/>
    </row>
    <row r="3" spans="1:4" ht="22.5" customHeight="1" x14ac:dyDescent="0.4">
      <c r="A3" s="69" t="s">
        <v>15</v>
      </c>
      <c r="B3" s="68"/>
      <c r="C3" s="6"/>
      <c r="D3" s="5"/>
    </row>
    <row r="4" spans="1:4" ht="22.5" customHeight="1" x14ac:dyDescent="0.4">
      <c r="A4" s="25" t="s">
        <v>201</v>
      </c>
      <c r="B4" s="6"/>
      <c r="C4" s="6"/>
      <c r="D4" s="5"/>
    </row>
    <row r="5" spans="1:4" ht="22.5" customHeight="1" x14ac:dyDescent="0.4">
      <c r="A5" s="25" t="s">
        <v>230</v>
      </c>
      <c r="B5" s="6"/>
      <c r="C5" s="6"/>
      <c r="D5" s="5"/>
    </row>
    <row r="6" spans="1:4" ht="22.5" customHeight="1" x14ac:dyDescent="0.4">
      <c r="A6" s="25"/>
      <c r="B6" s="6"/>
      <c r="C6" s="6"/>
      <c r="D6" s="5"/>
    </row>
    <row r="7" spans="1:4" ht="22.5" customHeight="1" x14ac:dyDescent="0.4">
      <c r="A7" s="25"/>
      <c r="B7" s="55"/>
      <c r="C7" s="55"/>
      <c r="D7" s="5"/>
    </row>
    <row r="8" spans="1:4" x14ac:dyDescent="0.25">
      <c r="B8" s="56"/>
      <c r="C8" s="56"/>
      <c r="D8" s="5"/>
    </row>
    <row r="9" spans="1:4" x14ac:dyDescent="0.25">
      <c r="B9" s="56"/>
      <c r="C9" s="56"/>
      <c r="D9" s="5"/>
    </row>
    <row r="10" spans="1:4" x14ac:dyDescent="0.25">
      <c r="B10" s="56"/>
      <c r="C10" s="56"/>
      <c r="D10" s="5"/>
    </row>
    <row r="11" spans="1:4" ht="42" customHeight="1" x14ac:dyDescent="0.25">
      <c r="A11" s="24"/>
      <c r="B11" s="57"/>
      <c r="C11" s="57"/>
      <c r="D11" s="7"/>
    </row>
    <row r="12" spans="1:4" ht="15" customHeight="1" x14ac:dyDescent="0.25">
      <c r="A12" s="24"/>
      <c r="B12" s="18"/>
      <c r="C12" s="18"/>
      <c r="D12" s="10"/>
    </row>
    <row r="13" spans="1:4" ht="15" customHeight="1" x14ac:dyDescent="0.25">
      <c r="A13" s="9"/>
      <c r="B13" s="18"/>
      <c r="C13" s="18"/>
      <c r="D13" s="7"/>
    </row>
    <row r="14" spans="1:4" ht="15" customHeight="1" x14ac:dyDescent="0.25">
      <c r="A14" s="9"/>
      <c r="B14" s="18"/>
      <c r="C14" s="18"/>
      <c r="D14" s="7"/>
    </row>
    <row r="15" spans="1:4" ht="15" customHeight="1" x14ac:dyDescent="0.25">
      <c r="A15" s="9"/>
      <c r="B15" s="18"/>
      <c r="C15" s="18"/>
      <c r="D15" s="7"/>
    </row>
    <row r="16" spans="1:4" ht="15" customHeight="1" x14ac:dyDescent="0.25">
      <c r="A16" s="9"/>
      <c r="B16" s="18"/>
      <c r="C16" s="18"/>
      <c r="D16" s="10"/>
    </row>
    <row r="17" spans="1:4" ht="15" customHeight="1" x14ac:dyDescent="0.25">
      <c r="A17" s="9"/>
      <c r="B17" s="18"/>
      <c r="C17" s="18"/>
      <c r="D17" s="10"/>
    </row>
    <row r="18" spans="1:4" ht="15" customHeight="1" x14ac:dyDescent="0.25">
      <c r="A18" s="9"/>
      <c r="B18" s="18"/>
      <c r="C18" s="18"/>
      <c r="D18" s="7"/>
    </row>
    <row r="19" spans="1:4" ht="15" customHeight="1" x14ac:dyDescent="0.25">
      <c r="A19" s="9"/>
      <c r="B19" s="18"/>
      <c r="C19" s="18"/>
      <c r="D19" s="7"/>
    </row>
    <row r="20" spans="1:4" ht="15" customHeight="1" x14ac:dyDescent="0.25">
      <c r="A20" s="9"/>
      <c r="B20" s="18"/>
      <c r="C20" s="18"/>
      <c r="D20" s="7"/>
    </row>
    <row r="21" spans="1:4" ht="15" customHeight="1" x14ac:dyDescent="0.25">
      <c r="A21" s="187" t="s">
        <v>229</v>
      </c>
      <c r="B21" s="259"/>
      <c r="C21" s="259"/>
      <c r="D21" s="188"/>
    </row>
    <row r="22" spans="1:4" ht="15" customHeight="1" x14ac:dyDescent="0.25">
      <c r="A22" s="4"/>
      <c r="B22" s="3"/>
      <c r="C22" s="3"/>
      <c r="D22" s="2"/>
    </row>
  </sheetData>
  <sheetProtection formatColumns="0" formatRows="0"/>
  <pageMargins left="0.70866141732283472" right="0.70866141732283472" top="0.74803149606299213" bottom="0.74803149606299213" header="0.31496062992125984" footer="0.31496062992125984"/>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F21"/>
  <sheetViews>
    <sheetView showGridLines="0" zoomScaleNormal="100" zoomScaleSheetLayoutView="100" workbookViewId="0">
      <selection activeCell="B1" sqref="B1"/>
    </sheetView>
  </sheetViews>
  <sheetFormatPr defaultColWidth="9.140625" defaultRowHeight="15" x14ac:dyDescent="0.25"/>
  <cols>
    <col min="1" max="1" width="2.7109375" style="1" customWidth="1"/>
    <col min="2" max="2" width="34.7109375" style="1" customWidth="1"/>
    <col min="3" max="3" width="100.7109375" style="1" customWidth="1"/>
    <col min="4" max="5" width="14.7109375" style="1" customWidth="1"/>
    <col min="6" max="6" width="2.7109375" style="1" customWidth="1"/>
    <col min="7" max="16384" width="9.140625" style="1"/>
  </cols>
  <sheetData>
    <row r="1" spans="1:6" ht="26.25" x14ac:dyDescent="0.4">
      <c r="A1" s="12" t="s">
        <v>0</v>
      </c>
      <c r="B1" s="8"/>
      <c r="C1" s="8"/>
      <c r="D1" s="8"/>
      <c r="E1" s="8"/>
      <c r="F1" s="8"/>
    </row>
    <row r="2" spans="1:6" x14ac:dyDescent="0.25">
      <c r="A2" s="19"/>
      <c r="C2" s="8"/>
      <c r="D2" s="8"/>
      <c r="E2" s="8"/>
      <c r="F2" s="8"/>
    </row>
    <row r="3" spans="1:6" x14ac:dyDescent="0.25">
      <c r="A3" s="8"/>
      <c r="B3" s="8"/>
      <c r="C3" s="8"/>
      <c r="D3" s="8"/>
      <c r="E3" s="8"/>
      <c r="F3" s="8"/>
    </row>
    <row r="4" spans="1:6" ht="23.25" x14ac:dyDescent="0.35">
      <c r="A4" s="8"/>
      <c r="B4" s="74" t="s">
        <v>28</v>
      </c>
      <c r="C4" s="8"/>
      <c r="D4" s="8"/>
      <c r="E4" s="8"/>
      <c r="F4" s="8"/>
    </row>
    <row r="5" spans="1:6" ht="34.5" customHeight="1" x14ac:dyDescent="0.25">
      <c r="A5" s="8"/>
      <c r="B5" s="260" t="s">
        <v>202</v>
      </c>
      <c r="C5" s="261"/>
      <c r="D5" s="261"/>
      <c r="E5" s="261"/>
      <c r="F5" s="8"/>
    </row>
    <row r="6" spans="1:6" ht="9" customHeight="1" x14ac:dyDescent="0.25">
      <c r="A6" s="8"/>
      <c r="B6" s="14"/>
      <c r="C6" s="14"/>
      <c r="D6" s="14"/>
      <c r="E6" s="14"/>
      <c r="F6" s="8"/>
    </row>
    <row r="7" spans="1:6" ht="23.25" x14ac:dyDescent="0.35">
      <c r="A7" s="8"/>
      <c r="B7" s="71" t="s">
        <v>2</v>
      </c>
      <c r="C7" s="20"/>
      <c r="D7" s="21"/>
      <c r="E7" s="22"/>
      <c r="F7" s="8"/>
    </row>
    <row r="8" spans="1:6" ht="216" customHeight="1" x14ac:dyDescent="0.25">
      <c r="A8" s="8"/>
      <c r="B8" s="70"/>
      <c r="C8" s="23"/>
      <c r="D8" s="23"/>
      <c r="E8" s="23"/>
      <c r="F8" s="8"/>
    </row>
    <row r="9" spans="1:6" x14ac:dyDescent="0.25">
      <c r="A9" s="8"/>
      <c r="B9" s="27"/>
      <c r="C9" s="27"/>
      <c r="D9" s="27"/>
      <c r="E9" s="27"/>
      <c r="F9" s="8"/>
    </row>
    <row r="10" spans="1:6" x14ac:dyDescent="0.25">
      <c r="A10" s="8"/>
      <c r="B10" s="26"/>
      <c r="C10" s="26"/>
      <c r="D10" s="26"/>
      <c r="E10" s="26"/>
      <c r="F10" s="8"/>
    </row>
    <row r="11" spans="1:6" x14ac:dyDescent="0.25">
      <c r="A11" s="8"/>
      <c r="B11" s="13"/>
      <c r="C11" s="13"/>
      <c r="D11" s="13"/>
      <c r="E11" s="13"/>
      <c r="F11" s="8"/>
    </row>
    <row r="12" spans="1:6" x14ac:dyDescent="0.25">
      <c r="A12" s="8"/>
      <c r="B12" s="8"/>
      <c r="C12" s="8"/>
      <c r="D12" s="8"/>
      <c r="E12" s="8"/>
      <c r="F12" s="8"/>
    </row>
    <row r="13" spans="1:6" x14ac:dyDescent="0.25">
      <c r="A13" s="8"/>
      <c r="B13" s="8"/>
      <c r="C13" s="8"/>
      <c r="D13" s="8"/>
      <c r="E13" s="8"/>
      <c r="F13" s="8"/>
    </row>
    <row r="14" spans="1:6" x14ac:dyDescent="0.25">
      <c r="A14" s="8"/>
      <c r="B14" s="8"/>
      <c r="C14" s="8"/>
      <c r="D14" s="8"/>
      <c r="E14" s="8"/>
      <c r="F14" s="8"/>
    </row>
    <row r="15" spans="1:6" x14ac:dyDescent="0.25">
      <c r="A15" s="8"/>
      <c r="B15" s="8"/>
      <c r="C15" s="8"/>
      <c r="D15" s="8"/>
      <c r="E15" s="8"/>
      <c r="F15" s="8"/>
    </row>
    <row r="16" spans="1:6"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row r="21" spans="1:6" x14ac:dyDescent="0.25">
      <c r="A21" s="8"/>
      <c r="B21" s="8"/>
      <c r="C21" s="8"/>
      <c r="D21" s="8"/>
      <c r="E21" s="8"/>
      <c r="F21" s="8"/>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D115"/>
  <sheetViews>
    <sheetView showGridLines="0" zoomScale="85" zoomScaleNormal="85" zoomScaleSheetLayoutView="120" workbookViewId="0">
      <pane xSplit="1" ySplit="6" topLeftCell="B7" activePane="bottomRight" state="frozen"/>
      <selection pane="topRight" activeCell="B1" sqref="B1"/>
      <selection pane="bottomLeft" activeCell="A7" sqref="A7"/>
      <selection pane="bottomRight" activeCell="A27" sqref="A27"/>
    </sheetView>
  </sheetViews>
  <sheetFormatPr defaultColWidth="9.140625" defaultRowHeight="15" x14ac:dyDescent="0.25"/>
  <cols>
    <col min="1" max="1" width="60.140625" style="31" customWidth="1"/>
    <col min="2" max="3" width="12" style="1" customWidth="1"/>
    <col min="4" max="4" width="13" style="1" customWidth="1"/>
    <col min="5" max="12" width="13.42578125" style="1" customWidth="1"/>
    <col min="13" max="13" width="15.28515625" style="1" customWidth="1"/>
    <col min="14" max="15" width="13.42578125" style="1" customWidth="1"/>
    <col min="16" max="16384" width="9.140625" style="1"/>
  </cols>
  <sheetData>
    <row r="1" spans="1:30" ht="26.25" x14ac:dyDescent="0.4">
      <c r="A1" s="12" t="s">
        <v>1</v>
      </c>
      <c r="D1" s="59"/>
      <c r="E1" s="59"/>
      <c r="F1" s="59"/>
      <c r="G1" s="59"/>
      <c r="H1" s="59"/>
      <c r="I1" s="59"/>
      <c r="J1" s="59"/>
      <c r="K1" s="59"/>
      <c r="L1" s="60"/>
      <c r="M1" s="60"/>
      <c r="N1" s="60"/>
      <c r="O1" s="60"/>
    </row>
    <row r="2" spans="1:30" x14ac:dyDescent="0.25">
      <c r="A2" s="95"/>
      <c r="D2" s="59"/>
      <c r="E2" s="59"/>
      <c r="F2" s="59"/>
      <c r="G2" s="59"/>
      <c r="H2" s="59"/>
      <c r="I2" s="59"/>
      <c r="J2" s="59"/>
      <c r="K2" s="59"/>
      <c r="L2" s="59"/>
      <c r="M2" s="59"/>
      <c r="N2" s="59"/>
      <c r="O2" s="59"/>
    </row>
    <row r="3" spans="1:30" x14ac:dyDescent="0.25">
      <c r="A3" s="72"/>
      <c r="D3" s="59"/>
      <c r="E3" s="59"/>
      <c r="F3" s="59"/>
      <c r="G3" s="59"/>
      <c r="H3" s="59"/>
      <c r="I3" s="59"/>
      <c r="J3" s="59"/>
      <c r="K3" s="59"/>
      <c r="L3" s="59"/>
      <c r="M3" s="59"/>
      <c r="N3" s="59"/>
      <c r="O3" s="59"/>
    </row>
    <row r="4" spans="1:30" ht="21" x14ac:dyDescent="0.35">
      <c r="A4" s="62" t="s">
        <v>203</v>
      </c>
      <c r="C4" s="93" t="s">
        <v>42</v>
      </c>
      <c r="D4" s="93" t="s">
        <v>65</v>
      </c>
      <c r="E4" s="93" t="s">
        <v>43</v>
      </c>
      <c r="F4" s="93" t="s">
        <v>43</v>
      </c>
      <c r="G4" s="93" t="s">
        <v>43</v>
      </c>
      <c r="H4" s="93" t="s">
        <v>43</v>
      </c>
      <c r="I4" s="93" t="s">
        <v>43</v>
      </c>
      <c r="J4" s="93" t="s">
        <v>43</v>
      </c>
      <c r="K4" s="93" t="s">
        <v>43</v>
      </c>
      <c r="L4" s="93" t="s">
        <v>43</v>
      </c>
      <c r="M4" s="93" t="s">
        <v>43</v>
      </c>
      <c r="N4" s="93" t="s">
        <v>66</v>
      </c>
      <c r="O4" s="59"/>
    </row>
    <row r="5" spans="1:30" ht="18.75" x14ac:dyDescent="0.3">
      <c r="A5" s="77"/>
      <c r="B5" s="77"/>
      <c r="C5" s="94">
        <f>$C$53</f>
        <v>40878</v>
      </c>
      <c r="D5" s="94">
        <f>$D$53</f>
        <v>41090</v>
      </c>
      <c r="E5" s="94">
        <f>$E$53</f>
        <v>41455</v>
      </c>
      <c r="F5" s="94">
        <f>$F$53</f>
        <v>41820</v>
      </c>
      <c r="G5" s="94">
        <f>$G$53</f>
        <v>42185</v>
      </c>
      <c r="H5" s="94">
        <f>$H$53</f>
        <v>42551</v>
      </c>
      <c r="I5" s="94">
        <f>$I$53</f>
        <v>42916</v>
      </c>
      <c r="J5" s="94">
        <f>$J$53</f>
        <v>43281</v>
      </c>
      <c r="K5" s="94">
        <f>$K$53</f>
        <v>43646</v>
      </c>
      <c r="L5" s="94">
        <f>$L$53</f>
        <v>44012</v>
      </c>
      <c r="M5" s="94">
        <f>$M$53</f>
        <v>44377</v>
      </c>
      <c r="N5" s="94">
        <f>N$53</f>
        <v>44561</v>
      </c>
      <c r="O5" s="59"/>
    </row>
    <row r="6" spans="1:30" s="31" customFormat="1" ht="18.75" x14ac:dyDescent="0.3">
      <c r="A6" s="52" t="s">
        <v>38</v>
      </c>
      <c r="O6" s="59"/>
      <c r="P6" s="8"/>
      <c r="Q6" s="8"/>
      <c r="R6" s="8"/>
      <c r="S6" s="8"/>
      <c r="T6" s="8"/>
      <c r="U6" s="8"/>
      <c r="V6" s="8"/>
      <c r="W6" s="8"/>
      <c r="X6" s="8"/>
      <c r="Y6" s="8"/>
      <c r="Z6" s="8"/>
      <c r="AA6" s="8"/>
      <c r="AB6" s="8"/>
      <c r="AC6" s="8"/>
      <c r="AD6" s="63"/>
    </row>
    <row r="7" spans="1:30" x14ac:dyDescent="0.25">
      <c r="A7" s="54" t="s">
        <v>60</v>
      </c>
      <c r="B7" s="54" t="s">
        <v>16</v>
      </c>
      <c r="C7" s="133"/>
      <c r="D7" s="133">
        <v>16497.531873</v>
      </c>
      <c r="E7" s="133">
        <v>34411.330964000001</v>
      </c>
      <c r="F7" s="133">
        <v>41232.312978000002</v>
      </c>
      <c r="G7" s="133">
        <v>66777.41462299999</v>
      </c>
      <c r="H7" s="133">
        <v>100606.975593</v>
      </c>
      <c r="I7" s="133">
        <v>165552.05482699999</v>
      </c>
      <c r="J7" s="133">
        <v>238309.77238400001</v>
      </c>
      <c r="K7" s="133">
        <v>333431.90610600001</v>
      </c>
      <c r="L7" s="133">
        <v>433902.34761800006</v>
      </c>
      <c r="M7" s="133">
        <v>527183.446291</v>
      </c>
      <c r="N7" s="133">
        <v>307047.77975149994</v>
      </c>
      <c r="O7" s="59"/>
      <c r="P7" s="8"/>
      <c r="Q7" s="8"/>
      <c r="R7" s="8"/>
      <c r="S7" s="8"/>
      <c r="T7" s="8"/>
      <c r="U7" s="8"/>
      <c r="V7" s="8"/>
      <c r="W7" s="8"/>
      <c r="X7" s="8"/>
      <c r="Y7" s="8"/>
      <c r="Z7" s="8"/>
      <c r="AA7" s="8"/>
      <c r="AB7" s="8"/>
      <c r="AC7" s="8"/>
      <c r="AD7" s="8"/>
    </row>
    <row r="8" spans="1:30" x14ac:dyDescent="0.25">
      <c r="A8" s="54" t="s">
        <v>204</v>
      </c>
      <c r="B8" s="54" t="s">
        <v>16</v>
      </c>
      <c r="C8" s="133">
        <v>2269034.65178</v>
      </c>
      <c r="D8" s="133"/>
      <c r="E8" s="133"/>
      <c r="F8" s="133"/>
      <c r="G8" s="133"/>
      <c r="H8" s="133"/>
      <c r="I8" s="133"/>
      <c r="J8" s="133"/>
      <c r="K8" s="133"/>
      <c r="L8" s="133"/>
      <c r="M8" s="133"/>
      <c r="N8" s="133"/>
      <c r="O8" s="59"/>
      <c r="P8" s="8"/>
      <c r="Q8" s="8"/>
      <c r="R8" s="8"/>
      <c r="S8" s="8"/>
      <c r="T8" s="8"/>
      <c r="U8" s="8"/>
      <c r="V8" s="8"/>
      <c r="W8" s="8"/>
      <c r="X8" s="8"/>
      <c r="Y8" s="8"/>
      <c r="Z8" s="8"/>
      <c r="AA8" s="8"/>
      <c r="AB8" s="8"/>
      <c r="AC8" s="8"/>
      <c r="AD8" s="8"/>
    </row>
    <row r="9" spans="1:30" x14ac:dyDescent="0.25">
      <c r="A9" s="54" t="s">
        <v>205</v>
      </c>
      <c r="B9" s="54" t="s">
        <v>16</v>
      </c>
      <c r="C9" s="133"/>
      <c r="D9" s="133">
        <v>388627.79915999965</v>
      </c>
      <c r="E9" s="133">
        <v>687809.3561300002</v>
      </c>
      <c r="F9" s="133">
        <v>625084.94761999999</v>
      </c>
      <c r="G9" s="133">
        <v>621286.62351999828</v>
      </c>
      <c r="H9" s="133">
        <v>527399.04963000561</v>
      </c>
      <c r="I9" s="133">
        <v>586942.74169999384</v>
      </c>
      <c r="J9" s="133">
        <v>802471.72977997549</v>
      </c>
      <c r="K9" s="133">
        <v>763218.04416004382</v>
      </c>
      <c r="L9" s="133">
        <v>668539.72453997971</v>
      </c>
      <c r="M9" s="133">
        <v>669287.45715160412</v>
      </c>
      <c r="N9" s="133">
        <v>566855.14364873827</v>
      </c>
      <c r="O9" s="59"/>
      <c r="P9" s="8"/>
      <c r="Q9" s="8"/>
      <c r="R9" s="8"/>
      <c r="S9" s="8"/>
      <c r="T9" s="8"/>
      <c r="U9" s="8"/>
      <c r="V9" s="8"/>
      <c r="W9" s="8"/>
      <c r="X9" s="8"/>
      <c r="Y9" s="8"/>
      <c r="Z9" s="8"/>
      <c r="AA9" s="8"/>
      <c r="AB9" s="8"/>
      <c r="AC9" s="8"/>
      <c r="AD9" s="8"/>
    </row>
    <row r="10" spans="1:30" x14ac:dyDescent="0.25">
      <c r="A10" s="54" t="s">
        <v>206</v>
      </c>
      <c r="B10" s="54" t="s">
        <v>16</v>
      </c>
      <c r="C10" s="133">
        <v>31660.431258072822</v>
      </c>
      <c r="D10" s="133"/>
      <c r="E10" s="133"/>
      <c r="F10" s="133"/>
      <c r="G10" s="133"/>
      <c r="H10" s="133"/>
      <c r="I10" s="133"/>
      <c r="J10" s="133"/>
      <c r="K10" s="133"/>
      <c r="L10" s="133"/>
      <c r="M10" s="133"/>
      <c r="N10" s="133"/>
      <c r="O10" s="59"/>
      <c r="P10" s="8"/>
      <c r="Q10" s="8"/>
      <c r="R10" s="8"/>
      <c r="S10" s="8"/>
      <c r="T10" s="8"/>
      <c r="U10" s="8"/>
      <c r="V10" s="8"/>
      <c r="W10" s="8"/>
      <c r="X10" s="8"/>
      <c r="Y10" s="8"/>
      <c r="Z10" s="8"/>
      <c r="AA10" s="8"/>
      <c r="AB10" s="8"/>
      <c r="AC10" s="8"/>
      <c r="AD10" s="8"/>
    </row>
    <row r="11" spans="1:30" x14ac:dyDescent="0.25">
      <c r="A11" s="54" t="s">
        <v>225</v>
      </c>
      <c r="B11" s="54" t="s">
        <v>16</v>
      </c>
      <c r="C11" s="133"/>
      <c r="D11" s="133">
        <v>139082.17695616727</v>
      </c>
      <c r="E11" s="133">
        <v>423687.6684495919</v>
      </c>
      <c r="F11" s="133">
        <v>417825.89649912406</v>
      </c>
      <c r="G11" s="133">
        <v>467068.24258278275</v>
      </c>
      <c r="H11" s="133">
        <v>376763.37081148016</v>
      </c>
      <c r="I11" s="133">
        <v>450907.81133290194</v>
      </c>
      <c r="J11" s="133">
        <v>523965.99335277092</v>
      </c>
      <c r="K11" s="133">
        <v>637156.02389413596</v>
      </c>
      <c r="L11" s="133">
        <v>523418.67334551597</v>
      </c>
      <c r="M11" s="133">
        <v>593450.04853671195</v>
      </c>
      <c r="N11" s="133">
        <v>251286.57455227058</v>
      </c>
      <c r="O11" s="59"/>
      <c r="P11" s="8"/>
      <c r="Q11" s="8"/>
      <c r="R11" s="8"/>
      <c r="S11" s="8"/>
      <c r="T11" s="8"/>
      <c r="U11" s="8"/>
      <c r="V11" s="8"/>
      <c r="W11" s="8"/>
      <c r="X11" s="8"/>
      <c r="Y11" s="8"/>
      <c r="Z11" s="8"/>
      <c r="AA11" s="8"/>
      <c r="AB11" s="8"/>
      <c r="AC11" s="8"/>
      <c r="AD11" s="8"/>
    </row>
    <row r="12" spans="1:30" x14ac:dyDescent="0.25">
      <c r="A12" s="54" t="s">
        <v>57</v>
      </c>
      <c r="B12" s="54" t="s">
        <v>16</v>
      </c>
      <c r="C12" s="133"/>
      <c r="D12" s="133">
        <v>4209.5756392641961</v>
      </c>
      <c r="E12" s="133">
        <v>7004.1273068820237</v>
      </c>
      <c r="F12" s="133">
        <v>14243.424779774905</v>
      </c>
      <c r="G12" s="133">
        <v>23914.041072084903</v>
      </c>
      <c r="H12" s="133">
        <v>31451.779832392214</v>
      </c>
      <c r="I12" s="133">
        <v>39324.360070347786</v>
      </c>
      <c r="J12" s="133">
        <v>52619.257916583541</v>
      </c>
      <c r="K12" s="133">
        <v>53822.575132802485</v>
      </c>
      <c r="L12" s="133">
        <v>46666.256891124722</v>
      </c>
      <c r="M12" s="133">
        <v>30041.253928732873</v>
      </c>
      <c r="N12" s="133">
        <v>0</v>
      </c>
      <c r="O12" s="59"/>
      <c r="P12" s="8"/>
      <c r="Q12" s="8"/>
      <c r="R12" s="8"/>
      <c r="S12" s="8"/>
      <c r="T12" s="8"/>
      <c r="U12" s="8"/>
      <c r="V12" s="8"/>
      <c r="W12" s="8"/>
      <c r="X12" s="8"/>
      <c r="Y12" s="8"/>
      <c r="Z12" s="8"/>
      <c r="AA12" s="8"/>
      <c r="AB12" s="8"/>
      <c r="AC12" s="8"/>
      <c r="AD12" s="8"/>
    </row>
    <row r="13" spans="1:30" x14ac:dyDescent="0.25">
      <c r="A13" s="163" t="s">
        <v>58</v>
      </c>
      <c r="B13" s="54" t="s">
        <v>16</v>
      </c>
      <c r="C13" s="133"/>
      <c r="D13" s="133">
        <v>16921.797740260368</v>
      </c>
      <c r="E13" s="133">
        <v>37856.196697825442</v>
      </c>
      <c r="F13" s="133">
        <v>41391.841912588439</v>
      </c>
      <c r="G13" s="133">
        <v>76123.426147037797</v>
      </c>
      <c r="H13" s="133">
        <v>100710.04524436803</v>
      </c>
      <c r="I13" s="133">
        <v>109011.3577288166</v>
      </c>
      <c r="J13" s="133">
        <v>110564.91960386111</v>
      </c>
      <c r="K13" s="133">
        <v>131914.64681931533</v>
      </c>
      <c r="L13" s="133">
        <v>140370.96450075461</v>
      </c>
      <c r="M13" s="133">
        <v>160565.02799788999</v>
      </c>
      <c r="N13" s="133">
        <v>87595.613097413108</v>
      </c>
      <c r="O13" s="59"/>
      <c r="P13" s="8"/>
      <c r="Q13" s="8"/>
      <c r="R13" s="8"/>
      <c r="S13" s="8"/>
      <c r="T13" s="8"/>
      <c r="U13" s="8"/>
      <c r="V13" s="8"/>
      <c r="W13" s="8"/>
      <c r="X13" s="8"/>
      <c r="Y13" s="8"/>
      <c r="Z13" s="8"/>
      <c r="AA13" s="8"/>
      <c r="AB13" s="8"/>
      <c r="AC13" s="8"/>
      <c r="AD13" s="8"/>
    </row>
    <row r="14" spans="1:30" x14ac:dyDescent="0.25">
      <c r="A14" s="41"/>
      <c r="B14" s="65"/>
      <c r="C14" s="141"/>
      <c r="D14" s="89"/>
      <c r="E14" s="89"/>
      <c r="F14" s="89"/>
      <c r="G14" s="89"/>
      <c r="H14" s="89"/>
      <c r="I14" s="89"/>
      <c r="J14" s="89"/>
      <c r="K14" s="89"/>
      <c r="L14" s="89"/>
      <c r="M14" s="89"/>
      <c r="N14" s="89"/>
      <c r="O14" s="59"/>
    </row>
    <row r="15" spans="1:30" ht="18.75" x14ac:dyDescent="0.3">
      <c r="A15" s="47" t="s">
        <v>183</v>
      </c>
      <c r="B15" s="58"/>
      <c r="C15" s="142"/>
      <c r="D15" s="142"/>
      <c r="E15" s="142"/>
      <c r="F15" s="142"/>
      <c r="G15" s="142"/>
      <c r="H15" s="142"/>
      <c r="I15" s="142"/>
      <c r="J15" s="142"/>
      <c r="K15" s="142"/>
      <c r="L15" s="89"/>
      <c r="M15" s="89"/>
      <c r="N15" s="89"/>
      <c r="O15" s="59"/>
    </row>
    <row r="16" spans="1:30" x14ac:dyDescent="0.25">
      <c r="A16" s="54" t="s">
        <v>87</v>
      </c>
      <c r="B16" s="54" t="s">
        <v>16</v>
      </c>
      <c r="C16" s="133"/>
      <c r="D16" s="133">
        <v>203305.86018671046</v>
      </c>
      <c r="E16" s="133">
        <v>332723.4450913333</v>
      </c>
      <c r="F16" s="133">
        <v>332122.06299333315</v>
      </c>
      <c r="G16" s="133">
        <v>341840.98166166659</v>
      </c>
      <c r="H16" s="133">
        <v>334554.66231266689</v>
      </c>
      <c r="I16" s="133">
        <v>350392.55055565608</v>
      </c>
      <c r="J16" s="133">
        <v>394455.85863866733</v>
      </c>
      <c r="K16" s="133">
        <v>403115.65758966858</v>
      </c>
      <c r="L16" s="133">
        <v>410677.54419000295</v>
      </c>
      <c r="M16" s="133">
        <v>424358.41613394406</v>
      </c>
      <c r="N16" s="133">
        <v>229736.05167209101</v>
      </c>
      <c r="O16" s="59"/>
    </row>
    <row r="17" spans="1:15" x14ac:dyDescent="0.25">
      <c r="A17" s="54" t="s">
        <v>70</v>
      </c>
      <c r="B17" s="54" t="s">
        <v>16</v>
      </c>
      <c r="C17" s="133"/>
      <c r="D17" s="133">
        <v>5383.7079918809704</v>
      </c>
      <c r="E17" s="133">
        <v>24922.057463206107</v>
      </c>
      <c r="F17" s="133">
        <v>49461.759873637573</v>
      </c>
      <c r="G17" s="133">
        <v>84922.681724193943</v>
      </c>
      <c r="H17" s="133">
        <v>116189.84565273838</v>
      </c>
      <c r="I17" s="133">
        <v>142816.28130299292</v>
      </c>
      <c r="J17" s="133">
        <v>154982.42725595305</v>
      </c>
      <c r="K17" s="133">
        <v>178459.63543446292</v>
      </c>
      <c r="L17" s="133">
        <v>209154.78556616636</v>
      </c>
      <c r="M17" s="133">
        <v>235107.94223403765</v>
      </c>
      <c r="N17" s="133">
        <v>133777.18097379923</v>
      </c>
      <c r="O17" s="59"/>
    </row>
    <row r="18" spans="1:15" x14ac:dyDescent="0.25">
      <c r="D18" s="89"/>
      <c r="E18" s="89"/>
      <c r="F18" s="89"/>
      <c r="G18" s="89"/>
      <c r="H18" s="89"/>
      <c r="I18" s="89"/>
      <c r="J18" s="89"/>
      <c r="K18" s="89"/>
      <c r="L18" s="89"/>
      <c r="M18" s="89"/>
      <c r="N18" s="89"/>
      <c r="O18" s="59"/>
    </row>
    <row r="19" spans="1:15" ht="18.75" x14ac:dyDescent="0.3">
      <c r="A19" s="47" t="s">
        <v>182</v>
      </c>
      <c r="D19" s="89"/>
      <c r="E19" s="89"/>
      <c r="F19" s="89"/>
      <c r="G19" s="89"/>
      <c r="H19" s="89"/>
      <c r="I19" s="89"/>
      <c r="J19" s="89"/>
      <c r="K19" s="89"/>
      <c r="L19" s="89"/>
      <c r="M19" s="89"/>
      <c r="N19" s="89"/>
      <c r="O19" s="59"/>
    </row>
    <row r="20" spans="1:15" x14ac:dyDescent="0.25">
      <c r="A20" s="54" t="s">
        <v>208</v>
      </c>
      <c r="B20" s="54" t="s">
        <v>16</v>
      </c>
      <c r="C20" s="133">
        <v>1720874.0362200001</v>
      </c>
      <c r="D20" s="133"/>
      <c r="E20" s="133"/>
      <c r="F20" s="133"/>
      <c r="G20" s="133"/>
      <c r="H20" s="133"/>
      <c r="I20" s="133"/>
      <c r="J20" s="133"/>
      <c r="K20" s="133"/>
      <c r="L20" s="133"/>
      <c r="M20" s="133"/>
      <c r="N20" s="133"/>
      <c r="O20" s="59"/>
    </row>
    <row r="21" spans="1:15" x14ac:dyDescent="0.25">
      <c r="A21" s="54" t="s">
        <v>207</v>
      </c>
      <c r="B21" s="54" t="s">
        <v>16</v>
      </c>
      <c r="C21" s="133">
        <v>24777.630377695183</v>
      </c>
      <c r="D21" s="133"/>
      <c r="E21" s="133"/>
      <c r="F21" s="133"/>
      <c r="G21" s="133"/>
      <c r="H21" s="133"/>
      <c r="I21" s="133"/>
      <c r="J21" s="133"/>
      <c r="K21" s="133"/>
      <c r="L21" s="133"/>
      <c r="M21" s="133"/>
      <c r="N21" s="133"/>
      <c r="O21" s="59"/>
    </row>
    <row r="22" spans="1:15" x14ac:dyDescent="0.25">
      <c r="A22" s="54" t="s">
        <v>224</v>
      </c>
      <c r="B22" s="54" t="s">
        <v>16</v>
      </c>
      <c r="C22" s="133"/>
      <c r="D22" s="133">
        <v>257494.88628000001</v>
      </c>
      <c r="E22" s="133">
        <v>689794.65891000035</v>
      </c>
      <c r="F22" s="133">
        <v>637080.12047999958</v>
      </c>
      <c r="G22" s="133">
        <v>649066.95363999438</v>
      </c>
      <c r="H22" s="133">
        <v>549858.35795999807</v>
      </c>
      <c r="I22" s="133">
        <v>603368.46125000459</v>
      </c>
      <c r="J22" s="133">
        <v>719544.44072001299</v>
      </c>
      <c r="K22" s="133">
        <v>778303.67083000438</v>
      </c>
      <c r="L22" s="133">
        <v>682668.16201997537</v>
      </c>
      <c r="M22" s="133">
        <v>669287.45715160412</v>
      </c>
      <c r="N22" s="133">
        <v>566855.14364873827</v>
      </c>
      <c r="O22" s="59"/>
    </row>
    <row r="23" spans="1:15" x14ac:dyDescent="0.25">
      <c r="A23" s="54" t="s">
        <v>226</v>
      </c>
      <c r="B23" s="54" t="s">
        <v>16</v>
      </c>
      <c r="C23" s="32"/>
      <c r="D23" s="133">
        <v>139155.55199538785</v>
      </c>
      <c r="E23" s="133">
        <v>424680.82068168593</v>
      </c>
      <c r="F23" s="133">
        <v>423668.16462903225</v>
      </c>
      <c r="G23" s="133">
        <v>488276.52617305994</v>
      </c>
      <c r="H23" s="133">
        <v>388033.77543684596</v>
      </c>
      <c r="I23" s="133">
        <v>468078.63382906513</v>
      </c>
      <c r="J23" s="133">
        <v>505620.71224495984</v>
      </c>
      <c r="K23" s="133">
        <v>646753.19580132433</v>
      </c>
      <c r="L23" s="133">
        <v>536276.05767642753</v>
      </c>
      <c r="M23" s="133">
        <v>593450.04853671195</v>
      </c>
      <c r="N23" s="133">
        <v>251286.57455227058</v>
      </c>
      <c r="O23" s="59"/>
    </row>
    <row r="24" spans="1:15" x14ac:dyDescent="0.25">
      <c r="A24" s="54" t="s">
        <v>227</v>
      </c>
      <c r="B24" s="54" t="s">
        <v>16</v>
      </c>
      <c r="C24" s="32"/>
      <c r="D24" s="133">
        <v>17116.446689967615</v>
      </c>
      <c r="E24" s="133">
        <v>38775.516098672451</v>
      </c>
      <c r="F24" s="133">
        <v>50443.199881392167</v>
      </c>
      <c r="G24" s="133">
        <v>86774.934718839533</v>
      </c>
      <c r="H24" s="133">
        <v>107511.70291674967</v>
      </c>
      <c r="I24" s="133">
        <v>172388.28472725282</v>
      </c>
      <c r="J24" s="133">
        <v>245169.1505022702</v>
      </c>
      <c r="K24" s="133">
        <v>342165.4907870263</v>
      </c>
      <c r="L24" s="133">
        <v>445309.65151830873</v>
      </c>
      <c r="M24" s="133">
        <v>536053.02980895794</v>
      </c>
      <c r="N24" s="133">
        <v>311559.13508736086</v>
      </c>
      <c r="O24" s="59"/>
    </row>
    <row r="25" spans="1:15" x14ac:dyDescent="0.25">
      <c r="A25" s="54" t="s">
        <v>228</v>
      </c>
      <c r="B25" s="54" t="s">
        <v>16</v>
      </c>
      <c r="C25" s="32"/>
      <c r="D25" s="133">
        <v>17007.999230597918</v>
      </c>
      <c r="E25" s="133">
        <v>37932.478214647017</v>
      </c>
      <c r="F25" s="133">
        <v>41744.485320108572</v>
      </c>
      <c r="G25" s="133">
        <v>76269.940789042783</v>
      </c>
      <c r="H25" s="133">
        <v>100186.36413289921</v>
      </c>
      <c r="I25" s="133">
        <v>106698.96640705342</v>
      </c>
      <c r="J25" s="133">
        <v>122079.61277183953</v>
      </c>
      <c r="K25" s="133">
        <v>142622.3912838836</v>
      </c>
      <c r="L25" s="133">
        <v>161191.19744453233</v>
      </c>
      <c r="M25" s="133">
        <v>174306.69523621726</v>
      </c>
      <c r="N25" s="133">
        <v>95091.442693390505</v>
      </c>
      <c r="O25" s="59"/>
    </row>
    <row r="26" spans="1:15" x14ac:dyDescent="0.25">
      <c r="A26" s="54" t="s">
        <v>84</v>
      </c>
      <c r="B26" s="54" t="s">
        <v>16</v>
      </c>
      <c r="C26" s="32"/>
      <c r="D26" s="133">
        <v>213976.4827113116</v>
      </c>
      <c r="E26" s="133">
        <v>328727.94149098342</v>
      </c>
      <c r="F26" s="133">
        <v>324089.68540475419</v>
      </c>
      <c r="G26" s="133">
        <v>351042.968705495</v>
      </c>
      <c r="H26" s="133">
        <v>363340.17474655592</v>
      </c>
      <c r="I26" s="133">
        <v>386423.40836034965</v>
      </c>
      <c r="J26" s="133">
        <v>457690.73467684758</v>
      </c>
      <c r="K26" s="133">
        <v>463500.03561285249</v>
      </c>
      <c r="L26" s="133">
        <v>465290.48264989129</v>
      </c>
      <c r="M26" s="133">
        <v>424605.44137150305</v>
      </c>
      <c r="N26" s="133">
        <v>213697.99174768847</v>
      </c>
      <c r="O26" s="59"/>
    </row>
    <row r="27" spans="1:15" x14ac:dyDescent="0.25">
      <c r="A27" s="54" t="s">
        <v>85</v>
      </c>
      <c r="B27" s="54" t="s">
        <v>16</v>
      </c>
      <c r="C27" s="32"/>
      <c r="D27" s="133">
        <v>7686.8180500662074</v>
      </c>
      <c r="E27" s="133">
        <v>44713.581697292888</v>
      </c>
      <c r="F27" s="133">
        <v>88357.411663942199</v>
      </c>
      <c r="G27" s="133">
        <v>142910.26812917448</v>
      </c>
      <c r="H27" s="133">
        <v>182805.08948065314</v>
      </c>
      <c r="I27" s="133">
        <v>216377.71975255327</v>
      </c>
      <c r="J27" s="133">
        <v>245910.95652273361</v>
      </c>
      <c r="K27" s="133">
        <v>287150.9234735521</v>
      </c>
      <c r="L27" s="133">
        <v>315197.53254243097</v>
      </c>
      <c r="M27" s="133">
        <v>302512.06805916433</v>
      </c>
      <c r="N27" s="133">
        <v>157677.42377755407</v>
      </c>
      <c r="O27" s="59"/>
    </row>
    <row r="28" spans="1:15" x14ac:dyDescent="0.25">
      <c r="A28" s="54" t="s">
        <v>152</v>
      </c>
      <c r="B28" s="54" t="s">
        <v>16</v>
      </c>
      <c r="D28" s="133">
        <v>3340.6647139827905</v>
      </c>
      <c r="E28" s="133">
        <v>4906.0784704413418</v>
      </c>
      <c r="F28" s="133">
        <v>10470.968841136813</v>
      </c>
      <c r="G28" s="133">
        <v>17802.215867276431</v>
      </c>
      <c r="H28" s="133">
        <v>24028.792287453412</v>
      </c>
      <c r="I28" s="133">
        <v>31450.633596159219</v>
      </c>
      <c r="J28" s="133">
        <v>41258.415946233035</v>
      </c>
      <c r="K28" s="133">
        <v>41741.446279596807</v>
      </c>
      <c r="L28" s="133">
        <v>36717.803560306071</v>
      </c>
      <c r="M28" s="133">
        <v>24478.186259815215</v>
      </c>
      <c r="N28" s="133">
        <v>0</v>
      </c>
      <c r="O28" s="59"/>
    </row>
    <row r="29" spans="1:15" x14ac:dyDescent="0.25">
      <c r="A29" s="54" t="s">
        <v>26</v>
      </c>
      <c r="B29" s="33" t="s">
        <v>18</v>
      </c>
      <c r="C29" s="67">
        <v>0.28000000000000003</v>
      </c>
      <c r="D29" s="135">
        <v>0.28000000000000003</v>
      </c>
      <c r="E29" s="135">
        <v>0.28000000000000003</v>
      </c>
      <c r="F29" s="135">
        <v>0.28000000000000003</v>
      </c>
      <c r="G29" s="135">
        <v>0.28000000000000003</v>
      </c>
      <c r="H29" s="135">
        <v>0.28000000000000003</v>
      </c>
      <c r="I29" s="135">
        <v>0.28000000000000003</v>
      </c>
      <c r="J29" s="135">
        <v>0.28000000000000003</v>
      </c>
      <c r="K29" s="135">
        <v>0.28000000000000003</v>
      </c>
      <c r="L29" s="135">
        <v>0.28000000000000003</v>
      </c>
      <c r="M29" s="135">
        <v>0.28000000000000003</v>
      </c>
      <c r="N29" s="135">
        <v>0.28000000000000003</v>
      </c>
      <c r="O29" s="59"/>
    </row>
    <row r="30" spans="1:15" x14ac:dyDescent="0.25">
      <c r="O30" s="59"/>
    </row>
    <row r="31" spans="1:15" ht="21" x14ac:dyDescent="0.35">
      <c r="A31" s="62" t="s">
        <v>178</v>
      </c>
      <c r="C31" s="94"/>
      <c r="D31" s="94"/>
      <c r="E31" s="94"/>
      <c r="F31" s="94"/>
      <c r="G31" s="94"/>
      <c r="H31" s="94"/>
      <c r="I31" s="94"/>
      <c r="J31" s="94"/>
      <c r="K31" s="94"/>
      <c r="L31" s="94"/>
      <c r="M31" s="94"/>
      <c r="N31" s="94"/>
      <c r="O31" s="59"/>
    </row>
    <row r="32" spans="1:15" ht="18.75" x14ac:dyDescent="0.3">
      <c r="A32" s="52"/>
      <c r="C32" s="94">
        <f>$C$53</f>
        <v>40878</v>
      </c>
      <c r="D32" s="94">
        <f t="shared" ref="D32:M32" si="0">D58</f>
        <v>40985</v>
      </c>
      <c r="E32" s="94">
        <f t="shared" si="0"/>
        <v>41274</v>
      </c>
      <c r="F32" s="94">
        <f t="shared" si="0"/>
        <v>41639</v>
      </c>
      <c r="G32" s="94">
        <f t="shared" si="0"/>
        <v>42004</v>
      </c>
      <c r="H32" s="94">
        <f t="shared" si="0"/>
        <v>42369</v>
      </c>
      <c r="I32" s="94">
        <f t="shared" si="0"/>
        <v>42735</v>
      </c>
      <c r="J32" s="94">
        <f t="shared" si="0"/>
        <v>43100</v>
      </c>
      <c r="K32" s="94">
        <f t="shared" si="0"/>
        <v>43465</v>
      </c>
      <c r="L32" s="94">
        <f t="shared" si="0"/>
        <v>43830</v>
      </c>
      <c r="M32" s="94">
        <f t="shared" si="0"/>
        <v>44196</v>
      </c>
      <c r="N32" s="94">
        <f>N58</f>
        <v>44470</v>
      </c>
      <c r="O32" s="59"/>
    </row>
    <row r="33" spans="1:15" ht="18.75" x14ac:dyDescent="0.3">
      <c r="A33" s="52" t="s">
        <v>25</v>
      </c>
      <c r="O33" s="59"/>
    </row>
    <row r="34" spans="1:15" s="89" customFormat="1" x14ac:dyDescent="0.25">
      <c r="A34" s="175" t="s">
        <v>209</v>
      </c>
      <c r="B34" s="124" t="s">
        <v>18</v>
      </c>
      <c r="C34" s="123">
        <v>3.4439355589869901E-2</v>
      </c>
      <c r="D34" s="123">
        <v>3.5926867547209723E-2</v>
      </c>
      <c r="E34" s="123">
        <v>2.9491233427637539E-2</v>
      </c>
      <c r="F34" s="123">
        <v>4.2810564262641598E-2</v>
      </c>
      <c r="G34" s="123">
        <v>3.7107340817272856E-2</v>
      </c>
      <c r="H34" s="123">
        <v>2.9666588558104414E-2</v>
      </c>
      <c r="I34" s="123">
        <v>2.7463493132139596E-2</v>
      </c>
      <c r="J34" s="123">
        <v>2.3080720370542783E-2</v>
      </c>
      <c r="K34" s="123">
        <v>2.0192888091034443E-2</v>
      </c>
      <c r="L34" s="123">
        <v>1.269775575319749E-2</v>
      </c>
      <c r="M34" s="123">
        <v>4.1481536760010857E-3</v>
      </c>
      <c r="N34" s="123">
        <v>1.552481461E-2</v>
      </c>
      <c r="O34" s="59"/>
    </row>
    <row r="35" spans="1:15" x14ac:dyDescent="0.25">
      <c r="A35" s="160" t="s">
        <v>4</v>
      </c>
      <c r="B35" s="61"/>
      <c r="C35" s="99">
        <v>0.5</v>
      </c>
      <c r="D35" s="99">
        <v>0.5</v>
      </c>
      <c r="E35" s="99">
        <v>0.5</v>
      </c>
      <c r="F35" s="99">
        <v>0.5</v>
      </c>
      <c r="G35" s="130">
        <v>0.5</v>
      </c>
      <c r="H35" s="130">
        <v>0.5</v>
      </c>
      <c r="I35" s="130">
        <v>0.5</v>
      </c>
      <c r="J35" s="130">
        <v>0.5</v>
      </c>
      <c r="K35" s="130">
        <v>0.5</v>
      </c>
      <c r="L35" s="130">
        <v>0.5</v>
      </c>
      <c r="M35" s="130">
        <v>0.5</v>
      </c>
      <c r="N35" s="99">
        <v>0.5</v>
      </c>
      <c r="O35" s="59"/>
    </row>
    <row r="36" spans="1:15" x14ac:dyDescent="0.25">
      <c r="A36" s="160" t="s">
        <v>5</v>
      </c>
      <c r="B36" s="34"/>
      <c r="C36" s="99">
        <v>0.7</v>
      </c>
      <c r="D36" s="99">
        <v>0.7</v>
      </c>
      <c r="E36" s="99">
        <v>0.7</v>
      </c>
      <c r="F36" s="99">
        <v>0.7</v>
      </c>
      <c r="G36" s="130">
        <v>0.7</v>
      </c>
      <c r="H36" s="130">
        <v>0.7</v>
      </c>
      <c r="I36" s="130">
        <v>0.7</v>
      </c>
      <c r="J36" s="130">
        <v>0.7</v>
      </c>
      <c r="K36" s="130">
        <v>0.7</v>
      </c>
      <c r="L36" s="130">
        <v>0.7</v>
      </c>
      <c r="M36" s="130">
        <v>0.7</v>
      </c>
      <c r="N36" s="99">
        <v>0.7</v>
      </c>
      <c r="O36" s="59"/>
    </row>
    <row r="37" spans="1:15" x14ac:dyDescent="0.25">
      <c r="A37" s="160" t="s">
        <v>6</v>
      </c>
      <c r="B37" s="61" t="s">
        <v>18</v>
      </c>
      <c r="C37" s="75">
        <v>7.0000000000000007E-2</v>
      </c>
      <c r="D37" s="75">
        <v>7.0000000000000007E-2</v>
      </c>
      <c r="E37" s="75">
        <v>7.0000000000000007E-2</v>
      </c>
      <c r="F37" s="75">
        <v>7.0000000000000007E-2</v>
      </c>
      <c r="G37" s="123">
        <v>7.0000000000000007E-2</v>
      </c>
      <c r="H37" s="123">
        <v>7.0000000000000007E-2</v>
      </c>
      <c r="I37" s="123">
        <v>7.0000000000000007E-2</v>
      </c>
      <c r="J37" s="123">
        <v>7.0000000000000007E-2</v>
      </c>
      <c r="K37" s="123">
        <v>7.0000000000000007E-2</v>
      </c>
      <c r="L37" s="123">
        <v>7.0000000000000007E-2</v>
      </c>
      <c r="M37" s="123">
        <v>7.3561643835616405E-2</v>
      </c>
      <c r="N37" s="123">
        <v>7.4999999999999997E-2</v>
      </c>
      <c r="O37" s="59"/>
    </row>
    <row r="38" spans="1:15" x14ac:dyDescent="0.25">
      <c r="A38" s="244" t="s">
        <v>7</v>
      </c>
      <c r="B38" s="85" t="s">
        <v>18</v>
      </c>
      <c r="C38" s="86">
        <v>0.28000000000000003</v>
      </c>
      <c r="D38" s="86">
        <v>0.28000000000000003</v>
      </c>
      <c r="E38" s="86">
        <v>0.28000000000000003</v>
      </c>
      <c r="F38" s="86">
        <v>0.28000000000000003</v>
      </c>
      <c r="G38" s="131">
        <v>0.28000000000000003</v>
      </c>
      <c r="H38" s="131">
        <v>0.28000000000000003</v>
      </c>
      <c r="I38" s="131">
        <v>0.28000000000000003</v>
      </c>
      <c r="J38" s="131">
        <v>0.28000000000000003</v>
      </c>
      <c r="K38" s="131">
        <v>0.28000000000000003</v>
      </c>
      <c r="L38" s="131">
        <v>0.28000000000000003</v>
      </c>
      <c r="M38" s="131">
        <v>0.28000000000000003</v>
      </c>
      <c r="N38" s="86">
        <v>0.28000000000000003</v>
      </c>
      <c r="O38" s="59"/>
    </row>
    <row r="39" spans="1:15" x14ac:dyDescent="0.25">
      <c r="A39" s="245" t="s">
        <v>25</v>
      </c>
      <c r="B39" s="83" t="s">
        <v>18</v>
      </c>
      <c r="C39" s="84">
        <f>C34*(1-C38)+C36*C37</f>
        <v>7.3796336024706324E-2</v>
      </c>
      <c r="D39" s="84">
        <f t="shared" ref="D39:N39" si="1">D34*(1-D38)+D36*D37</f>
        <v>7.4867344633991001E-2</v>
      </c>
      <c r="E39" s="84">
        <f t="shared" si="1"/>
        <v>7.0233688067899036E-2</v>
      </c>
      <c r="F39" s="84">
        <f t="shared" si="1"/>
        <v>7.9823606269101954E-2</v>
      </c>
      <c r="G39" s="84">
        <f t="shared" si="1"/>
        <v>7.5717285388436459E-2</v>
      </c>
      <c r="H39" s="84">
        <f t="shared" si="1"/>
        <v>7.0359943761835186E-2</v>
      </c>
      <c r="I39" s="84">
        <f t="shared" si="1"/>
        <v>6.8773715055140516E-2</v>
      </c>
      <c r="J39" s="84">
        <f t="shared" si="1"/>
        <v>6.5618118666790806E-2</v>
      </c>
      <c r="K39" s="84">
        <f t="shared" si="1"/>
        <v>6.35388794255448E-2</v>
      </c>
      <c r="L39" s="84">
        <f t="shared" si="1"/>
        <v>5.8142384142302196E-2</v>
      </c>
      <c r="M39" s="84">
        <f t="shared" si="1"/>
        <v>5.4479821331652266E-2</v>
      </c>
      <c r="N39" s="84">
        <f t="shared" si="1"/>
        <v>6.3677866519200002E-2</v>
      </c>
      <c r="O39" s="59"/>
    </row>
    <row r="40" spans="1:15" ht="18.75" x14ac:dyDescent="0.3">
      <c r="A40" s="52"/>
      <c r="O40" s="59"/>
    </row>
    <row r="41" spans="1:15" ht="18.75" x14ac:dyDescent="0.3">
      <c r="A41" s="52" t="s">
        <v>23</v>
      </c>
      <c r="C41" s="132"/>
      <c r="D41" s="132"/>
      <c r="E41" s="132"/>
      <c r="F41" s="132"/>
      <c r="G41" s="132"/>
      <c r="H41" s="132"/>
      <c r="I41" s="132"/>
      <c r="J41" s="132"/>
      <c r="K41" s="132"/>
      <c r="L41" s="132"/>
      <c r="M41" s="132"/>
      <c r="N41" s="132"/>
      <c r="O41" s="59"/>
    </row>
    <row r="42" spans="1:15" x14ac:dyDescent="0.25">
      <c r="A42" s="160" t="s">
        <v>209</v>
      </c>
      <c r="B42" s="61" t="s">
        <v>18</v>
      </c>
      <c r="C42" s="76">
        <f t="shared" ref="C42" si="2">C34</f>
        <v>3.4439355589869901E-2</v>
      </c>
      <c r="D42" s="76">
        <f t="shared" ref="D42:N42" si="3">D34</f>
        <v>3.5926867547209723E-2</v>
      </c>
      <c r="E42" s="76">
        <f t="shared" si="3"/>
        <v>2.9491233427637539E-2</v>
      </c>
      <c r="F42" s="76">
        <f t="shared" si="3"/>
        <v>4.2810564262641598E-2</v>
      </c>
      <c r="G42" s="115">
        <f t="shared" si="3"/>
        <v>3.7107340817272856E-2</v>
      </c>
      <c r="H42" s="115">
        <f t="shared" si="3"/>
        <v>2.9666588558104414E-2</v>
      </c>
      <c r="I42" s="115">
        <f t="shared" si="3"/>
        <v>2.7463493132139596E-2</v>
      </c>
      <c r="J42" s="115">
        <f t="shared" si="3"/>
        <v>2.3080720370542783E-2</v>
      </c>
      <c r="K42" s="115">
        <f t="shared" si="3"/>
        <v>2.0192888091034443E-2</v>
      </c>
      <c r="L42" s="115">
        <f t="shared" si="3"/>
        <v>1.269775575319749E-2</v>
      </c>
      <c r="M42" s="115">
        <f t="shared" si="3"/>
        <v>4.1481536760010857E-3</v>
      </c>
      <c r="N42" s="76">
        <f t="shared" si="3"/>
        <v>1.552481461E-2</v>
      </c>
      <c r="O42" s="59"/>
    </row>
    <row r="43" spans="1:15" x14ac:dyDescent="0.25">
      <c r="A43" s="160" t="s">
        <v>210</v>
      </c>
      <c r="B43" s="61" t="s">
        <v>18</v>
      </c>
      <c r="C43" s="123">
        <v>2.6499999999999999E-2</v>
      </c>
      <c r="D43" s="123">
        <v>2.7E-2</v>
      </c>
      <c r="E43" s="123">
        <v>2.1500000000000019E-2</v>
      </c>
      <c r="F43" s="123">
        <v>2.1000000000000001E-2</v>
      </c>
      <c r="G43" s="123">
        <v>1.7500000000000002E-2</v>
      </c>
      <c r="H43" s="123">
        <v>1.7500000000000002E-2</v>
      </c>
      <c r="I43" s="123">
        <v>1.8499999999999999E-2</v>
      </c>
      <c r="J43" s="123">
        <v>1.7999999999999999E-2</v>
      </c>
      <c r="K43" s="123">
        <v>1.9E-2</v>
      </c>
      <c r="L43" s="123">
        <v>1.55E-2</v>
      </c>
      <c r="M43" s="123">
        <v>1.4500000000000001E-2</v>
      </c>
      <c r="N43" s="123">
        <v>0.01</v>
      </c>
      <c r="O43" s="59"/>
    </row>
    <row r="44" spans="1:15" x14ac:dyDescent="0.25">
      <c r="A44" s="244" t="s">
        <v>8</v>
      </c>
      <c r="B44" s="85" t="s">
        <v>18</v>
      </c>
      <c r="C44" s="87">
        <v>1.4E-3</v>
      </c>
      <c r="D44" s="87">
        <v>1.4E-3</v>
      </c>
      <c r="E44" s="87">
        <v>1.4E-3</v>
      </c>
      <c r="F44" s="87">
        <v>1.4E-3</v>
      </c>
      <c r="G44" s="87">
        <v>1.4E-3</v>
      </c>
      <c r="H44" s="87">
        <v>1.4E-3</v>
      </c>
      <c r="I44" s="87">
        <v>1.4E-3</v>
      </c>
      <c r="J44" s="87">
        <v>1.4E-3</v>
      </c>
      <c r="K44" s="87">
        <v>1.4E-3</v>
      </c>
      <c r="L44" s="87">
        <v>1.4E-3</v>
      </c>
      <c r="M44" s="87">
        <v>1.4E-3</v>
      </c>
      <c r="N44" s="87">
        <v>1.4E-3</v>
      </c>
      <c r="O44" s="59"/>
    </row>
    <row r="45" spans="1:15" x14ac:dyDescent="0.25">
      <c r="A45" s="245" t="s">
        <v>23</v>
      </c>
      <c r="B45" s="83" t="s">
        <v>18</v>
      </c>
      <c r="C45" s="84">
        <f>C42+C43+C44</f>
        <v>6.2339355589869902E-2</v>
      </c>
      <c r="D45" s="84">
        <f t="shared" ref="D45:N45" si="4">D42+D43+D44</f>
        <v>6.4326867547209718E-2</v>
      </c>
      <c r="E45" s="84">
        <f t="shared" si="4"/>
        <v>5.239123342763756E-2</v>
      </c>
      <c r="F45" s="84">
        <f t="shared" si="4"/>
        <v>6.5210564262641602E-2</v>
      </c>
      <c r="G45" s="84">
        <f t="shared" si="4"/>
        <v>5.6007340817272856E-2</v>
      </c>
      <c r="H45" s="84">
        <f t="shared" si="4"/>
        <v>4.8566588558104418E-2</v>
      </c>
      <c r="I45" s="84">
        <f t="shared" si="4"/>
        <v>4.7363493132139597E-2</v>
      </c>
      <c r="J45" s="84">
        <f t="shared" si="4"/>
        <v>4.2480720370542777E-2</v>
      </c>
      <c r="K45" s="84">
        <f t="shared" si="4"/>
        <v>4.0592888091034438E-2</v>
      </c>
      <c r="L45" s="84">
        <f t="shared" si="4"/>
        <v>2.9597755753197487E-2</v>
      </c>
      <c r="M45" s="84">
        <f t="shared" si="4"/>
        <v>2.0048153676001084E-2</v>
      </c>
      <c r="N45" s="84">
        <f t="shared" si="4"/>
        <v>2.692481461E-2</v>
      </c>
      <c r="O45" s="59"/>
    </row>
    <row r="46" spans="1:15" ht="18.75" x14ac:dyDescent="0.3">
      <c r="A46" s="52"/>
      <c r="D46" s="48"/>
      <c r="E46" s="48"/>
      <c r="F46" s="48"/>
      <c r="G46" s="48"/>
      <c r="H46" s="48"/>
      <c r="I46" s="48"/>
      <c r="J46" s="48"/>
      <c r="K46" s="48"/>
      <c r="L46" s="48"/>
      <c r="M46" s="48"/>
      <c r="N46" s="48"/>
      <c r="O46" s="59"/>
    </row>
    <row r="47" spans="1:15" ht="18.75" x14ac:dyDescent="0.3">
      <c r="A47" s="52" t="s">
        <v>9</v>
      </c>
      <c r="O47" s="59"/>
    </row>
    <row r="48" spans="1:15" x14ac:dyDescent="0.25">
      <c r="A48" s="160" t="s">
        <v>10</v>
      </c>
      <c r="B48" s="53" t="s">
        <v>18</v>
      </c>
      <c r="C48" s="135">
        <v>0.28999999999999998</v>
      </c>
      <c r="D48" s="135">
        <v>0.28999999999999998</v>
      </c>
      <c r="E48" s="135">
        <v>0.28999999999999998</v>
      </c>
      <c r="F48" s="135">
        <v>0.28999999999999998</v>
      </c>
      <c r="G48" s="135">
        <v>0.28999999999999998</v>
      </c>
      <c r="H48" s="135">
        <v>0.28999999999999998</v>
      </c>
      <c r="I48" s="135">
        <v>0.28999999999999998</v>
      </c>
      <c r="J48" s="135">
        <v>0.28999999999999998</v>
      </c>
      <c r="K48" s="135">
        <v>0.28999999999999998</v>
      </c>
      <c r="L48" s="135">
        <v>0.28999999999999998</v>
      </c>
      <c r="M48" s="135">
        <v>0.28999999999999998</v>
      </c>
      <c r="N48" s="135">
        <v>0.28999999999999998</v>
      </c>
      <c r="O48" s="59"/>
    </row>
    <row r="49" spans="1:15" x14ac:dyDescent="0.25">
      <c r="A49" s="160"/>
      <c r="B49" s="53"/>
      <c r="C49" s="135"/>
      <c r="D49" s="135"/>
      <c r="E49" s="135"/>
      <c r="F49" s="135"/>
      <c r="G49" s="135"/>
      <c r="H49" s="135"/>
      <c r="I49" s="135"/>
      <c r="J49" s="135"/>
      <c r="K49" s="135"/>
      <c r="L49" s="135"/>
      <c r="M49" s="135"/>
      <c r="N49" s="135"/>
      <c r="O49" s="59"/>
    </row>
    <row r="50" spans="1:15" x14ac:dyDescent="0.25">
      <c r="A50" s="250" t="s">
        <v>178</v>
      </c>
      <c r="B50" s="61" t="s">
        <v>18</v>
      </c>
      <c r="C50" s="190">
        <f t="shared" ref="C50:N50" si="5">ROUND(C45*C48+C39*(1-C48),4)</f>
        <v>7.0499999999999993E-2</v>
      </c>
      <c r="D50" s="190">
        <f t="shared" si="5"/>
        <v>7.1800000000000003E-2</v>
      </c>
      <c r="E50" s="115">
        <f t="shared" si="5"/>
        <v>6.5100000000000005E-2</v>
      </c>
      <c r="F50" s="115">
        <f t="shared" si="5"/>
        <v>7.5600000000000001E-2</v>
      </c>
      <c r="G50" s="115">
        <f t="shared" si="5"/>
        <v>7.0000000000000007E-2</v>
      </c>
      <c r="H50" s="115">
        <f t="shared" si="5"/>
        <v>6.4000000000000001E-2</v>
      </c>
      <c r="I50" s="115">
        <f t="shared" si="5"/>
        <v>6.2600000000000003E-2</v>
      </c>
      <c r="J50" s="115">
        <f t="shared" si="5"/>
        <v>5.8900000000000001E-2</v>
      </c>
      <c r="K50" s="115">
        <f t="shared" si="5"/>
        <v>5.6899999999999999E-2</v>
      </c>
      <c r="L50" s="115">
        <f t="shared" si="5"/>
        <v>4.99E-2</v>
      </c>
      <c r="M50" s="115">
        <f t="shared" si="5"/>
        <v>4.4499999999999998E-2</v>
      </c>
      <c r="N50" s="115">
        <f t="shared" si="5"/>
        <v>5.2999999999999999E-2</v>
      </c>
      <c r="O50" s="59"/>
    </row>
    <row r="51" spans="1:15" x14ac:dyDescent="0.25">
      <c r="A51" s="1"/>
      <c r="O51" s="59"/>
    </row>
    <row r="52" spans="1:15" s="89" customFormat="1" ht="21" x14ac:dyDescent="0.35">
      <c r="A52" s="62" t="s">
        <v>138</v>
      </c>
      <c r="C52" s="93" t="s">
        <v>42</v>
      </c>
      <c r="D52" s="93" t="s">
        <v>65</v>
      </c>
      <c r="E52" s="93" t="s">
        <v>43</v>
      </c>
      <c r="F52" s="93" t="s">
        <v>43</v>
      </c>
      <c r="G52" s="93" t="s">
        <v>43</v>
      </c>
      <c r="H52" s="93" t="s">
        <v>43</v>
      </c>
      <c r="I52" s="93" t="s">
        <v>43</v>
      </c>
      <c r="J52" s="93" t="s">
        <v>43</v>
      </c>
      <c r="K52" s="93" t="s">
        <v>43</v>
      </c>
      <c r="L52" s="93" t="s">
        <v>43</v>
      </c>
      <c r="M52" s="93" t="s">
        <v>43</v>
      </c>
      <c r="N52" s="93" t="s">
        <v>66</v>
      </c>
      <c r="O52" s="195"/>
    </row>
    <row r="53" spans="1:15" s="89" customFormat="1" ht="15.75" customHeight="1" x14ac:dyDescent="0.25">
      <c r="A53" s="196"/>
      <c r="C53" s="94">
        <v>40878</v>
      </c>
      <c r="D53" s="94">
        <v>41090</v>
      </c>
      <c r="E53" s="94">
        <v>41455</v>
      </c>
      <c r="F53" s="94">
        <v>41820</v>
      </c>
      <c r="G53" s="94">
        <v>42185</v>
      </c>
      <c r="H53" s="94">
        <v>42551</v>
      </c>
      <c r="I53" s="94">
        <v>42916</v>
      </c>
      <c r="J53" s="94">
        <v>43281</v>
      </c>
      <c r="K53" s="94">
        <v>43646</v>
      </c>
      <c r="L53" s="94">
        <v>44012</v>
      </c>
      <c r="M53" s="94">
        <v>44377</v>
      </c>
      <c r="N53" s="94">
        <v>44561</v>
      </c>
      <c r="O53" s="195"/>
    </row>
    <row r="54" spans="1:15" s="89" customFormat="1" x14ac:dyDescent="0.25">
      <c r="A54" s="175" t="s">
        <v>69</v>
      </c>
      <c r="B54" s="127" t="s">
        <v>27</v>
      </c>
      <c r="C54" s="127"/>
      <c r="D54" s="125">
        <f>D53-C53+1</f>
        <v>213</v>
      </c>
      <c r="E54" s="125">
        <f t="shared" ref="E54:N54" si="6">E53-D53</f>
        <v>365</v>
      </c>
      <c r="F54" s="125">
        <f t="shared" si="6"/>
        <v>365</v>
      </c>
      <c r="G54" s="125">
        <f t="shared" si="6"/>
        <v>365</v>
      </c>
      <c r="H54" s="125">
        <f t="shared" si="6"/>
        <v>366</v>
      </c>
      <c r="I54" s="125">
        <f t="shared" si="6"/>
        <v>365</v>
      </c>
      <c r="J54" s="125">
        <f t="shared" si="6"/>
        <v>365</v>
      </c>
      <c r="K54" s="125">
        <f t="shared" si="6"/>
        <v>365</v>
      </c>
      <c r="L54" s="125">
        <f t="shared" si="6"/>
        <v>366</v>
      </c>
      <c r="M54" s="125">
        <f t="shared" si="6"/>
        <v>365</v>
      </c>
      <c r="N54" s="125">
        <f t="shared" si="6"/>
        <v>184</v>
      </c>
      <c r="O54" s="195"/>
    </row>
    <row r="55" spans="1:15" s="89" customFormat="1" ht="11.25" customHeight="1" x14ac:dyDescent="0.25">
      <c r="E55" s="197"/>
      <c r="F55" s="197"/>
      <c r="G55" s="197"/>
      <c r="H55" s="197"/>
      <c r="I55" s="197"/>
      <c r="J55" s="197"/>
      <c r="K55" s="197"/>
      <c r="L55" s="197"/>
      <c r="M55" s="197"/>
      <c r="O55" s="195"/>
    </row>
    <row r="56" spans="1:15" s="89" customFormat="1" ht="18.75" x14ac:dyDescent="0.3">
      <c r="A56" s="52" t="s">
        <v>48</v>
      </c>
      <c r="B56" s="246"/>
      <c r="C56" s="246"/>
      <c r="D56" s="246"/>
      <c r="E56" s="246"/>
      <c r="F56" s="246"/>
      <c r="G56" s="246"/>
      <c r="H56" s="246"/>
      <c r="I56" s="246"/>
      <c r="J56" s="246"/>
      <c r="K56" s="246"/>
      <c r="L56" s="246"/>
      <c r="M56" s="246"/>
      <c r="N56" s="246"/>
      <c r="O56" s="195"/>
    </row>
    <row r="57" spans="1:15" s="89" customFormat="1" x14ac:dyDescent="0.25">
      <c r="A57" s="175" t="s">
        <v>11</v>
      </c>
      <c r="B57" s="127" t="s">
        <v>27</v>
      </c>
      <c r="C57" s="127"/>
      <c r="D57" s="125">
        <f t="shared" ref="D57:N57" si="7">ROUNDDOWN((D54/2),0)</f>
        <v>106</v>
      </c>
      <c r="E57" s="125">
        <f t="shared" si="7"/>
        <v>182</v>
      </c>
      <c r="F57" s="125">
        <f t="shared" si="7"/>
        <v>182</v>
      </c>
      <c r="G57" s="125">
        <f t="shared" si="7"/>
        <v>182</v>
      </c>
      <c r="H57" s="125">
        <f t="shared" si="7"/>
        <v>183</v>
      </c>
      <c r="I57" s="125">
        <f t="shared" si="7"/>
        <v>182</v>
      </c>
      <c r="J57" s="125">
        <f t="shared" si="7"/>
        <v>182</v>
      </c>
      <c r="K57" s="125">
        <f t="shared" si="7"/>
        <v>182</v>
      </c>
      <c r="L57" s="125">
        <f t="shared" si="7"/>
        <v>183</v>
      </c>
      <c r="M57" s="125">
        <f t="shared" si="7"/>
        <v>182</v>
      </c>
      <c r="N57" s="125">
        <f t="shared" si="7"/>
        <v>92</v>
      </c>
      <c r="O57" s="195"/>
    </row>
    <row r="58" spans="1:15" s="89" customFormat="1" x14ac:dyDescent="0.25">
      <c r="A58" s="175" t="s">
        <v>13</v>
      </c>
      <c r="B58" s="127" t="s">
        <v>44</v>
      </c>
      <c r="C58" s="127"/>
      <c r="D58" s="177">
        <f t="shared" ref="D58:N58" si="8">D53-D57+1</f>
        <v>40985</v>
      </c>
      <c r="E58" s="177">
        <f t="shared" si="8"/>
        <v>41274</v>
      </c>
      <c r="F58" s="177">
        <f t="shared" si="8"/>
        <v>41639</v>
      </c>
      <c r="G58" s="177">
        <f t="shared" si="8"/>
        <v>42004</v>
      </c>
      <c r="H58" s="177">
        <f t="shared" si="8"/>
        <v>42369</v>
      </c>
      <c r="I58" s="177">
        <f t="shared" si="8"/>
        <v>42735</v>
      </c>
      <c r="J58" s="177">
        <f t="shared" si="8"/>
        <v>43100</v>
      </c>
      <c r="K58" s="177">
        <f t="shared" si="8"/>
        <v>43465</v>
      </c>
      <c r="L58" s="177">
        <f t="shared" si="8"/>
        <v>43830</v>
      </c>
      <c r="M58" s="177">
        <f t="shared" si="8"/>
        <v>44196</v>
      </c>
      <c r="N58" s="177">
        <f t="shared" si="8"/>
        <v>44470</v>
      </c>
      <c r="O58" s="195"/>
    </row>
    <row r="59" spans="1:15" s="89" customFormat="1" x14ac:dyDescent="0.25">
      <c r="A59" s="175" t="s">
        <v>45</v>
      </c>
      <c r="B59" s="127" t="s">
        <v>27</v>
      </c>
      <c r="C59" s="127"/>
      <c r="D59" s="125">
        <f t="shared" ref="D59:M59" si="9">$N$53-D58</f>
        <v>3576</v>
      </c>
      <c r="E59" s="125">
        <f t="shared" si="9"/>
        <v>3287</v>
      </c>
      <c r="F59" s="125">
        <f t="shared" si="9"/>
        <v>2922</v>
      </c>
      <c r="G59" s="125">
        <f t="shared" si="9"/>
        <v>2557</v>
      </c>
      <c r="H59" s="125">
        <f t="shared" si="9"/>
        <v>2192</v>
      </c>
      <c r="I59" s="125">
        <f t="shared" si="9"/>
        <v>1826</v>
      </c>
      <c r="J59" s="125">
        <f t="shared" si="9"/>
        <v>1461</v>
      </c>
      <c r="K59" s="125">
        <f t="shared" si="9"/>
        <v>1096</v>
      </c>
      <c r="L59" s="125">
        <f t="shared" si="9"/>
        <v>731</v>
      </c>
      <c r="M59" s="125">
        <f t="shared" si="9"/>
        <v>365</v>
      </c>
      <c r="N59" s="125">
        <f>$N$53-N58</f>
        <v>91</v>
      </c>
      <c r="O59" s="195"/>
    </row>
    <row r="60" spans="1:15" s="89" customFormat="1" x14ac:dyDescent="0.25">
      <c r="A60" s="175" t="s">
        <v>51</v>
      </c>
      <c r="B60" s="127" t="s">
        <v>30</v>
      </c>
      <c r="C60" s="127"/>
      <c r="D60" s="126">
        <f>D59/365.25</f>
        <v>9.7905544147843937</v>
      </c>
      <c r="E60" s="126">
        <f t="shared" ref="E60:N60" si="10">E59/365.25</f>
        <v>8.9993155373032163</v>
      </c>
      <c r="F60" s="126">
        <f t="shared" si="10"/>
        <v>8</v>
      </c>
      <c r="G60" s="126">
        <f t="shared" si="10"/>
        <v>7.0006844626967828</v>
      </c>
      <c r="H60" s="126">
        <f t="shared" si="10"/>
        <v>6.0013689253935665</v>
      </c>
      <c r="I60" s="126">
        <f t="shared" si="10"/>
        <v>4.9993155373032172</v>
      </c>
      <c r="J60" s="126">
        <f t="shared" si="10"/>
        <v>4</v>
      </c>
      <c r="K60" s="126">
        <f t="shared" si="10"/>
        <v>3.0006844626967832</v>
      </c>
      <c r="L60" s="126">
        <f t="shared" si="10"/>
        <v>2.001368925393566</v>
      </c>
      <c r="M60" s="126">
        <f t="shared" si="10"/>
        <v>0.99931553730321698</v>
      </c>
      <c r="N60" s="126">
        <f t="shared" si="10"/>
        <v>0.24914442162902123</v>
      </c>
      <c r="O60" s="195"/>
    </row>
    <row r="61" spans="1:15" s="89" customFormat="1" ht="18.75" x14ac:dyDescent="0.3">
      <c r="A61" s="52"/>
      <c r="E61" s="197"/>
      <c r="F61" s="197"/>
      <c r="G61" s="197"/>
      <c r="H61" s="197"/>
      <c r="I61" s="197"/>
      <c r="J61" s="197"/>
      <c r="K61" s="197"/>
      <c r="L61" s="197"/>
      <c r="M61" s="197"/>
      <c r="O61" s="195"/>
    </row>
    <row r="62" spans="1:15" s="89" customFormat="1" ht="18.75" x14ac:dyDescent="0.3">
      <c r="A62" s="52" t="s">
        <v>67</v>
      </c>
      <c r="N62" s="198"/>
      <c r="O62" s="195"/>
    </row>
    <row r="63" spans="1:15" s="89" customFormat="1" x14ac:dyDescent="0.25">
      <c r="A63" s="175" t="s">
        <v>42</v>
      </c>
      <c r="B63" s="127" t="s">
        <v>44</v>
      </c>
      <c r="C63" s="177">
        <f>C53</f>
        <v>40878</v>
      </c>
      <c r="D63" s="199"/>
      <c r="E63" s="200"/>
      <c r="F63" s="200"/>
      <c r="G63" s="200"/>
      <c r="H63" s="200"/>
      <c r="I63" s="200"/>
      <c r="J63" s="200"/>
      <c r="K63" s="200"/>
      <c r="L63" s="200"/>
      <c r="M63" s="200"/>
      <c r="N63" s="200"/>
      <c r="O63" s="195"/>
    </row>
    <row r="64" spans="1:15" s="89" customFormat="1" x14ac:dyDescent="0.25">
      <c r="A64" s="175" t="s">
        <v>68</v>
      </c>
      <c r="B64" s="127" t="s">
        <v>27</v>
      </c>
      <c r="C64" s="125">
        <f>$N$53-C63+1</f>
        <v>3684</v>
      </c>
      <c r="D64" s="199"/>
      <c r="E64" s="200"/>
      <c r="F64" s="200"/>
      <c r="G64" s="200"/>
      <c r="H64" s="200"/>
      <c r="I64" s="200"/>
      <c r="J64" s="200"/>
      <c r="K64" s="200"/>
      <c r="L64" s="200"/>
      <c r="M64" s="200"/>
      <c r="N64" s="200"/>
      <c r="O64" s="195"/>
    </row>
    <row r="65" spans="1:15" s="89" customFormat="1" x14ac:dyDescent="0.25">
      <c r="A65" s="175" t="s">
        <v>51</v>
      </c>
      <c r="B65" s="127" t="s">
        <v>30</v>
      </c>
      <c r="C65" s="126">
        <f>C64/365.25</f>
        <v>10.086242299794661</v>
      </c>
      <c r="D65" s="125"/>
      <c r="E65" s="200"/>
      <c r="F65" s="200"/>
      <c r="G65" s="200"/>
      <c r="H65" s="200"/>
      <c r="I65" s="200"/>
      <c r="J65" s="200"/>
      <c r="K65" s="200"/>
      <c r="L65" s="200"/>
      <c r="M65" s="200"/>
      <c r="N65" s="200"/>
      <c r="O65" s="195"/>
    </row>
    <row r="66" spans="1:15" s="89" customFormat="1" ht="18.75" x14ac:dyDescent="0.3">
      <c r="A66" s="52"/>
      <c r="E66" s="197"/>
      <c r="F66" s="197"/>
      <c r="G66" s="197"/>
      <c r="H66" s="197"/>
      <c r="I66" s="197"/>
      <c r="J66" s="197"/>
      <c r="K66" s="197"/>
      <c r="L66" s="197"/>
      <c r="M66" s="197"/>
      <c r="O66" s="195"/>
    </row>
    <row r="67" spans="1:15" s="89" customFormat="1" ht="18.75" x14ac:dyDescent="0.3">
      <c r="A67" s="52" t="s">
        <v>47</v>
      </c>
      <c r="N67" s="198"/>
      <c r="O67" s="195"/>
    </row>
    <row r="68" spans="1:15" s="89" customFormat="1" x14ac:dyDescent="0.25">
      <c r="A68" s="175" t="s">
        <v>12</v>
      </c>
      <c r="B68" s="127" t="s">
        <v>27</v>
      </c>
      <c r="C68" s="127"/>
      <c r="D68" s="125">
        <f t="shared" ref="D68:N68" si="11">ROUNDDOWN((D53-D69),0)</f>
        <v>72</v>
      </c>
      <c r="E68" s="125">
        <f t="shared" si="11"/>
        <v>148</v>
      </c>
      <c r="F68" s="125">
        <f t="shared" si="11"/>
        <v>148</v>
      </c>
      <c r="G68" s="125">
        <f t="shared" si="11"/>
        <v>148</v>
      </c>
      <c r="H68" s="125">
        <f t="shared" si="11"/>
        <v>149</v>
      </c>
      <c r="I68" s="125">
        <f t="shared" si="11"/>
        <v>148</v>
      </c>
      <c r="J68" s="125">
        <f t="shared" si="11"/>
        <v>148</v>
      </c>
      <c r="K68" s="125">
        <f t="shared" si="11"/>
        <v>148</v>
      </c>
      <c r="L68" s="125">
        <f t="shared" si="11"/>
        <v>149</v>
      </c>
      <c r="M68" s="125">
        <f t="shared" si="11"/>
        <v>148</v>
      </c>
      <c r="N68" s="125">
        <f t="shared" si="11"/>
        <v>58</v>
      </c>
      <c r="O68" s="195"/>
    </row>
    <row r="69" spans="1:15" s="89" customFormat="1" x14ac:dyDescent="0.25">
      <c r="A69" s="175" t="s">
        <v>14</v>
      </c>
      <c r="B69" s="127" t="s">
        <v>44</v>
      </c>
      <c r="C69" s="127"/>
      <c r="D69" s="177">
        <f t="shared" ref="D69:N69" si="12">D$5-(INT(D$54/2))+34</f>
        <v>41018</v>
      </c>
      <c r="E69" s="201">
        <f t="shared" si="12"/>
        <v>41307</v>
      </c>
      <c r="F69" s="201">
        <f t="shared" si="12"/>
        <v>41672</v>
      </c>
      <c r="G69" s="201">
        <f t="shared" si="12"/>
        <v>42037</v>
      </c>
      <c r="H69" s="201">
        <f t="shared" si="12"/>
        <v>42402</v>
      </c>
      <c r="I69" s="201">
        <f t="shared" si="12"/>
        <v>42768</v>
      </c>
      <c r="J69" s="201">
        <f t="shared" si="12"/>
        <v>43133</v>
      </c>
      <c r="K69" s="201">
        <f t="shared" si="12"/>
        <v>43498</v>
      </c>
      <c r="L69" s="201">
        <f t="shared" si="12"/>
        <v>43863</v>
      </c>
      <c r="M69" s="201">
        <f t="shared" si="12"/>
        <v>44229</v>
      </c>
      <c r="N69" s="201">
        <f t="shared" si="12"/>
        <v>44503</v>
      </c>
      <c r="O69" s="195"/>
    </row>
    <row r="70" spans="1:15" s="89" customFormat="1" x14ac:dyDescent="0.25">
      <c r="A70" s="175" t="s">
        <v>46</v>
      </c>
      <c r="B70" s="127" t="s">
        <v>27</v>
      </c>
      <c r="C70" s="127"/>
      <c r="D70" s="125">
        <f t="shared" ref="D70:M70" si="13">$N$53-D69</f>
        <v>3543</v>
      </c>
      <c r="E70" s="125">
        <f t="shared" si="13"/>
        <v>3254</v>
      </c>
      <c r="F70" s="125">
        <f t="shared" si="13"/>
        <v>2889</v>
      </c>
      <c r="G70" s="125">
        <f t="shared" si="13"/>
        <v>2524</v>
      </c>
      <c r="H70" s="125">
        <f t="shared" si="13"/>
        <v>2159</v>
      </c>
      <c r="I70" s="125">
        <f t="shared" si="13"/>
        <v>1793</v>
      </c>
      <c r="J70" s="125">
        <f t="shared" si="13"/>
        <v>1428</v>
      </c>
      <c r="K70" s="125">
        <f t="shared" si="13"/>
        <v>1063</v>
      </c>
      <c r="L70" s="125">
        <f t="shared" si="13"/>
        <v>698</v>
      </c>
      <c r="M70" s="125">
        <f t="shared" si="13"/>
        <v>332</v>
      </c>
      <c r="N70" s="125">
        <f>$N$53-N69</f>
        <v>58</v>
      </c>
      <c r="O70" s="195"/>
    </row>
    <row r="71" spans="1:15" s="89" customFormat="1" x14ac:dyDescent="0.25">
      <c r="A71" s="175" t="s">
        <v>51</v>
      </c>
      <c r="B71" s="127" t="s">
        <v>30</v>
      </c>
      <c r="C71" s="127"/>
      <c r="D71" s="126">
        <f>D70/365.25</f>
        <v>9.7002053388090346</v>
      </c>
      <c r="E71" s="126">
        <f t="shared" ref="E71:M71" si="14">E70/365.25</f>
        <v>8.9089664613278572</v>
      </c>
      <c r="F71" s="126">
        <f t="shared" si="14"/>
        <v>7.9096509240246409</v>
      </c>
      <c r="G71" s="126">
        <f t="shared" si="14"/>
        <v>6.9103353867214237</v>
      </c>
      <c r="H71" s="126">
        <f t="shared" si="14"/>
        <v>5.9110198494182065</v>
      </c>
      <c r="I71" s="126">
        <f t="shared" si="14"/>
        <v>4.9089664613278572</v>
      </c>
      <c r="J71" s="126">
        <f t="shared" si="14"/>
        <v>3.9096509240246409</v>
      </c>
      <c r="K71" s="126">
        <f t="shared" si="14"/>
        <v>2.9103353867214237</v>
      </c>
      <c r="L71" s="126">
        <f t="shared" si="14"/>
        <v>1.9110198494182067</v>
      </c>
      <c r="M71" s="126">
        <f t="shared" si="14"/>
        <v>0.90896646132785763</v>
      </c>
      <c r="N71" s="126">
        <f t="shared" ref="N71" si="15">N70/365.25</f>
        <v>0.15879534565366188</v>
      </c>
      <c r="O71" s="195"/>
    </row>
    <row r="72" spans="1:15" x14ac:dyDescent="0.25">
      <c r="A72" s="51"/>
      <c r="B72" s="90"/>
      <c r="C72" s="90"/>
      <c r="D72" s="90"/>
      <c r="E72" s="78"/>
      <c r="F72" s="90"/>
      <c r="G72" s="90"/>
      <c r="H72" s="90"/>
      <c r="I72" s="90"/>
      <c r="J72" s="90"/>
      <c r="K72" s="90"/>
      <c r="L72" s="90"/>
      <c r="M72" s="90"/>
      <c r="N72" s="90"/>
      <c r="O72" s="59"/>
    </row>
    <row r="73" spans="1:15" ht="21" x14ac:dyDescent="0.35">
      <c r="A73" s="62" t="s">
        <v>137</v>
      </c>
      <c r="C73" s="93"/>
      <c r="D73" s="93"/>
      <c r="E73" s="93"/>
      <c r="F73" s="93"/>
      <c r="G73" s="93"/>
      <c r="H73" s="93"/>
      <c r="I73" s="93"/>
      <c r="J73" s="93"/>
      <c r="K73" s="93"/>
      <c r="L73" s="93"/>
      <c r="M73" s="93"/>
      <c r="N73" s="93"/>
      <c r="O73" s="59"/>
    </row>
    <row r="74" spans="1:15" ht="18.75" x14ac:dyDescent="0.3">
      <c r="A74" s="52"/>
      <c r="C74" s="94">
        <f>C53</f>
        <v>40878</v>
      </c>
      <c r="D74" s="94">
        <f t="shared" ref="D74:N74" si="16">D32</f>
        <v>40985</v>
      </c>
      <c r="E74" s="94">
        <f t="shared" si="16"/>
        <v>41274</v>
      </c>
      <c r="F74" s="94">
        <f t="shared" si="16"/>
        <v>41639</v>
      </c>
      <c r="G74" s="94">
        <f t="shared" si="16"/>
        <v>42004</v>
      </c>
      <c r="H74" s="94">
        <f t="shared" si="16"/>
        <v>42369</v>
      </c>
      <c r="I74" s="94">
        <f t="shared" si="16"/>
        <v>42735</v>
      </c>
      <c r="J74" s="94">
        <f t="shared" si="16"/>
        <v>43100</v>
      </c>
      <c r="K74" s="94">
        <f t="shared" si="16"/>
        <v>43465</v>
      </c>
      <c r="L74" s="94">
        <f t="shared" si="16"/>
        <v>43830</v>
      </c>
      <c r="M74" s="94">
        <f t="shared" si="16"/>
        <v>44196</v>
      </c>
      <c r="N74" s="94">
        <f t="shared" si="16"/>
        <v>44470</v>
      </c>
      <c r="O74" s="59"/>
    </row>
    <row r="75" spans="1:15" ht="14.25" customHeight="1" x14ac:dyDescent="0.3">
      <c r="A75" s="52"/>
      <c r="C75" s="89"/>
      <c r="D75" s="89"/>
      <c r="O75" s="59"/>
    </row>
    <row r="76" spans="1:15" ht="18.75" x14ac:dyDescent="0.3">
      <c r="A76" s="52" t="s">
        <v>170</v>
      </c>
      <c r="B76" s="61"/>
      <c r="C76" s="76"/>
      <c r="D76" s="76"/>
      <c r="E76" s="76"/>
      <c r="F76" s="76"/>
      <c r="G76" s="76"/>
      <c r="H76" s="76"/>
      <c r="I76" s="76"/>
      <c r="J76" s="76"/>
      <c r="K76" s="76"/>
      <c r="L76" s="76"/>
      <c r="M76" s="76"/>
      <c r="N76" s="76"/>
      <c r="O76" s="59"/>
    </row>
    <row r="77" spans="1:15" x14ac:dyDescent="0.25">
      <c r="A77" s="160" t="s">
        <v>51</v>
      </c>
      <c r="B77" s="90" t="s">
        <v>30</v>
      </c>
      <c r="C77" s="92"/>
      <c r="D77" s="92">
        <f t="shared" ref="D77:N77" si="17">D60</f>
        <v>9.7905544147843937</v>
      </c>
      <c r="E77" s="92">
        <f t="shared" si="17"/>
        <v>8.9993155373032163</v>
      </c>
      <c r="F77" s="92">
        <f t="shared" si="17"/>
        <v>8</v>
      </c>
      <c r="G77" s="92">
        <f t="shared" si="17"/>
        <v>7.0006844626967828</v>
      </c>
      <c r="H77" s="92">
        <f t="shared" si="17"/>
        <v>6.0013689253935665</v>
      </c>
      <c r="I77" s="92">
        <f t="shared" si="17"/>
        <v>4.9993155373032172</v>
      </c>
      <c r="J77" s="92">
        <f t="shared" si="17"/>
        <v>4</v>
      </c>
      <c r="K77" s="92">
        <f t="shared" si="17"/>
        <v>3.0006844626967832</v>
      </c>
      <c r="L77" s="92">
        <f t="shared" si="17"/>
        <v>2.001368925393566</v>
      </c>
      <c r="M77" s="92">
        <f t="shared" si="17"/>
        <v>0.99931553730321698</v>
      </c>
      <c r="N77" s="92">
        <f t="shared" si="17"/>
        <v>0.24914442162902123</v>
      </c>
      <c r="O77" s="59"/>
    </row>
    <row r="78" spans="1:15" x14ac:dyDescent="0.25">
      <c r="A78" s="160" t="s">
        <v>33</v>
      </c>
      <c r="B78" s="127" t="s">
        <v>34</v>
      </c>
      <c r="C78" s="105"/>
      <c r="D78" s="92">
        <f t="shared" ref="D78:N78" si="18">1+D50</f>
        <v>1.0718000000000001</v>
      </c>
      <c r="E78" s="92">
        <f t="shared" si="18"/>
        <v>1.0650999999999999</v>
      </c>
      <c r="F78" s="92">
        <f t="shared" si="18"/>
        <v>1.0756000000000001</v>
      </c>
      <c r="G78" s="92">
        <f t="shared" si="18"/>
        <v>1.07</v>
      </c>
      <c r="H78" s="92">
        <f t="shared" si="18"/>
        <v>1.0640000000000001</v>
      </c>
      <c r="I78" s="92">
        <f t="shared" si="18"/>
        <v>1.0626</v>
      </c>
      <c r="J78" s="92">
        <f t="shared" si="18"/>
        <v>1.0589</v>
      </c>
      <c r="K78" s="92">
        <f t="shared" si="18"/>
        <v>1.0569</v>
      </c>
      <c r="L78" s="92">
        <f t="shared" si="18"/>
        <v>1.0499000000000001</v>
      </c>
      <c r="M78" s="92">
        <f t="shared" si="18"/>
        <v>1.0445</v>
      </c>
      <c r="N78" s="92">
        <f t="shared" si="18"/>
        <v>1.0529999999999999</v>
      </c>
      <c r="O78" s="59"/>
    </row>
    <row r="79" spans="1:15" x14ac:dyDescent="0.25">
      <c r="A79" s="160" t="s">
        <v>173</v>
      </c>
      <c r="B79" s="90" t="s">
        <v>24</v>
      </c>
      <c r="C79" s="90"/>
      <c r="D79" s="92">
        <f t="shared" ref="D79:N79" si="19">D78^D77</f>
        <v>1.9716523217775115</v>
      </c>
      <c r="E79" s="92">
        <f t="shared" si="19"/>
        <v>1.76398429597453</v>
      </c>
      <c r="F79" s="92">
        <f t="shared" si="19"/>
        <v>1.7914568352908242</v>
      </c>
      <c r="G79" s="92">
        <f t="shared" si="19"/>
        <v>1.6058558416530693</v>
      </c>
      <c r="H79" s="92">
        <f t="shared" si="19"/>
        <v>1.4510642711998849</v>
      </c>
      <c r="I79" s="92">
        <f t="shared" si="19"/>
        <v>1.3546621879514464</v>
      </c>
      <c r="J79" s="92">
        <f t="shared" si="19"/>
        <v>1.2572446412940239</v>
      </c>
      <c r="K79" s="92">
        <f t="shared" si="19"/>
        <v>1.1806417697833558</v>
      </c>
      <c r="L79" s="92">
        <f t="shared" si="19"/>
        <v>1.1023634907865856</v>
      </c>
      <c r="M79" s="92">
        <f t="shared" si="19"/>
        <v>1.0444688740048842</v>
      </c>
      <c r="N79" s="126">
        <f t="shared" si="19"/>
        <v>1.0129497546107082</v>
      </c>
      <c r="O79" s="59"/>
    </row>
    <row r="80" spans="1:15" x14ac:dyDescent="0.25">
      <c r="A80" s="117"/>
      <c r="B80" s="127"/>
      <c r="C80" s="127"/>
      <c r="D80" s="96"/>
      <c r="E80" s="96"/>
      <c r="F80" s="96"/>
      <c r="G80" s="96"/>
      <c r="H80" s="96"/>
      <c r="I80" s="96"/>
      <c r="J80" s="96"/>
      <c r="K80" s="96"/>
      <c r="L80" s="96"/>
      <c r="M80" s="96"/>
      <c r="N80" s="96"/>
      <c r="O80" s="59"/>
    </row>
    <row r="81" spans="1:15" ht="18.75" x14ac:dyDescent="0.3">
      <c r="A81" s="52" t="s">
        <v>171</v>
      </c>
      <c r="B81" s="89"/>
      <c r="C81" s="89"/>
      <c r="N81" s="82"/>
      <c r="O81" s="59"/>
    </row>
    <row r="82" spans="1:15" x14ac:dyDescent="0.25">
      <c r="A82" s="175" t="s">
        <v>51</v>
      </c>
      <c r="B82" s="127" t="s">
        <v>30</v>
      </c>
      <c r="C82" s="126">
        <f>C65</f>
        <v>10.086242299794661</v>
      </c>
      <c r="D82" s="91"/>
      <c r="E82" s="88"/>
      <c r="F82" s="88"/>
      <c r="G82" s="88"/>
      <c r="H82" s="88"/>
      <c r="I82" s="88"/>
      <c r="J82" s="88"/>
      <c r="K82" s="88"/>
      <c r="L82" s="88"/>
      <c r="M82" s="88"/>
      <c r="N82" s="88"/>
      <c r="O82" s="59"/>
    </row>
    <row r="83" spans="1:15" x14ac:dyDescent="0.25">
      <c r="A83" s="175" t="s">
        <v>33</v>
      </c>
      <c r="B83" s="127" t="s">
        <v>34</v>
      </c>
      <c r="C83" s="126">
        <f>1+C50</f>
        <v>1.0705</v>
      </c>
      <c r="D83" s="106"/>
      <c r="E83" s="106"/>
      <c r="F83" s="106"/>
      <c r="G83" s="106"/>
      <c r="H83" s="106"/>
      <c r="I83" s="106"/>
      <c r="J83" s="106"/>
      <c r="K83" s="106"/>
      <c r="L83" s="106"/>
      <c r="M83" s="106"/>
      <c r="N83" s="106"/>
      <c r="O83" s="59"/>
    </row>
    <row r="84" spans="1:15" x14ac:dyDescent="0.25">
      <c r="A84" s="175" t="s">
        <v>175</v>
      </c>
      <c r="B84" s="127" t="s">
        <v>24</v>
      </c>
      <c r="C84" s="126">
        <f>C83^C82</f>
        <v>1.9880089667234626</v>
      </c>
      <c r="D84" s="106"/>
      <c r="E84" s="106"/>
      <c r="F84" s="106"/>
      <c r="G84" s="106"/>
      <c r="H84" s="106"/>
      <c r="I84" s="106"/>
      <c r="J84" s="106"/>
      <c r="K84" s="106"/>
      <c r="L84" s="106"/>
      <c r="M84" s="106"/>
      <c r="N84" s="106"/>
      <c r="O84" s="59"/>
    </row>
    <row r="85" spans="1:15" x14ac:dyDescent="0.25">
      <c r="A85" s="117"/>
      <c r="B85" s="127"/>
      <c r="C85" s="127"/>
      <c r="D85" s="127"/>
      <c r="E85" s="127"/>
      <c r="F85" s="127"/>
      <c r="G85" s="127"/>
      <c r="H85" s="127"/>
      <c r="I85" s="127"/>
      <c r="J85" s="127"/>
      <c r="K85" s="127"/>
      <c r="L85" s="127"/>
      <c r="M85" s="127"/>
      <c r="N85" s="127"/>
      <c r="O85" s="59"/>
    </row>
    <row r="86" spans="1:15" ht="18.75" x14ac:dyDescent="0.3">
      <c r="A86" s="52" t="s">
        <v>172</v>
      </c>
      <c r="N86" s="82"/>
      <c r="O86" s="59"/>
    </row>
    <row r="87" spans="1:15" x14ac:dyDescent="0.25">
      <c r="A87" s="160" t="s">
        <v>51</v>
      </c>
      <c r="B87" s="90" t="s">
        <v>30</v>
      </c>
      <c r="C87" s="90"/>
      <c r="D87" s="92">
        <f t="shared" ref="D87:N87" si="20">D71</f>
        <v>9.7002053388090346</v>
      </c>
      <c r="E87" s="92">
        <f t="shared" si="20"/>
        <v>8.9089664613278572</v>
      </c>
      <c r="F87" s="92">
        <f t="shared" si="20"/>
        <v>7.9096509240246409</v>
      </c>
      <c r="G87" s="92">
        <f t="shared" si="20"/>
        <v>6.9103353867214237</v>
      </c>
      <c r="H87" s="92">
        <f t="shared" si="20"/>
        <v>5.9110198494182065</v>
      </c>
      <c r="I87" s="92">
        <f t="shared" si="20"/>
        <v>4.9089664613278572</v>
      </c>
      <c r="J87" s="92">
        <f t="shared" si="20"/>
        <v>3.9096509240246409</v>
      </c>
      <c r="K87" s="92">
        <f t="shared" si="20"/>
        <v>2.9103353867214237</v>
      </c>
      <c r="L87" s="92">
        <f t="shared" si="20"/>
        <v>1.9110198494182067</v>
      </c>
      <c r="M87" s="92">
        <f t="shared" si="20"/>
        <v>0.90896646132785763</v>
      </c>
      <c r="N87" s="92">
        <f t="shared" si="20"/>
        <v>0.15879534565366188</v>
      </c>
      <c r="O87" s="59"/>
    </row>
    <row r="88" spans="1:15" x14ac:dyDescent="0.25">
      <c r="A88" s="160" t="s">
        <v>33</v>
      </c>
      <c r="B88" s="90" t="s">
        <v>34</v>
      </c>
      <c r="C88" s="90"/>
      <c r="D88" s="92">
        <f t="shared" ref="D88:N88" si="21">1+D50</f>
        <v>1.0718000000000001</v>
      </c>
      <c r="E88" s="92">
        <f t="shared" si="21"/>
        <v>1.0650999999999999</v>
      </c>
      <c r="F88" s="92">
        <f t="shared" si="21"/>
        <v>1.0756000000000001</v>
      </c>
      <c r="G88" s="92">
        <f t="shared" si="21"/>
        <v>1.07</v>
      </c>
      <c r="H88" s="92">
        <f t="shared" si="21"/>
        <v>1.0640000000000001</v>
      </c>
      <c r="I88" s="92">
        <f t="shared" si="21"/>
        <v>1.0626</v>
      </c>
      <c r="J88" s="92">
        <f t="shared" si="21"/>
        <v>1.0589</v>
      </c>
      <c r="K88" s="92">
        <f t="shared" si="21"/>
        <v>1.0569</v>
      </c>
      <c r="L88" s="92">
        <f t="shared" si="21"/>
        <v>1.0499000000000001</v>
      </c>
      <c r="M88" s="92">
        <f t="shared" si="21"/>
        <v>1.0445</v>
      </c>
      <c r="N88" s="92">
        <f t="shared" si="21"/>
        <v>1.0529999999999999</v>
      </c>
      <c r="O88" s="59"/>
    </row>
    <row r="89" spans="1:15" x14ac:dyDescent="0.25">
      <c r="A89" s="160" t="s">
        <v>176</v>
      </c>
      <c r="B89" s="90" t="s">
        <v>24</v>
      </c>
      <c r="C89" s="90"/>
      <c r="D89" s="92">
        <f t="shared" ref="D89:N89" si="22">D88^D87</f>
        <v>1.9593390078055666</v>
      </c>
      <c r="E89" s="92">
        <f t="shared" si="22"/>
        <v>1.7539613476843365</v>
      </c>
      <c r="F89" s="92">
        <f t="shared" si="22"/>
        <v>1.7796997050243895</v>
      </c>
      <c r="G89" s="92">
        <f t="shared" si="22"/>
        <v>1.5960693536738424</v>
      </c>
      <c r="H89" s="92">
        <f t="shared" si="22"/>
        <v>1.4429540372853003</v>
      </c>
      <c r="I89" s="92">
        <f t="shared" si="22"/>
        <v>1.3472510185593161</v>
      </c>
      <c r="J89" s="92">
        <f t="shared" si="22"/>
        <v>1.2507605408411417</v>
      </c>
      <c r="K89" s="92">
        <f t="shared" si="22"/>
        <v>1.1747533807929349</v>
      </c>
      <c r="L89" s="92">
        <f t="shared" si="22"/>
        <v>1.0975242502539282</v>
      </c>
      <c r="M89" s="92">
        <f t="shared" si="22"/>
        <v>1.0403683741122254</v>
      </c>
      <c r="N89" s="126">
        <f t="shared" si="22"/>
        <v>1.0082344229478826</v>
      </c>
      <c r="O89" s="59"/>
    </row>
    <row r="90" spans="1:15" x14ac:dyDescent="0.25">
      <c r="A90" s="51"/>
      <c r="B90" s="90"/>
      <c r="C90" s="90"/>
      <c r="D90" s="136"/>
      <c r="E90" s="136"/>
      <c r="F90" s="136"/>
      <c r="G90" s="136"/>
      <c r="H90" s="136"/>
      <c r="I90" s="136"/>
      <c r="J90" s="136"/>
      <c r="K90" s="136"/>
      <c r="L90" s="136"/>
      <c r="M90" s="136"/>
      <c r="N90" s="136"/>
      <c r="O90" s="59"/>
    </row>
    <row r="91" spans="1:15" ht="21" x14ac:dyDescent="0.35">
      <c r="A91" s="62" t="s">
        <v>19</v>
      </c>
      <c r="C91" s="93" t="s">
        <v>42</v>
      </c>
      <c r="D91" s="93" t="s">
        <v>65</v>
      </c>
      <c r="E91" s="93" t="s">
        <v>43</v>
      </c>
      <c r="F91" s="93" t="s">
        <v>43</v>
      </c>
      <c r="G91" s="93" t="s">
        <v>43</v>
      </c>
      <c r="H91" s="93" t="s">
        <v>43</v>
      </c>
      <c r="I91" s="93" t="s">
        <v>43</v>
      </c>
      <c r="J91" s="93" t="s">
        <v>43</v>
      </c>
      <c r="K91" s="93" t="s">
        <v>43</v>
      </c>
      <c r="L91" s="93" t="s">
        <v>43</v>
      </c>
      <c r="M91" s="93" t="s">
        <v>43</v>
      </c>
      <c r="N91" s="93" t="s">
        <v>66</v>
      </c>
      <c r="O91" s="59"/>
    </row>
    <row r="92" spans="1:15" ht="18.75" x14ac:dyDescent="0.3">
      <c r="A92" s="52"/>
      <c r="C92" s="94">
        <f>$C$53</f>
        <v>40878</v>
      </c>
      <c r="D92" s="94">
        <f>$D$53</f>
        <v>41090</v>
      </c>
      <c r="E92" s="94">
        <f>$E$53</f>
        <v>41455</v>
      </c>
      <c r="F92" s="94">
        <f>$F$53</f>
        <v>41820</v>
      </c>
      <c r="G92" s="94">
        <f>$G$53</f>
        <v>42185</v>
      </c>
      <c r="H92" s="94">
        <f>$H$53</f>
        <v>42551</v>
      </c>
      <c r="I92" s="94">
        <f>$I$53</f>
        <v>42916</v>
      </c>
      <c r="J92" s="94">
        <f>$J$53</f>
        <v>43281</v>
      </c>
      <c r="K92" s="94">
        <f>$K$53</f>
        <v>43646</v>
      </c>
      <c r="L92" s="94">
        <f>$L$53</f>
        <v>44012</v>
      </c>
      <c r="M92" s="94">
        <f>$M$53</f>
        <v>44377</v>
      </c>
      <c r="N92" s="94">
        <f>N$53</f>
        <v>44561</v>
      </c>
      <c r="O92" s="59"/>
    </row>
    <row r="93" spans="1:15" ht="18.75" x14ac:dyDescent="0.3">
      <c r="A93" s="52" t="s">
        <v>133</v>
      </c>
      <c r="O93" s="59"/>
    </row>
    <row r="94" spans="1:15" x14ac:dyDescent="0.25">
      <c r="A94" s="160" t="s">
        <v>177</v>
      </c>
      <c r="B94" s="54" t="s">
        <v>16</v>
      </c>
      <c r="C94" s="133">
        <v>6365.8919999999998</v>
      </c>
      <c r="D94" s="133">
        <v>6365.8919999999998</v>
      </c>
      <c r="E94" s="133">
        <v>105417.338</v>
      </c>
      <c r="F94" s="133">
        <v>143007.416</v>
      </c>
      <c r="G94" s="133">
        <v>139155.75399999999</v>
      </c>
      <c r="H94" s="133">
        <v>130097.09399999998</v>
      </c>
      <c r="I94" s="133">
        <v>109257.66800000001</v>
      </c>
      <c r="J94" s="133">
        <v>111314.788</v>
      </c>
      <c r="K94" s="133">
        <v>160043.19</v>
      </c>
      <c r="L94" s="133">
        <v>155710.15499999997</v>
      </c>
      <c r="M94" s="133">
        <v>124368.06900000003</v>
      </c>
      <c r="N94" s="133">
        <v>65619.84500000054</v>
      </c>
      <c r="O94" s="59"/>
    </row>
    <row r="95" spans="1:15" x14ac:dyDescent="0.25">
      <c r="A95" s="160" t="s">
        <v>61</v>
      </c>
      <c r="B95" s="54" t="s">
        <v>16</v>
      </c>
      <c r="C95" s="143"/>
      <c r="D95" s="133">
        <v>0</v>
      </c>
      <c r="E95" s="133">
        <v>0</v>
      </c>
      <c r="F95" s="133">
        <v>0</v>
      </c>
      <c r="G95" s="133">
        <v>0</v>
      </c>
      <c r="H95" s="133">
        <v>0</v>
      </c>
      <c r="I95" s="133">
        <v>0</v>
      </c>
      <c r="J95" s="133">
        <v>0</v>
      </c>
      <c r="K95" s="133">
        <v>0</v>
      </c>
      <c r="L95" s="133">
        <v>0</v>
      </c>
      <c r="M95" s="133">
        <v>0</v>
      </c>
      <c r="N95" s="133">
        <v>0</v>
      </c>
      <c r="O95" s="59"/>
    </row>
    <row r="96" spans="1:15" x14ac:dyDescent="0.25">
      <c r="A96" s="160" t="s">
        <v>184</v>
      </c>
      <c r="B96" s="51" t="s">
        <v>18</v>
      </c>
      <c r="C96" s="51"/>
      <c r="D96" s="150">
        <v>0.2430313489452853</v>
      </c>
      <c r="E96" s="150">
        <v>0.26618394329023942</v>
      </c>
      <c r="F96" s="150">
        <v>0.30462010235888748</v>
      </c>
      <c r="G96" s="150">
        <v>0.35606075146558436</v>
      </c>
      <c r="H96" s="150">
        <v>0.20980250119960409</v>
      </c>
      <c r="I96" s="150">
        <v>0.42794028479538848</v>
      </c>
      <c r="J96" s="150">
        <v>0.48781652676731496</v>
      </c>
      <c r="K96" s="150">
        <v>0.57938652188173945</v>
      </c>
      <c r="L96" s="150">
        <v>0.7589405400644148</v>
      </c>
      <c r="M96" s="255" t="s">
        <v>200</v>
      </c>
      <c r="N96" s="150">
        <v>0.66857225149351496</v>
      </c>
      <c r="O96" s="59"/>
    </row>
    <row r="97" spans="1:15" x14ac:dyDescent="0.25">
      <c r="A97" s="160" t="s">
        <v>187</v>
      </c>
      <c r="B97" s="51" t="s">
        <v>18</v>
      </c>
      <c r="C97" s="90"/>
      <c r="D97" s="202">
        <v>0.5</v>
      </c>
      <c r="E97" s="202">
        <v>0.5</v>
      </c>
      <c r="F97" s="202">
        <v>0.5</v>
      </c>
      <c r="G97" s="202">
        <v>0.50000000000000011</v>
      </c>
      <c r="H97" s="202">
        <v>0.49999999999999994</v>
      </c>
      <c r="I97" s="202">
        <v>0.5</v>
      </c>
      <c r="J97" s="202">
        <v>0.5</v>
      </c>
      <c r="K97" s="202">
        <v>0.31287169419704769</v>
      </c>
      <c r="L97" s="202">
        <v>0.23433388785721765</v>
      </c>
      <c r="M97" s="202">
        <v>0</v>
      </c>
      <c r="N97" s="202">
        <v>0.43029812094191944</v>
      </c>
      <c r="O97" s="59"/>
    </row>
    <row r="98" spans="1:15" x14ac:dyDescent="0.25">
      <c r="A98" s="160" t="s">
        <v>185</v>
      </c>
      <c r="B98" s="51" t="s">
        <v>18</v>
      </c>
      <c r="C98" s="51"/>
      <c r="D98" s="150">
        <v>0.25</v>
      </c>
      <c r="E98" s="150">
        <v>0.25</v>
      </c>
      <c r="F98" s="150">
        <v>0.25</v>
      </c>
      <c r="G98" s="150">
        <v>0.25</v>
      </c>
      <c r="H98" s="150">
        <v>0.25</v>
      </c>
      <c r="I98" s="150">
        <v>0.25</v>
      </c>
      <c r="J98" s="150">
        <v>0.25</v>
      </c>
      <c r="K98" s="150">
        <v>0.25</v>
      </c>
      <c r="L98" s="150">
        <v>0.25</v>
      </c>
      <c r="M98" s="150">
        <v>0.25</v>
      </c>
      <c r="N98" s="150">
        <v>0.24999999999999961</v>
      </c>
      <c r="O98" s="59"/>
    </row>
    <row r="99" spans="1:15" x14ac:dyDescent="0.25">
      <c r="A99" s="160"/>
      <c r="B99" s="90"/>
      <c r="C99" s="90"/>
      <c r="D99" s="145"/>
      <c r="E99" s="145"/>
      <c r="F99" s="145"/>
      <c r="G99" s="145"/>
      <c r="H99" s="145"/>
      <c r="I99" s="145"/>
      <c r="J99" s="145"/>
      <c r="K99" s="145"/>
      <c r="L99" s="145"/>
      <c r="M99" s="145"/>
      <c r="N99" s="145"/>
      <c r="O99" s="59"/>
    </row>
    <row r="100" spans="1:15" x14ac:dyDescent="0.25">
      <c r="A100" s="175" t="s">
        <v>188</v>
      </c>
      <c r="B100" s="54" t="s">
        <v>16</v>
      </c>
      <c r="C100" s="90"/>
      <c r="D100" s="151">
        <f t="shared" ref="D100:L100" si="23">D96*D97*D104</f>
        <v>1547.1113200000002</v>
      </c>
      <c r="E100" s="151">
        <f t="shared" si="23"/>
        <v>14030.201360000001</v>
      </c>
      <c r="F100" s="151">
        <f t="shared" si="23"/>
        <v>21781.466850000001</v>
      </c>
      <c r="G100" s="151">
        <f t="shared" si="23"/>
        <v>24773.95117</v>
      </c>
      <c r="H100" s="151">
        <f t="shared" si="23"/>
        <v>13647.34786</v>
      </c>
      <c r="I100" s="151">
        <f t="shared" si="23"/>
        <v>23377.878780000003</v>
      </c>
      <c r="J100" s="151">
        <f t="shared" si="23"/>
        <v>27150.596629999996</v>
      </c>
      <c r="K100" s="151">
        <f t="shared" si="23"/>
        <v>29011.612039999989</v>
      </c>
      <c r="L100" s="151">
        <f t="shared" si="23"/>
        <v>27692.348409999995</v>
      </c>
      <c r="M100" s="256">
        <v>15556.06372</v>
      </c>
      <c r="N100" s="151">
        <f>N96*N97*N104</f>
        <v>18877.870276107191</v>
      </c>
      <c r="O100" s="59"/>
    </row>
    <row r="101" spans="1:15" x14ac:dyDescent="0.25">
      <c r="A101" s="175" t="s">
        <v>189</v>
      </c>
      <c r="B101" s="54" t="s">
        <v>16</v>
      </c>
      <c r="C101" s="90"/>
      <c r="D101" s="151">
        <f t="shared" ref="D101:L101" si="24">(1-D96)*D97*D104</f>
        <v>4818.7806799999998</v>
      </c>
      <c r="E101" s="151">
        <f t="shared" si="24"/>
        <v>38678.467640000003</v>
      </c>
      <c r="F101" s="151">
        <f t="shared" si="24"/>
        <v>49722.241149999994</v>
      </c>
      <c r="G101" s="151">
        <f t="shared" si="24"/>
        <v>44803.925830000007</v>
      </c>
      <c r="H101" s="151">
        <f t="shared" si="24"/>
        <v>51401.199139999982</v>
      </c>
      <c r="I101" s="151">
        <f t="shared" si="24"/>
        <v>31250.95522</v>
      </c>
      <c r="J101" s="151">
        <f t="shared" si="24"/>
        <v>28506.797370000008</v>
      </c>
      <c r="K101" s="151">
        <f t="shared" si="24"/>
        <v>21061.371960000011</v>
      </c>
      <c r="L101" s="151">
        <f t="shared" si="24"/>
        <v>8795.8175899999751</v>
      </c>
      <c r="M101" s="257">
        <v>-15556.06372</v>
      </c>
      <c r="N101" s="151">
        <f>(1-N96)*N97*N104</f>
        <v>9358.225723893047</v>
      </c>
      <c r="O101" s="59"/>
    </row>
    <row r="102" spans="1:15" x14ac:dyDescent="0.25">
      <c r="A102" s="175" t="s">
        <v>77</v>
      </c>
      <c r="B102" s="54" t="s">
        <v>16</v>
      </c>
      <c r="C102" s="90"/>
      <c r="D102" s="151">
        <f t="shared" ref="D102:N102" si="25">(1-D97)*D104*D98</f>
        <v>1591.473</v>
      </c>
      <c r="E102" s="151">
        <f t="shared" si="25"/>
        <v>13177.16725</v>
      </c>
      <c r="F102" s="151">
        <f t="shared" si="25"/>
        <v>17875.927</v>
      </c>
      <c r="G102" s="151">
        <f t="shared" si="25"/>
        <v>17394.469249999995</v>
      </c>
      <c r="H102" s="151">
        <f t="shared" si="25"/>
        <v>16262.136749999998</v>
      </c>
      <c r="I102" s="151">
        <f t="shared" si="25"/>
        <v>13657.208500000001</v>
      </c>
      <c r="J102" s="151">
        <f t="shared" si="25"/>
        <v>13914.3485</v>
      </c>
      <c r="K102" s="151">
        <f t="shared" si="25"/>
        <v>27492.551499999998</v>
      </c>
      <c r="L102" s="151">
        <f t="shared" si="25"/>
        <v>29805.49725</v>
      </c>
      <c r="M102" s="151">
        <f t="shared" si="25"/>
        <v>31092.017250000008</v>
      </c>
      <c r="N102" s="151">
        <f t="shared" si="25"/>
        <v>9345.9372500000609</v>
      </c>
      <c r="O102" s="59"/>
    </row>
    <row r="103" spans="1:15" x14ac:dyDescent="0.25">
      <c r="A103" s="175" t="s">
        <v>78</v>
      </c>
      <c r="B103" s="54" t="s">
        <v>16</v>
      </c>
      <c r="C103" s="90"/>
      <c r="D103" s="151">
        <f t="shared" ref="D103:N103" si="26">(1-D97)*D104-D102</f>
        <v>4774.4189999999999</v>
      </c>
      <c r="E103" s="151">
        <f t="shared" si="26"/>
        <v>39531.501750000003</v>
      </c>
      <c r="F103" s="151">
        <f t="shared" si="26"/>
        <v>53627.781000000003</v>
      </c>
      <c r="G103" s="151">
        <f t="shared" si="26"/>
        <v>52183.407749999984</v>
      </c>
      <c r="H103" s="151">
        <f t="shared" si="26"/>
        <v>48786.410249999994</v>
      </c>
      <c r="I103" s="151">
        <f t="shared" si="26"/>
        <v>40971.625500000002</v>
      </c>
      <c r="J103" s="151">
        <f t="shared" si="26"/>
        <v>41743.0455</v>
      </c>
      <c r="K103" s="151">
        <f t="shared" si="26"/>
        <v>82477.65449999999</v>
      </c>
      <c r="L103" s="151">
        <f t="shared" si="26"/>
        <v>89416.491750000001</v>
      </c>
      <c r="M103" s="151">
        <f t="shared" si="26"/>
        <v>93276.051750000028</v>
      </c>
      <c r="N103" s="151">
        <f t="shared" si="26"/>
        <v>28037.811750000241</v>
      </c>
      <c r="O103" s="59"/>
    </row>
    <row r="104" spans="1:15" x14ac:dyDescent="0.25">
      <c r="A104" s="175" t="s">
        <v>186</v>
      </c>
      <c r="B104" s="54" t="s">
        <v>16</v>
      </c>
      <c r="C104" s="90"/>
      <c r="D104" s="176">
        <f>C94+D94</f>
        <v>12731.784</v>
      </c>
      <c r="E104" s="151">
        <f t="shared" ref="E104:M104" si="27">E94-E95</f>
        <v>105417.338</v>
      </c>
      <c r="F104" s="151">
        <f t="shared" si="27"/>
        <v>143007.416</v>
      </c>
      <c r="G104" s="151">
        <f t="shared" si="27"/>
        <v>139155.75399999999</v>
      </c>
      <c r="H104" s="151">
        <f t="shared" si="27"/>
        <v>130097.09399999998</v>
      </c>
      <c r="I104" s="151">
        <f t="shared" si="27"/>
        <v>109257.66800000001</v>
      </c>
      <c r="J104" s="151">
        <f t="shared" si="27"/>
        <v>111314.788</v>
      </c>
      <c r="K104" s="151">
        <f t="shared" si="27"/>
        <v>160043.19</v>
      </c>
      <c r="L104" s="151">
        <f t="shared" si="27"/>
        <v>155710.15499999997</v>
      </c>
      <c r="M104" s="151">
        <f t="shared" si="27"/>
        <v>124368.06900000003</v>
      </c>
      <c r="N104" s="151">
        <f>N94-N95</f>
        <v>65619.84500000054</v>
      </c>
      <c r="O104" s="59"/>
    </row>
    <row r="105" spans="1:15" x14ac:dyDescent="0.25">
      <c r="A105" s="160"/>
      <c r="B105" s="90"/>
      <c r="C105" s="90"/>
      <c r="D105" s="145"/>
      <c r="E105" s="145"/>
      <c r="F105" s="145"/>
      <c r="G105" s="145"/>
      <c r="H105" s="145"/>
      <c r="I105" s="145"/>
      <c r="J105" s="145"/>
      <c r="K105" s="145"/>
      <c r="L105" s="145"/>
      <c r="M105" s="145"/>
      <c r="N105" s="145"/>
      <c r="O105" s="59"/>
    </row>
    <row r="106" spans="1:15" ht="18.75" x14ac:dyDescent="0.3">
      <c r="A106" s="52" t="s">
        <v>136</v>
      </c>
      <c r="O106" s="59"/>
    </row>
    <row r="107" spans="1:15" x14ac:dyDescent="0.25">
      <c r="A107" s="175" t="s">
        <v>23</v>
      </c>
      <c r="B107" s="51" t="s">
        <v>18</v>
      </c>
      <c r="C107" s="127"/>
      <c r="D107" s="144">
        <f>D$45</f>
        <v>6.4326867547209718E-2</v>
      </c>
      <c r="E107" s="144">
        <f t="shared" ref="E107:N107" si="28">E$45</f>
        <v>5.239123342763756E-2</v>
      </c>
      <c r="F107" s="144">
        <f t="shared" si="28"/>
        <v>6.5210564262641602E-2</v>
      </c>
      <c r="G107" s="144">
        <f t="shared" si="28"/>
        <v>5.6007340817272856E-2</v>
      </c>
      <c r="H107" s="144">
        <f t="shared" si="28"/>
        <v>4.8566588558104418E-2</v>
      </c>
      <c r="I107" s="144">
        <f t="shared" si="28"/>
        <v>4.7363493132139597E-2</v>
      </c>
      <c r="J107" s="144">
        <f t="shared" si="28"/>
        <v>4.2480720370542777E-2</v>
      </c>
      <c r="K107" s="144">
        <f t="shared" si="28"/>
        <v>4.0592888091034438E-2</v>
      </c>
      <c r="L107" s="144">
        <f t="shared" si="28"/>
        <v>2.9597755753197487E-2</v>
      </c>
      <c r="M107" s="144">
        <f t="shared" si="28"/>
        <v>2.0048153676001084E-2</v>
      </c>
      <c r="N107" s="144">
        <f t="shared" si="28"/>
        <v>2.692481461E-2</v>
      </c>
      <c r="O107" s="59"/>
    </row>
    <row r="108" spans="1:15" x14ac:dyDescent="0.25">
      <c r="A108" s="160" t="s">
        <v>25</v>
      </c>
      <c r="B108" s="51" t="s">
        <v>18</v>
      </c>
      <c r="C108" s="90"/>
      <c r="D108" s="145">
        <f t="shared" ref="D108:N108" si="29">D$39</f>
        <v>7.4867344633991001E-2</v>
      </c>
      <c r="E108" s="145">
        <f t="shared" si="29"/>
        <v>7.0233688067899036E-2</v>
      </c>
      <c r="F108" s="145">
        <f t="shared" si="29"/>
        <v>7.9823606269101954E-2</v>
      </c>
      <c r="G108" s="145">
        <f t="shared" si="29"/>
        <v>7.5717285388436459E-2</v>
      </c>
      <c r="H108" s="145">
        <f t="shared" si="29"/>
        <v>7.0359943761835186E-2</v>
      </c>
      <c r="I108" s="145">
        <f t="shared" si="29"/>
        <v>6.8773715055140516E-2</v>
      </c>
      <c r="J108" s="145">
        <f t="shared" si="29"/>
        <v>6.5618118666790806E-2</v>
      </c>
      <c r="K108" s="145">
        <f t="shared" si="29"/>
        <v>6.35388794255448E-2</v>
      </c>
      <c r="L108" s="145">
        <f t="shared" si="29"/>
        <v>5.8142384142302196E-2</v>
      </c>
      <c r="M108" s="145">
        <f t="shared" si="29"/>
        <v>5.4479821331652266E-2</v>
      </c>
      <c r="N108" s="145">
        <f t="shared" si="29"/>
        <v>6.3677866519200002E-2</v>
      </c>
      <c r="O108" s="59"/>
    </row>
    <row r="109" spans="1:15" x14ac:dyDescent="0.25">
      <c r="A109" s="160" t="s">
        <v>75</v>
      </c>
      <c r="B109" s="51" t="s">
        <v>18</v>
      </c>
      <c r="C109" s="90"/>
      <c r="D109" s="116">
        <v>4.1000000000000003E-3</v>
      </c>
      <c r="E109" s="116">
        <v>4.1000000000000003E-3</v>
      </c>
      <c r="F109" s="116">
        <v>4.1000000000000003E-3</v>
      </c>
      <c r="G109" s="116">
        <v>4.1000000000000003E-3</v>
      </c>
      <c r="H109" s="116">
        <v>4.1000000000000003E-3</v>
      </c>
      <c r="I109" s="116">
        <v>4.1000000000000003E-3</v>
      </c>
      <c r="J109" s="116">
        <v>4.1000000000000003E-3</v>
      </c>
      <c r="K109" s="116">
        <v>4.1000000000000003E-3</v>
      </c>
      <c r="L109" s="116">
        <v>4.1000000000000003E-3</v>
      </c>
      <c r="M109" s="116">
        <v>4.1000000000000003E-3</v>
      </c>
      <c r="N109" s="116">
        <v>4.1000000000000003E-3</v>
      </c>
      <c r="O109" s="59"/>
    </row>
    <row r="110" spans="1:15" x14ac:dyDescent="0.25">
      <c r="A110" s="160" t="s">
        <v>192</v>
      </c>
      <c r="B110" s="51" t="s">
        <v>18</v>
      </c>
      <c r="C110" s="90"/>
      <c r="D110" s="145">
        <f t="shared" ref="D110:N110" si="30">D107</f>
        <v>6.4326867547209718E-2</v>
      </c>
      <c r="E110" s="145">
        <f t="shared" si="30"/>
        <v>5.239123342763756E-2</v>
      </c>
      <c r="F110" s="145">
        <f t="shared" si="30"/>
        <v>6.5210564262641602E-2</v>
      </c>
      <c r="G110" s="145">
        <f t="shared" si="30"/>
        <v>5.6007340817272856E-2</v>
      </c>
      <c r="H110" s="145">
        <f t="shared" si="30"/>
        <v>4.8566588558104418E-2</v>
      </c>
      <c r="I110" s="145">
        <f t="shared" si="30"/>
        <v>4.7363493132139597E-2</v>
      </c>
      <c r="J110" s="145">
        <f t="shared" si="30"/>
        <v>4.2480720370542777E-2</v>
      </c>
      <c r="K110" s="145">
        <f t="shared" si="30"/>
        <v>4.0592888091034438E-2</v>
      </c>
      <c r="L110" s="145">
        <f t="shared" si="30"/>
        <v>2.9597755753197487E-2</v>
      </c>
      <c r="M110" s="145">
        <f t="shared" si="30"/>
        <v>2.0048153676001084E-2</v>
      </c>
      <c r="N110" s="145">
        <f t="shared" si="30"/>
        <v>2.692481461E-2</v>
      </c>
      <c r="O110" s="59"/>
    </row>
    <row r="111" spans="1:15" x14ac:dyDescent="0.25">
      <c r="A111" s="160" t="s">
        <v>193</v>
      </c>
      <c r="B111" s="51" t="s">
        <v>18</v>
      </c>
      <c r="C111" s="90"/>
      <c r="D111" s="162">
        <f t="shared" ref="D111:N111" si="31">D$107+D$109</f>
        <v>6.8426867547209724E-2</v>
      </c>
      <c r="E111" s="162">
        <f t="shared" si="31"/>
        <v>5.6491233427637559E-2</v>
      </c>
      <c r="F111" s="162">
        <f t="shared" si="31"/>
        <v>6.9310564262641608E-2</v>
      </c>
      <c r="G111" s="162">
        <f t="shared" si="31"/>
        <v>6.0107340817272856E-2</v>
      </c>
      <c r="H111" s="162">
        <f t="shared" si="31"/>
        <v>5.2666588558104417E-2</v>
      </c>
      <c r="I111" s="162">
        <f t="shared" si="31"/>
        <v>5.1463493132139597E-2</v>
      </c>
      <c r="J111" s="162">
        <f t="shared" si="31"/>
        <v>4.6580720370542776E-2</v>
      </c>
      <c r="K111" s="162">
        <f t="shared" si="31"/>
        <v>4.4692888091034437E-2</v>
      </c>
      <c r="L111" s="162">
        <f t="shared" si="31"/>
        <v>3.3697755753197486E-2</v>
      </c>
      <c r="M111" s="162">
        <f t="shared" si="31"/>
        <v>2.4148153676001084E-2</v>
      </c>
      <c r="N111" s="162">
        <f t="shared" si="31"/>
        <v>3.102481461E-2</v>
      </c>
      <c r="O111" s="59"/>
    </row>
    <row r="112" spans="1:15" x14ac:dyDescent="0.25">
      <c r="A112" s="160" t="s">
        <v>190</v>
      </c>
      <c r="B112" s="51" t="s">
        <v>18</v>
      </c>
      <c r="C112" s="90"/>
      <c r="D112" s="162">
        <f t="shared" ref="D112:L112" si="32">(D$96*D$110)+(1-D$96)*D111</f>
        <v>6.7430439016534061E-2</v>
      </c>
      <c r="E112" s="162">
        <f t="shared" si="32"/>
        <v>5.5399879260147576E-2</v>
      </c>
      <c r="F112" s="162">
        <f t="shared" si="32"/>
        <v>6.8061621842970169E-2</v>
      </c>
      <c r="G112" s="162">
        <f t="shared" si="32"/>
        <v>5.8647491736263963E-2</v>
      </c>
      <c r="H112" s="162">
        <f t="shared" si="32"/>
        <v>5.1806398303186035E-2</v>
      </c>
      <c r="I112" s="162">
        <f t="shared" si="32"/>
        <v>4.9708937964478506E-2</v>
      </c>
      <c r="J112" s="162">
        <f t="shared" si="32"/>
        <v>4.458067261079679E-2</v>
      </c>
      <c r="K112" s="162">
        <f t="shared" si="32"/>
        <v>4.231740335131931E-2</v>
      </c>
      <c r="L112" s="162">
        <f t="shared" si="32"/>
        <v>3.0586099538933383E-2</v>
      </c>
      <c r="M112" s="258" t="s">
        <v>200</v>
      </c>
      <c r="N112" s="162">
        <f>(N$96*N$110)+(1-N$96)*N111</f>
        <v>2.8283668378876588E-2</v>
      </c>
      <c r="O112" s="59"/>
    </row>
    <row r="113" spans="1:15" x14ac:dyDescent="0.25">
      <c r="A113" s="160" t="s">
        <v>191</v>
      </c>
      <c r="B113" s="51" t="s">
        <v>18</v>
      </c>
      <c r="C113" s="90"/>
      <c r="D113" s="162">
        <f t="shared" ref="D113:N113" si="33">0.75*D108+0.25*D107</f>
        <v>7.2232225362295677E-2</v>
      </c>
      <c r="E113" s="162">
        <f t="shared" si="33"/>
        <v>6.577307440783367E-2</v>
      </c>
      <c r="F113" s="162">
        <f t="shared" si="33"/>
        <v>7.6170345767486866E-2</v>
      </c>
      <c r="G113" s="162">
        <f t="shared" si="33"/>
        <v>7.078979924564556E-2</v>
      </c>
      <c r="H113" s="162">
        <f t="shared" si="33"/>
        <v>6.4911604960902494E-2</v>
      </c>
      <c r="I113" s="162">
        <f t="shared" si="33"/>
        <v>6.342115957439029E-2</v>
      </c>
      <c r="J113" s="162">
        <f t="shared" si="33"/>
        <v>5.9833769092728806E-2</v>
      </c>
      <c r="K113" s="162">
        <f t="shared" si="33"/>
        <v>5.780238159191721E-2</v>
      </c>
      <c r="L113" s="162">
        <f t="shared" si="33"/>
        <v>5.1006227045026019E-2</v>
      </c>
      <c r="M113" s="162">
        <f t="shared" si="33"/>
        <v>4.5871904417739466E-2</v>
      </c>
      <c r="N113" s="162">
        <f t="shared" si="33"/>
        <v>5.4489603541900009E-2</v>
      </c>
      <c r="O113" s="59"/>
    </row>
    <row r="114" spans="1:15" x14ac:dyDescent="0.25">
      <c r="A114" s="160" t="s">
        <v>74</v>
      </c>
      <c r="B114" s="51" t="s">
        <v>18</v>
      </c>
      <c r="C114" s="90"/>
      <c r="D114" s="189">
        <f t="shared" ref="D114:N114" si="34">(D$111*D$101+D$100*D$110+D$113*(D$103+D$102))/D$104</f>
        <v>6.9831332189414855E-2</v>
      </c>
      <c r="E114" s="189">
        <f t="shared" si="34"/>
        <v>6.0586476833990627E-2</v>
      </c>
      <c r="F114" s="189">
        <f t="shared" si="34"/>
        <v>7.2115983805228503E-2</v>
      </c>
      <c r="G114" s="189">
        <f t="shared" si="34"/>
        <v>6.4718645490954754E-2</v>
      </c>
      <c r="H114" s="189">
        <f t="shared" si="34"/>
        <v>5.8359001632044265E-2</v>
      </c>
      <c r="I114" s="189">
        <f t="shared" si="34"/>
        <v>5.6565048769434398E-2</v>
      </c>
      <c r="J114" s="189">
        <f t="shared" si="34"/>
        <v>5.2207220851762791E-2</v>
      </c>
      <c r="K114" s="189">
        <f t="shared" si="34"/>
        <v>5.295757021517692E-2</v>
      </c>
      <c r="L114" s="189">
        <f t="shared" si="34"/>
        <v>4.6221099175983223E-2</v>
      </c>
      <c r="M114" s="189">
        <f t="shared" si="34"/>
        <v>4.5359072934828847E-2</v>
      </c>
      <c r="N114" s="189">
        <f t="shared" si="34"/>
        <v>4.3213238883725261E-2</v>
      </c>
      <c r="O114" s="59"/>
    </row>
    <row r="115" spans="1:15" x14ac:dyDescent="0.25">
      <c r="A115" s="51"/>
      <c r="B115" s="90"/>
      <c r="C115" s="90"/>
      <c r="D115" s="114"/>
      <c r="E115" s="114"/>
      <c r="F115" s="114"/>
      <c r="G115" s="114"/>
      <c r="H115" s="114"/>
      <c r="I115" s="114"/>
      <c r="J115" s="114"/>
      <c r="K115" s="114"/>
      <c r="L115" s="114"/>
      <c r="M115" s="114"/>
      <c r="N115" s="114"/>
      <c r="O115" s="59"/>
    </row>
  </sheetData>
  <phoneticPr fontId="48"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R369"/>
  <sheetViews>
    <sheetView showGridLines="0" zoomScale="85" zoomScaleNormal="85" zoomScaleSheetLayoutView="90" workbookViewId="0">
      <pane xSplit="1" ySplit="6" topLeftCell="B7" activePane="bottomRight" state="frozen"/>
      <selection activeCell="A221" sqref="A221"/>
      <selection pane="topRight" activeCell="A221" sqref="A221"/>
      <selection pane="bottomLeft" activeCell="A221" sqref="A221"/>
      <selection pane="bottomRight" activeCell="E301" sqref="E301"/>
    </sheetView>
  </sheetViews>
  <sheetFormatPr defaultColWidth="9.140625" defaultRowHeight="15" x14ac:dyDescent="0.25"/>
  <cols>
    <col min="1" max="1" width="77.85546875" style="205" customWidth="1"/>
    <col min="2" max="3" width="15.140625" style="1" customWidth="1"/>
    <col min="4" max="8" width="14.28515625" style="1" bestFit="1" customWidth="1"/>
    <col min="9" max="9" width="12.85546875" style="1" customWidth="1"/>
    <col min="10" max="11" width="14.28515625" style="1" bestFit="1" customWidth="1"/>
    <col min="12" max="13" width="12.5703125" style="1" customWidth="1"/>
    <col min="14" max="14" width="19.28515625" style="1" customWidth="1"/>
    <col min="15" max="16" width="14.85546875" style="1" customWidth="1"/>
    <col min="17" max="17" width="15.5703125" style="1" customWidth="1"/>
    <col min="18" max="18" width="15.7109375" style="1" customWidth="1"/>
    <col min="19" max="19" width="33.5703125" style="1" customWidth="1"/>
    <col min="20" max="16384" width="9.140625" style="1"/>
  </cols>
  <sheetData>
    <row r="1" spans="1:17" ht="30" customHeight="1" x14ac:dyDescent="0.4">
      <c r="A1" s="203" t="s">
        <v>221</v>
      </c>
      <c r="B1" s="28"/>
      <c r="C1" s="28"/>
    </row>
    <row r="2" spans="1:17" x14ac:dyDescent="0.25">
      <c r="A2" s="95"/>
      <c r="D2" s="59"/>
      <c r="E2" s="59"/>
      <c r="F2" s="59"/>
      <c r="G2" s="59"/>
      <c r="H2" s="59"/>
      <c r="I2" s="59"/>
      <c r="J2" s="59"/>
      <c r="K2" s="59"/>
      <c r="L2" s="59"/>
      <c r="M2" s="59"/>
    </row>
    <row r="3" spans="1:17" x14ac:dyDescent="0.25">
      <c r="A3" s="72"/>
      <c r="D3" s="59"/>
      <c r="E3" s="59"/>
      <c r="F3" s="59"/>
      <c r="G3" s="59"/>
      <c r="H3" s="59"/>
      <c r="I3" s="59"/>
      <c r="J3" s="59"/>
      <c r="K3" s="59"/>
      <c r="L3" s="59"/>
      <c r="M3" s="59"/>
      <c r="N3" s="59"/>
    </row>
    <row r="4" spans="1:17" ht="21" x14ac:dyDescent="0.35">
      <c r="A4" s="204" t="s">
        <v>17</v>
      </c>
      <c r="D4" s="29"/>
      <c r="E4" s="29"/>
      <c r="F4" s="29"/>
      <c r="G4" s="29"/>
      <c r="H4" s="29"/>
      <c r="I4" s="29"/>
      <c r="J4" s="29"/>
      <c r="K4" s="29"/>
      <c r="L4" s="29"/>
      <c r="M4" s="29"/>
      <c r="N4" s="93" t="s">
        <v>49</v>
      </c>
      <c r="Q4" s="38"/>
    </row>
    <row r="5" spans="1:17" x14ac:dyDescent="0.25">
      <c r="B5" s="28"/>
      <c r="C5" s="28"/>
      <c r="D5" s="28"/>
      <c r="E5" s="28"/>
      <c r="F5" s="28"/>
      <c r="G5" s="28"/>
      <c r="H5" s="28"/>
      <c r="I5" s="28"/>
      <c r="J5" s="28"/>
      <c r="K5" s="28"/>
      <c r="L5" s="28"/>
      <c r="M5" s="28"/>
      <c r="N5" s="94">
        <v>44561</v>
      </c>
      <c r="Q5" s="38"/>
    </row>
    <row r="6" spans="1:17" ht="18.75" x14ac:dyDescent="0.3">
      <c r="A6" s="206"/>
      <c r="B6" s="40"/>
      <c r="C6" s="40"/>
      <c r="D6" s="40"/>
      <c r="E6" s="40"/>
      <c r="F6" s="40"/>
      <c r="G6" s="40"/>
      <c r="H6" s="40"/>
      <c r="I6" s="40"/>
      <c r="J6" s="40"/>
      <c r="K6" s="40"/>
      <c r="L6" s="40"/>
      <c r="M6" s="40"/>
      <c r="N6" s="40"/>
      <c r="Q6" s="38"/>
    </row>
    <row r="7" spans="1:17" ht="18" customHeight="1" x14ac:dyDescent="0.3">
      <c r="A7" s="54" t="s">
        <v>52</v>
      </c>
      <c r="B7" s="39" t="s">
        <v>16</v>
      </c>
      <c r="C7" s="39"/>
      <c r="D7" s="46"/>
      <c r="E7" s="46"/>
      <c r="F7" s="46"/>
      <c r="G7" s="46"/>
      <c r="H7" s="46"/>
      <c r="I7" s="46"/>
      <c r="J7" s="46"/>
      <c r="K7" s="46"/>
      <c r="L7" s="46"/>
      <c r="M7" s="46"/>
      <c r="N7" s="166">
        <f>N36</f>
        <v>-5630418.0909655467</v>
      </c>
      <c r="Q7" s="30"/>
    </row>
    <row r="8" spans="1:17" ht="18" customHeight="1" x14ac:dyDescent="0.3">
      <c r="A8" s="167" t="s">
        <v>63</v>
      </c>
      <c r="B8" s="39" t="s">
        <v>16</v>
      </c>
      <c r="C8" s="39"/>
      <c r="D8" s="46"/>
      <c r="E8" s="46"/>
      <c r="F8" s="46"/>
      <c r="G8" s="46"/>
      <c r="H8" s="46"/>
      <c r="I8" s="46"/>
      <c r="J8" s="46"/>
      <c r="K8" s="46"/>
      <c r="L8" s="46"/>
      <c r="M8" s="46"/>
      <c r="N8" s="192">
        <f>N55</f>
        <v>3804391.2586684474</v>
      </c>
      <c r="Q8" s="30"/>
    </row>
    <row r="9" spans="1:17" ht="18" customHeight="1" x14ac:dyDescent="0.3">
      <c r="A9" s="168" t="s">
        <v>41</v>
      </c>
      <c r="B9" s="39" t="s">
        <v>16</v>
      </c>
      <c r="C9" s="39"/>
      <c r="D9" s="46"/>
      <c r="E9" s="46"/>
      <c r="F9" s="46"/>
      <c r="G9" s="46"/>
      <c r="H9" s="46"/>
      <c r="I9" s="46"/>
      <c r="J9" s="46"/>
      <c r="K9" s="46"/>
      <c r="L9" s="46"/>
      <c r="M9" s="46"/>
      <c r="N9" s="192">
        <f>N73</f>
        <v>434807.13260782062</v>
      </c>
      <c r="Q9" s="30"/>
    </row>
    <row r="10" spans="1:17" ht="18" customHeight="1" x14ac:dyDescent="0.3">
      <c r="A10" s="33" t="s">
        <v>211</v>
      </c>
      <c r="B10" s="39" t="s">
        <v>16</v>
      </c>
      <c r="C10" s="39"/>
      <c r="D10" s="46"/>
      <c r="E10" s="46"/>
      <c r="F10" s="46"/>
      <c r="G10" s="46"/>
      <c r="H10" s="46"/>
      <c r="I10" s="46"/>
      <c r="J10" s="46"/>
      <c r="K10" s="46"/>
      <c r="L10" s="46"/>
      <c r="M10" s="46"/>
      <c r="N10" s="193">
        <f>SUM(N7:N9)</f>
        <v>-1391219.6996892786</v>
      </c>
      <c r="Q10" s="30"/>
    </row>
    <row r="11" spans="1:17" ht="18" customHeight="1" x14ac:dyDescent="0.3">
      <c r="A11" s="54" t="s">
        <v>212</v>
      </c>
      <c r="B11" s="39" t="s">
        <v>16</v>
      </c>
      <c r="C11" s="39"/>
      <c r="D11" s="46"/>
      <c r="E11" s="46"/>
      <c r="F11" s="46"/>
      <c r="G11" s="46"/>
      <c r="H11" s="46"/>
      <c r="I11" s="46"/>
      <c r="J11" s="46"/>
      <c r="K11" s="46"/>
      <c r="L11" s="46"/>
      <c r="M11" s="46"/>
      <c r="N11" s="192">
        <f>N130</f>
        <v>955243.83220238343</v>
      </c>
    </row>
    <row r="12" spans="1:17" ht="18" customHeight="1" x14ac:dyDescent="0.3">
      <c r="A12" s="207"/>
      <c r="B12" s="97"/>
      <c r="C12" s="97"/>
      <c r="D12" s="97"/>
      <c r="E12" s="97"/>
      <c r="F12" s="97"/>
      <c r="G12" s="97"/>
      <c r="H12" s="97"/>
      <c r="I12" s="97"/>
      <c r="J12" s="97"/>
      <c r="K12" s="97"/>
      <c r="L12" s="97"/>
      <c r="M12" s="97"/>
      <c r="N12" s="97"/>
    </row>
    <row r="13" spans="1:17" ht="18" customHeight="1" x14ac:dyDescent="0.3">
      <c r="A13" s="66"/>
      <c r="N13" s="97"/>
    </row>
    <row r="14" spans="1:17" ht="18" customHeight="1" x14ac:dyDescent="0.35">
      <c r="A14" s="204" t="s">
        <v>40</v>
      </c>
      <c r="C14" s="93" t="s">
        <v>42</v>
      </c>
      <c r="D14" s="93" t="s">
        <v>65</v>
      </c>
      <c r="E14" s="93" t="s">
        <v>43</v>
      </c>
      <c r="F14" s="93" t="s">
        <v>43</v>
      </c>
      <c r="G14" s="93" t="s">
        <v>43</v>
      </c>
      <c r="H14" s="93" t="s">
        <v>43</v>
      </c>
      <c r="I14" s="93" t="s">
        <v>43</v>
      </c>
      <c r="J14" s="93" t="s">
        <v>43</v>
      </c>
      <c r="K14" s="93" t="s">
        <v>43</v>
      </c>
      <c r="L14" s="93" t="s">
        <v>43</v>
      </c>
      <c r="M14" s="93" t="s">
        <v>43</v>
      </c>
      <c r="N14" s="93" t="s">
        <v>66</v>
      </c>
      <c r="Q14" s="38"/>
    </row>
    <row r="15" spans="1:17" ht="18" customHeight="1" x14ac:dyDescent="0.25">
      <c r="B15" s="28"/>
      <c r="C15" s="94">
        <f>Inputs!$C$53</f>
        <v>40878</v>
      </c>
      <c r="D15" s="94">
        <f>Inputs!D53</f>
        <v>41090</v>
      </c>
      <c r="E15" s="94">
        <f>Inputs!E53</f>
        <v>41455</v>
      </c>
      <c r="F15" s="94">
        <f>Inputs!F53</f>
        <v>41820</v>
      </c>
      <c r="G15" s="94">
        <f>Inputs!G53</f>
        <v>42185</v>
      </c>
      <c r="H15" s="94">
        <f>Inputs!H53</f>
        <v>42551</v>
      </c>
      <c r="I15" s="94">
        <f>Inputs!I53</f>
        <v>42916</v>
      </c>
      <c r="J15" s="94">
        <f>Inputs!J53</f>
        <v>43281</v>
      </c>
      <c r="K15" s="94">
        <f>Inputs!K53</f>
        <v>43646</v>
      </c>
      <c r="L15" s="94">
        <f>Inputs!L53</f>
        <v>44012</v>
      </c>
      <c r="M15" s="94">
        <f>Inputs!M53</f>
        <v>44377</v>
      </c>
      <c r="N15" s="94">
        <f>Inputs!N53</f>
        <v>44561</v>
      </c>
      <c r="Q15" s="38"/>
    </row>
    <row r="16" spans="1:17" ht="18" customHeight="1" x14ac:dyDescent="0.3">
      <c r="A16" s="206" t="s">
        <v>29</v>
      </c>
      <c r="B16" s="40"/>
      <c r="C16" s="40"/>
      <c r="D16" s="40"/>
      <c r="E16" s="40"/>
      <c r="F16" s="40"/>
      <c r="G16" s="40"/>
      <c r="H16" s="40"/>
      <c r="I16" s="40"/>
      <c r="J16" s="40"/>
      <c r="K16" s="40"/>
      <c r="L16" s="40"/>
      <c r="M16" s="40"/>
      <c r="N16" s="40"/>
      <c r="Q16" s="38"/>
    </row>
    <row r="17" spans="1:17" ht="18" customHeight="1" x14ac:dyDescent="0.25">
      <c r="A17" s="54" t="s">
        <v>54</v>
      </c>
      <c r="B17" s="39" t="s">
        <v>16</v>
      </c>
      <c r="C17" s="100"/>
      <c r="D17" s="100">
        <f>Inputs!D7</f>
        <v>16497.531873</v>
      </c>
      <c r="E17" s="100">
        <f>Inputs!E7</f>
        <v>34411.330964000001</v>
      </c>
      <c r="F17" s="100">
        <f>Inputs!F7</f>
        <v>41232.312978000002</v>
      </c>
      <c r="G17" s="100">
        <f>Inputs!G7</f>
        <v>66777.41462299999</v>
      </c>
      <c r="H17" s="100">
        <f>Inputs!H7</f>
        <v>100606.975593</v>
      </c>
      <c r="I17" s="100">
        <f>Inputs!I7</f>
        <v>165552.05482699999</v>
      </c>
      <c r="J17" s="100">
        <f>Inputs!J7</f>
        <v>238309.77238400001</v>
      </c>
      <c r="K17" s="100">
        <f>Inputs!K7</f>
        <v>333431.90610600001</v>
      </c>
      <c r="L17" s="100">
        <f>Inputs!L7</f>
        <v>433902.34761800006</v>
      </c>
      <c r="M17" s="100">
        <f>Inputs!M7</f>
        <v>527183.446291</v>
      </c>
      <c r="N17" s="100">
        <f>Inputs!N7</f>
        <v>307047.77975149994</v>
      </c>
      <c r="Q17" s="30"/>
    </row>
    <row r="18" spans="1:17" ht="18" customHeight="1" x14ac:dyDescent="0.25">
      <c r="A18" s="54" t="s">
        <v>176</v>
      </c>
      <c r="B18" s="39" t="s">
        <v>24</v>
      </c>
      <c r="C18" s="101"/>
      <c r="D18" s="113">
        <f>Inputs!D89</f>
        <v>1.9593390078055666</v>
      </c>
      <c r="E18" s="113">
        <f>Inputs!E89</f>
        <v>1.7539613476843365</v>
      </c>
      <c r="F18" s="113">
        <f>Inputs!F89</f>
        <v>1.7796997050243895</v>
      </c>
      <c r="G18" s="113">
        <f>Inputs!G89</f>
        <v>1.5960693536738424</v>
      </c>
      <c r="H18" s="113">
        <f>Inputs!H89</f>
        <v>1.4429540372853003</v>
      </c>
      <c r="I18" s="113">
        <f>Inputs!I89</f>
        <v>1.3472510185593161</v>
      </c>
      <c r="J18" s="113">
        <f>Inputs!J89</f>
        <v>1.2507605408411417</v>
      </c>
      <c r="K18" s="113">
        <f>Inputs!K89</f>
        <v>1.1747533807929349</v>
      </c>
      <c r="L18" s="113">
        <f>Inputs!L89</f>
        <v>1.0975242502539282</v>
      </c>
      <c r="M18" s="113">
        <f>Inputs!M89</f>
        <v>1.0403683741122254</v>
      </c>
      <c r="N18" s="113">
        <f>Inputs!N89</f>
        <v>1.0082344229478826</v>
      </c>
      <c r="Q18" s="30"/>
    </row>
    <row r="19" spans="1:17" ht="18" customHeight="1" x14ac:dyDescent="0.25">
      <c r="A19" s="103" t="s">
        <v>55</v>
      </c>
      <c r="B19" s="39" t="s">
        <v>16</v>
      </c>
      <c r="C19" s="109"/>
      <c r="D19" s="35">
        <f t="shared" ref="D19:N19" si="0">D17*D18</f>
        <v>32324.257731284531</v>
      </c>
      <c r="E19" s="35">
        <f t="shared" si="0"/>
        <v>60356.144433229179</v>
      </c>
      <c r="F19" s="35">
        <f t="shared" si="0"/>
        <v>73381.135244419915</v>
      </c>
      <c r="G19" s="35">
        <f t="shared" si="0"/>
        <v>106581.38499734178</v>
      </c>
      <c r="H19" s="35">
        <f t="shared" si="0"/>
        <v>145171.24161098301</v>
      </c>
      <c r="I19" s="35">
        <f t="shared" si="0"/>
        <v>223040.17449026345</v>
      </c>
      <c r="J19" s="35">
        <f t="shared" si="0"/>
        <v>298068.45979474124</v>
      </c>
      <c r="K19" s="35">
        <f t="shared" si="0"/>
        <v>391700.25896225596</v>
      </c>
      <c r="L19" s="35">
        <f t="shared" si="0"/>
        <v>476218.34875286481</v>
      </c>
      <c r="M19" s="35">
        <f t="shared" si="0"/>
        <v>548464.98487664736</v>
      </c>
      <c r="N19" s="35">
        <f t="shared" si="0"/>
        <v>309576.14103518211</v>
      </c>
      <c r="Q19" s="30"/>
    </row>
    <row r="20" spans="1:17" ht="18" customHeight="1" x14ac:dyDescent="0.25">
      <c r="A20" s="41"/>
      <c r="B20" s="36"/>
      <c r="C20" s="37"/>
      <c r="D20" s="37"/>
      <c r="E20" s="37"/>
      <c r="F20" s="37"/>
      <c r="G20" s="37"/>
      <c r="H20" s="37"/>
      <c r="I20" s="37"/>
      <c r="J20" s="37"/>
      <c r="K20" s="37"/>
      <c r="L20" s="37"/>
      <c r="M20" s="37"/>
      <c r="N20" s="37"/>
    </row>
    <row r="21" spans="1:17" ht="18" customHeight="1" x14ac:dyDescent="0.3">
      <c r="A21" s="208" t="s">
        <v>21</v>
      </c>
      <c r="B21" s="64"/>
      <c r="C21" s="73"/>
      <c r="D21" s="73"/>
      <c r="E21" s="73"/>
      <c r="F21" s="73"/>
      <c r="G21" s="73"/>
      <c r="H21" s="73"/>
      <c r="I21" s="73"/>
      <c r="J21" s="73"/>
      <c r="K21" s="73"/>
      <c r="L21" s="73"/>
      <c r="M21" s="73"/>
      <c r="N21" s="73"/>
    </row>
    <row r="22" spans="1:17" ht="18" customHeight="1" x14ac:dyDescent="0.25">
      <c r="A22" s="54" t="s">
        <v>213</v>
      </c>
      <c r="B22" s="39" t="s">
        <v>16</v>
      </c>
      <c r="C22" s="73">
        <f>C50</f>
        <v>31660.431258072822</v>
      </c>
      <c r="D22" s="73"/>
      <c r="E22" s="73"/>
      <c r="F22" s="73"/>
      <c r="G22" s="73"/>
      <c r="H22" s="73"/>
      <c r="I22" s="73"/>
      <c r="J22" s="73"/>
      <c r="K22" s="73"/>
      <c r="L22" s="73"/>
      <c r="M22" s="73"/>
      <c r="N22" s="73"/>
    </row>
    <row r="23" spans="1:17" ht="18" customHeight="1" x14ac:dyDescent="0.25">
      <c r="A23" s="54" t="s">
        <v>175</v>
      </c>
      <c r="B23" s="39" t="s">
        <v>24</v>
      </c>
      <c r="C23" s="113">
        <f>Inputs!C84</f>
        <v>1.9880089667234626</v>
      </c>
      <c r="D23" s="73"/>
      <c r="E23" s="73"/>
      <c r="F23" s="73"/>
      <c r="G23" s="73"/>
      <c r="H23" s="73"/>
      <c r="I23" s="73"/>
      <c r="J23" s="73"/>
      <c r="K23" s="73"/>
      <c r="L23" s="73"/>
      <c r="M23" s="73"/>
      <c r="N23" s="73"/>
    </row>
    <row r="24" spans="1:17" ht="18" customHeight="1" x14ac:dyDescent="0.25">
      <c r="A24" s="33" t="s">
        <v>214</v>
      </c>
      <c r="B24" s="39" t="s">
        <v>16</v>
      </c>
      <c r="C24" s="35">
        <f t="shared" ref="C24" si="1">C22*C23</f>
        <v>62941.221231380565</v>
      </c>
      <c r="D24" s="73"/>
      <c r="E24" s="73"/>
      <c r="F24" s="73"/>
      <c r="G24" s="73"/>
      <c r="H24" s="73"/>
      <c r="I24" s="73"/>
      <c r="J24" s="73"/>
      <c r="K24" s="73"/>
      <c r="L24" s="73"/>
      <c r="M24" s="73"/>
      <c r="N24" s="73"/>
    </row>
    <row r="25" spans="1:17" ht="18" customHeight="1" x14ac:dyDescent="0.25">
      <c r="A25" s="33"/>
      <c r="B25" s="64"/>
      <c r="C25" s="35"/>
      <c r="D25" s="73"/>
      <c r="E25" s="73"/>
      <c r="F25" s="73"/>
      <c r="G25" s="73"/>
      <c r="H25" s="73"/>
      <c r="I25" s="73"/>
      <c r="J25" s="73"/>
      <c r="K25" s="73"/>
      <c r="L25" s="73"/>
      <c r="M25" s="73"/>
      <c r="N25" s="73"/>
    </row>
    <row r="26" spans="1:17" ht="18" customHeight="1" x14ac:dyDescent="0.25">
      <c r="A26" s="54" t="s">
        <v>134</v>
      </c>
      <c r="B26" s="39" t="s">
        <v>16</v>
      </c>
      <c r="C26" s="109"/>
      <c r="D26" s="100">
        <f>Inputs!D11</f>
        <v>139082.17695616727</v>
      </c>
      <c r="E26" s="100">
        <f>Inputs!E11</f>
        <v>423687.6684495919</v>
      </c>
      <c r="F26" s="100">
        <f>Inputs!F11</f>
        <v>417825.89649912406</v>
      </c>
      <c r="G26" s="100">
        <f>Inputs!G11</f>
        <v>467068.24258278275</v>
      </c>
      <c r="H26" s="100">
        <f>Inputs!H11</f>
        <v>376763.37081148016</v>
      </c>
      <c r="I26" s="100">
        <f>Inputs!I11</f>
        <v>450907.81133290194</v>
      </c>
      <c r="J26" s="100">
        <f>Inputs!J11</f>
        <v>523965.99335277092</v>
      </c>
      <c r="K26" s="100">
        <f>Inputs!K11</f>
        <v>637156.02389413596</v>
      </c>
      <c r="L26" s="100">
        <f>Inputs!L11</f>
        <v>523418.67334551597</v>
      </c>
      <c r="M26" s="100">
        <f>Inputs!M11</f>
        <v>593450.04853671195</v>
      </c>
      <c r="N26" s="100">
        <f>Inputs!N11</f>
        <v>251286.57455227058</v>
      </c>
      <c r="Q26" s="30"/>
    </row>
    <row r="27" spans="1:17" ht="18" customHeight="1" x14ac:dyDescent="0.25">
      <c r="A27" s="163" t="s">
        <v>58</v>
      </c>
      <c r="B27" s="39" t="s">
        <v>16</v>
      </c>
      <c r="C27" s="110"/>
      <c r="D27" s="100">
        <f>Inputs!D13</f>
        <v>16921.797740260368</v>
      </c>
      <c r="E27" s="100">
        <f>Inputs!E13</f>
        <v>37856.196697825442</v>
      </c>
      <c r="F27" s="100">
        <f>Inputs!F13</f>
        <v>41391.841912588439</v>
      </c>
      <c r="G27" s="100">
        <f>Inputs!G13</f>
        <v>76123.426147037797</v>
      </c>
      <c r="H27" s="100">
        <f>Inputs!H13</f>
        <v>100710.04524436803</v>
      </c>
      <c r="I27" s="100">
        <f>Inputs!I13</f>
        <v>109011.3577288166</v>
      </c>
      <c r="J27" s="100">
        <f>Inputs!J13</f>
        <v>110564.91960386111</v>
      </c>
      <c r="K27" s="100">
        <f>Inputs!K13</f>
        <v>131914.64681931533</v>
      </c>
      <c r="L27" s="100">
        <f>Inputs!L13</f>
        <v>140370.96450075461</v>
      </c>
      <c r="M27" s="100">
        <f>Inputs!M13</f>
        <v>160565.02799788999</v>
      </c>
      <c r="N27" s="110">
        <f>Inputs!N13</f>
        <v>87595.613097413108</v>
      </c>
      <c r="Q27" s="30"/>
    </row>
    <row r="28" spans="1:17" ht="18" customHeight="1" x14ac:dyDescent="0.25">
      <c r="A28" s="54" t="s">
        <v>57</v>
      </c>
      <c r="B28" s="39" t="s">
        <v>16</v>
      </c>
      <c r="C28" s="109"/>
      <c r="D28" s="35">
        <f t="shared" ref="D28:N28" si="2">D54</f>
        <v>4209.5756392641961</v>
      </c>
      <c r="E28" s="35">
        <f t="shared" si="2"/>
        <v>7004.1273068820237</v>
      </c>
      <c r="F28" s="35">
        <f t="shared" si="2"/>
        <v>14243.424779774905</v>
      </c>
      <c r="G28" s="35">
        <f t="shared" si="2"/>
        <v>23914.041072084903</v>
      </c>
      <c r="H28" s="35">
        <f t="shared" si="2"/>
        <v>31451.779832392214</v>
      </c>
      <c r="I28" s="35">
        <f t="shared" si="2"/>
        <v>39324.360070347786</v>
      </c>
      <c r="J28" s="35">
        <f t="shared" si="2"/>
        <v>52619.257916583541</v>
      </c>
      <c r="K28" s="35">
        <f t="shared" si="2"/>
        <v>53822.575132802485</v>
      </c>
      <c r="L28" s="35">
        <f t="shared" si="2"/>
        <v>46666.256891124722</v>
      </c>
      <c r="M28" s="35">
        <f t="shared" si="2"/>
        <v>30041.253928732873</v>
      </c>
      <c r="N28" s="35">
        <f t="shared" si="2"/>
        <v>0</v>
      </c>
      <c r="Q28" s="30"/>
    </row>
    <row r="29" spans="1:17" ht="18" customHeight="1" x14ac:dyDescent="0.25">
      <c r="A29" s="54" t="s">
        <v>59</v>
      </c>
      <c r="B29" s="39" t="s">
        <v>16</v>
      </c>
      <c r="C29" s="111"/>
      <c r="D29" s="44">
        <f t="shared" ref="D29:N29" si="3">D124</f>
        <v>0</v>
      </c>
      <c r="E29" s="44">
        <f t="shared" si="3"/>
        <v>0</v>
      </c>
      <c r="F29" s="44">
        <f t="shared" si="3"/>
        <v>0</v>
      </c>
      <c r="G29" s="44">
        <f t="shared" si="3"/>
        <v>0</v>
      </c>
      <c r="H29" s="44">
        <f t="shared" si="3"/>
        <v>0</v>
      </c>
      <c r="I29" s="44">
        <f t="shared" si="3"/>
        <v>0</v>
      </c>
      <c r="J29" s="44">
        <f t="shared" si="3"/>
        <v>0</v>
      </c>
      <c r="K29" s="44">
        <f t="shared" si="3"/>
        <v>0</v>
      </c>
      <c r="L29" s="44">
        <f t="shared" si="3"/>
        <v>0</v>
      </c>
      <c r="M29" s="44">
        <f t="shared" si="3"/>
        <v>0</v>
      </c>
      <c r="N29" s="44">
        <f t="shared" si="3"/>
        <v>0</v>
      </c>
      <c r="Q29" s="30"/>
    </row>
    <row r="30" spans="1:17" ht="18" customHeight="1" x14ac:dyDescent="0.25">
      <c r="A30" s="169" t="s">
        <v>195</v>
      </c>
      <c r="B30" s="39" t="s">
        <v>16</v>
      </c>
      <c r="C30" s="112"/>
      <c r="D30" s="50">
        <f t="shared" ref="D30:N30" si="4">SUM(D26:D29)</f>
        <v>160213.55033569183</v>
      </c>
      <c r="E30" s="50">
        <f t="shared" si="4"/>
        <v>468547.99245429935</v>
      </c>
      <c r="F30" s="50">
        <f t="shared" si="4"/>
        <v>473461.16319148743</v>
      </c>
      <c r="G30" s="50">
        <f t="shared" si="4"/>
        <v>567105.70980190544</v>
      </c>
      <c r="H30" s="50">
        <f t="shared" si="4"/>
        <v>508925.19588824041</v>
      </c>
      <c r="I30" s="50">
        <f t="shared" si="4"/>
        <v>599243.52913206629</v>
      </c>
      <c r="J30" s="50">
        <f t="shared" si="4"/>
        <v>687150.17087321554</v>
      </c>
      <c r="K30" s="50">
        <f t="shared" si="4"/>
        <v>822893.2458462537</v>
      </c>
      <c r="L30" s="50">
        <f t="shared" si="4"/>
        <v>710455.89473739534</v>
      </c>
      <c r="M30" s="50">
        <f t="shared" si="4"/>
        <v>784056.3304633348</v>
      </c>
      <c r="N30" s="50">
        <f t="shared" si="4"/>
        <v>338882.18764968368</v>
      </c>
      <c r="Q30" s="30"/>
    </row>
    <row r="31" spans="1:17" ht="18" customHeight="1" x14ac:dyDescent="0.25">
      <c r="A31" s="54" t="s">
        <v>173</v>
      </c>
      <c r="B31" s="39" t="s">
        <v>24</v>
      </c>
      <c r="C31" s="113"/>
      <c r="D31" s="113">
        <f>Inputs!D79</f>
        <v>1.9716523217775115</v>
      </c>
      <c r="E31" s="113">
        <f>Inputs!E79</f>
        <v>1.76398429597453</v>
      </c>
      <c r="F31" s="113">
        <f>Inputs!F79</f>
        <v>1.7914568352908242</v>
      </c>
      <c r="G31" s="113">
        <f>Inputs!G79</f>
        <v>1.6058558416530693</v>
      </c>
      <c r="H31" s="113">
        <f>Inputs!H79</f>
        <v>1.4510642711998849</v>
      </c>
      <c r="I31" s="113">
        <f>Inputs!I79</f>
        <v>1.3546621879514464</v>
      </c>
      <c r="J31" s="113">
        <f>Inputs!J79</f>
        <v>1.2572446412940239</v>
      </c>
      <c r="K31" s="113">
        <f>Inputs!K79</f>
        <v>1.1806417697833558</v>
      </c>
      <c r="L31" s="113">
        <f>Inputs!L79</f>
        <v>1.1023634907865856</v>
      </c>
      <c r="M31" s="113">
        <f>Inputs!M79</f>
        <v>1.0444688740048842</v>
      </c>
      <c r="N31" s="113">
        <f>Inputs!N79</f>
        <v>1.0129497546107082</v>
      </c>
      <c r="Q31" s="30"/>
    </row>
    <row r="32" spans="1:17" ht="18" customHeight="1" x14ac:dyDescent="0.25">
      <c r="A32" s="33" t="s">
        <v>56</v>
      </c>
      <c r="B32" s="39" t="s">
        <v>16</v>
      </c>
      <c r="C32" s="35"/>
      <c r="D32" s="35">
        <f t="shared" ref="D32:N32" si="5">D30*D31</f>
        <v>315885.41849958501</v>
      </c>
      <c r="E32" s="35">
        <f t="shared" si="5"/>
        <v>826511.30059977667</v>
      </c>
      <c r="F32" s="35">
        <f t="shared" si="5"/>
        <v>848185.23704413453</v>
      </c>
      <c r="G32" s="35">
        <f t="shared" si="5"/>
        <v>910690.01692020008</v>
      </c>
      <c r="H32" s="35">
        <f t="shared" si="5"/>
        <v>738483.16846682818</v>
      </c>
      <c r="I32" s="35">
        <f t="shared" si="5"/>
        <v>811772.55028979131</v>
      </c>
      <c r="J32" s="35">
        <f t="shared" si="5"/>
        <v>863915.87009462307</v>
      </c>
      <c r="K32" s="35">
        <f t="shared" si="5"/>
        <v>971542.13811869104</v>
      </c>
      <c r="L32" s="35">
        <f t="shared" si="5"/>
        <v>783180.64017262217</v>
      </c>
      <c r="M32" s="35">
        <f t="shared" si="5"/>
        <v>818922.43263544072</v>
      </c>
      <c r="N32" s="35">
        <f t="shared" si="5"/>
        <v>343270.62882168707</v>
      </c>
      <c r="Q32" s="30"/>
    </row>
    <row r="33" spans="1:17" ht="18" customHeight="1" x14ac:dyDescent="0.25">
      <c r="A33" s="41"/>
      <c r="B33" s="36"/>
      <c r="C33" s="37"/>
      <c r="D33" s="37"/>
      <c r="E33" s="37"/>
      <c r="F33" s="37"/>
      <c r="G33" s="37"/>
      <c r="H33" s="37"/>
      <c r="I33" s="37"/>
      <c r="J33" s="37"/>
      <c r="K33" s="37"/>
      <c r="L33" s="37"/>
      <c r="M33" s="37"/>
      <c r="N33" s="37"/>
    </row>
    <row r="34" spans="1:17" ht="18" customHeight="1" x14ac:dyDescent="0.3">
      <c r="A34" s="208" t="s">
        <v>39</v>
      </c>
      <c r="B34" s="45"/>
      <c r="C34" s="43"/>
      <c r="D34" s="43"/>
      <c r="E34" s="43"/>
      <c r="F34" s="43"/>
      <c r="G34" s="43"/>
      <c r="H34" s="43"/>
      <c r="I34" s="43"/>
      <c r="J34" s="43"/>
      <c r="K34" s="43"/>
      <c r="L34" s="43"/>
      <c r="M34" s="43"/>
      <c r="N34" s="43"/>
    </row>
    <row r="35" spans="1:17" ht="18" customHeight="1" x14ac:dyDescent="0.25">
      <c r="A35" s="33" t="s">
        <v>53</v>
      </c>
      <c r="B35" s="39" t="s">
        <v>16</v>
      </c>
      <c r="C35" s="191">
        <f>-C24</f>
        <v>-62941.221231380565</v>
      </c>
      <c r="D35" s="35">
        <f t="shared" ref="D35:N35" si="6">D19-D32</f>
        <v>-283561.16076830047</v>
      </c>
      <c r="E35" s="35">
        <f t="shared" si="6"/>
        <v>-766155.15616654744</v>
      </c>
      <c r="F35" s="35">
        <f t="shared" si="6"/>
        <v>-774804.10179971461</v>
      </c>
      <c r="G35" s="35">
        <f t="shared" si="6"/>
        <v>-804108.6319228583</v>
      </c>
      <c r="H35" s="35">
        <f t="shared" si="6"/>
        <v>-593311.92685584514</v>
      </c>
      <c r="I35" s="35">
        <f t="shared" si="6"/>
        <v>-588732.37579952786</v>
      </c>
      <c r="J35" s="35">
        <f t="shared" si="6"/>
        <v>-565847.41029988183</v>
      </c>
      <c r="K35" s="35">
        <f t="shared" si="6"/>
        <v>-579841.87915643514</v>
      </c>
      <c r="L35" s="35">
        <f t="shared" si="6"/>
        <v>-306962.29141975736</v>
      </c>
      <c r="M35" s="35">
        <f t="shared" si="6"/>
        <v>-270457.44775879337</v>
      </c>
      <c r="N35" s="35">
        <f t="shared" si="6"/>
        <v>-33694.487786504964</v>
      </c>
      <c r="Q35" s="30"/>
    </row>
    <row r="36" spans="1:17" ht="18" customHeight="1" x14ac:dyDescent="0.3">
      <c r="A36" s="33" t="s">
        <v>52</v>
      </c>
      <c r="B36" s="39" t="s">
        <v>16</v>
      </c>
      <c r="C36" s="46"/>
      <c r="D36" s="46"/>
      <c r="E36" s="46"/>
      <c r="F36" s="46"/>
      <c r="G36" s="46"/>
      <c r="H36" s="46"/>
      <c r="I36" s="46"/>
      <c r="J36" s="46"/>
      <c r="K36" s="46"/>
      <c r="L36" s="46"/>
      <c r="M36" s="46"/>
      <c r="N36" s="97">
        <f>SUM(C35:N35)</f>
        <v>-5630418.0909655467</v>
      </c>
      <c r="Q36" s="30"/>
    </row>
    <row r="37" spans="1:17" ht="18" customHeight="1" x14ac:dyDescent="0.25">
      <c r="A37" s="41"/>
      <c r="B37" s="36"/>
      <c r="C37" s="36"/>
      <c r="D37" s="37"/>
      <c r="E37" s="37"/>
      <c r="F37" s="37"/>
      <c r="G37" s="37"/>
      <c r="H37" s="37"/>
      <c r="I37" s="37"/>
      <c r="J37" s="37"/>
      <c r="K37" s="37"/>
      <c r="L37" s="37"/>
      <c r="M37" s="37"/>
      <c r="N37" s="37"/>
    </row>
    <row r="38" spans="1:17" ht="18" customHeight="1" x14ac:dyDescent="0.25"/>
    <row r="39" spans="1:17" ht="18" customHeight="1" x14ac:dyDescent="0.35">
      <c r="A39" s="204" t="s">
        <v>181</v>
      </c>
      <c r="C39" s="93" t="s">
        <v>42</v>
      </c>
      <c r="D39" s="93" t="s">
        <v>65</v>
      </c>
      <c r="E39" s="93" t="s">
        <v>43</v>
      </c>
      <c r="F39" s="93" t="s">
        <v>43</v>
      </c>
      <c r="G39" s="93" t="s">
        <v>43</v>
      </c>
      <c r="H39" s="93" t="s">
        <v>43</v>
      </c>
      <c r="I39" s="93" t="s">
        <v>43</v>
      </c>
      <c r="J39" s="93" t="s">
        <v>43</v>
      </c>
      <c r="K39" s="93" t="s">
        <v>43</v>
      </c>
      <c r="L39" s="93" t="s">
        <v>43</v>
      </c>
      <c r="M39" s="93" t="s">
        <v>43</v>
      </c>
      <c r="N39" s="93" t="s">
        <v>66</v>
      </c>
    </row>
    <row r="40" spans="1:17" ht="18" customHeight="1" x14ac:dyDescent="0.25">
      <c r="C40" s="94">
        <f>Inputs!$C$53</f>
        <v>40878</v>
      </c>
      <c r="D40" s="94">
        <f>Inputs!D53</f>
        <v>41090</v>
      </c>
      <c r="E40" s="94">
        <f>Inputs!E53</f>
        <v>41455</v>
      </c>
      <c r="F40" s="94">
        <f>Inputs!F53</f>
        <v>41820</v>
      </c>
      <c r="G40" s="94">
        <f>Inputs!G53</f>
        <v>42185</v>
      </c>
      <c r="H40" s="94">
        <f>Inputs!H53</f>
        <v>42551</v>
      </c>
      <c r="I40" s="94">
        <f>Inputs!I53</f>
        <v>42916</v>
      </c>
      <c r="J40" s="94">
        <f>Inputs!J53</f>
        <v>43281</v>
      </c>
      <c r="K40" s="94">
        <f>Inputs!K53</f>
        <v>43646</v>
      </c>
      <c r="L40" s="94">
        <f>Inputs!L53</f>
        <v>44012</v>
      </c>
      <c r="M40" s="94">
        <f>Inputs!M53</f>
        <v>44377</v>
      </c>
      <c r="N40" s="94">
        <f>Inputs!N53</f>
        <v>44561</v>
      </c>
    </row>
    <row r="41" spans="1:17" ht="18" customHeight="1" x14ac:dyDescent="0.25">
      <c r="D41" s="81"/>
    </row>
    <row r="42" spans="1:17" s="79" customFormat="1" ht="18" customHeight="1" x14ac:dyDescent="0.35">
      <c r="A42" s="208" t="s">
        <v>31</v>
      </c>
      <c r="O42" s="1"/>
      <c r="P42" s="1"/>
    </row>
    <row r="43" spans="1:17" ht="18" customHeight="1" x14ac:dyDescent="0.25">
      <c r="A43" s="54" t="s">
        <v>204</v>
      </c>
      <c r="B43" s="39" t="s">
        <v>16</v>
      </c>
      <c r="C43" s="100">
        <f>Inputs!C$8</f>
        <v>2269034.65178</v>
      </c>
      <c r="D43" s="35"/>
      <c r="E43" s="35"/>
      <c r="F43" s="35"/>
      <c r="G43" s="35"/>
      <c r="H43" s="35"/>
      <c r="I43" s="35"/>
      <c r="J43" s="35"/>
      <c r="K43" s="35"/>
      <c r="L43" s="35"/>
      <c r="M43" s="35"/>
      <c r="N43" s="35"/>
      <c r="Q43" s="38"/>
    </row>
    <row r="44" spans="1:17" ht="18" customHeight="1" x14ac:dyDescent="0.25">
      <c r="A44" s="54" t="s">
        <v>215</v>
      </c>
      <c r="B44" s="39" t="s">
        <v>16</v>
      </c>
      <c r="C44" s="39"/>
      <c r="D44" s="35">
        <f>C47</f>
        <v>2269034.65178</v>
      </c>
      <c r="E44" s="35">
        <f t="shared" ref="E44:N44" si="7">D47</f>
        <v>2454356.5907532889</v>
      </c>
      <c r="F44" s="35">
        <f t="shared" si="7"/>
        <v>2809442.5017919559</v>
      </c>
      <c r="G44" s="35">
        <f t="shared" si="7"/>
        <v>3102405.3864186225</v>
      </c>
      <c r="H44" s="35">
        <f t="shared" si="7"/>
        <v>3381851.0282769543</v>
      </c>
      <c r="I44" s="35">
        <f t="shared" si="7"/>
        <v>3574695.4155942928</v>
      </c>
      <c r="J44" s="35">
        <f t="shared" si="7"/>
        <v>3811245.6067386302</v>
      </c>
      <c r="K44" s="35">
        <f t="shared" si="7"/>
        <v>4219261.4778799387</v>
      </c>
      <c r="L44" s="35">
        <f t="shared" si="7"/>
        <v>4579363.8644503141</v>
      </c>
      <c r="M44" s="35">
        <f t="shared" si="7"/>
        <v>4837226.0448002908</v>
      </c>
      <c r="N44" s="35">
        <f t="shared" si="7"/>
        <v>5082155.0858179508</v>
      </c>
      <c r="Q44" s="38"/>
    </row>
    <row r="45" spans="1:17" ht="18" customHeight="1" x14ac:dyDescent="0.25">
      <c r="A45" s="54" t="s">
        <v>205</v>
      </c>
      <c r="B45" s="39" t="s">
        <v>16</v>
      </c>
      <c r="C45" s="39"/>
      <c r="D45" s="100">
        <f>Inputs!D$9</f>
        <v>388627.79915999965</v>
      </c>
      <c r="E45" s="100">
        <f>Inputs!E$9</f>
        <v>687809.3561300002</v>
      </c>
      <c r="F45" s="100">
        <f>Inputs!F$9</f>
        <v>625084.94761999999</v>
      </c>
      <c r="G45" s="100">
        <f>Inputs!G$9</f>
        <v>621286.62351999828</v>
      </c>
      <c r="H45" s="100">
        <f>Inputs!H$9</f>
        <v>527399.04963000561</v>
      </c>
      <c r="I45" s="100">
        <f>Inputs!I$9</f>
        <v>586942.74169999384</v>
      </c>
      <c r="J45" s="100">
        <f>Inputs!J$9</f>
        <v>802471.72977997549</v>
      </c>
      <c r="K45" s="100">
        <f>Inputs!K$9</f>
        <v>763218.04416004382</v>
      </c>
      <c r="L45" s="100">
        <f>Inputs!L$9</f>
        <v>668539.72453997971</v>
      </c>
      <c r="M45" s="100">
        <f>Inputs!M$9</f>
        <v>669287.45715160412</v>
      </c>
      <c r="N45" s="100">
        <f>Inputs!N$9</f>
        <v>566855.14364873827</v>
      </c>
      <c r="Q45" s="38"/>
    </row>
    <row r="46" spans="1:17" ht="18" customHeight="1" x14ac:dyDescent="0.25">
      <c r="A46" s="54" t="s">
        <v>87</v>
      </c>
      <c r="B46" s="39" t="s">
        <v>16</v>
      </c>
      <c r="C46" s="102"/>
      <c r="D46" s="102">
        <f>-Inputs!D16</f>
        <v>-203305.86018671046</v>
      </c>
      <c r="E46" s="102">
        <f>-Inputs!E16</f>
        <v>-332723.4450913333</v>
      </c>
      <c r="F46" s="102">
        <f>-Inputs!F16</f>
        <v>-332122.06299333315</v>
      </c>
      <c r="G46" s="102">
        <f>-Inputs!G16</f>
        <v>-341840.98166166659</v>
      </c>
      <c r="H46" s="102">
        <f>-Inputs!H16</f>
        <v>-334554.66231266689</v>
      </c>
      <c r="I46" s="102">
        <f>-Inputs!I16</f>
        <v>-350392.55055565608</v>
      </c>
      <c r="J46" s="102">
        <f>-Inputs!J16</f>
        <v>-394455.85863866733</v>
      </c>
      <c r="K46" s="102">
        <f>-Inputs!K16</f>
        <v>-403115.65758966858</v>
      </c>
      <c r="L46" s="102">
        <f>-Inputs!L16</f>
        <v>-410677.54419000295</v>
      </c>
      <c r="M46" s="102">
        <f>-Inputs!M16</f>
        <v>-424358.41613394406</v>
      </c>
      <c r="N46" s="102">
        <f>-Inputs!N16</f>
        <v>-229736.05167209101</v>
      </c>
      <c r="Q46" s="38"/>
    </row>
    <row r="47" spans="1:17" ht="18" customHeight="1" x14ac:dyDescent="0.25">
      <c r="A47" s="103" t="s">
        <v>216</v>
      </c>
      <c r="B47" s="39" t="s">
        <v>16</v>
      </c>
      <c r="C47" s="73">
        <f>SUM(C43:C46)</f>
        <v>2269034.65178</v>
      </c>
      <c r="D47" s="73">
        <f t="shared" ref="D47:N47" si="8">SUM(D43:D46)</f>
        <v>2454356.5907532889</v>
      </c>
      <c r="E47" s="73">
        <f t="shared" si="8"/>
        <v>2809442.5017919559</v>
      </c>
      <c r="F47" s="73">
        <f t="shared" si="8"/>
        <v>3102405.3864186225</v>
      </c>
      <c r="G47" s="73">
        <f t="shared" si="8"/>
        <v>3381851.0282769543</v>
      </c>
      <c r="H47" s="73">
        <f t="shared" si="8"/>
        <v>3574695.4155942928</v>
      </c>
      <c r="I47" s="73">
        <f t="shared" si="8"/>
        <v>3811245.6067386302</v>
      </c>
      <c r="J47" s="73">
        <f t="shared" si="8"/>
        <v>4219261.4778799387</v>
      </c>
      <c r="K47" s="73">
        <f t="shared" si="8"/>
        <v>4579363.8644503141</v>
      </c>
      <c r="L47" s="73">
        <f t="shared" si="8"/>
        <v>4837226.0448002908</v>
      </c>
      <c r="M47" s="73">
        <f t="shared" si="8"/>
        <v>5082155.0858179508</v>
      </c>
      <c r="N47" s="73">
        <f t="shared" si="8"/>
        <v>5419274.177794598</v>
      </c>
      <c r="Q47" s="38"/>
    </row>
    <row r="48" spans="1:17" ht="18" customHeight="1" x14ac:dyDescent="0.25"/>
    <row r="49" spans="1:17" s="79" customFormat="1" ht="18" customHeight="1" x14ac:dyDescent="0.35">
      <c r="A49" s="208" t="s">
        <v>71</v>
      </c>
      <c r="O49" s="1"/>
      <c r="P49" s="1"/>
      <c r="Q49" s="80"/>
    </row>
    <row r="50" spans="1:17" ht="18" customHeight="1" x14ac:dyDescent="0.25">
      <c r="A50" s="54" t="s">
        <v>217</v>
      </c>
      <c r="B50" s="39" t="s">
        <v>16</v>
      </c>
      <c r="C50" s="100">
        <f>Inputs!C$10</f>
        <v>31660.431258072822</v>
      </c>
      <c r="D50" s="53"/>
      <c r="E50" s="35"/>
      <c r="F50" s="35"/>
      <c r="G50" s="35"/>
      <c r="H50" s="35"/>
      <c r="I50" s="35"/>
      <c r="J50" s="35"/>
      <c r="K50" s="35"/>
      <c r="L50" s="35"/>
      <c r="M50" s="35"/>
      <c r="N50" s="35"/>
      <c r="Q50" s="38"/>
    </row>
    <row r="51" spans="1:17" ht="18" customHeight="1" x14ac:dyDescent="0.25">
      <c r="A51" s="54" t="s">
        <v>218</v>
      </c>
      <c r="B51" s="39" t="s">
        <v>16</v>
      </c>
      <c r="C51" s="118"/>
      <c r="D51" s="109">
        <f>C55</f>
        <v>31660.431258072822</v>
      </c>
      <c r="E51" s="109">
        <f t="shared" ref="E51:N51" si="9">D55</f>
        <v>169568.4758616233</v>
      </c>
      <c r="F51" s="109">
        <f t="shared" si="9"/>
        <v>575338.2141548912</v>
      </c>
      <c r="G51" s="109">
        <f t="shared" si="9"/>
        <v>957945.7755601526</v>
      </c>
      <c r="H51" s="109">
        <f t="shared" si="9"/>
        <v>1364005.3774908262</v>
      </c>
      <c r="I51" s="109">
        <f t="shared" si="9"/>
        <v>1656030.6824819602</v>
      </c>
      <c r="J51" s="109">
        <f t="shared" si="9"/>
        <v>2003446.5725822172</v>
      </c>
      <c r="K51" s="109">
        <f t="shared" si="9"/>
        <v>2425049.3965956187</v>
      </c>
      <c r="L51" s="109">
        <f t="shared" si="9"/>
        <v>2937568.3601880944</v>
      </c>
      <c r="M51" s="109">
        <f t="shared" si="9"/>
        <v>3298498.5048585688</v>
      </c>
      <c r="N51" s="109">
        <f t="shared" si="9"/>
        <v>3686881.8650899762</v>
      </c>
      <c r="Q51" s="38"/>
    </row>
    <row r="52" spans="1:17" ht="18" customHeight="1" x14ac:dyDescent="0.25">
      <c r="A52" s="54" t="s">
        <v>134</v>
      </c>
      <c r="B52" s="39" t="s">
        <v>16</v>
      </c>
      <c r="C52" s="118"/>
      <c r="D52" s="110">
        <f>Inputs!D11</f>
        <v>139082.17695616727</v>
      </c>
      <c r="E52" s="110">
        <f>Inputs!E11</f>
        <v>423687.6684495919</v>
      </c>
      <c r="F52" s="110">
        <f>Inputs!F11</f>
        <v>417825.89649912406</v>
      </c>
      <c r="G52" s="110">
        <f>Inputs!G11</f>
        <v>467068.24258278275</v>
      </c>
      <c r="H52" s="110">
        <f>Inputs!H11</f>
        <v>376763.37081148016</v>
      </c>
      <c r="I52" s="110">
        <f>Inputs!I11</f>
        <v>450907.81133290194</v>
      </c>
      <c r="J52" s="110">
        <f>Inputs!J11</f>
        <v>523965.99335277092</v>
      </c>
      <c r="K52" s="110">
        <f>Inputs!K11</f>
        <v>637156.02389413596</v>
      </c>
      <c r="L52" s="110">
        <f>Inputs!L11</f>
        <v>523418.67334551597</v>
      </c>
      <c r="M52" s="110">
        <f>Inputs!M11</f>
        <v>593450.04853671195</v>
      </c>
      <c r="N52" s="110">
        <f>Inputs!N11</f>
        <v>251286.57455227058</v>
      </c>
      <c r="Q52" s="38"/>
    </row>
    <row r="53" spans="1:17" ht="18" customHeight="1" x14ac:dyDescent="0.25">
      <c r="A53" s="54" t="s">
        <v>70</v>
      </c>
      <c r="B53" s="39" t="s">
        <v>16</v>
      </c>
      <c r="C53" s="118"/>
      <c r="D53" s="110">
        <f>-Inputs!D17</f>
        <v>-5383.7079918809704</v>
      </c>
      <c r="E53" s="110">
        <f>-Inputs!E17</f>
        <v>-24922.057463206107</v>
      </c>
      <c r="F53" s="110">
        <f>-Inputs!F17</f>
        <v>-49461.759873637573</v>
      </c>
      <c r="G53" s="110">
        <f>-Inputs!G17</f>
        <v>-84922.681724193943</v>
      </c>
      <c r="H53" s="110">
        <f>-Inputs!H17</f>
        <v>-116189.84565273838</v>
      </c>
      <c r="I53" s="110">
        <f>-Inputs!I17</f>
        <v>-142816.28130299292</v>
      </c>
      <c r="J53" s="110">
        <f>-Inputs!J17</f>
        <v>-154982.42725595305</v>
      </c>
      <c r="K53" s="110">
        <f>-Inputs!K17</f>
        <v>-178459.63543446292</v>
      </c>
      <c r="L53" s="110">
        <f>-Inputs!L17</f>
        <v>-209154.78556616636</v>
      </c>
      <c r="M53" s="110">
        <f>-Inputs!M17</f>
        <v>-235107.94223403765</v>
      </c>
      <c r="N53" s="110">
        <f>-Inputs!N17</f>
        <v>-133777.18097379923</v>
      </c>
      <c r="Q53" s="38"/>
    </row>
    <row r="54" spans="1:17" ht="18" customHeight="1" x14ac:dyDescent="0.25">
      <c r="A54" s="54" t="s">
        <v>57</v>
      </c>
      <c r="B54" s="39" t="s">
        <v>16</v>
      </c>
      <c r="C54" s="146"/>
      <c r="D54" s="146">
        <f>Inputs!D$12</f>
        <v>4209.5756392641961</v>
      </c>
      <c r="E54" s="146">
        <f>Inputs!E$12</f>
        <v>7004.1273068820237</v>
      </c>
      <c r="F54" s="146">
        <f>Inputs!F$12</f>
        <v>14243.424779774905</v>
      </c>
      <c r="G54" s="146">
        <f>Inputs!G$12</f>
        <v>23914.041072084903</v>
      </c>
      <c r="H54" s="146">
        <f>Inputs!H$12</f>
        <v>31451.779832392214</v>
      </c>
      <c r="I54" s="146">
        <f>Inputs!I$12</f>
        <v>39324.360070347786</v>
      </c>
      <c r="J54" s="146">
        <f>Inputs!J$12</f>
        <v>52619.257916583541</v>
      </c>
      <c r="K54" s="146">
        <f>Inputs!K$12</f>
        <v>53822.575132802485</v>
      </c>
      <c r="L54" s="146">
        <f>Inputs!L$12</f>
        <v>46666.256891124722</v>
      </c>
      <c r="M54" s="146">
        <f>Inputs!M$12</f>
        <v>30041.253928732873</v>
      </c>
      <c r="N54" s="146">
        <f>Inputs!N$12</f>
        <v>0</v>
      </c>
      <c r="Q54" s="98"/>
    </row>
    <row r="55" spans="1:17" ht="18" customHeight="1" x14ac:dyDescent="0.25">
      <c r="A55" s="103" t="s">
        <v>219</v>
      </c>
      <c r="B55" s="39" t="s">
        <v>16</v>
      </c>
      <c r="C55" s="120">
        <f>SUM(C50:C54)</f>
        <v>31660.431258072822</v>
      </c>
      <c r="D55" s="120">
        <f t="shared" ref="D55:N55" si="10">SUM(D50:D54)</f>
        <v>169568.4758616233</v>
      </c>
      <c r="E55" s="120">
        <f t="shared" si="10"/>
        <v>575338.2141548912</v>
      </c>
      <c r="F55" s="120">
        <f t="shared" si="10"/>
        <v>957945.7755601526</v>
      </c>
      <c r="G55" s="120">
        <f t="shared" si="10"/>
        <v>1364005.3774908262</v>
      </c>
      <c r="H55" s="120">
        <f t="shared" si="10"/>
        <v>1656030.6824819602</v>
      </c>
      <c r="I55" s="120">
        <f t="shared" si="10"/>
        <v>2003446.5725822172</v>
      </c>
      <c r="J55" s="120">
        <f t="shared" si="10"/>
        <v>2425049.3965956187</v>
      </c>
      <c r="K55" s="120">
        <f t="shared" si="10"/>
        <v>2937568.3601880944</v>
      </c>
      <c r="L55" s="120">
        <f t="shared" si="10"/>
        <v>3298498.5048585688</v>
      </c>
      <c r="M55" s="120">
        <f t="shared" si="10"/>
        <v>3686881.8650899762</v>
      </c>
      <c r="N55" s="194">
        <f t="shared" si="10"/>
        <v>3804391.2586684474</v>
      </c>
      <c r="Q55" s="38"/>
    </row>
    <row r="56" spans="1:17" s="108" customFormat="1" ht="18" customHeight="1" x14ac:dyDescent="0.25">
      <c r="A56" s="1"/>
      <c r="B56" s="1"/>
      <c r="C56" s="1"/>
      <c r="D56" s="1"/>
      <c r="E56" s="1"/>
      <c r="F56" s="1"/>
      <c r="G56" s="1"/>
      <c r="H56" s="1"/>
      <c r="I56" s="1"/>
      <c r="J56" s="1"/>
      <c r="K56" s="1"/>
      <c r="L56" s="1"/>
      <c r="M56" s="1"/>
      <c r="N56" s="1"/>
      <c r="O56" s="1"/>
      <c r="P56" s="1"/>
      <c r="Q56" s="107"/>
    </row>
    <row r="57" spans="1:17" ht="18" customHeight="1" x14ac:dyDescent="0.25"/>
    <row r="58" spans="1:17" s="89" customFormat="1" ht="18" customHeight="1" x14ac:dyDescent="0.35">
      <c r="A58" s="209" t="s">
        <v>180</v>
      </c>
      <c r="C58" s="93" t="s">
        <v>42</v>
      </c>
      <c r="D58" s="93" t="s">
        <v>65</v>
      </c>
      <c r="E58" s="93" t="s">
        <v>43</v>
      </c>
      <c r="F58" s="93" t="s">
        <v>43</v>
      </c>
      <c r="G58" s="93" t="s">
        <v>43</v>
      </c>
      <c r="H58" s="93" t="s">
        <v>43</v>
      </c>
      <c r="I58" s="93" t="s">
        <v>43</v>
      </c>
      <c r="J58" s="93" t="s">
        <v>43</v>
      </c>
      <c r="K58" s="93" t="s">
        <v>43</v>
      </c>
      <c r="L58" s="93" t="s">
        <v>43</v>
      </c>
      <c r="M58" s="93" t="s">
        <v>43</v>
      </c>
      <c r="N58" s="93" t="s">
        <v>66</v>
      </c>
      <c r="O58" s="30"/>
      <c r="P58" s="30"/>
    </row>
    <row r="59" spans="1:17" ht="18" customHeight="1" x14ac:dyDescent="0.25">
      <c r="C59" s="94">
        <f>Inputs!$C$53</f>
        <v>40878</v>
      </c>
      <c r="D59" s="94">
        <f>D40</f>
        <v>41090</v>
      </c>
      <c r="E59" s="94">
        <f t="shared" ref="E59:N59" si="11">E40</f>
        <v>41455</v>
      </c>
      <c r="F59" s="94">
        <f t="shared" si="11"/>
        <v>41820</v>
      </c>
      <c r="G59" s="94">
        <f t="shared" si="11"/>
        <v>42185</v>
      </c>
      <c r="H59" s="94">
        <f t="shared" si="11"/>
        <v>42551</v>
      </c>
      <c r="I59" s="94">
        <f t="shared" si="11"/>
        <v>42916</v>
      </c>
      <c r="J59" s="94">
        <f t="shared" si="11"/>
        <v>43281</v>
      </c>
      <c r="K59" s="94">
        <f t="shared" si="11"/>
        <v>43646</v>
      </c>
      <c r="L59" s="94">
        <f t="shared" si="11"/>
        <v>44012</v>
      </c>
      <c r="M59" s="94">
        <f t="shared" si="11"/>
        <v>44377</v>
      </c>
      <c r="N59" s="94">
        <f t="shared" si="11"/>
        <v>44561</v>
      </c>
      <c r="O59" s="30"/>
      <c r="P59" s="30"/>
    </row>
    <row r="60" spans="1:17" ht="18" customHeight="1" x14ac:dyDescent="0.35">
      <c r="A60" s="208" t="s">
        <v>32</v>
      </c>
      <c r="B60" s="79"/>
      <c r="C60" s="79"/>
      <c r="D60" s="79"/>
      <c r="E60" s="79"/>
      <c r="F60" s="79"/>
      <c r="G60" s="79"/>
      <c r="H60" s="79"/>
      <c r="I60" s="79"/>
      <c r="J60" s="79"/>
      <c r="K60" s="79"/>
      <c r="L60" s="79"/>
      <c r="M60" s="79"/>
      <c r="N60" s="79"/>
    </row>
    <row r="61" spans="1:17" ht="18" customHeight="1" x14ac:dyDescent="0.25">
      <c r="A61" s="170" t="s">
        <v>20</v>
      </c>
      <c r="B61" s="39" t="s">
        <v>16</v>
      </c>
      <c r="C61" s="35"/>
      <c r="D61" s="35">
        <f>C64</f>
        <v>6365.8919999999998</v>
      </c>
      <c r="E61" s="35">
        <f>D64</f>
        <v>12731.784</v>
      </c>
      <c r="F61" s="35">
        <f t="shared" ref="F61:N61" si="12">E64</f>
        <v>118149.122</v>
      </c>
      <c r="G61" s="35">
        <f t="shared" si="12"/>
        <v>261156.538</v>
      </c>
      <c r="H61" s="35">
        <f t="shared" si="12"/>
        <v>400312.29200000002</v>
      </c>
      <c r="I61" s="35">
        <f t="shared" si="12"/>
        <v>530409.38599999994</v>
      </c>
      <c r="J61" s="35">
        <f t="shared" si="12"/>
        <v>639667.054</v>
      </c>
      <c r="K61" s="35">
        <f t="shared" si="12"/>
        <v>750981.84199999995</v>
      </c>
      <c r="L61" s="35">
        <f t="shared" si="12"/>
        <v>911025.03199999989</v>
      </c>
      <c r="M61" s="35">
        <f t="shared" si="12"/>
        <v>1066735.1869999999</v>
      </c>
      <c r="N61" s="35">
        <f t="shared" si="12"/>
        <v>1191103.2560000001</v>
      </c>
    </row>
    <row r="62" spans="1:17" ht="18" customHeight="1" x14ac:dyDescent="0.25">
      <c r="A62" s="160" t="s">
        <v>177</v>
      </c>
      <c r="B62" s="39" t="s">
        <v>16</v>
      </c>
      <c r="C62" s="100">
        <f>Inputs!C94</f>
        <v>6365.8919999999998</v>
      </c>
      <c r="D62" s="100">
        <f>Inputs!D94</f>
        <v>6365.8919999999998</v>
      </c>
      <c r="E62" s="100">
        <f>Inputs!E94</f>
        <v>105417.338</v>
      </c>
      <c r="F62" s="100">
        <f>Inputs!F94</f>
        <v>143007.416</v>
      </c>
      <c r="G62" s="100">
        <f>Inputs!G94</f>
        <v>139155.75399999999</v>
      </c>
      <c r="H62" s="100">
        <f>Inputs!H94</f>
        <v>130097.09399999998</v>
      </c>
      <c r="I62" s="100">
        <f>Inputs!I94</f>
        <v>109257.66800000001</v>
      </c>
      <c r="J62" s="100">
        <f>Inputs!J94</f>
        <v>111314.788</v>
      </c>
      <c r="K62" s="100">
        <f>Inputs!K94</f>
        <v>160043.19</v>
      </c>
      <c r="L62" s="100">
        <f>Inputs!L94</f>
        <v>155710.15499999997</v>
      </c>
      <c r="M62" s="100">
        <f>Inputs!M94</f>
        <v>124368.06900000003</v>
      </c>
      <c r="N62" s="100">
        <f>Inputs!N94</f>
        <v>65619.84500000054</v>
      </c>
    </row>
    <row r="63" spans="1:17" ht="18" customHeight="1" x14ac:dyDescent="0.25">
      <c r="A63" s="170" t="s">
        <v>61</v>
      </c>
      <c r="B63" s="39" t="s">
        <v>16</v>
      </c>
      <c r="C63" s="100">
        <f>Inputs!C95</f>
        <v>0</v>
      </c>
      <c r="D63" s="100">
        <f>Inputs!D95</f>
        <v>0</v>
      </c>
      <c r="E63" s="100">
        <f>Inputs!E95</f>
        <v>0</v>
      </c>
      <c r="F63" s="100">
        <f>Inputs!F95</f>
        <v>0</v>
      </c>
      <c r="G63" s="100">
        <f>Inputs!G95</f>
        <v>0</v>
      </c>
      <c r="H63" s="100">
        <f>Inputs!H95</f>
        <v>0</v>
      </c>
      <c r="I63" s="100">
        <f>Inputs!I95</f>
        <v>0</v>
      </c>
      <c r="J63" s="100">
        <f>Inputs!J95</f>
        <v>0</v>
      </c>
      <c r="K63" s="100">
        <f>Inputs!K95</f>
        <v>0</v>
      </c>
      <c r="L63" s="100">
        <f>Inputs!L95</f>
        <v>0</v>
      </c>
      <c r="M63" s="100">
        <f>Inputs!M95</f>
        <v>0</v>
      </c>
      <c r="N63" s="100">
        <f>Inputs!N95</f>
        <v>0</v>
      </c>
    </row>
    <row r="64" spans="1:17" ht="18" customHeight="1" x14ac:dyDescent="0.25">
      <c r="A64" s="249" t="s">
        <v>22</v>
      </c>
      <c r="B64" s="39" t="s">
        <v>16</v>
      </c>
      <c r="C64" s="49">
        <f>SUM(C61:C63)</f>
        <v>6365.8919999999998</v>
      </c>
      <c r="D64" s="49">
        <f>SUM(D61:D63)</f>
        <v>12731.784</v>
      </c>
      <c r="E64" s="49">
        <f t="shared" ref="E64:N64" si="13">SUM(E61:E63)</f>
        <v>118149.122</v>
      </c>
      <c r="F64" s="49">
        <f t="shared" si="13"/>
        <v>261156.538</v>
      </c>
      <c r="G64" s="49">
        <f t="shared" si="13"/>
        <v>400312.29200000002</v>
      </c>
      <c r="H64" s="49">
        <f t="shared" si="13"/>
        <v>530409.38599999994</v>
      </c>
      <c r="I64" s="49">
        <f t="shared" si="13"/>
        <v>639667.054</v>
      </c>
      <c r="J64" s="49">
        <f t="shared" si="13"/>
        <v>750981.84199999995</v>
      </c>
      <c r="K64" s="49">
        <f t="shared" si="13"/>
        <v>911025.03199999989</v>
      </c>
      <c r="L64" s="49">
        <f t="shared" si="13"/>
        <v>1066735.1869999999</v>
      </c>
      <c r="M64" s="49">
        <f t="shared" si="13"/>
        <v>1191103.2560000001</v>
      </c>
      <c r="N64" s="49">
        <f t="shared" si="13"/>
        <v>1256723.1010000005</v>
      </c>
    </row>
    <row r="65" spans="1:16" ht="18" customHeight="1" x14ac:dyDescent="0.25">
      <c r="A65" s="252"/>
      <c r="B65" s="247"/>
      <c r="C65" s="247"/>
      <c r="D65" s="247"/>
      <c r="E65" s="247"/>
      <c r="F65" s="247"/>
      <c r="G65" s="247"/>
      <c r="H65" s="247"/>
      <c r="I65" s="247"/>
      <c r="J65" s="247"/>
      <c r="K65" s="247"/>
      <c r="L65" s="247"/>
      <c r="M65" s="247"/>
      <c r="N65" s="247"/>
    </row>
    <row r="66" spans="1:16" ht="18" customHeight="1" x14ac:dyDescent="0.35">
      <c r="A66" s="208" t="s">
        <v>50</v>
      </c>
      <c r="B66" s="79"/>
      <c r="C66" s="79"/>
      <c r="D66" s="79"/>
      <c r="E66" s="79"/>
      <c r="F66" s="79"/>
      <c r="G66" s="79"/>
      <c r="H66" s="79"/>
      <c r="I66" s="79"/>
      <c r="J66" s="79"/>
      <c r="K66" s="79"/>
      <c r="L66" s="79"/>
      <c r="M66" s="79"/>
      <c r="N66" s="79"/>
    </row>
    <row r="67" spans="1:16" ht="18" customHeight="1" x14ac:dyDescent="0.25">
      <c r="A67" s="175" t="s">
        <v>186</v>
      </c>
      <c r="B67" s="118" t="s">
        <v>16</v>
      </c>
      <c r="C67" s="118"/>
      <c r="D67" s="191">
        <f>D64</f>
        <v>12731.784</v>
      </c>
      <c r="E67" s="109">
        <f t="shared" ref="E67:N67" si="14">E62-E63</f>
        <v>105417.338</v>
      </c>
      <c r="F67" s="109">
        <f t="shared" si="14"/>
        <v>143007.416</v>
      </c>
      <c r="G67" s="109">
        <f t="shared" si="14"/>
        <v>139155.75399999999</v>
      </c>
      <c r="H67" s="109">
        <f t="shared" si="14"/>
        <v>130097.09399999998</v>
      </c>
      <c r="I67" s="109">
        <f t="shared" si="14"/>
        <v>109257.66800000001</v>
      </c>
      <c r="J67" s="109">
        <f t="shared" si="14"/>
        <v>111314.788</v>
      </c>
      <c r="K67" s="109">
        <f t="shared" si="14"/>
        <v>160043.19</v>
      </c>
      <c r="L67" s="109">
        <f t="shared" si="14"/>
        <v>155710.15499999997</v>
      </c>
      <c r="M67" s="109">
        <f t="shared" si="14"/>
        <v>124368.06900000003</v>
      </c>
      <c r="N67" s="109">
        <f t="shared" si="14"/>
        <v>65619.84500000054</v>
      </c>
    </row>
    <row r="68" spans="1:16" ht="18" customHeight="1" x14ac:dyDescent="0.25">
      <c r="A68" s="143" t="s">
        <v>76</v>
      </c>
      <c r="B68" s="118" t="s">
        <v>18</v>
      </c>
      <c r="C68" s="118"/>
      <c r="D68" s="147">
        <f>Inputs!D114</f>
        <v>6.9831332189414855E-2</v>
      </c>
      <c r="E68" s="147">
        <f>Inputs!E114</f>
        <v>6.0586476833990627E-2</v>
      </c>
      <c r="F68" s="147">
        <f>Inputs!F114</f>
        <v>7.2115983805228503E-2</v>
      </c>
      <c r="G68" s="147">
        <f>Inputs!G114</f>
        <v>6.4718645490954754E-2</v>
      </c>
      <c r="H68" s="147">
        <f>Inputs!H114</f>
        <v>5.8359001632044265E-2</v>
      </c>
      <c r="I68" s="147">
        <f>Inputs!I114</f>
        <v>5.6565048769434398E-2</v>
      </c>
      <c r="J68" s="147">
        <f>Inputs!J114</f>
        <v>5.2207220851762791E-2</v>
      </c>
      <c r="K68" s="147">
        <f>Inputs!K114</f>
        <v>5.295757021517692E-2</v>
      </c>
      <c r="L68" s="147">
        <f>Inputs!L114</f>
        <v>4.6221099175983223E-2</v>
      </c>
      <c r="M68" s="147">
        <f>Inputs!M114</f>
        <v>4.5359072934828847E-2</v>
      </c>
      <c r="N68" s="147">
        <f>Inputs!N114</f>
        <v>4.3213238883725261E-2</v>
      </c>
    </row>
    <row r="69" spans="1:16" ht="18" customHeight="1" x14ac:dyDescent="0.25">
      <c r="A69" s="143" t="s">
        <v>73</v>
      </c>
      <c r="B69" s="118" t="s">
        <v>16</v>
      </c>
      <c r="C69" s="118"/>
      <c r="D69" s="109">
        <f>D67*D68</f>
        <v>889.07743786787694</v>
      </c>
      <c r="E69" s="109">
        <f t="shared" ref="E69:N69" si="15">E67*E68</f>
        <v>6386.8651066379598</v>
      </c>
      <c r="F69" s="109">
        <f t="shared" si="15"/>
        <v>10313.120496283575</v>
      </c>
      <c r="G69" s="109">
        <f t="shared" si="15"/>
        <v>9005.9719111525083</v>
      </c>
      <c r="H69" s="109">
        <f t="shared" si="15"/>
        <v>7592.336521070215</v>
      </c>
      <c r="I69" s="109">
        <f t="shared" si="15"/>
        <v>6180.1653188546725</v>
      </c>
      <c r="J69" s="109">
        <f t="shared" si="15"/>
        <v>5811.4357211831548</v>
      </c>
      <c r="K69" s="109">
        <f t="shared" si="15"/>
        <v>8475.4984718859014</v>
      </c>
      <c r="L69" s="109">
        <f t="shared" si="15"/>
        <v>7197.0945169627184</v>
      </c>
      <c r="M69" s="109">
        <f t="shared" si="15"/>
        <v>5641.2203125348278</v>
      </c>
      <c r="N69" s="109">
        <f t="shared" si="15"/>
        <v>2835.6460374980479</v>
      </c>
    </row>
    <row r="70" spans="1:16" ht="18" customHeight="1" x14ac:dyDescent="0.25">
      <c r="A70" s="250" t="s">
        <v>178</v>
      </c>
      <c r="B70" s="118" t="s">
        <v>18</v>
      </c>
      <c r="C70" s="118"/>
      <c r="D70" s="148">
        <f>Inputs!D$50</f>
        <v>7.1800000000000003E-2</v>
      </c>
      <c r="E70" s="148">
        <f>Inputs!E$50</f>
        <v>6.5100000000000005E-2</v>
      </c>
      <c r="F70" s="148">
        <f>Inputs!F$50</f>
        <v>7.5600000000000001E-2</v>
      </c>
      <c r="G70" s="148">
        <f>Inputs!G$50</f>
        <v>7.0000000000000007E-2</v>
      </c>
      <c r="H70" s="148">
        <f>Inputs!H$50</f>
        <v>6.4000000000000001E-2</v>
      </c>
      <c r="I70" s="148">
        <f>Inputs!I$50</f>
        <v>6.2600000000000003E-2</v>
      </c>
      <c r="J70" s="148">
        <f>Inputs!J$50</f>
        <v>5.8900000000000001E-2</v>
      </c>
      <c r="K70" s="148">
        <f>Inputs!K$50</f>
        <v>5.6899999999999999E-2</v>
      </c>
      <c r="L70" s="148">
        <f>Inputs!L$50</f>
        <v>4.99E-2</v>
      </c>
      <c r="M70" s="148">
        <f>Inputs!M$50</f>
        <v>4.4499999999999998E-2</v>
      </c>
      <c r="N70" s="148">
        <f>Inputs!N$50</f>
        <v>5.2999999999999999E-2</v>
      </c>
    </row>
    <row r="71" spans="1:16" ht="18" customHeight="1" x14ac:dyDescent="0.25">
      <c r="A71" s="143" t="s">
        <v>174</v>
      </c>
      <c r="B71" s="118" t="s">
        <v>24</v>
      </c>
      <c r="C71" s="118"/>
      <c r="D71" s="211">
        <f>(((1+D70)^Inputs!D$60)-1)/D70</f>
        <v>13.532762141748071</v>
      </c>
      <c r="E71" s="211">
        <f>(((1+E70)^Inputs!E$60)-1)/E70</f>
        <v>11.735549861359907</v>
      </c>
      <c r="F71" s="211">
        <f>(((1+F70)^Inputs!F$60)-1)/F70</f>
        <v>10.469005757815134</v>
      </c>
      <c r="G71" s="211">
        <f>(((1+G70)^Inputs!G$60)-1)/G70</f>
        <v>8.6550834521867035</v>
      </c>
      <c r="H71" s="211">
        <f>(((1+H70)^Inputs!H$60)-1)/H70</f>
        <v>7.0478792374982016</v>
      </c>
      <c r="I71" s="211">
        <f>(((1+I70)^Inputs!I$60)-1)/I70</f>
        <v>5.6655301589687923</v>
      </c>
      <c r="J71" s="211">
        <f>(((1+J70)^Inputs!J$60)-1)/J70</f>
        <v>4.3674811764689965</v>
      </c>
      <c r="K71" s="211">
        <f>(((1+K70)^Inputs!K$60)-1)/K70</f>
        <v>3.174723546280418</v>
      </c>
      <c r="L71" s="211">
        <f>(((1+L70)^Inputs!L$60)-1)/L70</f>
        <v>2.0513725608534186</v>
      </c>
      <c r="M71" s="211">
        <f>(((1+M70)^Inputs!M$60)-1)/M70</f>
        <v>0.99930053943559993</v>
      </c>
      <c r="N71" s="211">
        <f>(((1+N70)^Inputs!N$60)-1)/N70</f>
        <v>0.24433499265487249</v>
      </c>
    </row>
    <row r="72" spans="1:16" ht="18" customHeight="1" x14ac:dyDescent="0.25">
      <c r="A72" s="143" t="s">
        <v>220</v>
      </c>
      <c r="B72" s="118" t="s">
        <v>16</v>
      </c>
      <c r="C72" s="118"/>
      <c r="D72" s="122">
        <f>D69*D71</f>
        <v>12031.673492260777</v>
      </c>
      <c r="E72" s="122">
        <f t="shared" ref="E72:N72" si="16">E69*E71</f>
        <v>74953.373916729528</v>
      </c>
      <c r="F72" s="122">
        <f t="shared" si="16"/>
        <v>107968.11785663402</v>
      </c>
      <c r="G72" s="122">
        <f t="shared" si="16"/>
        <v>77947.438459074328</v>
      </c>
      <c r="H72" s="122">
        <f t="shared" si="16"/>
        <v>53509.870930950092</v>
      </c>
      <c r="I72" s="122">
        <f t="shared" si="16"/>
        <v>35013.913001384128</v>
      </c>
      <c r="J72" s="122">
        <f t="shared" si="16"/>
        <v>25381.336120526958</v>
      </c>
      <c r="K72" s="122">
        <f t="shared" si="16"/>
        <v>26907.364565159871</v>
      </c>
      <c r="L72" s="122">
        <f t="shared" si="16"/>
        <v>14763.922209965909</v>
      </c>
      <c r="M72" s="122">
        <f t="shared" si="16"/>
        <v>5637.2745013911172</v>
      </c>
      <c r="N72" s="122">
        <f t="shared" si="16"/>
        <v>692.84755374390386</v>
      </c>
    </row>
    <row r="73" spans="1:16" ht="18" customHeight="1" x14ac:dyDescent="0.3">
      <c r="A73" s="119" t="s">
        <v>50</v>
      </c>
      <c r="B73" s="118" t="s">
        <v>16</v>
      </c>
      <c r="C73" s="118"/>
      <c r="D73" s="120"/>
      <c r="E73" s="120"/>
      <c r="F73" s="120"/>
      <c r="G73" s="120"/>
      <c r="H73" s="120"/>
      <c r="I73" s="120"/>
      <c r="J73" s="120"/>
      <c r="K73" s="120"/>
      <c r="L73" s="120"/>
      <c r="M73" s="120"/>
      <c r="N73" s="121">
        <f>SUM(D72:N72)</f>
        <v>434807.13260782062</v>
      </c>
    </row>
    <row r="74" spans="1:16" ht="18" customHeight="1" x14ac:dyDescent="0.25">
      <c r="A74" s="42"/>
      <c r="D74" s="43"/>
      <c r="E74" s="43"/>
      <c r="F74" s="43"/>
      <c r="G74" s="43"/>
      <c r="H74" s="43"/>
      <c r="I74" s="43"/>
      <c r="J74" s="43"/>
      <c r="K74" s="43"/>
      <c r="L74" s="43"/>
      <c r="M74" s="43"/>
      <c r="N74" s="43"/>
    </row>
    <row r="75" spans="1:16" ht="18" customHeight="1" x14ac:dyDescent="0.35">
      <c r="A75" s="208" t="s">
        <v>97</v>
      </c>
      <c r="B75" s="79"/>
      <c r="C75" s="79"/>
      <c r="D75" s="79"/>
      <c r="E75" s="79"/>
      <c r="F75" s="79"/>
      <c r="G75" s="79"/>
      <c r="H75" s="79"/>
      <c r="I75" s="79"/>
      <c r="J75" s="79"/>
      <c r="K75" s="79"/>
      <c r="L75" s="79"/>
      <c r="M75" s="79"/>
      <c r="N75" s="79"/>
    </row>
    <row r="76" spans="1:16" ht="18" customHeight="1" x14ac:dyDescent="0.25">
      <c r="A76" s="143" t="s">
        <v>196</v>
      </c>
      <c r="B76" s="118" t="s">
        <v>16</v>
      </c>
      <c r="C76" s="118"/>
      <c r="D76" s="110">
        <f>Inputs!D$100+Inputs!D$101</f>
        <v>6365.8919999999998</v>
      </c>
      <c r="E76" s="110">
        <f>Inputs!E$100+Inputs!E$101</f>
        <v>52708.669000000002</v>
      </c>
      <c r="F76" s="110">
        <f>Inputs!F$100+Inputs!F$101</f>
        <v>71503.707999999999</v>
      </c>
      <c r="G76" s="110">
        <f>Inputs!G$100+Inputs!G$101</f>
        <v>69577.877000000008</v>
      </c>
      <c r="H76" s="110">
        <f>Inputs!H$100+Inputs!H$101</f>
        <v>65048.546999999984</v>
      </c>
      <c r="I76" s="110">
        <f>Inputs!I$100+Inputs!I$101</f>
        <v>54628.834000000003</v>
      </c>
      <c r="J76" s="110">
        <f>Inputs!J$100+Inputs!J$101</f>
        <v>55657.394</v>
      </c>
      <c r="K76" s="110">
        <f>Inputs!K$100+Inputs!K$101</f>
        <v>50072.983999999997</v>
      </c>
      <c r="L76" s="110">
        <f>Inputs!L$100+Inputs!L$101</f>
        <v>36488.165999999968</v>
      </c>
      <c r="M76" s="110">
        <f>Inputs!M$100+Inputs!M$101</f>
        <v>0</v>
      </c>
      <c r="N76" s="110">
        <f>Inputs!N$100+Inputs!N$101</f>
        <v>28236.096000000238</v>
      </c>
    </row>
    <row r="77" spans="1:16" ht="18" customHeight="1" x14ac:dyDescent="0.25">
      <c r="A77" s="143" t="s">
        <v>98</v>
      </c>
      <c r="B77" s="118" t="s">
        <v>16</v>
      </c>
      <c r="C77" s="118"/>
      <c r="D77" s="109">
        <f t="shared" ref="D77:M77" si="17">D86+D95</f>
        <v>429.254892291842</v>
      </c>
      <c r="E77" s="109">
        <f t="shared" si="17"/>
        <v>2920.0538985630837</v>
      </c>
      <c r="F77" s="109">
        <f t="shared" si="17"/>
        <v>4866.6583342661606</v>
      </c>
      <c r="G77" s="109">
        <f t="shared" si="17"/>
        <v>4080.5679663842907</v>
      </c>
      <c r="H77" s="109">
        <f t="shared" si="17"/>
        <v>3369.9309349255163</v>
      </c>
      <c r="I77" s="109">
        <f t="shared" si="17"/>
        <v>2715.5413203777944</v>
      </c>
      <c r="J77" s="109">
        <f t="shared" si="17"/>
        <v>2481.2440602841252</v>
      </c>
      <c r="K77" s="109">
        <f t="shared" si="17"/>
        <v>2118.9586609321577</v>
      </c>
      <c r="L77" s="109">
        <f t="shared" si="17"/>
        <v>1116.030677269124</v>
      </c>
      <c r="M77" s="109">
        <f t="shared" si="17"/>
        <v>-63.779861251999989</v>
      </c>
      <c r="N77" s="109">
        <f>N86+N95</f>
        <v>798.62037557813051</v>
      </c>
    </row>
    <row r="78" spans="1:16" ht="18" customHeight="1" x14ac:dyDescent="0.25">
      <c r="A78" s="250" t="s">
        <v>178</v>
      </c>
      <c r="B78" s="118" t="s">
        <v>18</v>
      </c>
      <c r="C78" s="118"/>
      <c r="D78" s="148">
        <f>Inputs!D$50</f>
        <v>7.1800000000000003E-2</v>
      </c>
      <c r="E78" s="148">
        <f>Inputs!E$50</f>
        <v>6.5100000000000005E-2</v>
      </c>
      <c r="F78" s="148">
        <f>Inputs!F$50</f>
        <v>7.5600000000000001E-2</v>
      </c>
      <c r="G78" s="148">
        <f>Inputs!G$50</f>
        <v>7.0000000000000007E-2</v>
      </c>
      <c r="H78" s="148">
        <f>Inputs!H$50</f>
        <v>6.4000000000000001E-2</v>
      </c>
      <c r="I78" s="148">
        <f>Inputs!I$50</f>
        <v>6.2600000000000003E-2</v>
      </c>
      <c r="J78" s="148">
        <f>Inputs!J$50</f>
        <v>5.8900000000000001E-2</v>
      </c>
      <c r="K78" s="148">
        <f>Inputs!K$50</f>
        <v>5.6899999999999999E-2</v>
      </c>
      <c r="L78" s="148">
        <f>Inputs!L$50</f>
        <v>4.99E-2</v>
      </c>
      <c r="M78" s="148">
        <f>Inputs!M$50</f>
        <v>4.4499999999999998E-2</v>
      </c>
      <c r="N78" s="148">
        <f>Inputs!N$50</f>
        <v>5.2999999999999999E-2</v>
      </c>
    </row>
    <row r="79" spans="1:16" ht="18" customHeight="1" x14ac:dyDescent="0.25">
      <c r="A79" s="143" t="s">
        <v>174</v>
      </c>
      <c r="B79" s="118" t="s">
        <v>24</v>
      </c>
      <c r="C79" s="118"/>
      <c r="D79" s="149">
        <f>(((1+D78)^Inputs!D$60)-1)/D78</f>
        <v>13.532762141748071</v>
      </c>
      <c r="E79" s="149">
        <f>(((1+E78)^Inputs!E$60)-1)/E78</f>
        <v>11.735549861359907</v>
      </c>
      <c r="F79" s="149">
        <f>(((1+F78)^Inputs!F$60)-1)/F78</f>
        <v>10.469005757815134</v>
      </c>
      <c r="G79" s="149">
        <f>(((1+G78)^Inputs!G$60)-1)/G78</f>
        <v>8.6550834521867035</v>
      </c>
      <c r="H79" s="149">
        <f>(((1+H78)^Inputs!H$60)-1)/H78</f>
        <v>7.0478792374982016</v>
      </c>
      <c r="I79" s="149">
        <f>(((1+I78)^Inputs!I$60)-1)/I78</f>
        <v>5.6655301589687923</v>
      </c>
      <c r="J79" s="149">
        <f>(((1+J78)^Inputs!J$60)-1)/J78</f>
        <v>4.3674811764689965</v>
      </c>
      <c r="K79" s="149">
        <f>(((1+K78)^Inputs!K$60)-1)/K78</f>
        <v>3.174723546280418</v>
      </c>
      <c r="L79" s="149">
        <f>(((1+L78)^Inputs!L$60)-1)/L78</f>
        <v>2.0513725608534186</v>
      </c>
      <c r="M79" s="149">
        <f>(((1+M78)^Inputs!M$60)-1)/M78</f>
        <v>0.99930053943559993</v>
      </c>
      <c r="N79" s="149">
        <f>(((1+N78)^Inputs!N$60)-1)/N78</f>
        <v>0.24433499265487249</v>
      </c>
      <c r="O79" s="161"/>
      <c r="P79" s="161"/>
    </row>
    <row r="80" spans="1:16" ht="18" customHeight="1" x14ac:dyDescent="0.25">
      <c r="A80" s="143" t="s">
        <v>99</v>
      </c>
      <c r="B80" s="118" t="s">
        <v>16</v>
      </c>
      <c r="C80" s="118"/>
      <c r="D80" s="122">
        <f>D77*D79</f>
        <v>5809.0043555671855</v>
      </c>
      <c r="E80" s="122">
        <f t="shared" ref="E80:N80" si="18">E77*E79</f>
        <v>34268.438124445456</v>
      </c>
      <c r="F80" s="122">
        <f t="shared" si="18"/>
        <v>50949.074122751445</v>
      </c>
      <c r="G80" s="122">
        <f t="shared" si="18"/>
        <v>35317.656281375821</v>
      </c>
      <c r="H80" s="122">
        <f t="shared" si="18"/>
        <v>23750.866268064448</v>
      </c>
      <c r="I80" s="122">
        <f t="shared" si="18"/>
        <v>15384.98124852633</v>
      </c>
      <c r="J80" s="122">
        <f t="shared" si="18"/>
        <v>10836.786727516421</v>
      </c>
      <c r="K80" s="122">
        <f t="shared" si="18"/>
        <v>6727.1079544561453</v>
      </c>
      <c r="L80" s="122">
        <f t="shared" si="18"/>
        <v>2289.3947084205379</v>
      </c>
      <c r="M80" s="122">
        <f t="shared" si="18"/>
        <v>-63.735249754251306</v>
      </c>
      <c r="N80" s="122">
        <f t="shared" si="18"/>
        <v>195.13090360091402</v>
      </c>
      <c r="O80" s="161"/>
      <c r="P80" s="161"/>
    </row>
    <row r="81" spans="1:16" ht="18" customHeight="1" x14ac:dyDescent="0.3">
      <c r="A81" s="119" t="s">
        <v>97</v>
      </c>
      <c r="B81" s="118" t="s">
        <v>16</v>
      </c>
      <c r="C81" s="118"/>
      <c r="D81" s="120"/>
      <c r="E81" s="120"/>
      <c r="F81" s="120"/>
      <c r="G81" s="120"/>
      <c r="H81" s="120"/>
      <c r="I81" s="120"/>
      <c r="J81" s="120"/>
      <c r="K81" s="120"/>
      <c r="L81" s="120"/>
      <c r="M81" s="120"/>
      <c r="N81" s="121">
        <f>SUM(D80:N80)</f>
        <v>185464.70544497046</v>
      </c>
      <c r="O81" s="161"/>
      <c r="P81" s="161"/>
    </row>
    <row r="82" spans="1:16" ht="18" customHeight="1" x14ac:dyDescent="0.3">
      <c r="A82" s="66"/>
      <c r="B82" s="178"/>
      <c r="C82" s="178"/>
      <c r="D82" s="129"/>
      <c r="E82" s="128"/>
      <c r="F82" s="128"/>
      <c r="G82" s="128"/>
      <c r="H82" s="128"/>
      <c r="I82" s="128"/>
      <c r="J82" s="128"/>
      <c r="K82" s="128"/>
      <c r="L82" s="128"/>
      <c r="M82" s="128"/>
      <c r="N82" s="159"/>
      <c r="O82" s="161"/>
      <c r="P82" s="161"/>
    </row>
    <row r="83" spans="1:16" ht="18" customHeight="1" x14ac:dyDescent="0.35">
      <c r="A83" s="208" t="s">
        <v>102</v>
      </c>
      <c r="B83" s="79"/>
      <c r="C83" s="79"/>
      <c r="D83" s="79"/>
      <c r="E83" s="79"/>
      <c r="F83" s="79"/>
      <c r="G83" s="79"/>
      <c r="H83" s="79"/>
      <c r="I83" s="79"/>
      <c r="J83" s="79"/>
      <c r="K83" s="79"/>
      <c r="L83" s="79"/>
      <c r="M83" s="79"/>
      <c r="N83" s="79"/>
      <c r="O83" s="161"/>
      <c r="P83" s="161"/>
    </row>
    <row r="84" spans="1:16" ht="18" customHeight="1" x14ac:dyDescent="0.25">
      <c r="A84" s="143" t="s">
        <v>189</v>
      </c>
      <c r="B84" s="118" t="s">
        <v>16</v>
      </c>
      <c r="C84" s="118"/>
      <c r="D84" s="110">
        <f>Inputs!D$101</f>
        <v>4818.7806799999998</v>
      </c>
      <c r="E84" s="110">
        <f>Inputs!E$101</f>
        <v>38678.467640000003</v>
      </c>
      <c r="F84" s="110">
        <f>Inputs!F$101</f>
        <v>49722.241149999994</v>
      </c>
      <c r="G84" s="110">
        <f>Inputs!G$101</f>
        <v>44803.925830000007</v>
      </c>
      <c r="H84" s="110">
        <f>Inputs!H$101</f>
        <v>51401.199139999982</v>
      </c>
      <c r="I84" s="110">
        <f>Inputs!I$101</f>
        <v>31250.95522</v>
      </c>
      <c r="J84" s="110">
        <f>Inputs!J$101</f>
        <v>28506.797370000008</v>
      </c>
      <c r="K84" s="110">
        <f>Inputs!K$101</f>
        <v>21061.371960000011</v>
      </c>
      <c r="L84" s="110">
        <f>Inputs!L$101</f>
        <v>8795.8175899999751</v>
      </c>
      <c r="M84" s="110">
        <f>Inputs!M$101</f>
        <v>-15556.06372</v>
      </c>
      <c r="N84" s="110">
        <f>Inputs!N$101</f>
        <v>9358.225723893047</v>
      </c>
      <c r="O84" s="30"/>
      <c r="P84" s="30"/>
    </row>
    <row r="85" spans="1:16" ht="18" customHeight="1" x14ac:dyDescent="0.25">
      <c r="A85" s="143" t="s">
        <v>101</v>
      </c>
      <c r="B85" s="118" t="s">
        <v>18</v>
      </c>
      <c r="C85" s="118"/>
      <c r="D85" s="147">
        <f>Inputs!D111</f>
        <v>6.8426867547209724E-2</v>
      </c>
      <c r="E85" s="147">
        <f>Inputs!E111</f>
        <v>5.6491233427637559E-2</v>
      </c>
      <c r="F85" s="147">
        <f>Inputs!F111</f>
        <v>6.9310564262641608E-2</v>
      </c>
      <c r="G85" s="147">
        <f>Inputs!G111</f>
        <v>6.0107340817272856E-2</v>
      </c>
      <c r="H85" s="147">
        <f>Inputs!H111</f>
        <v>5.2666588558104417E-2</v>
      </c>
      <c r="I85" s="147">
        <f>Inputs!I111</f>
        <v>5.1463493132139597E-2</v>
      </c>
      <c r="J85" s="147">
        <f>Inputs!J111</f>
        <v>4.6580720370542776E-2</v>
      </c>
      <c r="K85" s="147">
        <f>Inputs!K111</f>
        <v>4.4692888091034437E-2</v>
      </c>
      <c r="L85" s="147">
        <f>Inputs!L111</f>
        <v>3.3697755753197486E-2</v>
      </c>
      <c r="M85" s="147">
        <f>Inputs!M111</f>
        <v>2.4148153676001084E-2</v>
      </c>
      <c r="N85" s="147">
        <f>Inputs!N111</f>
        <v>3.102481461E-2</v>
      </c>
      <c r="O85" s="30"/>
      <c r="P85" s="30"/>
    </row>
    <row r="86" spans="1:16" ht="18" customHeight="1" x14ac:dyDescent="0.25">
      <c r="A86" s="143" t="s">
        <v>109</v>
      </c>
      <c r="B86" s="118" t="s">
        <v>16</v>
      </c>
      <c r="C86" s="118"/>
      <c r="D86" s="109">
        <f>D84*D85</f>
        <v>329.73406732941322</v>
      </c>
      <c r="E86" s="109">
        <f t="shared" ref="E86:N86" si="19">E84*E85</f>
        <v>2184.9943440745656</v>
      </c>
      <c r="F86" s="109">
        <f t="shared" si="19"/>
        <v>3446.2765905096376</v>
      </c>
      <c r="G86" s="109">
        <f t="shared" si="19"/>
        <v>2693.044839815625</v>
      </c>
      <c r="H86" s="109">
        <f t="shared" si="19"/>
        <v>2707.1258064995695</v>
      </c>
      <c r="I86" s="109">
        <f t="shared" si="19"/>
        <v>1608.2833193372721</v>
      </c>
      <c r="J86" s="109">
        <f t="shared" si="19"/>
        <v>1327.8671569516946</v>
      </c>
      <c r="K86" s="109">
        <f t="shared" si="19"/>
        <v>941.29354005193113</v>
      </c>
      <c r="L86" s="109">
        <f t="shared" si="19"/>
        <v>296.39931279749732</v>
      </c>
      <c r="M86" s="109">
        <f t="shared" si="19"/>
        <v>-375.65021730422507</v>
      </c>
      <c r="N86" s="109">
        <f t="shared" si="19"/>
        <v>290.3372181623148</v>
      </c>
      <c r="O86" s="30"/>
      <c r="P86" s="30"/>
    </row>
    <row r="87" spans="1:16" ht="18" customHeight="1" x14ac:dyDescent="0.25">
      <c r="A87" s="250" t="s">
        <v>178</v>
      </c>
      <c r="B87" s="118" t="s">
        <v>18</v>
      </c>
      <c r="C87" s="118"/>
      <c r="D87" s="148">
        <f>Inputs!D$50</f>
        <v>7.1800000000000003E-2</v>
      </c>
      <c r="E87" s="148">
        <f>Inputs!E$50</f>
        <v>6.5100000000000005E-2</v>
      </c>
      <c r="F87" s="148">
        <f>Inputs!F$50</f>
        <v>7.5600000000000001E-2</v>
      </c>
      <c r="G87" s="148">
        <f>Inputs!G$50</f>
        <v>7.0000000000000007E-2</v>
      </c>
      <c r="H87" s="148">
        <f>Inputs!H$50</f>
        <v>6.4000000000000001E-2</v>
      </c>
      <c r="I87" s="148">
        <f>Inputs!I$50</f>
        <v>6.2600000000000003E-2</v>
      </c>
      <c r="J87" s="148">
        <f>Inputs!J$50</f>
        <v>5.8900000000000001E-2</v>
      </c>
      <c r="K87" s="148">
        <f>Inputs!K$50</f>
        <v>5.6899999999999999E-2</v>
      </c>
      <c r="L87" s="148">
        <f>Inputs!L$50</f>
        <v>4.99E-2</v>
      </c>
      <c r="M87" s="148">
        <f>Inputs!M$50</f>
        <v>4.4499999999999998E-2</v>
      </c>
      <c r="N87" s="148">
        <f>Inputs!N$50</f>
        <v>5.2999999999999999E-2</v>
      </c>
      <c r="O87" s="30"/>
      <c r="P87" s="30"/>
    </row>
    <row r="88" spans="1:16" ht="18" customHeight="1" x14ac:dyDescent="0.25">
      <c r="A88" s="143" t="s">
        <v>174</v>
      </c>
      <c r="B88" s="118" t="s">
        <v>24</v>
      </c>
      <c r="C88" s="118"/>
      <c r="D88" s="149">
        <f>(((1+D87)^Inputs!D$60)-1)/D87</f>
        <v>13.532762141748071</v>
      </c>
      <c r="E88" s="149">
        <f>(((1+E87)^Inputs!E$60)-1)/E87</f>
        <v>11.735549861359907</v>
      </c>
      <c r="F88" s="149">
        <f>(((1+F87)^Inputs!F$60)-1)/F87</f>
        <v>10.469005757815134</v>
      </c>
      <c r="G88" s="149">
        <f>(((1+G87)^Inputs!G$60)-1)/G87</f>
        <v>8.6550834521867035</v>
      </c>
      <c r="H88" s="149">
        <f>(((1+H87)^Inputs!H$60)-1)/H87</f>
        <v>7.0478792374982016</v>
      </c>
      <c r="I88" s="149">
        <f>(((1+I87)^Inputs!I$60)-1)/I87</f>
        <v>5.6655301589687923</v>
      </c>
      <c r="J88" s="149">
        <f>(((1+J87)^Inputs!J$60)-1)/J87</f>
        <v>4.3674811764689965</v>
      </c>
      <c r="K88" s="149">
        <f>(((1+K87)^Inputs!K$60)-1)/K87</f>
        <v>3.174723546280418</v>
      </c>
      <c r="L88" s="149">
        <f>(((1+L87)^Inputs!L$60)-1)/L87</f>
        <v>2.0513725608534186</v>
      </c>
      <c r="M88" s="149">
        <f>(((1+M87)^Inputs!M$60)-1)/M87</f>
        <v>0.99930053943559993</v>
      </c>
      <c r="N88" s="149">
        <f>(((1+N87)^Inputs!N$60)-1)/N87</f>
        <v>0.24433499265487249</v>
      </c>
      <c r="O88" s="30"/>
      <c r="P88" s="30"/>
    </row>
    <row r="89" spans="1:16" ht="18" customHeight="1" x14ac:dyDescent="0.25">
      <c r="A89" s="143" t="s">
        <v>110</v>
      </c>
      <c r="B89" s="118" t="s">
        <v>16</v>
      </c>
      <c r="C89" s="118"/>
      <c r="D89" s="122">
        <f>D86*D88</f>
        <v>4462.2127032000926</v>
      </c>
      <c r="E89" s="122">
        <f t="shared" ref="E89:N89" si="20">E86*E88</f>
        <v>25642.110071676449</v>
      </c>
      <c r="F89" s="122">
        <f t="shared" si="20"/>
        <v>36079.089469068909</v>
      </c>
      <c r="G89" s="122">
        <f t="shared" si="20"/>
        <v>23308.527829085007</v>
      </c>
      <c r="H89" s="122">
        <f t="shared" si="20"/>
        <v>19079.49576492389</v>
      </c>
      <c r="I89" s="122">
        <f t="shared" si="20"/>
        <v>9111.7776498717521</v>
      </c>
      <c r="J89" s="122">
        <f t="shared" si="20"/>
        <v>5799.4348128379288</v>
      </c>
      <c r="K89" s="122">
        <f t="shared" si="20"/>
        <v>2988.3467655645154</v>
      </c>
      <c r="L89" s="122">
        <f t="shared" si="20"/>
        <v>608.02541732859549</v>
      </c>
      <c r="M89" s="122">
        <f t="shared" si="20"/>
        <v>-375.38746479121244</v>
      </c>
      <c r="N89" s="122">
        <f t="shared" si="20"/>
        <v>70.939542067125302</v>
      </c>
      <c r="O89" s="30"/>
      <c r="P89" s="30"/>
    </row>
    <row r="90" spans="1:16" ht="18" customHeight="1" x14ac:dyDescent="0.3">
      <c r="A90" s="119" t="s">
        <v>102</v>
      </c>
      <c r="B90" s="118" t="s">
        <v>16</v>
      </c>
      <c r="C90" s="118"/>
      <c r="D90" s="120"/>
      <c r="E90" s="120"/>
      <c r="F90" s="120"/>
      <c r="G90" s="120"/>
      <c r="H90" s="120"/>
      <c r="I90" s="120"/>
      <c r="J90" s="120"/>
      <c r="K90" s="120"/>
      <c r="L90" s="120"/>
      <c r="M90" s="120"/>
      <c r="N90" s="121">
        <f>SUM(D89:N89)</f>
        <v>126774.57256083307</v>
      </c>
      <c r="O90" s="30"/>
      <c r="P90" s="30"/>
    </row>
    <row r="91" spans="1:16" ht="18" customHeight="1" x14ac:dyDescent="0.3">
      <c r="A91" s="66"/>
      <c r="B91" s="178"/>
      <c r="C91" s="178"/>
      <c r="D91" s="129"/>
      <c r="E91" s="128"/>
      <c r="F91" s="128"/>
      <c r="G91" s="128"/>
      <c r="H91" s="128"/>
      <c r="I91" s="128"/>
      <c r="J91" s="128"/>
      <c r="K91" s="128"/>
      <c r="L91" s="128"/>
      <c r="M91" s="128"/>
      <c r="N91" s="159"/>
      <c r="O91" s="30"/>
      <c r="P91" s="30"/>
    </row>
    <row r="92" spans="1:16" ht="18" customHeight="1" x14ac:dyDescent="0.35">
      <c r="A92" s="208" t="s">
        <v>100</v>
      </c>
      <c r="B92" s="79"/>
      <c r="C92" s="79"/>
      <c r="D92" s="79"/>
      <c r="E92" s="79"/>
      <c r="F92" s="79"/>
      <c r="G92" s="79"/>
      <c r="H92" s="79"/>
      <c r="I92" s="79"/>
      <c r="J92" s="79"/>
      <c r="K92" s="79"/>
      <c r="L92" s="79"/>
      <c r="M92" s="79"/>
      <c r="N92" s="79"/>
      <c r="O92" s="30"/>
      <c r="P92" s="30"/>
    </row>
    <row r="93" spans="1:16" ht="18" customHeight="1" x14ac:dyDescent="0.25">
      <c r="A93" s="143" t="s">
        <v>188</v>
      </c>
      <c r="B93" s="118" t="s">
        <v>16</v>
      </c>
      <c r="C93" s="118"/>
      <c r="D93" s="110">
        <f>Inputs!D100</f>
        <v>1547.1113200000002</v>
      </c>
      <c r="E93" s="110">
        <f>Inputs!E100</f>
        <v>14030.201360000001</v>
      </c>
      <c r="F93" s="110">
        <f>Inputs!F100</f>
        <v>21781.466850000001</v>
      </c>
      <c r="G93" s="110">
        <f>Inputs!G100</f>
        <v>24773.95117</v>
      </c>
      <c r="H93" s="110">
        <f>Inputs!H100</f>
        <v>13647.34786</v>
      </c>
      <c r="I93" s="110">
        <f>Inputs!I100</f>
        <v>23377.878780000003</v>
      </c>
      <c r="J93" s="110">
        <f>Inputs!J100</f>
        <v>27150.596629999996</v>
      </c>
      <c r="K93" s="110">
        <f>Inputs!K100</f>
        <v>29011.612039999989</v>
      </c>
      <c r="L93" s="110">
        <f>Inputs!L100</f>
        <v>27692.348409999995</v>
      </c>
      <c r="M93" s="110">
        <f>Inputs!M100</f>
        <v>15556.06372</v>
      </c>
      <c r="N93" s="110">
        <f>Inputs!N100</f>
        <v>18877.870276107191</v>
      </c>
      <c r="O93" s="30"/>
      <c r="P93" s="30"/>
    </row>
    <row r="94" spans="1:16" ht="18" customHeight="1" x14ac:dyDescent="0.25">
      <c r="A94" s="143" t="s">
        <v>111</v>
      </c>
      <c r="B94" s="118" t="s">
        <v>18</v>
      </c>
      <c r="C94" s="118"/>
      <c r="D94" s="147">
        <f>Inputs!D110</f>
        <v>6.4326867547209718E-2</v>
      </c>
      <c r="E94" s="147">
        <f>Inputs!E110</f>
        <v>5.239123342763756E-2</v>
      </c>
      <c r="F94" s="147">
        <f>Inputs!F110</f>
        <v>6.5210564262641602E-2</v>
      </c>
      <c r="G94" s="147">
        <f>Inputs!G110</f>
        <v>5.6007340817272856E-2</v>
      </c>
      <c r="H94" s="147">
        <f>Inputs!H110</f>
        <v>4.8566588558104418E-2</v>
      </c>
      <c r="I94" s="147">
        <f>Inputs!I110</f>
        <v>4.7363493132139597E-2</v>
      </c>
      <c r="J94" s="147">
        <f>Inputs!J110</f>
        <v>4.2480720370542777E-2</v>
      </c>
      <c r="K94" s="147">
        <f>Inputs!K110</f>
        <v>4.0592888091034438E-2</v>
      </c>
      <c r="L94" s="147">
        <f>Inputs!L110</f>
        <v>2.9597755753197487E-2</v>
      </c>
      <c r="M94" s="147">
        <f>Inputs!M110</f>
        <v>2.0048153676001084E-2</v>
      </c>
      <c r="N94" s="147">
        <f>Inputs!N110</f>
        <v>2.692481461E-2</v>
      </c>
      <c r="O94" s="30"/>
      <c r="P94" s="30"/>
    </row>
    <row r="95" spans="1:16" ht="18" customHeight="1" x14ac:dyDescent="0.25">
      <c r="A95" s="143" t="s">
        <v>112</v>
      </c>
      <c r="B95" s="118" t="s">
        <v>16</v>
      </c>
      <c r="C95" s="118"/>
      <c r="D95" s="109">
        <f>D93*D94</f>
        <v>99.520824962428804</v>
      </c>
      <c r="E95" s="109">
        <f t="shared" ref="E95:N95" si="21">E93*E94</f>
        <v>735.05955448851796</v>
      </c>
      <c r="F95" s="109">
        <f t="shared" si="21"/>
        <v>1420.3817437565228</v>
      </c>
      <c r="G95" s="109">
        <f t="shared" si="21"/>
        <v>1387.5231265686657</v>
      </c>
      <c r="H95" s="109">
        <f t="shared" si="21"/>
        <v>662.8051284259468</v>
      </c>
      <c r="I95" s="109">
        <f t="shared" si="21"/>
        <v>1107.2580010405222</v>
      </c>
      <c r="J95" s="109">
        <f t="shared" si="21"/>
        <v>1153.3769033324309</v>
      </c>
      <c r="K95" s="109">
        <f t="shared" si="21"/>
        <v>1177.6651208802268</v>
      </c>
      <c r="L95" s="109">
        <f t="shared" si="21"/>
        <v>819.63136447162663</v>
      </c>
      <c r="M95" s="109">
        <f t="shared" si="21"/>
        <v>311.87035605222508</v>
      </c>
      <c r="N95" s="109">
        <f t="shared" si="21"/>
        <v>508.28315741581565</v>
      </c>
      <c r="O95" s="30"/>
      <c r="P95" s="30"/>
    </row>
    <row r="96" spans="1:16" ht="18" customHeight="1" x14ac:dyDescent="0.25">
      <c r="A96" s="250" t="s">
        <v>178</v>
      </c>
      <c r="B96" s="118" t="s">
        <v>18</v>
      </c>
      <c r="C96" s="118"/>
      <c r="D96" s="148">
        <f>Inputs!D$50</f>
        <v>7.1800000000000003E-2</v>
      </c>
      <c r="E96" s="148">
        <f>Inputs!E$50</f>
        <v>6.5100000000000005E-2</v>
      </c>
      <c r="F96" s="148">
        <f>Inputs!F$50</f>
        <v>7.5600000000000001E-2</v>
      </c>
      <c r="G96" s="148">
        <f>Inputs!G$50</f>
        <v>7.0000000000000007E-2</v>
      </c>
      <c r="H96" s="148">
        <f>Inputs!H$50</f>
        <v>6.4000000000000001E-2</v>
      </c>
      <c r="I96" s="148">
        <f>Inputs!I$50</f>
        <v>6.2600000000000003E-2</v>
      </c>
      <c r="J96" s="148">
        <f>Inputs!J$50</f>
        <v>5.8900000000000001E-2</v>
      </c>
      <c r="K96" s="148">
        <f>Inputs!K$50</f>
        <v>5.6899999999999999E-2</v>
      </c>
      <c r="L96" s="148">
        <f>Inputs!L$50</f>
        <v>4.99E-2</v>
      </c>
      <c r="M96" s="148">
        <f>Inputs!M$50</f>
        <v>4.4499999999999998E-2</v>
      </c>
      <c r="N96" s="148">
        <f>Inputs!N$50</f>
        <v>5.2999999999999999E-2</v>
      </c>
      <c r="O96" s="30"/>
      <c r="P96" s="30"/>
    </row>
    <row r="97" spans="1:17" ht="18" customHeight="1" x14ac:dyDescent="0.25">
      <c r="A97" s="143" t="s">
        <v>174</v>
      </c>
      <c r="B97" s="118" t="s">
        <v>24</v>
      </c>
      <c r="C97" s="118"/>
      <c r="D97" s="149">
        <f>(((1+D96)^Inputs!D$60)-1)/D96</f>
        <v>13.532762141748071</v>
      </c>
      <c r="E97" s="149">
        <f>(((1+E96)^Inputs!E$60)-1)/E96</f>
        <v>11.735549861359907</v>
      </c>
      <c r="F97" s="149">
        <f>(((1+F96)^Inputs!F$60)-1)/F96</f>
        <v>10.469005757815134</v>
      </c>
      <c r="G97" s="149">
        <f>(((1+G96)^Inputs!G$60)-1)/G96</f>
        <v>8.6550834521867035</v>
      </c>
      <c r="H97" s="149">
        <f>(((1+H96)^Inputs!H$60)-1)/H96</f>
        <v>7.0478792374982016</v>
      </c>
      <c r="I97" s="149">
        <f>(((1+I96)^Inputs!I$60)-1)/I96</f>
        <v>5.6655301589687923</v>
      </c>
      <c r="J97" s="149">
        <f>(((1+J96)^Inputs!J$60)-1)/J96</f>
        <v>4.3674811764689965</v>
      </c>
      <c r="K97" s="149">
        <f>(((1+K96)^Inputs!K$60)-1)/K96</f>
        <v>3.174723546280418</v>
      </c>
      <c r="L97" s="149">
        <f>(((1+L96)^Inputs!L$60)-1)/L96</f>
        <v>2.0513725608534186</v>
      </c>
      <c r="M97" s="149">
        <f>(((1+M96)^Inputs!M$60)-1)/M96</f>
        <v>0.99930053943559993</v>
      </c>
      <c r="N97" s="149">
        <f>(((1+N96)^Inputs!N$60)-1)/N96</f>
        <v>0.24433499265487249</v>
      </c>
      <c r="O97" s="30"/>
      <c r="P97" s="30"/>
    </row>
    <row r="98" spans="1:17" ht="18" customHeight="1" x14ac:dyDescent="0.25">
      <c r="A98" s="143" t="s">
        <v>113</v>
      </c>
      <c r="B98" s="118" t="s">
        <v>16</v>
      </c>
      <c r="C98" s="118"/>
      <c r="D98" s="122">
        <f>D95*D97</f>
        <v>1346.7916523670929</v>
      </c>
      <c r="E98" s="122">
        <f t="shared" ref="E98:N98" si="22">E95*E97</f>
        <v>8626.3280527690022</v>
      </c>
      <c r="F98" s="122">
        <f t="shared" si="22"/>
        <v>14869.984653682539</v>
      </c>
      <c r="G98" s="122">
        <f t="shared" si="22"/>
        <v>12009.128452290815</v>
      </c>
      <c r="H98" s="122">
        <f t="shared" si="22"/>
        <v>4671.3705031405598</v>
      </c>
      <c r="I98" s="122">
        <f t="shared" si="22"/>
        <v>6273.203598654577</v>
      </c>
      <c r="J98" s="122">
        <f t="shared" si="22"/>
        <v>5037.3519146784929</v>
      </c>
      <c r="K98" s="122">
        <f t="shared" si="22"/>
        <v>3738.7611888916308</v>
      </c>
      <c r="L98" s="122">
        <f t="shared" si="22"/>
        <v>1681.3692910919424</v>
      </c>
      <c r="M98" s="122">
        <f t="shared" si="22"/>
        <v>311.65221503696114</v>
      </c>
      <c r="N98" s="122">
        <f t="shared" si="22"/>
        <v>124.19136153378871</v>
      </c>
      <c r="O98" s="30"/>
      <c r="P98" s="30"/>
    </row>
    <row r="99" spans="1:17" ht="18" customHeight="1" x14ac:dyDescent="0.3">
      <c r="A99" s="119" t="s">
        <v>100</v>
      </c>
      <c r="B99" s="118" t="s">
        <v>16</v>
      </c>
      <c r="C99" s="118"/>
      <c r="D99" s="120"/>
      <c r="E99" s="120"/>
      <c r="F99" s="120"/>
      <c r="G99" s="120"/>
      <c r="H99" s="120"/>
      <c r="I99" s="120"/>
      <c r="J99" s="120"/>
      <c r="K99" s="120"/>
      <c r="L99" s="120"/>
      <c r="M99" s="120"/>
      <c r="N99" s="121">
        <f>SUM(D98:N98)</f>
        <v>58690.132884137398</v>
      </c>
      <c r="O99" s="30"/>
      <c r="P99" s="30"/>
    </row>
    <row r="100" spans="1:17" ht="18" customHeight="1" x14ac:dyDescent="0.3">
      <c r="A100" s="66"/>
      <c r="B100" s="178"/>
      <c r="C100" s="178"/>
      <c r="D100" s="129"/>
      <c r="E100" s="128"/>
      <c r="F100" s="128"/>
      <c r="G100" s="128"/>
      <c r="H100" s="128"/>
      <c r="I100" s="128"/>
      <c r="J100" s="128"/>
      <c r="K100" s="128"/>
      <c r="L100" s="128"/>
      <c r="M100" s="128"/>
      <c r="N100" s="159"/>
      <c r="O100" s="30"/>
      <c r="P100" s="30"/>
    </row>
    <row r="101" spans="1:17" ht="18" customHeight="1" x14ac:dyDescent="0.25">
      <c r="O101" s="30"/>
      <c r="P101" s="30"/>
    </row>
    <row r="102" spans="1:17" s="89" customFormat="1" ht="18" customHeight="1" x14ac:dyDescent="0.35">
      <c r="A102" s="209" t="s">
        <v>37</v>
      </c>
      <c r="C102" s="93" t="s">
        <v>42</v>
      </c>
      <c r="D102" s="93" t="s">
        <v>65</v>
      </c>
      <c r="E102" s="93" t="s">
        <v>43</v>
      </c>
      <c r="F102" s="93" t="s">
        <v>43</v>
      </c>
      <c r="G102" s="93" t="s">
        <v>43</v>
      </c>
      <c r="H102" s="93" t="s">
        <v>43</v>
      </c>
      <c r="I102" s="93" t="s">
        <v>43</v>
      </c>
      <c r="J102" s="93" t="s">
        <v>43</v>
      </c>
      <c r="K102" s="93" t="s">
        <v>43</v>
      </c>
      <c r="L102" s="93" t="s">
        <v>43</v>
      </c>
      <c r="M102" s="93" t="s">
        <v>43</v>
      </c>
      <c r="N102" s="93" t="s">
        <v>66</v>
      </c>
      <c r="O102" s="30"/>
      <c r="P102" s="30"/>
    </row>
    <row r="103" spans="1:17" ht="18" customHeight="1" x14ac:dyDescent="0.25">
      <c r="C103" s="94">
        <f>Inputs!$C$53</f>
        <v>40878</v>
      </c>
      <c r="D103" s="94">
        <f>Inputs!D53</f>
        <v>41090</v>
      </c>
      <c r="E103" s="94">
        <f>Inputs!E53</f>
        <v>41455</v>
      </c>
      <c r="F103" s="94">
        <f>Inputs!F53</f>
        <v>41820</v>
      </c>
      <c r="G103" s="94">
        <f>Inputs!G53</f>
        <v>42185</v>
      </c>
      <c r="H103" s="94">
        <f>Inputs!H53</f>
        <v>42551</v>
      </c>
      <c r="I103" s="94">
        <f>Inputs!I53</f>
        <v>42916</v>
      </c>
      <c r="J103" s="94">
        <f>Inputs!J53</f>
        <v>43281</v>
      </c>
      <c r="K103" s="94">
        <f>Inputs!K53</f>
        <v>43646</v>
      </c>
      <c r="L103" s="94">
        <f>Inputs!L53</f>
        <v>44012</v>
      </c>
      <c r="M103" s="94">
        <f>Inputs!M53</f>
        <v>44377</v>
      </c>
      <c r="N103" s="94">
        <f>Inputs!N53</f>
        <v>44561</v>
      </c>
      <c r="O103" s="30"/>
      <c r="P103" s="30"/>
    </row>
    <row r="104" spans="1:17" s="79" customFormat="1" ht="18" customHeight="1" x14ac:dyDescent="0.35">
      <c r="A104" s="208" t="s">
        <v>36</v>
      </c>
      <c r="O104" s="30"/>
      <c r="P104" s="30"/>
      <c r="Q104" s="80"/>
    </row>
    <row r="105" spans="1:17" ht="18" customHeight="1" x14ac:dyDescent="0.25">
      <c r="A105" s="54" t="s">
        <v>86</v>
      </c>
      <c r="B105" s="39" t="s">
        <v>16</v>
      </c>
      <c r="C105" s="39"/>
      <c r="D105" s="191">
        <f>Inputs!C$20</f>
        <v>1720874.0362200001</v>
      </c>
      <c r="E105" s="35">
        <f>D108</f>
        <v>1764392.4397886884</v>
      </c>
      <c r="F105" s="35">
        <f t="shared" ref="F105:N105" si="23">E108</f>
        <v>2125459.1572077051</v>
      </c>
      <c r="G105" s="35">
        <f t="shared" si="23"/>
        <v>2438449.5922829504</v>
      </c>
      <c r="H105" s="35">
        <f t="shared" si="23"/>
        <v>2736473.5772174499</v>
      </c>
      <c r="I105" s="35">
        <f t="shared" si="23"/>
        <v>2922991.7604308925</v>
      </c>
      <c r="J105" s="35">
        <f t="shared" si="23"/>
        <v>3139936.8133205478</v>
      </c>
      <c r="K105" s="35">
        <f t="shared" si="23"/>
        <v>3401790.519363713</v>
      </c>
      <c r="L105" s="35">
        <f t="shared" si="23"/>
        <v>3716594.1545808651</v>
      </c>
      <c r="M105" s="35">
        <f t="shared" si="23"/>
        <v>3933971.8339509494</v>
      </c>
      <c r="N105" s="35">
        <f t="shared" si="23"/>
        <v>4178653.8497310504</v>
      </c>
      <c r="O105" s="30"/>
      <c r="P105" s="30"/>
      <c r="Q105" s="38"/>
    </row>
    <row r="106" spans="1:17" ht="18" customHeight="1" x14ac:dyDescent="0.25">
      <c r="A106" s="54" t="s">
        <v>83</v>
      </c>
      <c r="B106" s="39" t="s">
        <v>16</v>
      </c>
      <c r="C106" s="39"/>
      <c r="D106" s="100">
        <f>Inputs!D$22</f>
        <v>257494.88628000001</v>
      </c>
      <c r="E106" s="100">
        <f>Inputs!E$22</f>
        <v>689794.65891000035</v>
      </c>
      <c r="F106" s="100">
        <f>Inputs!F$22</f>
        <v>637080.12047999958</v>
      </c>
      <c r="G106" s="100">
        <f>Inputs!G$22</f>
        <v>649066.95363999438</v>
      </c>
      <c r="H106" s="100">
        <f>Inputs!H$22</f>
        <v>549858.35795999807</v>
      </c>
      <c r="I106" s="100">
        <f>Inputs!I$22</f>
        <v>603368.46125000459</v>
      </c>
      <c r="J106" s="100">
        <f>Inputs!J$22</f>
        <v>719544.44072001299</v>
      </c>
      <c r="K106" s="100">
        <f>Inputs!K$22</f>
        <v>778303.67083000438</v>
      </c>
      <c r="L106" s="100">
        <f>Inputs!L$22</f>
        <v>682668.16201997537</v>
      </c>
      <c r="M106" s="100">
        <f>Inputs!M$22</f>
        <v>669287.45715160412</v>
      </c>
      <c r="N106" s="100">
        <f>Inputs!N$22</f>
        <v>566855.14364873827</v>
      </c>
      <c r="O106" s="30"/>
      <c r="P106" s="30"/>
      <c r="Q106" s="38"/>
    </row>
    <row r="107" spans="1:17" ht="18" customHeight="1" x14ac:dyDescent="0.25">
      <c r="A107" s="54" t="s">
        <v>84</v>
      </c>
      <c r="B107" s="39" t="s">
        <v>16</v>
      </c>
      <c r="C107" s="39"/>
      <c r="D107" s="100">
        <f>-Inputs!D26</f>
        <v>-213976.4827113116</v>
      </c>
      <c r="E107" s="100">
        <f>-Inputs!E26</f>
        <v>-328727.94149098342</v>
      </c>
      <c r="F107" s="100">
        <f>-Inputs!F26</f>
        <v>-324089.68540475419</v>
      </c>
      <c r="G107" s="100">
        <f>-Inputs!G26</f>
        <v>-351042.968705495</v>
      </c>
      <c r="H107" s="100">
        <f>-Inputs!H26</f>
        <v>-363340.17474655592</v>
      </c>
      <c r="I107" s="100">
        <f>-Inputs!I26</f>
        <v>-386423.40836034965</v>
      </c>
      <c r="J107" s="100">
        <f>-Inputs!J26</f>
        <v>-457690.73467684758</v>
      </c>
      <c r="K107" s="100">
        <f>-Inputs!K26</f>
        <v>-463500.03561285249</v>
      </c>
      <c r="L107" s="100">
        <f>-Inputs!L26</f>
        <v>-465290.48264989129</v>
      </c>
      <c r="M107" s="100">
        <f>-Inputs!M26</f>
        <v>-424605.44137150305</v>
      </c>
      <c r="N107" s="100">
        <f>-Inputs!N26</f>
        <v>-213697.99174768847</v>
      </c>
      <c r="O107" s="30"/>
      <c r="P107" s="30"/>
      <c r="Q107" s="38"/>
    </row>
    <row r="108" spans="1:17" ht="18" customHeight="1" x14ac:dyDescent="0.25">
      <c r="A108" s="103" t="s">
        <v>145</v>
      </c>
      <c r="B108" s="39" t="s">
        <v>16</v>
      </c>
      <c r="C108" s="39"/>
      <c r="D108" s="49">
        <f>SUM(D105:D107)</f>
        <v>1764392.4397886884</v>
      </c>
      <c r="E108" s="49">
        <f>SUM(E105:E107)</f>
        <v>2125459.1572077051</v>
      </c>
      <c r="F108" s="49">
        <f t="shared" ref="F108:N108" si="24">SUM(F105:F107)</f>
        <v>2438449.5922829504</v>
      </c>
      <c r="G108" s="49">
        <f t="shared" si="24"/>
        <v>2736473.5772174499</v>
      </c>
      <c r="H108" s="49">
        <f t="shared" si="24"/>
        <v>2922991.7604308925</v>
      </c>
      <c r="I108" s="49">
        <f t="shared" si="24"/>
        <v>3139936.8133205478</v>
      </c>
      <c r="J108" s="49">
        <f t="shared" si="24"/>
        <v>3401790.519363713</v>
      </c>
      <c r="K108" s="49">
        <f t="shared" si="24"/>
        <v>3716594.1545808651</v>
      </c>
      <c r="L108" s="49">
        <f t="shared" si="24"/>
        <v>3933971.8339509494</v>
      </c>
      <c r="M108" s="49">
        <f t="shared" si="24"/>
        <v>4178653.8497310504</v>
      </c>
      <c r="N108" s="49">
        <f t="shared" si="24"/>
        <v>4531811.0016321</v>
      </c>
      <c r="O108" s="30"/>
      <c r="P108" s="30"/>
      <c r="Q108" s="38"/>
    </row>
    <row r="109" spans="1:17" ht="18" customHeight="1" x14ac:dyDescent="0.25">
      <c r="A109" s="42"/>
      <c r="B109" s="43"/>
      <c r="C109" s="43"/>
      <c r="D109" s="43"/>
      <c r="E109" s="43"/>
      <c r="F109" s="43"/>
      <c r="G109" s="43"/>
      <c r="H109" s="43"/>
      <c r="I109" s="43"/>
      <c r="J109" s="43"/>
      <c r="K109" s="43"/>
      <c r="L109" s="43"/>
      <c r="M109" s="43"/>
      <c r="N109" s="43"/>
      <c r="O109" s="30"/>
      <c r="P109" s="30"/>
    </row>
    <row r="110" spans="1:17" s="79" customFormat="1" ht="18" customHeight="1" x14ac:dyDescent="0.35">
      <c r="A110" s="208" t="s">
        <v>35</v>
      </c>
      <c r="O110" s="30"/>
      <c r="P110" s="30"/>
      <c r="Q110" s="80"/>
    </row>
    <row r="111" spans="1:17" ht="18" customHeight="1" x14ac:dyDescent="0.25">
      <c r="A111" s="54" t="s">
        <v>81</v>
      </c>
      <c r="B111" s="39" t="s">
        <v>16</v>
      </c>
      <c r="C111" s="39"/>
      <c r="D111" s="191">
        <f>Inputs!C$21</f>
        <v>24777.630377695183</v>
      </c>
      <c r="E111" s="35">
        <f>D115</f>
        <v>159587.02903699959</v>
      </c>
      <c r="F111" s="35">
        <f t="shared" ref="F111:N111" si="25">E115</f>
        <v>544460.34649183403</v>
      </c>
      <c r="G111" s="35">
        <f t="shared" si="25"/>
        <v>890242.06829806091</v>
      </c>
      <c r="H111" s="35">
        <f t="shared" si="25"/>
        <v>1253410.5422092227</v>
      </c>
      <c r="I111" s="35">
        <f t="shared" si="25"/>
        <v>1482668.0204528687</v>
      </c>
      <c r="J111" s="35">
        <f t="shared" si="25"/>
        <v>1765819.5681255397</v>
      </c>
      <c r="K111" s="35">
        <f t="shared" si="25"/>
        <v>2066787.7397939989</v>
      </c>
      <c r="L111" s="35">
        <f t="shared" si="25"/>
        <v>2468131.4584013685</v>
      </c>
      <c r="M111" s="35">
        <f t="shared" si="25"/>
        <v>2725927.7870956711</v>
      </c>
      <c r="N111" s="35">
        <f t="shared" si="25"/>
        <v>3041343.9538330338</v>
      </c>
      <c r="O111" s="30"/>
      <c r="P111" s="30"/>
      <c r="Q111" s="38"/>
    </row>
    <row r="112" spans="1:17" ht="18" customHeight="1" x14ac:dyDescent="0.25">
      <c r="A112" s="54" t="s">
        <v>82</v>
      </c>
      <c r="B112" s="39" t="s">
        <v>16</v>
      </c>
      <c r="C112" s="39"/>
      <c r="D112" s="100">
        <f>Inputs!D$23</f>
        <v>139155.55199538785</v>
      </c>
      <c r="E112" s="100">
        <f>Inputs!E$23</f>
        <v>424680.82068168593</v>
      </c>
      <c r="F112" s="100">
        <f>Inputs!F$23</f>
        <v>423668.16462903225</v>
      </c>
      <c r="G112" s="100">
        <f>Inputs!G$23</f>
        <v>488276.52617305994</v>
      </c>
      <c r="H112" s="100">
        <f>Inputs!H$23</f>
        <v>388033.77543684596</v>
      </c>
      <c r="I112" s="100">
        <f>Inputs!I$23</f>
        <v>468078.63382906513</v>
      </c>
      <c r="J112" s="100">
        <f>Inputs!J$23</f>
        <v>505620.71224495984</v>
      </c>
      <c r="K112" s="100">
        <f>Inputs!K$23</f>
        <v>646753.19580132433</v>
      </c>
      <c r="L112" s="100">
        <f>Inputs!L$23</f>
        <v>536276.05767642753</v>
      </c>
      <c r="M112" s="100">
        <f>Inputs!M$23</f>
        <v>593450.04853671195</v>
      </c>
      <c r="N112" s="100">
        <f>Inputs!N$23</f>
        <v>251286.57455227058</v>
      </c>
      <c r="O112" s="30"/>
      <c r="P112" s="30"/>
      <c r="Q112" s="38"/>
    </row>
    <row r="113" spans="1:17" ht="18" customHeight="1" x14ac:dyDescent="0.25">
      <c r="A113" s="54" t="s">
        <v>85</v>
      </c>
      <c r="B113" s="39" t="s">
        <v>16</v>
      </c>
      <c r="C113" s="39"/>
      <c r="D113" s="100">
        <f>-Inputs!D27</f>
        <v>-7686.8180500662074</v>
      </c>
      <c r="E113" s="100">
        <f>-Inputs!E27</f>
        <v>-44713.581697292888</v>
      </c>
      <c r="F113" s="100">
        <f>-Inputs!F27</f>
        <v>-88357.411663942199</v>
      </c>
      <c r="G113" s="100">
        <f>-Inputs!G27</f>
        <v>-142910.26812917448</v>
      </c>
      <c r="H113" s="100">
        <f>-Inputs!H27</f>
        <v>-182805.08948065314</v>
      </c>
      <c r="I113" s="100">
        <f>-Inputs!I27</f>
        <v>-216377.71975255327</v>
      </c>
      <c r="J113" s="100">
        <f>-Inputs!J27</f>
        <v>-245910.95652273361</v>
      </c>
      <c r="K113" s="100">
        <f>-Inputs!K27</f>
        <v>-287150.9234735521</v>
      </c>
      <c r="L113" s="100">
        <f>-Inputs!L27</f>
        <v>-315197.53254243097</v>
      </c>
      <c r="M113" s="100">
        <f>-Inputs!M27</f>
        <v>-302512.06805916433</v>
      </c>
      <c r="N113" s="100">
        <f>-Inputs!N27</f>
        <v>-157677.42377755407</v>
      </c>
      <c r="O113" s="30"/>
      <c r="P113" s="30"/>
      <c r="Q113" s="38"/>
    </row>
    <row r="114" spans="1:17" ht="18" customHeight="1" x14ac:dyDescent="0.25">
      <c r="A114" s="54" t="s">
        <v>152</v>
      </c>
      <c r="B114" s="39" t="s">
        <v>16</v>
      </c>
      <c r="C114" s="39"/>
      <c r="D114" s="100">
        <f>Inputs!D$28</f>
        <v>3340.6647139827905</v>
      </c>
      <c r="E114" s="100">
        <f>Inputs!E$28</f>
        <v>4906.0784704413418</v>
      </c>
      <c r="F114" s="100">
        <f>Inputs!F$28</f>
        <v>10470.968841136813</v>
      </c>
      <c r="G114" s="100">
        <f>Inputs!G$28</f>
        <v>17802.215867276431</v>
      </c>
      <c r="H114" s="100">
        <f>Inputs!H$28</f>
        <v>24028.792287453412</v>
      </c>
      <c r="I114" s="100">
        <f>Inputs!I$28</f>
        <v>31450.633596159219</v>
      </c>
      <c r="J114" s="100">
        <f>Inputs!J$28</f>
        <v>41258.415946233035</v>
      </c>
      <c r="K114" s="100">
        <f>Inputs!K$28</f>
        <v>41741.446279596807</v>
      </c>
      <c r="L114" s="100">
        <f>Inputs!L$28</f>
        <v>36717.803560306071</v>
      </c>
      <c r="M114" s="100">
        <f>Inputs!M$28</f>
        <v>24478.186259815215</v>
      </c>
      <c r="N114" s="100">
        <f>Inputs!N$28</f>
        <v>0</v>
      </c>
      <c r="O114" s="30"/>
      <c r="P114" s="30"/>
      <c r="Q114" s="38"/>
    </row>
    <row r="115" spans="1:17" ht="18" customHeight="1" x14ac:dyDescent="0.25">
      <c r="A115" s="103" t="s">
        <v>146</v>
      </c>
      <c r="B115" s="39" t="s">
        <v>16</v>
      </c>
      <c r="C115" s="39"/>
      <c r="D115" s="49">
        <f t="shared" ref="D115:N115" si="26">SUM(D111:D114)</f>
        <v>159587.02903699959</v>
      </c>
      <c r="E115" s="49">
        <f t="shared" si="26"/>
        <v>544460.34649183403</v>
      </c>
      <c r="F115" s="49">
        <f t="shared" si="26"/>
        <v>890242.06829806091</v>
      </c>
      <c r="G115" s="49">
        <f t="shared" si="26"/>
        <v>1253410.5422092227</v>
      </c>
      <c r="H115" s="49">
        <f t="shared" si="26"/>
        <v>1482668.0204528687</v>
      </c>
      <c r="I115" s="49">
        <f t="shared" si="26"/>
        <v>1765819.5681255397</v>
      </c>
      <c r="J115" s="49">
        <f t="shared" si="26"/>
        <v>2066787.7397939989</v>
      </c>
      <c r="K115" s="49">
        <f t="shared" si="26"/>
        <v>2468131.4584013685</v>
      </c>
      <c r="L115" s="49">
        <f t="shared" si="26"/>
        <v>2725927.7870956711</v>
      </c>
      <c r="M115" s="49">
        <f t="shared" si="26"/>
        <v>3041343.9538330338</v>
      </c>
      <c r="N115" s="49">
        <f t="shared" si="26"/>
        <v>3134953.1046077502</v>
      </c>
      <c r="O115" s="30"/>
      <c r="P115" s="30"/>
      <c r="Q115" s="38"/>
    </row>
    <row r="116" spans="1:17" ht="18" customHeight="1" x14ac:dyDescent="0.25">
      <c r="A116" s="248"/>
      <c r="B116" s="247"/>
      <c r="C116" s="247"/>
      <c r="D116" s="247"/>
      <c r="E116" s="247"/>
      <c r="F116" s="247"/>
      <c r="G116" s="247"/>
      <c r="H116" s="247"/>
      <c r="I116" s="247"/>
      <c r="J116" s="247"/>
      <c r="K116" s="247"/>
      <c r="L116" s="247"/>
      <c r="M116" s="247"/>
      <c r="N116" s="247"/>
      <c r="O116" s="30"/>
      <c r="P116" s="30"/>
      <c r="Q116" s="38"/>
    </row>
    <row r="117" spans="1:17" s="79" customFormat="1" ht="18" customHeight="1" x14ac:dyDescent="0.35">
      <c r="A117" s="208" t="s">
        <v>59</v>
      </c>
      <c r="O117" s="30"/>
      <c r="P117" s="30"/>
      <c r="Q117" s="80"/>
    </row>
    <row r="118" spans="1:17" ht="18" customHeight="1" x14ac:dyDescent="0.25">
      <c r="A118" s="54" t="s">
        <v>79</v>
      </c>
      <c r="B118" s="39" t="s">
        <v>16</v>
      </c>
      <c r="C118" s="39"/>
      <c r="D118" s="100">
        <f>Inputs!D24</f>
        <v>17116.446689967615</v>
      </c>
      <c r="E118" s="100">
        <f>Inputs!E24</f>
        <v>38775.516098672451</v>
      </c>
      <c r="F118" s="100">
        <f>Inputs!F24</f>
        <v>50443.199881392167</v>
      </c>
      <c r="G118" s="100">
        <f>Inputs!G24</f>
        <v>86774.934718839533</v>
      </c>
      <c r="H118" s="100">
        <f>Inputs!H24</f>
        <v>107511.70291674967</v>
      </c>
      <c r="I118" s="100">
        <f>Inputs!I24</f>
        <v>172388.28472725282</v>
      </c>
      <c r="J118" s="100">
        <f>Inputs!J24</f>
        <v>245169.1505022702</v>
      </c>
      <c r="K118" s="100">
        <f>Inputs!K24</f>
        <v>342165.4907870263</v>
      </c>
      <c r="L118" s="100">
        <f>Inputs!L24</f>
        <v>445309.65151830873</v>
      </c>
      <c r="M118" s="100">
        <f>Inputs!M24</f>
        <v>536053.02980895794</v>
      </c>
      <c r="N118" s="100">
        <f>Inputs!N24</f>
        <v>311559.13508736086</v>
      </c>
      <c r="O118" s="30"/>
      <c r="P118" s="30"/>
      <c r="Q118" s="38"/>
    </row>
    <row r="119" spans="1:17" ht="18" customHeight="1" x14ac:dyDescent="0.25">
      <c r="A119" s="54" t="s">
        <v>80</v>
      </c>
      <c r="B119" s="39" t="s">
        <v>16</v>
      </c>
      <c r="C119" s="39"/>
      <c r="D119" s="100">
        <f>-Inputs!D25</f>
        <v>-17007.999230597918</v>
      </c>
      <c r="E119" s="100">
        <f>-Inputs!E25</f>
        <v>-37932.478214647017</v>
      </c>
      <c r="F119" s="100">
        <f>-Inputs!F25</f>
        <v>-41744.485320108572</v>
      </c>
      <c r="G119" s="100">
        <f>-Inputs!G25</f>
        <v>-76269.940789042783</v>
      </c>
      <c r="H119" s="100">
        <f>-Inputs!H25</f>
        <v>-100186.36413289921</v>
      </c>
      <c r="I119" s="100">
        <f>-Inputs!I25</f>
        <v>-106698.96640705342</v>
      </c>
      <c r="J119" s="100">
        <f>-Inputs!J25</f>
        <v>-122079.61277183953</v>
      </c>
      <c r="K119" s="100">
        <f>-Inputs!K25</f>
        <v>-142622.3912838836</v>
      </c>
      <c r="L119" s="100">
        <f>-Inputs!L25</f>
        <v>-161191.19744453233</v>
      </c>
      <c r="M119" s="100">
        <f>-Inputs!M25</f>
        <v>-174306.69523621726</v>
      </c>
      <c r="N119" s="100">
        <f>-Inputs!N25</f>
        <v>-95091.442693390505</v>
      </c>
      <c r="O119" s="30"/>
      <c r="P119" s="30"/>
      <c r="Q119" s="38"/>
    </row>
    <row r="120" spans="1:17" ht="18" customHeight="1" x14ac:dyDescent="0.25">
      <c r="A120" s="143" t="s">
        <v>132</v>
      </c>
      <c r="B120" s="118" t="s">
        <v>16</v>
      </c>
      <c r="C120" s="118"/>
      <c r="D120" s="152">
        <f>-D346</f>
        <v>-1013.3911890368768</v>
      </c>
      <c r="E120" s="152">
        <f t="shared" ref="E120:N120" si="27">-E346</f>
        <v>-5088.91757096131</v>
      </c>
      <c r="F120" s="152">
        <f t="shared" si="27"/>
        <v>-9520.5081449032132</v>
      </c>
      <c r="G120" s="152">
        <f t="shared" si="27"/>
        <v>-14853.495772622871</v>
      </c>
      <c r="H120" s="152">
        <f t="shared" si="27"/>
        <v>-19889.587189521342</v>
      </c>
      <c r="I120" s="152">
        <f t="shared" si="27"/>
        <v>-24547.95065956084</v>
      </c>
      <c r="J120" s="152">
        <f t="shared" si="27"/>
        <v>-29727.158541201301</v>
      </c>
      <c r="K120" s="152">
        <f t="shared" si="27"/>
        <v>-35302.922992317435</v>
      </c>
      <c r="L120" s="152">
        <f t="shared" si="27"/>
        <v>-39755.023726197818</v>
      </c>
      <c r="M120" s="152">
        <f t="shared" si="27"/>
        <v>-41628.511450642371</v>
      </c>
      <c r="N120" s="152">
        <f t="shared" si="27"/>
        <v>-20751.541028886975</v>
      </c>
      <c r="O120" s="30"/>
      <c r="P120" s="30"/>
      <c r="Q120" s="38"/>
    </row>
    <row r="121" spans="1:17" ht="18" customHeight="1" x14ac:dyDescent="0.25">
      <c r="A121" s="54" t="s">
        <v>85</v>
      </c>
      <c r="B121" s="39" t="s">
        <v>16</v>
      </c>
      <c r="C121" s="39"/>
      <c r="D121" s="35">
        <f t="shared" ref="D121:N121" si="28">D113</f>
        <v>-7686.8180500662074</v>
      </c>
      <c r="E121" s="35">
        <f t="shared" si="28"/>
        <v>-44713.581697292888</v>
      </c>
      <c r="F121" s="35">
        <f t="shared" si="28"/>
        <v>-88357.411663942199</v>
      </c>
      <c r="G121" s="35">
        <f t="shared" si="28"/>
        <v>-142910.26812917448</v>
      </c>
      <c r="H121" s="35">
        <f t="shared" si="28"/>
        <v>-182805.08948065314</v>
      </c>
      <c r="I121" s="35">
        <f t="shared" si="28"/>
        <v>-216377.71975255327</v>
      </c>
      <c r="J121" s="35">
        <f t="shared" si="28"/>
        <v>-245910.95652273361</v>
      </c>
      <c r="K121" s="35">
        <f t="shared" si="28"/>
        <v>-287150.9234735521</v>
      </c>
      <c r="L121" s="35">
        <f t="shared" si="28"/>
        <v>-315197.53254243097</v>
      </c>
      <c r="M121" s="35">
        <f t="shared" si="28"/>
        <v>-302512.06805916433</v>
      </c>
      <c r="N121" s="35">
        <f t="shared" si="28"/>
        <v>-157677.42377755407</v>
      </c>
      <c r="O121" s="30"/>
      <c r="P121" s="30"/>
      <c r="Q121" s="38"/>
    </row>
    <row r="122" spans="1:17" ht="18" customHeight="1" x14ac:dyDescent="0.25">
      <c r="A122" s="54" t="s">
        <v>62</v>
      </c>
      <c r="B122" s="39" t="s">
        <v>16</v>
      </c>
      <c r="C122" s="39"/>
      <c r="D122" s="49">
        <f>SUM(D118:D121)</f>
        <v>-8591.761779733386</v>
      </c>
      <c r="E122" s="49">
        <f t="shared" ref="E122:N122" si="29">SUM(E118:E121)</f>
        <v>-48959.461384228765</v>
      </c>
      <c r="F122" s="49">
        <f t="shared" si="29"/>
        <v>-89179.205247561811</v>
      </c>
      <c r="G122" s="49">
        <f t="shared" si="29"/>
        <v>-147258.76997200059</v>
      </c>
      <c r="H122" s="49">
        <f t="shared" si="29"/>
        <v>-195369.33788632404</v>
      </c>
      <c r="I122" s="49">
        <f t="shared" si="29"/>
        <v>-175236.35209191471</v>
      </c>
      <c r="J122" s="49">
        <f t="shared" si="29"/>
        <v>-152548.57733350425</v>
      </c>
      <c r="K122" s="49">
        <f t="shared" si="29"/>
        <v>-122910.74696272684</v>
      </c>
      <c r="L122" s="49">
        <f t="shared" si="29"/>
        <v>-70834.102194852429</v>
      </c>
      <c r="M122" s="49">
        <f t="shared" si="29"/>
        <v>17605.755062934011</v>
      </c>
      <c r="N122" s="49">
        <f t="shared" si="29"/>
        <v>38038.727587529313</v>
      </c>
      <c r="O122" s="30"/>
      <c r="P122" s="30"/>
      <c r="Q122" s="38"/>
    </row>
    <row r="123" spans="1:17" ht="18" customHeight="1" x14ac:dyDescent="0.25">
      <c r="A123" s="54" t="s">
        <v>64</v>
      </c>
      <c r="B123" s="39" t="s">
        <v>16</v>
      </c>
      <c r="C123" s="39"/>
      <c r="D123" s="100">
        <f>D122*Inputs!D29</f>
        <v>-2405.6932983253482</v>
      </c>
      <c r="E123" s="100">
        <f>E122*Inputs!E29</f>
        <v>-13708.649187584055</v>
      </c>
      <c r="F123" s="100">
        <f>F122*Inputs!F29</f>
        <v>-24970.17746931731</v>
      </c>
      <c r="G123" s="100">
        <f>G122*Inputs!G29</f>
        <v>-41232.455592160171</v>
      </c>
      <c r="H123" s="100">
        <f>H122*Inputs!H29</f>
        <v>-54703.414608170737</v>
      </c>
      <c r="I123" s="100">
        <f>I122*Inputs!I29</f>
        <v>-49066.178585736125</v>
      </c>
      <c r="J123" s="100">
        <f>J122*Inputs!J29</f>
        <v>-42713.601653381193</v>
      </c>
      <c r="K123" s="100">
        <f>K122*Inputs!K29</f>
        <v>-34415.009149563521</v>
      </c>
      <c r="L123" s="100">
        <f>L122*Inputs!L29</f>
        <v>-19833.54861455868</v>
      </c>
      <c r="M123" s="100">
        <f>M122*Inputs!M29</f>
        <v>4929.6114176215233</v>
      </c>
      <c r="N123" s="100">
        <f>N122*Inputs!N29</f>
        <v>10650.843724508208</v>
      </c>
      <c r="O123" s="30"/>
      <c r="P123" s="30"/>
      <c r="Q123" s="38"/>
    </row>
    <row r="124" spans="1:17" ht="18" customHeight="1" x14ac:dyDescent="0.25">
      <c r="A124" s="33" t="s">
        <v>59</v>
      </c>
      <c r="B124" s="39" t="s">
        <v>16</v>
      </c>
      <c r="C124" s="39"/>
      <c r="D124" s="104">
        <f t="shared" ref="D124:N124" si="30">IF(D123&lt;0,0,D123-D135)</f>
        <v>0</v>
      </c>
      <c r="E124" s="104">
        <f t="shared" si="30"/>
        <v>0</v>
      </c>
      <c r="F124" s="104">
        <f t="shared" si="30"/>
        <v>0</v>
      </c>
      <c r="G124" s="104">
        <f t="shared" si="30"/>
        <v>0</v>
      </c>
      <c r="H124" s="104">
        <f t="shared" si="30"/>
        <v>0</v>
      </c>
      <c r="I124" s="104">
        <f t="shared" si="30"/>
        <v>0</v>
      </c>
      <c r="J124" s="104">
        <f t="shared" si="30"/>
        <v>0</v>
      </c>
      <c r="K124" s="104">
        <f t="shared" si="30"/>
        <v>0</v>
      </c>
      <c r="L124" s="104">
        <f t="shared" si="30"/>
        <v>0</v>
      </c>
      <c r="M124" s="104">
        <f t="shared" si="30"/>
        <v>0</v>
      </c>
      <c r="N124" s="104">
        <f t="shared" si="30"/>
        <v>0</v>
      </c>
      <c r="O124" s="30"/>
      <c r="P124" s="30"/>
      <c r="Q124" s="38"/>
    </row>
    <row r="125" spans="1:17" ht="18" customHeight="1" x14ac:dyDescent="0.25">
      <c r="A125" s="1"/>
      <c r="O125" s="30"/>
      <c r="P125" s="30"/>
    </row>
    <row r="126" spans="1:17" s="89" customFormat="1" ht="18" customHeight="1" x14ac:dyDescent="0.3">
      <c r="A126" s="206" t="s">
        <v>139</v>
      </c>
      <c r="B126" s="152"/>
      <c r="C126" s="152"/>
      <c r="D126" s="152"/>
      <c r="E126" s="152"/>
      <c r="F126" s="152"/>
      <c r="G126" s="152"/>
      <c r="H126" s="152"/>
      <c r="I126" s="152"/>
      <c r="J126" s="152"/>
      <c r="K126" s="152"/>
      <c r="L126" s="152"/>
      <c r="M126" s="152"/>
      <c r="N126" s="152"/>
      <c r="O126" s="220"/>
      <c r="P126" s="220"/>
    </row>
    <row r="127" spans="1:17" s="89" customFormat="1" ht="18" customHeight="1" x14ac:dyDescent="0.25">
      <c r="A127" s="143" t="s">
        <v>141</v>
      </c>
      <c r="B127" s="118" t="s">
        <v>16</v>
      </c>
      <c r="C127" s="152"/>
      <c r="D127" s="171">
        <v>0</v>
      </c>
      <c r="E127" s="152">
        <f>D130</f>
        <v>8591.761779733386</v>
      </c>
      <c r="F127" s="152">
        <f>E130</f>
        <v>57551.223163962153</v>
      </c>
      <c r="G127" s="152">
        <f t="shared" ref="G127:N127" si="31">F130</f>
        <v>146730.42841152396</v>
      </c>
      <c r="H127" s="152">
        <f t="shared" si="31"/>
        <v>293989.19838352455</v>
      </c>
      <c r="I127" s="152">
        <f t="shared" si="31"/>
        <v>489358.53626984858</v>
      </c>
      <c r="J127" s="152">
        <f t="shared" si="31"/>
        <v>664594.88836176333</v>
      </c>
      <c r="K127" s="152">
        <f t="shared" si="31"/>
        <v>817143.46569526754</v>
      </c>
      <c r="L127" s="152">
        <f t="shared" si="31"/>
        <v>940054.21265799436</v>
      </c>
      <c r="M127" s="152">
        <f t="shared" si="31"/>
        <v>1010888.3148528468</v>
      </c>
      <c r="N127" s="152">
        <f t="shared" si="31"/>
        <v>993282.55978991278</v>
      </c>
      <c r="O127" s="220"/>
      <c r="P127" s="220"/>
    </row>
    <row r="128" spans="1:17" s="89" customFormat="1" ht="18" customHeight="1" x14ac:dyDescent="0.25">
      <c r="A128" s="143" t="s">
        <v>143</v>
      </c>
      <c r="B128" s="118" t="s">
        <v>16</v>
      </c>
      <c r="C128" s="152"/>
      <c r="D128" s="152">
        <f>IF(D122&gt;=0,0,-D122)</f>
        <v>8591.761779733386</v>
      </c>
      <c r="E128" s="152">
        <f t="shared" ref="E128:N128" si="32">IF(E122&gt;=0,0,-E122)</f>
        <v>48959.461384228765</v>
      </c>
      <c r="F128" s="152">
        <f t="shared" si="32"/>
        <v>89179.205247561811</v>
      </c>
      <c r="G128" s="152">
        <f t="shared" si="32"/>
        <v>147258.76997200059</v>
      </c>
      <c r="H128" s="152">
        <f t="shared" si="32"/>
        <v>195369.33788632404</v>
      </c>
      <c r="I128" s="152">
        <f t="shared" si="32"/>
        <v>175236.35209191471</v>
      </c>
      <c r="J128" s="152">
        <f t="shared" si="32"/>
        <v>152548.57733350425</v>
      </c>
      <c r="K128" s="152">
        <f t="shared" si="32"/>
        <v>122910.74696272684</v>
      </c>
      <c r="L128" s="152">
        <f t="shared" si="32"/>
        <v>70834.102194852429</v>
      </c>
      <c r="M128" s="152">
        <f t="shared" si="32"/>
        <v>0</v>
      </c>
      <c r="N128" s="152">
        <f t="shared" si="32"/>
        <v>0</v>
      </c>
      <c r="O128" s="220"/>
      <c r="P128" s="220"/>
    </row>
    <row r="129" spans="1:16" s="89" customFormat="1" ht="18" customHeight="1" x14ac:dyDescent="0.25">
      <c r="A129" s="143" t="s">
        <v>140</v>
      </c>
      <c r="B129" s="118" t="s">
        <v>16</v>
      </c>
      <c r="C129" s="152"/>
      <c r="D129" s="222">
        <f t="shared" ref="D129:M129" si="33">IF(D123&lt;0,0,D122)</f>
        <v>0</v>
      </c>
      <c r="E129" s="222">
        <f t="shared" si="33"/>
        <v>0</v>
      </c>
      <c r="F129" s="222">
        <f t="shared" si="33"/>
        <v>0</v>
      </c>
      <c r="G129" s="222">
        <f t="shared" si="33"/>
        <v>0</v>
      </c>
      <c r="H129" s="222">
        <f t="shared" si="33"/>
        <v>0</v>
      </c>
      <c r="I129" s="222">
        <f t="shared" si="33"/>
        <v>0</v>
      </c>
      <c r="J129" s="222">
        <f t="shared" si="33"/>
        <v>0</v>
      </c>
      <c r="K129" s="222">
        <f t="shared" si="33"/>
        <v>0</v>
      </c>
      <c r="L129" s="222">
        <f t="shared" si="33"/>
        <v>0</v>
      </c>
      <c r="M129" s="222">
        <f t="shared" si="33"/>
        <v>17605.755062934011</v>
      </c>
      <c r="N129" s="222">
        <f>IF(N123&lt;0,0,N122)</f>
        <v>38038.727587529313</v>
      </c>
      <c r="O129" s="220"/>
      <c r="P129" s="220"/>
    </row>
    <row r="130" spans="1:16" s="89" customFormat="1" ht="18" customHeight="1" x14ac:dyDescent="0.25">
      <c r="A130" s="230" t="s">
        <v>142</v>
      </c>
      <c r="B130" s="118" t="s">
        <v>16</v>
      </c>
      <c r="C130" s="152"/>
      <c r="D130" s="221">
        <f>D127+D128-D129</f>
        <v>8591.761779733386</v>
      </c>
      <c r="E130" s="221">
        <f t="shared" ref="E130:N130" si="34">E127+E128-E129</f>
        <v>57551.223163962153</v>
      </c>
      <c r="F130" s="221">
        <f t="shared" si="34"/>
        <v>146730.42841152396</v>
      </c>
      <c r="G130" s="221">
        <f t="shared" si="34"/>
        <v>293989.19838352455</v>
      </c>
      <c r="H130" s="221">
        <f t="shared" si="34"/>
        <v>489358.53626984858</v>
      </c>
      <c r="I130" s="221">
        <f t="shared" si="34"/>
        <v>664594.88836176333</v>
      </c>
      <c r="J130" s="221">
        <f t="shared" si="34"/>
        <v>817143.46569526754</v>
      </c>
      <c r="K130" s="221">
        <f t="shared" si="34"/>
        <v>940054.21265799436</v>
      </c>
      <c r="L130" s="221">
        <f t="shared" si="34"/>
        <v>1010888.3148528468</v>
      </c>
      <c r="M130" s="221">
        <f t="shared" si="34"/>
        <v>993282.55978991278</v>
      </c>
      <c r="N130" s="223">
        <f t="shared" si="34"/>
        <v>955243.83220238343</v>
      </c>
      <c r="O130" s="220"/>
      <c r="P130" s="220"/>
    </row>
    <row r="131" spans="1:16" s="89" customFormat="1" ht="18" customHeight="1" x14ac:dyDescent="0.25">
      <c r="A131" s="143"/>
      <c r="B131" s="118"/>
      <c r="C131" s="152"/>
      <c r="D131" s="152"/>
      <c r="E131" s="152"/>
      <c r="F131" s="152"/>
      <c r="G131" s="152"/>
      <c r="H131" s="152"/>
      <c r="I131" s="152"/>
      <c r="J131" s="152"/>
      <c r="K131" s="152"/>
      <c r="L131" s="152"/>
      <c r="M131" s="152"/>
      <c r="N131" s="152"/>
      <c r="O131" s="220"/>
      <c r="P131" s="220"/>
    </row>
    <row r="132" spans="1:16" s="224" customFormat="1" ht="18" customHeight="1" x14ac:dyDescent="0.35">
      <c r="A132" s="208" t="s">
        <v>144</v>
      </c>
      <c r="D132" s="225"/>
      <c r="E132" s="225"/>
      <c r="F132" s="225"/>
      <c r="G132" s="225"/>
      <c r="H132" s="225"/>
      <c r="I132" s="225"/>
      <c r="J132" s="225"/>
      <c r="K132" s="225"/>
      <c r="L132" s="225"/>
      <c r="M132" s="225"/>
      <c r="N132" s="225"/>
      <c r="O132" s="226"/>
      <c r="P132" s="226"/>
    </row>
    <row r="133" spans="1:16" s="224" customFormat="1" ht="18" customHeight="1" x14ac:dyDescent="0.25">
      <c r="A133" s="227" t="s">
        <v>88</v>
      </c>
      <c r="B133" s="118" t="s">
        <v>16</v>
      </c>
      <c r="C133" s="118"/>
      <c r="D133" s="152">
        <v>0</v>
      </c>
      <c r="E133" s="152">
        <f t="shared" ref="E133:N133" si="35">D136</f>
        <v>-2405.6932983253482</v>
      </c>
      <c r="F133" s="152">
        <f t="shared" si="35"/>
        <v>-16114.342485909403</v>
      </c>
      <c r="G133" s="152">
        <f t="shared" si="35"/>
        <v>-41084.519955226715</v>
      </c>
      <c r="H133" s="152">
        <f t="shared" si="35"/>
        <v>-82316.975547386886</v>
      </c>
      <c r="I133" s="152">
        <f t="shared" si="35"/>
        <v>-137020.39015555763</v>
      </c>
      <c r="J133" s="152">
        <f t="shared" si="35"/>
        <v>-186086.56874129374</v>
      </c>
      <c r="K133" s="152">
        <f t="shared" si="35"/>
        <v>-228800.17039467493</v>
      </c>
      <c r="L133" s="152">
        <f t="shared" si="35"/>
        <v>-263215.17954423843</v>
      </c>
      <c r="M133" s="152">
        <f t="shared" si="35"/>
        <v>-283048.72815879714</v>
      </c>
      <c r="N133" s="152">
        <f t="shared" si="35"/>
        <v>-278119.11674117559</v>
      </c>
      <c r="O133" s="226"/>
      <c r="P133" s="226"/>
    </row>
    <row r="134" spans="1:16" s="224" customFormat="1" ht="18" customHeight="1" x14ac:dyDescent="0.25">
      <c r="A134" s="227" t="s">
        <v>89</v>
      </c>
      <c r="B134" s="118" t="s">
        <v>16</v>
      </c>
      <c r="C134" s="118"/>
      <c r="D134" s="152">
        <f t="shared" ref="D134:N134" si="36">IF(D123&lt;0,D123,0)</f>
        <v>-2405.6932983253482</v>
      </c>
      <c r="E134" s="152">
        <f t="shared" si="36"/>
        <v>-13708.649187584055</v>
      </c>
      <c r="F134" s="152">
        <f t="shared" si="36"/>
        <v>-24970.17746931731</v>
      </c>
      <c r="G134" s="152">
        <f t="shared" si="36"/>
        <v>-41232.455592160171</v>
      </c>
      <c r="H134" s="152">
        <f t="shared" si="36"/>
        <v>-54703.414608170737</v>
      </c>
      <c r="I134" s="152">
        <f t="shared" si="36"/>
        <v>-49066.178585736125</v>
      </c>
      <c r="J134" s="152">
        <f t="shared" si="36"/>
        <v>-42713.601653381193</v>
      </c>
      <c r="K134" s="152">
        <f t="shared" si="36"/>
        <v>-34415.009149563521</v>
      </c>
      <c r="L134" s="152">
        <f t="shared" si="36"/>
        <v>-19833.54861455868</v>
      </c>
      <c r="M134" s="152">
        <f t="shared" si="36"/>
        <v>0</v>
      </c>
      <c r="N134" s="152">
        <f t="shared" si="36"/>
        <v>0</v>
      </c>
      <c r="O134" s="226"/>
      <c r="P134" s="226"/>
    </row>
    <row r="135" spans="1:16" s="224" customFormat="1" ht="18" customHeight="1" x14ac:dyDescent="0.25">
      <c r="A135" s="227" t="s">
        <v>90</v>
      </c>
      <c r="B135" s="118" t="s">
        <v>16</v>
      </c>
      <c r="C135" s="118"/>
      <c r="D135" s="222">
        <f t="shared" ref="D135:N135" si="37">IF(D134&lt;0,0,IF(D134=0,IF(D133&gt;-D123,-D133,D123)))</f>
        <v>0</v>
      </c>
      <c r="E135" s="222">
        <f t="shared" si="37"/>
        <v>0</v>
      </c>
      <c r="F135" s="222">
        <f t="shared" si="37"/>
        <v>0</v>
      </c>
      <c r="G135" s="222">
        <f t="shared" si="37"/>
        <v>0</v>
      </c>
      <c r="H135" s="222">
        <f t="shared" si="37"/>
        <v>0</v>
      </c>
      <c r="I135" s="222">
        <f t="shared" si="37"/>
        <v>0</v>
      </c>
      <c r="J135" s="222">
        <f t="shared" si="37"/>
        <v>0</v>
      </c>
      <c r="K135" s="222">
        <f t="shared" si="37"/>
        <v>0</v>
      </c>
      <c r="L135" s="222">
        <f t="shared" si="37"/>
        <v>0</v>
      </c>
      <c r="M135" s="222">
        <f t="shared" si="37"/>
        <v>4929.6114176215233</v>
      </c>
      <c r="N135" s="222">
        <f t="shared" si="37"/>
        <v>10650.843724508208</v>
      </c>
      <c r="O135" s="226"/>
      <c r="P135" s="226"/>
    </row>
    <row r="136" spans="1:16" s="224" customFormat="1" ht="18" customHeight="1" x14ac:dyDescent="0.25">
      <c r="A136" s="228" t="s">
        <v>91</v>
      </c>
      <c r="B136" s="118" t="s">
        <v>16</v>
      </c>
      <c r="C136" s="118"/>
      <c r="D136" s="221">
        <f>SUM(D133:D135)</f>
        <v>-2405.6932983253482</v>
      </c>
      <c r="E136" s="221">
        <f t="shared" ref="E136:N136" si="38">SUM(E133:E135)</f>
        <v>-16114.342485909403</v>
      </c>
      <c r="F136" s="221">
        <f t="shared" si="38"/>
        <v>-41084.519955226715</v>
      </c>
      <c r="G136" s="221">
        <f t="shared" si="38"/>
        <v>-82316.975547386886</v>
      </c>
      <c r="H136" s="221">
        <f t="shared" si="38"/>
        <v>-137020.39015555763</v>
      </c>
      <c r="I136" s="221">
        <f t="shared" si="38"/>
        <v>-186086.56874129374</v>
      </c>
      <c r="J136" s="221">
        <f t="shared" si="38"/>
        <v>-228800.17039467493</v>
      </c>
      <c r="K136" s="221">
        <f t="shared" si="38"/>
        <v>-263215.17954423843</v>
      </c>
      <c r="L136" s="221">
        <f t="shared" si="38"/>
        <v>-283048.72815879714</v>
      </c>
      <c r="M136" s="221">
        <f t="shared" si="38"/>
        <v>-278119.11674117559</v>
      </c>
      <c r="N136" s="223">
        <f t="shared" si="38"/>
        <v>-267468.2730166674</v>
      </c>
      <c r="O136" s="226"/>
      <c r="P136" s="226"/>
    </row>
    <row r="137" spans="1:16" s="224" customFormat="1" ht="18" customHeight="1" x14ac:dyDescent="0.25">
      <c r="A137" s="229"/>
      <c r="O137" s="226"/>
      <c r="P137" s="226"/>
    </row>
    <row r="138" spans="1:16" ht="18" customHeight="1" x14ac:dyDescent="0.25">
      <c r="A138" s="33"/>
      <c r="B138" s="39"/>
      <c r="C138" s="39"/>
      <c r="D138" s="39"/>
      <c r="E138" s="39"/>
      <c r="F138" s="39"/>
      <c r="G138" s="39"/>
      <c r="H138" s="39"/>
      <c r="I138" s="39"/>
      <c r="J138" s="39"/>
      <c r="K138" s="39"/>
      <c r="L138" s="39"/>
      <c r="M138" s="39"/>
      <c r="N138" s="39"/>
      <c r="O138" s="30"/>
      <c r="P138" s="30"/>
    </row>
    <row r="139" spans="1:16" ht="18" customHeight="1" x14ac:dyDescent="0.35">
      <c r="A139" s="209" t="s">
        <v>116</v>
      </c>
      <c r="B139" s="179"/>
      <c r="C139" s="93" t="s">
        <v>42</v>
      </c>
      <c r="D139" s="93" t="s">
        <v>65</v>
      </c>
      <c r="E139" s="93" t="s">
        <v>43</v>
      </c>
      <c r="F139" s="93" t="s">
        <v>43</v>
      </c>
      <c r="G139" s="93" t="s">
        <v>43</v>
      </c>
      <c r="H139" s="93" t="s">
        <v>43</v>
      </c>
      <c r="I139" s="93" t="s">
        <v>43</v>
      </c>
      <c r="J139" s="93" t="s">
        <v>43</v>
      </c>
      <c r="K139" s="93" t="s">
        <v>43</v>
      </c>
      <c r="L139" s="93" t="s">
        <v>43</v>
      </c>
      <c r="M139" s="93" t="s">
        <v>43</v>
      </c>
      <c r="N139" s="93" t="s">
        <v>66</v>
      </c>
      <c r="O139" s="30"/>
      <c r="P139" s="30"/>
    </row>
    <row r="140" spans="1:16" ht="18" customHeight="1" x14ac:dyDescent="0.25">
      <c r="B140" s="64"/>
      <c r="C140" s="94">
        <f>Inputs!$C$53</f>
        <v>40878</v>
      </c>
      <c r="D140" s="94">
        <f t="shared" ref="D140:N140" si="39">D103</f>
        <v>41090</v>
      </c>
      <c r="E140" s="94">
        <f t="shared" si="39"/>
        <v>41455</v>
      </c>
      <c r="F140" s="94">
        <f t="shared" si="39"/>
        <v>41820</v>
      </c>
      <c r="G140" s="94">
        <f t="shared" si="39"/>
        <v>42185</v>
      </c>
      <c r="H140" s="94">
        <f t="shared" si="39"/>
        <v>42551</v>
      </c>
      <c r="I140" s="94">
        <f t="shared" si="39"/>
        <v>42916</v>
      </c>
      <c r="J140" s="94">
        <f t="shared" si="39"/>
        <v>43281</v>
      </c>
      <c r="K140" s="94">
        <f t="shared" si="39"/>
        <v>43646</v>
      </c>
      <c r="L140" s="94">
        <f t="shared" si="39"/>
        <v>44012</v>
      </c>
      <c r="M140" s="94">
        <f t="shared" si="39"/>
        <v>44377</v>
      </c>
      <c r="N140" s="94">
        <f t="shared" si="39"/>
        <v>44561</v>
      </c>
      <c r="O140" s="30"/>
      <c r="P140" s="30"/>
    </row>
    <row r="141" spans="1:16" ht="18" customHeight="1" x14ac:dyDescent="0.25">
      <c r="A141" s="172" t="s">
        <v>1</v>
      </c>
      <c r="B141" s="39"/>
      <c r="C141" s="39"/>
      <c r="D141" s="39"/>
      <c r="E141" s="39"/>
      <c r="F141" s="39"/>
      <c r="G141" s="39"/>
      <c r="H141" s="39"/>
      <c r="I141" s="39"/>
      <c r="J141" s="39"/>
      <c r="K141" s="39"/>
      <c r="L141" s="39"/>
      <c r="M141" s="39"/>
      <c r="N141" s="39"/>
      <c r="O141" s="30"/>
      <c r="P141" s="30"/>
    </row>
    <row r="142" spans="1:16" ht="18" customHeight="1" x14ac:dyDescent="0.25">
      <c r="A142" s="54" t="s">
        <v>92</v>
      </c>
      <c r="B142" s="39" t="s">
        <v>135</v>
      </c>
      <c r="C142" s="110"/>
      <c r="D142" s="110">
        <f>Inputs!D54</f>
        <v>213</v>
      </c>
      <c r="E142" s="110">
        <f>Inputs!E54</f>
        <v>365</v>
      </c>
      <c r="F142" s="110">
        <f>Inputs!F54</f>
        <v>365</v>
      </c>
      <c r="G142" s="110">
        <f>Inputs!G54</f>
        <v>365</v>
      </c>
      <c r="H142" s="110">
        <f>Inputs!H54</f>
        <v>366</v>
      </c>
      <c r="I142" s="110">
        <f>Inputs!I54</f>
        <v>365</v>
      </c>
      <c r="J142" s="110">
        <f>Inputs!J54</f>
        <v>365</v>
      </c>
      <c r="K142" s="110">
        <f>Inputs!K54</f>
        <v>365</v>
      </c>
      <c r="L142" s="110">
        <f>Inputs!L54</f>
        <v>366</v>
      </c>
      <c r="M142" s="110">
        <f>Inputs!M54</f>
        <v>365</v>
      </c>
      <c r="N142" s="110">
        <f>Inputs!N54</f>
        <v>184</v>
      </c>
      <c r="O142" s="30"/>
      <c r="P142" s="30"/>
    </row>
    <row r="143" spans="1:16" ht="18" customHeight="1" x14ac:dyDescent="0.25">
      <c r="A143" s="143" t="s">
        <v>93</v>
      </c>
      <c r="B143" s="39" t="s">
        <v>135</v>
      </c>
      <c r="C143" s="110"/>
      <c r="D143" s="110">
        <f>Inputs!D$57-1</f>
        <v>105</v>
      </c>
      <c r="E143" s="110">
        <f>Inputs!E$57-1</f>
        <v>181</v>
      </c>
      <c r="F143" s="110">
        <f>Inputs!F$57-1</f>
        <v>181</v>
      </c>
      <c r="G143" s="110">
        <f>Inputs!G$57-1</f>
        <v>181</v>
      </c>
      <c r="H143" s="110">
        <f>Inputs!H$57-1</f>
        <v>182</v>
      </c>
      <c r="I143" s="110">
        <f>Inputs!I$57-1</f>
        <v>181</v>
      </c>
      <c r="J143" s="110">
        <f>Inputs!J$57-1</f>
        <v>181</v>
      </c>
      <c r="K143" s="110">
        <f>Inputs!K$57-1</f>
        <v>181</v>
      </c>
      <c r="L143" s="110">
        <f>Inputs!L$57-1</f>
        <v>182</v>
      </c>
      <c r="M143" s="110">
        <f>Inputs!M$57-1</f>
        <v>181</v>
      </c>
      <c r="N143" s="110">
        <f>Inputs!N$57-1</f>
        <v>91</v>
      </c>
      <c r="O143" s="30"/>
      <c r="P143" s="30"/>
    </row>
    <row r="144" spans="1:16" ht="18" customHeight="1" x14ac:dyDescent="0.25">
      <c r="A144" s="143" t="s">
        <v>95</v>
      </c>
      <c r="B144" s="39" t="s">
        <v>135</v>
      </c>
      <c r="C144" s="110"/>
      <c r="D144" s="110">
        <f>Inputs!D$68</f>
        <v>72</v>
      </c>
      <c r="E144" s="110">
        <f>Inputs!E$68</f>
        <v>148</v>
      </c>
      <c r="F144" s="110">
        <f>Inputs!F$68</f>
        <v>148</v>
      </c>
      <c r="G144" s="110">
        <f>Inputs!G$68</f>
        <v>148</v>
      </c>
      <c r="H144" s="110">
        <f>Inputs!H$68</f>
        <v>149</v>
      </c>
      <c r="I144" s="110">
        <f>Inputs!I$68</f>
        <v>148</v>
      </c>
      <c r="J144" s="110">
        <f>Inputs!J$68</f>
        <v>148</v>
      </c>
      <c r="K144" s="110">
        <f>Inputs!K$68</f>
        <v>148</v>
      </c>
      <c r="L144" s="110">
        <f>Inputs!L$68</f>
        <v>149</v>
      </c>
      <c r="M144" s="110">
        <f>Inputs!M$68</f>
        <v>148</v>
      </c>
      <c r="N144" s="110">
        <f>Inputs!N$68</f>
        <v>58</v>
      </c>
    </row>
    <row r="145" spans="1:16" ht="18" customHeight="1" x14ac:dyDescent="0.25">
      <c r="A145" s="54" t="s">
        <v>114</v>
      </c>
      <c r="B145" s="118"/>
      <c r="C145" s="110"/>
      <c r="D145" s="165">
        <f t="shared" ref="D145:N147" si="40">D142/365.25</f>
        <v>0.58316221765913756</v>
      </c>
      <c r="E145" s="165">
        <f t="shared" si="40"/>
        <v>0.99931553730321698</v>
      </c>
      <c r="F145" s="165">
        <f t="shared" si="40"/>
        <v>0.99931553730321698</v>
      </c>
      <c r="G145" s="165">
        <f t="shared" si="40"/>
        <v>0.99931553730321698</v>
      </c>
      <c r="H145" s="165">
        <f t="shared" si="40"/>
        <v>1.0020533880903491</v>
      </c>
      <c r="I145" s="165">
        <f t="shared" si="40"/>
        <v>0.99931553730321698</v>
      </c>
      <c r="J145" s="165">
        <f t="shared" si="40"/>
        <v>0.99931553730321698</v>
      </c>
      <c r="K145" s="165">
        <f t="shared" si="40"/>
        <v>0.99931553730321698</v>
      </c>
      <c r="L145" s="165">
        <f t="shared" si="40"/>
        <v>1.0020533880903491</v>
      </c>
      <c r="M145" s="165">
        <f t="shared" si="40"/>
        <v>0.99931553730321698</v>
      </c>
      <c r="N145" s="165">
        <f t="shared" si="40"/>
        <v>0.50376454483230659</v>
      </c>
      <c r="O145" s="30"/>
      <c r="P145" s="30"/>
    </row>
    <row r="146" spans="1:16" ht="18" customHeight="1" x14ac:dyDescent="0.25">
      <c r="A146" s="54" t="s">
        <v>94</v>
      </c>
      <c r="B146" s="110"/>
      <c r="C146" s="110"/>
      <c r="D146" s="138">
        <f>D143/365.25</f>
        <v>0.28747433264887062</v>
      </c>
      <c r="E146" s="138">
        <f t="shared" si="40"/>
        <v>0.49555099247091033</v>
      </c>
      <c r="F146" s="138">
        <f t="shared" si="40"/>
        <v>0.49555099247091033</v>
      </c>
      <c r="G146" s="138">
        <f t="shared" si="40"/>
        <v>0.49555099247091033</v>
      </c>
      <c r="H146" s="138">
        <f t="shared" si="40"/>
        <v>0.49828884325804246</v>
      </c>
      <c r="I146" s="138">
        <f t="shared" si="40"/>
        <v>0.49555099247091033</v>
      </c>
      <c r="J146" s="138">
        <f t="shared" si="40"/>
        <v>0.49555099247091033</v>
      </c>
      <c r="K146" s="138">
        <f t="shared" si="40"/>
        <v>0.49555099247091033</v>
      </c>
      <c r="L146" s="138">
        <f t="shared" si="40"/>
        <v>0.49828884325804246</v>
      </c>
      <c r="M146" s="138">
        <f t="shared" si="40"/>
        <v>0.49555099247091033</v>
      </c>
      <c r="N146" s="138">
        <f t="shared" si="40"/>
        <v>0.24914442162902123</v>
      </c>
    </row>
    <row r="147" spans="1:16" ht="18" customHeight="1" x14ac:dyDescent="0.25">
      <c r="A147" s="54" t="s">
        <v>96</v>
      </c>
      <c r="B147" s="110"/>
      <c r="C147" s="110"/>
      <c r="D147" s="138">
        <f>D144/365.25</f>
        <v>0.1971252566735113</v>
      </c>
      <c r="E147" s="138">
        <f t="shared" si="40"/>
        <v>0.40520191649555098</v>
      </c>
      <c r="F147" s="138">
        <f t="shared" si="40"/>
        <v>0.40520191649555098</v>
      </c>
      <c r="G147" s="138">
        <f t="shared" si="40"/>
        <v>0.40520191649555098</v>
      </c>
      <c r="H147" s="138">
        <f t="shared" si="40"/>
        <v>0.40793976728268311</v>
      </c>
      <c r="I147" s="138">
        <f t="shared" si="40"/>
        <v>0.40520191649555098</v>
      </c>
      <c r="J147" s="138">
        <f t="shared" si="40"/>
        <v>0.40520191649555098</v>
      </c>
      <c r="K147" s="138">
        <f t="shared" si="40"/>
        <v>0.40520191649555098</v>
      </c>
      <c r="L147" s="138">
        <f t="shared" si="40"/>
        <v>0.40793976728268311</v>
      </c>
      <c r="M147" s="138">
        <f t="shared" si="40"/>
        <v>0.40520191649555098</v>
      </c>
      <c r="N147" s="138">
        <f t="shared" si="40"/>
        <v>0.15879534565366188</v>
      </c>
    </row>
    <row r="148" spans="1:16" ht="18" customHeight="1" x14ac:dyDescent="0.25">
      <c r="A148" s="54" t="s">
        <v>23</v>
      </c>
      <c r="B148" s="39" t="s">
        <v>18</v>
      </c>
      <c r="C148" s="153">
        <f>Inputs!C45</f>
        <v>6.2339355589869902E-2</v>
      </c>
      <c r="D148" s="153">
        <f>Inputs!D45</f>
        <v>6.4326867547209718E-2</v>
      </c>
      <c r="E148" s="153">
        <f>Inputs!E45</f>
        <v>5.239123342763756E-2</v>
      </c>
      <c r="F148" s="153">
        <f>Inputs!F45</f>
        <v>6.5210564262641602E-2</v>
      </c>
      <c r="G148" s="153">
        <f>Inputs!G45</f>
        <v>5.6007340817272856E-2</v>
      </c>
      <c r="H148" s="153">
        <f>Inputs!H45</f>
        <v>4.8566588558104418E-2</v>
      </c>
      <c r="I148" s="153">
        <f>Inputs!I45</f>
        <v>4.7363493132139597E-2</v>
      </c>
      <c r="J148" s="153">
        <f>Inputs!J45</f>
        <v>4.2480720370542777E-2</v>
      </c>
      <c r="K148" s="153">
        <f>Inputs!K45</f>
        <v>4.0592888091034438E-2</v>
      </c>
      <c r="L148" s="153">
        <f>Inputs!L45</f>
        <v>2.9597755753197487E-2</v>
      </c>
      <c r="M148" s="153">
        <f>Inputs!M45</f>
        <v>2.0048153676001084E-2</v>
      </c>
      <c r="N148" s="153">
        <f>Inputs!N45</f>
        <v>2.692481461E-2</v>
      </c>
      <c r="O148" s="30"/>
      <c r="P148" s="30"/>
    </row>
    <row r="149" spans="1:16" ht="18" customHeight="1" x14ac:dyDescent="0.25">
      <c r="A149" s="54" t="s">
        <v>190</v>
      </c>
      <c r="B149" s="39" t="s">
        <v>18</v>
      </c>
      <c r="C149" s="110"/>
      <c r="D149" s="153">
        <f>Inputs!D112</f>
        <v>6.7430439016534061E-2</v>
      </c>
      <c r="E149" s="153">
        <f>Inputs!E112</f>
        <v>5.5399879260147576E-2</v>
      </c>
      <c r="F149" s="153">
        <f>Inputs!F112</f>
        <v>6.8061621842970169E-2</v>
      </c>
      <c r="G149" s="153">
        <f>Inputs!G112</f>
        <v>5.8647491736263963E-2</v>
      </c>
      <c r="H149" s="153">
        <f>Inputs!H112</f>
        <v>5.1806398303186035E-2</v>
      </c>
      <c r="I149" s="153">
        <f>Inputs!I112</f>
        <v>4.9708937964478506E-2</v>
      </c>
      <c r="J149" s="153">
        <f>Inputs!J112</f>
        <v>4.458067261079679E-2</v>
      </c>
      <c r="K149" s="153">
        <f>Inputs!K112</f>
        <v>4.231740335131931E-2</v>
      </c>
      <c r="L149" s="153">
        <f>Inputs!L112</f>
        <v>3.0586099538933383E-2</v>
      </c>
      <c r="M149" s="153" t="str">
        <f>Inputs!M112</f>
        <v>n/a</v>
      </c>
      <c r="N149" s="153">
        <f>Inputs!N112</f>
        <v>2.8283668378876588E-2</v>
      </c>
      <c r="O149" s="30"/>
      <c r="P149" s="30"/>
    </row>
    <row r="150" spans="1:16" s="89" customFormat="1" ht="18" customHeight="1" x14ac:dyDescent="0.25">
      <c r="A150" s="143" t="s">
        <v>192</v>
      </c>
      <c r="B150" s="118" t="s">
        <v>18</v>
      </c>
      <c r="C150" s="110"/>
      <c r="D150" s="153">
        <f>Inputs!D110</f>
        <v>6.4326867547209718E-2</v>
      </c>
      <c r="E150" s="153">
        <f>Inputs!E110</f>
        <v>5.239123342763756E-2</v>
      </c>
      <c r="F150" s="153">
        <f>Inputs!F110</f>
        <v>6.5210564262641602E-2</v>
      </c>
      <c r="G150" s="153">
        <f>Inputs!G110</f>
        <v>5.6007340817272856E-2</v>
      </c>
      <c r="H150" s="153">
        <f>Inputs!H110</f>
        <v>4.8566588558104418E-2</v>
      </c>
      <c r="I150" s="153">
        <f>Inputs!I110</f>
        <v>4.7363493132139597E-2</v>
      </c>
      <c r="J150" s="153">
        <f>Inputs!J110</f>
        <v>4.2480720370542777E-2</v>
      </c>
      <c r="K150" s="153">
        <f>Inputs!K110</f>
        <v>4.0592888091034438E-2</v>
      </c>
      <c r="L150" s="153">
        <f>Inputs!L110</f>
        <v>2.9597755753197487E-2</v>
      </c>
      <c r="M150" s="153">
        <f>Inputs!M110</f>
        <v>2.0048153676001084E-2</v>
      </c>
      <c r="N150" s="153">
        <f>Inputs!N110</f>
        <v>2.692481461E-2</v>
      </c>
      <c r="O150" s="220"/>
      <c r="P150" s="220"/>
    </row>
    <row r="151" spans="1:16" s="89" customFormat="1" ht="18" customHeight="1" x14ac:dyDescent="0.25">
      <c r="A151" s="143" t="s">
        <v>193</v>
      </c>
      <c r="B151" s="118" t="s">
        <v>18</v>
      </c>
      <c r="C151" s="110"/>
      <c r="D151" s="153">
        <f>Inputs!D111</f>
        <v>6.8426867547209724E-2</v>
      </c>
      <c r="E151" s="153">
        <f>Inputs!E111</f>
        <v>5.6491233427637559E-2</v>
      </c>
      <c r="F151" s="153">
        <f>Inputs!F111</f>
        <v>6.9310564262641608E-2</v>
      </c>
      <c r="G151" s="153">
        <f>Inputs!G111</f>
        <v>6.0107340817272856E-2</v>
      </c>
      <c r="H151" s="153">
        <f>Inputs!H111</f>
        <v>5.2666588558104417E-2</v>
      </c>
      <c r="I151" s="153">
        <f>Inputs!I111</f>
        <v>5.1463493132139597E-2</v>
      </c>
      <c r="J151" s="153">
        <f>Inputs!J111</f>
        <v>4.6580720370542776E-2</v>
      </c>
      <c r="K151" s="153">
        <f>Inputs!K111</f>
        <v>4.4692888091034437E-2</v>
      </c>
      <c r="L151" s="153">
        <f>Inputs!L111</f>
        <v>3.3697755753197486E-2</v>
      </c>
      <c r="M151" s="153">
        <f>Inputs!M111</f>
        <v>2.4148153676001084E-2</v>
      </c>
      <c r="N151" s="153">
        <f>Inputs!N111</f>
        <v>3.102481461E-2</v>
      </c>
      <c r="O151" s="220"/>
      <c r="P151" s="220"/>
    </row>
    <row r="152" spans="1:16" ht="18" customHeight="1" x14ac:dyDescent="0.25">
      <c r="A152" s="54" t="s">
        <v>103</v>
      </c>
      <c r="B152" s="39" t="s">
        <v>18</v>
      </c>
      <c r="C152" s="110"/>
      <c r="D152" s="239">
        <f>(D$53-D$153)/D$51</f>
        <v>-0.17004531454410385</v>
      </c>
      <c r="E152" s="212">
        <f t="shared" ref="E152:N152" si="41">(E$53-E$153)/(D$52+D$54)</f>
        <v>-0.10949782786540754</v>
      </c>
      <c r="F152" s="212">
        <f t="shared" si="41"/>
        <v>-5.6977408560405805E-2</v>
      </c>
      <c r="G152" s="212">
        <f t="shared" si="41"/>
        <v>-8.5356590197468815E-2</v>
      </c>
      <c r="H152" s="212">
        <f t="shared" si="41"/>
        <v>-7.9595628782910113E-2</v>
      </c>
      <c r="I152" s="212">
        <f t="shared" si="41"/>
        <v>-6.522647581369044E-2</v>
      </c>
      <c r="J152" s="212">
        <f t="shared" si="41"/>
        <v>-2.4817110468567421E-2</v>
      </c>
      <c r="K152" s="212">
        <f t="shared" si="41"/>
        <v>-4.0717670330319262E-2</v>
      </c>
      <c r="L152" s="212">
        <f t="shared" si="41"/>
        <v>-4.4422721883035865E-2</v>
      </c>
      <c r="M152" s="212">
        <f t="shared" si="41"/>
        <v>-4.5525070548871019E-2</v>
      </c>
      <c r="N152" s="212">
        <f t="shared" si="41"/>
        <v>-3.3940710608109832E-2</v>
      </c>
      <c r="O152" s="30"/>
      <c r="P152" s="30"/>
    </row>
    <row r="153" spans="1:16" ht="18" customHeight="1" x14ac:dyDescent="0.25">
      <c r="A153" s="54" t="s">
        <v>104</v>
      </c>
      <c r="B153" s="39" t="s">
        <v>16</v>
      </c>
      <c r="C153" s="110"/>
      <c r="D153" s="171"/>
      <c r="E153" s="191">
        <f>E160</f>
        <v>-9231.9218029789881</v>
      </c>
      <c r="F153" s="30">
        <f t="shared" ref="F153:M153" si="42">E265-F154</f>
        <v>-24922.057463206107</v>
      </c>
      <c r="G153" s="30">
        <f t="shared" si="42"/>
        <v>-48042.717730892473</v>
      </c>
      <c r="H153" s="30">
        <f t="shared" si="42"/>
        <v>-77109.802063960058</v>
      </c>
      <c r="I153" s="30">
        <f t="shared" si="42"/>
        <v>-116189.84565273838</v>
      </c>
      <c r="J153" s="30">
        <f t="shared" si="42"/>
        <v>-142816.28130299292</v>
      </c>
      <c r="K153" s="30">
        <f t="shared" si="42"/>
        <v>-154982.42725595305</v>
      </c>
      <c r="L153" s="30">
        <f t="shared" si="42"/>
        <v>-178459.63543446292</v>
      </c>
      <c r="M153" s="30">
        <f t="shared" si="42"/>
        <v>-209154.78556616636</v>
      </c>
      <c r="N153" s="191">
        <f>SUM(N169,N160,N178,N187,N196,N205,N214,N223,N232,N241)</f>
        <v>-112615.44311014609</v>
      </c>
      <c r="O153" s="30"/>
      <c r="P153" s="30"/>
    </row>
    <row r="154" spans="1:16" ht="18" customHeight="1" x14ac:dyDescent="0.25">
      <c r="A154" s="54" t="s">
        <v>105</v>
      </c>
      <c r="B154" s="39" t="s">
        <v>16</v>
      </c>
      <c r="C154" s="110"/>
      <c r="D154" s="171">
        <v>0</v>
      </c>
      <c r="E154" s="240">
        <v>0</v>
      </c>
      <c r="F154" s="109">
        <f t="shared" ref="F154:G154" si="43">E160-F160</f>
        <v>0</v>
      </c>
      <c r="G154" s="109">
        <f t="shared" si="43"/>
        <v>-1419.0421427451111</v>
      </c>
      <c r="H154" s="109">
        <f>G160-H160</f>
        <v>-7812.8796602338771</v>
      </c>
      <c r="I154" s="109">
        <f>H160-I160</f>
        <v>0</v>
      </c>
      <c r="J154" s="109">
        <f t="shared" ref="J154:N154" si="44">I160-J160</f>
        <v>0</v>
      </c>
      <c r="K154" s="109">
        <f t="shared" si="44"/>
        <v>0</v>
      </c>
      <c r="L154" s="109">
        <f t="shared" si="44"/>
        <v>0</v>
      </c>
      <c r="M154" s="109">
        <f t="shared" si="44"/>
        <v>0</v>
      </c>
      <c r="N154" s="109">
        <f t="shared" si="44"/>
        <v>0</v>
      </c>
      <c r="O154" s="30"/>
      <c r="P154" s="30"/>
    </row>
    <row r="155" spans="1:16" ht="18" customHeight="1" x14ac:dyDescent="0.25">
      <c r="A155" s="54"/>
      <c r="B155" s="39"/>
      <c r="C155" s="110"/>
      <c r="D155" s="110"/>
      <c r="E155" s="110"/>
      <c r="F155" s="109"/>
      <c r="G155" s="109"/>
      <c r="H155" s="109"/>
      <c r="I155" s="109"/>
      <c r="J155" s="109"/>
      <c r="K155" s="109"/>
      <c r="L155" s="109"/>
      <c r="M155" s="109"/>
      <c r="N155" s="109"/>
      <c r="O155" s="30"/>
      <c r="P155" s="30"/>
    </row>
    <row r="156" spans="1:16" ht="18" customHeight="1" x14ac:dyDescent="0.3">
      <c r="A156" s="208" t="s">
        <v>198</v>
      </c>
      <c r="B156" s="39"/>
      <c r="C156" s="110"/>
      <c r="D156" s="110"/>
      <c r="E156" s="110"/>
      <c r="F156" s="110"/>
      <c r="G156" s="110"/>
      <c r="H156" s="110"/>
      <c r="I156" s="110"/>
      <c r="J156" s="110"/>
      <c r="K156" s="110"/>
      <c r="L156" s="110"/>
      <c r="M156" s="110"/>
      <c r="N156" s="110"/>
      <c r="O156" s="30"/>
      <c r="P156" s="30"/>
    </row>
    <row r="157" spans="1:16" ht="18" customHeight="1" x14ac:dyDescent="0.25">
      <c r="A157" s="33" t="s">
        <v>156</v>
      </c>
      <c r="B157" s="39"/>
      <c r="C157" s="110"/>
      <c r="D157" s="110"/>
      <c r="E157" s="110"/>
      <c r="F157" s="110"/>
      <c r="G157" s="110"/>
      <c r="H157" s="110"/>
      <c r="I157" s="110"/>
      <c r="J157" s="110"/>
      <c r="K157" s="110"/>
      <c r="L157" s="110"/>
      <c r="M157" s="110"/>
      <c r="N157" s="110"/>
      <c r="O157" s="30"/>
      <c r="P157" s="30"/>
    </row>
    <row r="158" spans="1:16" ht="18" customHeight="1" x14ac:dyDescent="0.25">
      <c r="A158" s="54" t="s">
        <v>106</v>
      </c>
      <c r="B158" s="39" t="s">
        <v>16</v>
      </c>
      <c r="C158" s="73"/>
      <c r="D158" s="73">
        <f>C161</f>
        <v>31660.431258072822</v>
      </c>
      <c r="E158" s="73">
        <f t="shared" ref="E158:N158" si="45">D161</f>
        <v>26276.723266191853</v>
      </c>
      <c r="F158" s="73">
        <f t="shared" si="45"/>
        <v>17044.801463212865</v>
      </c>
      <c r="G158" s="73">
        <f t="shared" si="45"/>
        <v>7812.8796602338771</v>
      </c>
      <c r="H158" s="73">
        <f t="shared" si="45"/>
        <v>0</v>
      </c>
      <c r="I158" s="73">
        <f t="shared" si="45"/>
        <v>0</v>
      </c>
      <c r="J158" s="73">
        <f t="shared" si="45"/>
        <v>0</v>
      </c>
      <c r="K158" s="73">
        <f t="shared" si="45"/>
        <v>0</v>
      </c>
      <c r="L158" s="73">
        <f t="shared" si="45"/>
        <v>0</v>
      </c>
      <c r="M158" s="73">
        <f t="shared" si="45"/>
        <v>0</v>
      </c>
      <c r="N158" s="73">
        <f t="shared" si="45"/>
        <v>0</v>
      </c>
      <c r="O158" s="30"/>
      <c r="P158" s="30"/>
    </row>
    <row r="159" spans="1:16" ht="18" customHeight="1" x14ac:dyDescent="0.25">
      <c r="A159" s="54" t="s">
        <v>118</v>
      </c>
      <c r="B159" s="39" t="s">
        <v>16</v>
      </c>
      <c r="C159" s="73">
        <f>C22</f>
        <v>31660.431258072822</v>
      </c>
      <c r="D159" s="73"/>
      <c r="E159" s="73"/>
      <c r="F159" s="73"/>
      <c r="G159" s="73"/>
      <c r="H159" s="73"/>
      <c r="I159" s="73"/>
      <c r="J159" s="73"/>
      <c r="K159" s="73"/>
      <c r="L159" s="73"/>
      <c r="M159" s="73"/>
      <c r="N159" s="73"/>
      <c r="O159" s="30"/>
      <c r="P159" s="30"/>
    </row>
    <row r="160" spans="1:16" ht="18" customHeight="1" x14ac:dyDescent="0.25">
      <c r="A160" s="54" t="s">
        <v>3</v>
      </c>
      <c r="B160" s="39" t="s">
        <v>16</v>
      </c>
      <c r="C160" s="134"/>
      <c r="D160" s="238">
        <f>D158*D$152</f>
        <v>-5383.7079918809704</v>
      </c>
      <c r="E160" s="238">
        <f>IF(E158+D160&lt;0,-E158,D160/D145)</f>
        <v>-9231.9218029789881</v>
      </c>
      <c r="F160" s="134">
        <f t="shared" ref="F160:N160" si="46">IF(F158+E160&lt;0,-F158,E160)</f>
        <v>-9231.9218029789881</v>
      </c>
      <c r="G160" s="134">
        <f t="shared" si="46"/>
        <v>-7812.8796602338771</v>
      </c>
      <c r="H160" s="134">
        <f t="shared" si="46"/>
        <v>0</v>
      </c>
      <c r="I160" s="134">
        <f t="shared" si="46"/>
        <v>0</v>
      </c>
      <c r="J160" s="134">
        <f t="shared" si="46"/>
        <v>0</v>
      </c>
      <c r="K160" s="134">
        <f t="shared" si="46"/>
        <v>0</v>
      </c>
      <c r="L160" s="134">
        <f t="shared" si="46"/>
        <v>0</v>
      </c>
      <c r="M160" s="134">
        <f t="shared" si="46"/>
        <v>0</v>
      </c>
      <c r="N160" s="134">
        <f t="shared" si="46"/>
        <v>0</v>
      </c>
      <c r="O160" s="30"/>
      <c r="P160" s="30"/>
    </row>
    <row r="161" spans="1:17" ht="18" customHeight="1" x14ac:dyDescent="0.25">
      <c r="A161" s="54" t="s">
        <v>108</v>
      </c>
      <c r="B161" s="39" t="s">
        <v>16</v>
      </c>
      <c r="C161" s="73">
        <f>SUM(C158:C160)</f>
        <v>31660.431258072822</v>
      </c>
      <c r="D161" s="73">
        <f t="shared" ref="D161:N161" si="47">SUM(D158:D160)</f>
        <v>26276.723266191853</v>
      </c>
      <c r="E161" s="73">
        <f t="shared" si="47"/>
        <v>17044.801463212865</v>
      </c>
      <c r="F161" s="73">
        <f t="shared" si="47"/>
        <v>7812.8796602338771</v>
      </c>
      <c r="G161" s="73">
        <f t="shared" si="47"/>
        <v>0</v>
      </c>
      <c r="H161" s="73">
        <f t="shared" si="47"/>
        <v>0</v>
      </c>
      <c r="I161" s="73">
        <f t="shared" si="47"/>
        <v>0</v>
      </c>
      <c r="J161" s="73">
        <f t="shared" si="47"/>
        <v>0</v>
      </c>
      <c r="K161" s="73">
        <f t="shared" si="47"/>
        <v>0</v>
      </c>
      <c r="L161" s="73">
        <f t="shared" si="47"/>
        <v>0</v>
      </c>
      <c r="M161" s="73">
        <f t="shared" si="47"/>
        <v>0</v>
      </c>
      <c r="N161" s="73">
        <f t="shared" si="47"/>
        <v>0</v>
      </c>
      <c r="O161" s="30"/>
      <c r="P161" s="30"/>
    </row>
    <row r="162" spans="1:17" ht="18" customHeight="1" x14ac:dyDescent="0.25">
      <c r="A162" s="54" t="s">
        <v>194</v>
      </c>
      <c r="B162" s="39" t="s">
        <v>16</v>
      </c>
      <c r="C162" s="73"/>
      <c r="D162" s="213">
        <f>D158*Inputs!D$48*((1+$C$148)^D$145-1)</f>
        <v>329.57106883514871</v>
      </c>
      <c r="E162" s="213">
        <f>E158*Inputs!E$48*((1+$C$148)^E$145-1)</f>
        <v>474.70638695718333</v>
      </c>
      <c r="F162" s="213">
        <f>F158*Inputs!F$48*((1+$C$148)^F$145-1)</f>
        <v>307.92561298594967</v>
      </c>
      <c r="G162" s="213">
        <f>G158*Inputs!G$48*((1+$C$148)^G$145-1)</f>
        <v>141.14483901471593</v>
      </c>
      <c r="H162" s="213">
        <f>H158*Inputs!H$48*((1+$C$148)^H$145-1)</f>
        <v>0</v>
      </c>
      <c r="I162" s="213">
        <f>I158*Inputs!I$48*((1+$C$148)^I$145-1)</f>
        <v>0</v>
      </c>
      <c r="J162" s="213">
        <f>J158*Inputs!J$48*((1+$C$148)^J$145-1)</f>
        <v>0</v>
      </c>
      <c r="K162" s="213">
        <f>K158*Inputs!K$48*((1+$C$148)^K$145-1)</f>
        <v>0</v>
      </c>
      <c r="L162" s="213">
        <f>L158*Inputs!L$48*((1+$C$148)^L$145-1)</f>
        <v>0</v>
      </c>
      <c r="M162" s="213">
        <f>M158*Inputs!M$48*((1+$C$148)^M$145-1)</f>
        <v>0</v>
      </c>
      <c r="N162" s="213">
        <f>N158*Inputs!N$48*((1+$C$148)^N$145-1)</f>
        <v>0</v>
      </c>
      <c r="O162" s="30"/>
      <c r="P162" s="30"/>
    </row>
    <row r="163" spans="1:17" ht="18" customHeight="1" x14ac:dyDescent="0.25">
      <c r="A163" s="54" t="s">
        <v>98</v>
      </c>
      <c r="B163" s="39" t="s">
        <v>16</v>
      </c>
      <c r="C163" s="134"/>
      <c r="D163" s="181">
        <v>0</v>
      </c>
      <c r="E163" s="181">
        <v>0</v>
      </c>
      <c r="F163" s="181">
        <v>0</v>
      </c>
      <c r="G163" s="181">
        <v>0</v>
      </c>
      <c r="H163" s="181">
        <v>0</v>
      </c>
      <c r="I163" s="181">
        <v>0</v>
      </c>
      <c r="J163" s="181">
        <v>0</v>
      </c>
      <c r="K163" s="181">
        <v>0</v>
      </c>
      <c r="L163" s="181">
        <v>0</v>
      </c>
      <c r="M163" s="181">
        <v>0</v>
      </c>
      <c r="N163" s="181">
        <v>0</v>
      </c>
      <c r="O163" s="30"/>
      <c r="P163" s="30"/>
    </row>
    <row r="164" spans="1:17" ht="18" customHeight="1" x14ac:dyDescent="0.25">
      <c r="A164" s="54" t="s">
        <v>129</v>
      </c>
      <c r="B164" s="39" t="s">
        <v>16</v>
      </c>
      <c r="C164" s="73"/>
      <c r="D164" s="73">
        <f>SUM(D162:D163)</f>
        <v>329.57106883514871</v>
      </c>
      <c r="E164" s="73">
        <f t="shared" ref="E164:N164" si="48">SUM(E162:E163)</f>
        <v>474.70638695718333</v>
      </c>
      <c r="F164" s="73">
        <f t="shared" si="48"/>
        <v>307.92561298594967</v>
      </c>
      <c r="G164" s="73">
        <f t="shared" si="48"/>
        <v>141.14483901471593</v>
      </c>
      <c r="H164" s="73">
        <f t="shared" si="48"/>
        <v>0</v>
      </c>
      <c r="I164" s="73">
        <f t="shared" si="48"/>
        <v>0</v>
      </c>
      <c r="J164" s="73">
        <f t="shared" si="48"/>
        <v>0</v>
      </c>
      <c r="K164" s="73">
        <f t="shared" si="48"/>
        <v>0</v>
      </c>
      <c r="L164" s="73">
        <f t="shared" si="48"/>
        <v>0</v>
      </c>
      <c r="M164" s="73">
        <f t="shared" si="48"/>
        <v>0</v>
      </c>
      <c r="N164" s="73">
        <f t="shared" si="48"/>
        <v>0</v>
      </c>
      <c r="O164" s="30"/>
      <c r="P164" s="30"/>
    </row>
    <row r="165" spans="1:17" ht="18" customHeight="1" x14ac:dyDescent="0.25">
      <c r="A165" s="33"/>
      <c r="B165" s="39"/>
      <c r="C165" s="35"/>
      <c r="D165" s="30"/>
      <c r="E165" s="30"/>
      <c r="F165" s="30"/>
      <c r="G165" s="30"/>
      <c r="H165" s="30"/>
      <c r="I165" s="30"/>
      <c r="J165" s="30"/>
      <c r="K165" s="30"/>
      <c r="O165" s="30"/>
      <c r="P165" s="30"/>
    </row>
    <row r="166" spans="1:17" ht="18" customHeight="1" x14ac:dyDescent="0.25">
      <c r="A166" s="33" t="s">
        <v>157</v>
      </c>
      <c r="B166" s="39"/>
      <c r="C166" s="110"/>
      <c r="D166" s="110"/>
      <c r="E166" s="110"/>
      <c r="F166" s="110"/>
      <c r="G166" s="110"/>
      <c r="H166" s="110"/>
      <c r="I166" s="110"/>
      <c r="J166" s="110"/>
      <c r="K166" s="110"/>
      <c r="L166" s="110"/>
      <c r="M166" s="110"/>
      <c r="N166" s="110"/>
      <c r="O166" s="30"/>
      <c r="P166" s="30"/>
    </row>
    <row r="167" spans="1:17" ht="18" customHeight="1" x14ac:dyDescent="0.25">
      <c r="A167" s="54" t="s">
        <v>106</v>
      </c>
      <c r="B167" s="39" t="s">
        <v>16</v>
      </c>
      <c r="C167" s="35"/>
      <c r="D167" s="35"/>
      <c r="E167" s="73">
        <f t="shared" ref="E167:N167" si="49">D170</f>
        <v>143291.75259543146</v>
      </c>
      <c r="F167" s="73">
        <f t="shared" si="49"/>
        <v>127601.61693520434</v>
      </c>
      <c r="G167" s="73">
        <f t="shared" si="49"/>
        <v>111911.48127497721</v>
      </c>
      <c r="H167" s="73">
        <f t="shared" si="49"/>
        <v>96221.345614750084</v>
      </c>
      <c r="I167" s="73">
        <f t="shared" si="49"/>
        <v>80531.209954522958</v>
      </c>
      <c r="J167" s="73">
        <f t="shared" si="49"/>
        <v>64841.074294295839</v>
      </c>
      <c r="K167" s="73">
        <f t="shared" si="49"/>
        <v>49150.93863406872</v>
      </c>
      <c r="L167" s="73">
        <f t="shared" si="49"/>
        <v>33460.802973841601</v>
      </c>
      <c r="M167" s="73">
        <f t="shared" si="49"/>
        <v>17770.667313614482</v>
      </c>
      <c r="N167" s="73">
        <f t="shared" si="49"/>
        <v>2080.5316533873629</v>
      </c>
      <c r="O167" s="30"/>
      <c r="P167" s="30"/>
    </row>
    <row r="168" spans="1:17" ht="18" customHeight="1" x14ac:dyDescent="0.25">
      <c r="A168" s="54" t="s">
        <v>117</v>
      </c>
      <c r="B168" s="39" t="s">
        <v>16</v>
      </c>
      <c r="C168" s="35"/>
      <c r="D168" s="73">
        <f>D$52+D$54</f>
        <v>143291.75259543146</v>
      </c>
      <c r="E168" s="73"/>
      <c r="F168" s="73"/>
      <c r="G168" s="73"/>
      <c r="H168" s="73"/>
      <c r="I168" s="73"/>
      <c r="J168" s="73"/>
      <c r="K168" s="73"/>
      <c r="L168" s="73"/>
      <c r="M168" s="73"/>
      <c r="N168" s="73"/>
      <c r="O168" s="30"/>
      <c r="P168" s="30"/>
    </row>
    <row r="169" spans="1:17" ht="18" customHeight="1" x14ac:dyDescent="0.25">
      <c r="A169" s="54" t="s">
        <v>3</v>
      </c>
      <c r="B169" s="39" t="s">
        <v>16</v>
      </c>
      <c r="C169" s="134"/>
      <c r="D169" s="134"/>
      <c r="E169" s="238">
        <f>E167*E$152</f>
        <v>-15690.135660227119</v>
      </c>
      <c r="F169" s="134">
        <f t="shared" ref="F169:N169" si="50">IF(F167+E169&lt;0,-F167,E169)</f>
        <v>-15690.135660227119</v>
      </c>
      <c r="G169" s="134">
        <f t="shared" si="50"/>
        <v>-15690.135660227119</v>
      </c>
      <c r="H169" s="134">
        <f t="shared" si="50"/>
        <v>-15690.135660227119</v>
      </c>
      <c r="I169" s="134">
        <f t="shared" si="50"/>
        <v>-15690.135660227119</v>
      </c>
      <c r="J169" s="134">
        <f t="shared" si="50"/>
        <v>-15690.135660227119</v>
      </c>
      <c r="K169" s="134">
        <f t="shared" si="50"/>
        <v>-15690.135660227119</v>
      </c>
      <c r="L169" s="134">
        <f t="shared" si="50"/>
        <v>-15690.135660227119</v>
      </c>
      <c r="M169" s="134">
        <f t="shared" si="50"/>
        <v>-15690.135660227119</v>
      </c>
      <c r="N169" s="134">
        <f t="shared" si="50"/>
        <v>-2080.5316533873629</v>
      </c>
      <c r="O169" s="30"/>
      <c r="P169" s="30"/>
    </row>
    <row r="170" spans="1:17" ht="18" customHeight="1" x14ac:dyDescent="0.25">
      <c r="A170" s="54" t="s">
        <v>108</v>
      </c>
      <c r="B170" s="39" t="s">
        <v>16</v>
      </c>
      <c r="C170" s="73"/>
      <c r="D170" s="73">
        <f>SUM(D167:D169)</f>
        <v>143291.75259543146</v>
      </c>
      <c r="E170" s="73">
        <f t="shared" ref="E170:N170" si="51">SUM(E167:E169)</f>
        <v>127601.61693520434</v>
      </c>
      <c r="F170" s="73">
        <f t="shared" si="51"/>
        <v>111911.48127497721</v>
      </c>
      <c r="G170" s="73">
        <f t="shared" si="51"/>
        <v>96221.345614750084</v>
      </c>
      <c r="H170" s="73">
        <f t="shared" si="51"/>
        <v>80531.209954522958</v>
      </c>
      <c r="I170" s="73">
        <f t="shared" si="51"/>
        <v>64841.074294295839</v>
      </c>
      <c r="J170" s="73">
        <f t="shared" si="51"/>
        <v>49150.93863406872</v>
      </c>
      <c r="K170" s="73">
        <f t="shared" si="51"/>
        <v>33460.802973841601</v>
      </c>
      <c r="L170" s="73">
        <f t="shared" si="51"/>
        <v>17770.667313614482</v>
      </c>
      <c r="M170" s="73">
        <f t="shared" si="51"/>
        <v>2080.5316533873629</v>
      </c>
      <c r="N170" s="73">
        <f t="shared" si="51"/>
        <v>0</v>
      </c>
      <c r="O170" s="30"/>
      <c r="P170" s="30"/>
    </row>
    <row r="171" spans="1:17" ht="18" customHeight="1" x14ac:dyDescent="0.25">
      <c r="A171" s="54" t="s">
        <v>194</v>
      </c>
      <c r="B171" s="39" t="s">
        <v>16</v>
      </c>
      <c r="C171" s="35"/>
      <c r="D171" s="236">
        <f>D168*Inputs!D$48*((1+D$148)^(D$146)-1)</f>
        <v>751.45041629099626</v>
      </c>
      <c r="E171" s="214">
        <f>E167*Inputs!E$48*((1+$D$148)^E$145-1)</f>
        <v>2671.1905750880765</v>
      </c>
      <c r="F171" s="214">
        <f>F167*Inputs!F$48*((1+$D$148)^F$145-1)</f>
        <v>2378.7010093013832</v>
      </c>
      <c r="G171" s="214">
        <f>G167*Inputs!G$48*((1+$D$148)^G$145-1)</f>
        <v>2086.21144351469</v>
      </c>
      <c r="H171" s="214">
        <f>H167*Inputs!H$48*((1+$D$148)^H$145-1)</f>
        <v>1798.7912865938692</v>
      </c>
      <c r="I171" s="214">
        <f>I167*Inputs!I$48*((1+$D$148)^I$145-1)</f>
        <v>1501.2323119413031</v>
      </c>
      <c r="J171" s="214">
        <f>J167*Inputs!J$48*((1+$D$148)^J$145-1)</f>
        <v>1208.7427461546101</v>
      </c>
      <c r="K171" s="214">
        <f>K167*Inputs!K$48*((1+$D$148)^K$145-1)</f>
        <v>916.2531803679168</v>
      </c>
      <c r="L171" s="214">
        <f>L167*Inputs!L$48*((1+$D$148)^L$145-1)</f>
        <v>625.52649255981646</v>
      </c>
      <c r="M171" s="214">
        <f>M167*Inputs!M$48*((1+$D$148)^M$145-1)</f>
        <v>331.27404879453047</v>
      </c>
      <c r="N171" s="214">
        <f>N167*Inputs!N$48*((1+$D$148)^N$145-1)</f>
        <v>19.249615264767762</v>
      </c>
      <c r="O171" s="30"/>
      <c r="P171" s="30"/>
    </row>
    <row r="172" spans="1:17" ht="18" customHeight="1" x14ac:dyDescent="0.25">
      <c r="A172" s="54" t="s">
        <v>98</v>
      </c>
      <c r="B172" s="39" t="s">
        <v>16</v>
      </c>
      <c r="C172" s="157"/>
      <c r="D172" s="237">
        <f>-(((1+D$150)^(D$146)-1)*Inputs!D$100+((1+D$151)^(D$146)-1)*Inputs!D$101)</f>
        <v>-120.54266860633169</v>
      </c>
      <c r="E172" s="231">
        <f>-(((1+$D$150)^(E$145)-1)*Inputs!$D$100+((1+$D$151)^(E$145)-1)*Inputs!$D$101)</f>
        <v>-428.9513933989374</v>
      </c>
      <c r="F172" s="231">
        <f>-(((1+$D$150)^(F$145)-1)*Inputs!$D$100+((1+$D$151)^(F$145)-1)*Inputs!$D$101)</f>
        <v>-428.9513933989374</v>
      </c>
      <c r="G172" s="231">
        <f>-(((1+$D$150)^(G$145)-1)*Inputs!$D$100+((1+$D$151)^(G$145)-1)*Inputs!$D$101)</f>
        <v>-428.9513933989374</v>
      </c>
      <c r="H172" s="231">
        <f>-(((1+$D$150)^(H$145)-1)*Inputs!$D$100+((1+$D$151)^(H$145)-1)*Inputs!$D$101)</f>
        <v>-430.16547036142754</v>
      </c>
      <c r="I172" s="231">
        <f>-(((1+$D$150)^(I$145)-1)*Inputs!$D$100+((1+$D$151)^(I$145)-1)*Inputs!$D$101)</f>
        <v>-428.9513933989374</v>
      </c>
      <c r="J172" s="231">
        <f>-(((1+$D$150)^(J$145)-1)*Inputs!$D$100+((1+$D$151)^(J$145)-1)*Inputs!$D$101)</f>
        <v>-428.9513933989374</v>
      </c>
      <c r="K172" s="231">
        <f>-(((1+$D$150)^(K$145)-1)*Inputs!$D$100+((1+$D$151)^(K$145)-1)*Inputs!$D$101)</f>
        <v>-428.9513933989374</v>
      </c>
      <c r="L172" s="231">
        <f>-(((1+$D$150)^(L$145)-1)*Inputs!$D$100+((1+$D$151)^(L$145)-1)*Inputs!$D$101)</f>
        <v>-430.16547036142754</v>
      </c>
      <c r="M172" s="231">
        <f>-(((1+$D$150)^(M$145)-1)*Inputs!$D$100+((1+$D$151)^(M$145)-1)*Inputs!$D$101)</f>
        <v>-428.9513933989374</v>
      </c>
      <c r="N172" s="231">
        <f>-(((1+$D$150)^(N$145)-1)*Inputs!$D$100+((1+$D$151)^(N$145)-1)*Inputs!$D$101)</f>
        <v>-212.74004280619374</v>
      </c>
      <c r="O172" s="30"/>
      <c r="P172" s="30"/>
      <c r="Q172" s="30"/>
    </row>
    <row r="173" spans="1:17" ht="18" customHeight="1" x14ac:dyDescent="0.25">
      <c r="A173" s="54" t="s">
        <v>129</v>
      </c>
      <c r="B173" s="39" t="s">
        <v>16</v>
      </c>
      <c r="C173" s="156"/>
      <c r="D173" s="158">
        <f t="shared" ref="D173:E173" si="52">SUM(D171:D172)</f>
        <v>630.90774768466463</v>
      </c>
      <c r="E173" s="73">
        <f t="shared" si="52"/>
        <v>2242.2391816891391</v>
      </c>
      <c r="F173" s="73">
        <f t="shared" ref="F173:N173" si="53">SUM(F171:F172)</f>
        <v>1949.7496159024458</v>
      </c>
      <c r="G173" s="73">
        <f t="shared" si="53"/>
        <v>1657.2600501157526</v>
      </c>
      <c r="H173" s="73">
        <f t="shared" si="53"/>
        <v>1368.6258162324416</v>
      </c>
      <c r="I173" s="73">
        <f t="shared" si="53"/>
        <v>1072.2809185423657</v>
      </c>
      <c r="J173" s="73">
        <f t="shared" si="53"/>
        <v>779.79135275567273</v>
      </c>
      <c r="K173" s="73">
        <f t="shared" si="53"/>
        <v>487.3017869689794</v>
      </c>
      <c r="L173" s="73">
        <f t="shared" si="53"/>
        <v>195.36102219838892</v>
      </c>
      <c r="M173" s="73">
        <f t="shared" si="53"/>
        <v>-97.677344604406926</v>
      </c>
      <c r="N173" s="73">
        <f t="shared" si="53"/>
        <v>-193.49042754142599</v>
      </c>
      <c r="O173" s="30"/>
      <c r="P173" s="30"/>
    </row>
    <row r="174" spans="1:17" ht="18" customHeight="1" x14ac:dyDescent="0.25">
      <c r="A174" s="54"/>
      <c r="B174" s="39"/>
      <c r="C174" s="35"/>
      <c r="D174" s="35"/>
      <c r="E174" s="73"/>
      <c r="F174" s="73"/>
      <c r="G174" s="73"/>
      <c r="H174" s="73"/>
      <c r="I174" s="73"/>
      <c r="J174" s="73"/>
      <c r="K174" s="73"/>
      <c r="L174" s="73"/>
      <c r="M174" s="73"/>
      <c r="N174" s="73"/>
      <c r="O174" s="30"/>
      <c r="P174" s="30"/>
    </row>
    <row r="175" spans="1:17" ht="18" customHeight="1" x14ac:dyDescent="0.25">
      <c r="A175" s="33" t="s">
        <v>158</v>
      </c>
      <c r="B175" s="39"/>
      <c r="C175" s="110"/>
      <c r="D175" s="110"/>
      <c r="E175" s="110"/>
      <c r="F175" s="110"/>
      <c r="G175" s="110"/>
      <c r="H175" s="110"/>
      <c r="I175" s="110"/>
      <c r="J175" s="110"/>
      <c r="K175" s="110"/>
      <c r="L175" s="110"/>
      <c r="M175" s="110"/>
      <c r="N175" s="110"/>
      <c r="O175" s="30"/>
      <c r="P175" s="30"/>
    </row>
    <row r="176" spans="1:17" ht="18" customHeight="1" x14ac:dyDescent="0.25">
      <c r="A176" s="54" t="s">
        <v>106</v>
      </c>
      <c r="B176" s="39" t="s">
        <v>16</v>
      </c>
      <c r="C176" s="35"/>
      <c r="D176" s="35"/>
      <c r="E176" s="35"/>
      <c r="F176" s="73">
        <f t="shared" ref="F176:N176" si="54">E179</f>
        <v>430691.7957564739</v>
      </c>
      <c r="G176" s="73">
        <f t="shared" si="54"/>
        <v>406152.09334604244</v>
      </c>
      <c r="H176" s="73">
        <f t="shared" si="54"/>
        <v>381612.39093561098</v>
      </c>
      <c r="I176" s="73">
        <f t="shared" si="54"/>
        <v>357072.68852517952</v>
      </c>
      <c r="J176" s="73">
        <f t="shared" si="54"/>
        <v>332532.98611474806</v>
      </c>
      <c r="K176" s="73">
        <f t="shared" si="54"/>
        <v>307993.28370431659</v>
      </c>
      <c r="L176" s="73">
        <f t="shared" si="54"/>
        <v>283453.58129388513</v>
      </c>
      <c r="M176" s="73">
        <f t="shared" si="54"/>
        <v>258913.87888345367</v>
      </c>
      <c r="N176" s="73">
        <f t="shared" si="54"/>
        <v>234374.17647302221</v>
      </c>
      <c r="O176" s="30"/>
      <c r="P176" s="30"/>
    </row>
    <row r="177" spans="1:17" ht="26.25" x14ac:dyDescent="0.25">
      <c r="A177" s="54" t="s">
        <v>120</v>
      </c>
      <c r="B177" s="39" t="s">
        <v>16</v>
      </c>
      <c r="C177" s="35"/>
      <c r="D177" s="35"/>
      <c r="E177" s="191">
        <f>E$52+E$54</f>
        <v>430691.7957564739</v>
      </c>
      <c r="F177" s="73"/>
      <c r="G177" s="73"/>
      <c r="H177" s="73"/>
      <c r="I177" s="73"/>
      <c r="J177" s="73"/>
      <c r="K177" s="73"/>
      <c r="L177" s="73"/>
      <c r="M177" s="73"/>
      <c r="N177" s="73"/>
      <c r="O177" s="30"/>
      <c r="P177" s="30"/>
    </row>
    <row r="178" spans="1:17" ht="18" customHeight="1" x14ac:dyDescent="0.25">
      <c r="A178" s="54" t="s">
        <v>3</v>
      </c>
      <c r="B178" s="39" t="s">
        <v>16</v>
      </c>
      <c r="C178" s="134"/>
      <c r="D178" s="134"/>
      <c r="E178" s="140"/>
      <c r="F178" s="238">
        <f>F176*F$152</f>
        <v>-24539.702410431466</v>
      </c>
      <c r="G178" s="140">
        <f t="shared" ref="G178:M178" si="55">IF(G176+F178&lt;0,-G176,F178)</f>
        <v>-24539.702410431466</v>
      </c>
      <c r="H178" s="140">
        <f t="shared" si="55"/>
        <v>-24539.702410431466</v>
      </c>
      <c r="I178" s="140">
        <f t="shared" si="55"/>
        <v>-24539.702410431466</v>
      </c>
      <c r="J178" s="140">
        <f t="shared" si="55"/>
        <v>-24539.702410431466</v>
      </c>
      <c r="K178" s="140">
        <f t="shared" si="55"/>
        <v>-24539.702410431466</v>
      </c>
      <c r="L178" s="140">
        <f t="shared" si="55"/>
        <v>-24539.702410431466</v>
      </c>
      <c r="M178" s="140">
        <f t="shared" si="55"/>
        <v>-24539.702410431466</v>
      </c>
      <c r="N178" s="238">
        <f>IF(N176+M178&lt;0,-N176,M178*N$145)</f>
        <v>-12362.232015111264</v>
      </c>
      <c r="O178" s="30"/>
      <c r="P178" s="30"/>
    </row>
    <row r="179" spans="1:17" ht="18" customHeight="1" x14ac:dyDescent="0.25">
      <c r="A179" s="54" t="s">
        <v>108</v>
      </c>
      <c r="B179" s="39" t="s">
        <v>16</v>
      </c>
      <c r="C179" s="73"/>
      <c r="D179" s="73"/>
      <c r="E179" s="30">
        <f>SUM(E176:E178)</f>
        <v>430691.7957564739</v>
      </c>
      <c r="F179" s="73">
        <f t="shared" ref="F179:N179" si="56">SUM(F176:F178)</f>
        <v>406152.09334604244</v>
      </c>
      <c r="G179" s="73">
        <f t="shared" si="56"/>
        <v>381612.39093561098</v>
      </c>
      <c r="H179" s="73">
        <f t="shared" si="56"/>
        <v>357072.68852517952</v>
      </c>
      <c r="I179" s="73">
        <f t="shared" si="56"/>
        <v>332532.98611474806</v>
      </c>
      <c r="J179" s="73">
        <f t="shared" si="56"/>
        <v>307993.28370431659</v>
      </c>
      <c r="K179" s="73">
        <f t="shared" si="56"/>
        <v>283453.58129388513</v>
      </c>
      <c r="L179" s="73">
        <f t="shared" si="56"/>
        <v>258913.87888345367</v>
      </c>
      <c r="M179" s="73">
        <f t="shared" si="56"/>
        <v>234374.17647302221</v>
      </c>
      <c r="N179" s="73">
        <f t="shared" si="56"/>
        <v>222011.94445791095</v>
      </c>
      <c r="O179" s="30"/>
      <c r="P179" s="30"/>
    </row>
    <row r="180" spans="1:17" ht="18" customHeight="1" x14ac:dyDescent="0.25">
      <c r="A180" s="54" t="s">
        <v>194</v>
      </c>
      <c r="B180" s="39" t="s">
        <v>16</v>
      </c>
      <c r="C180" s="35"/>
      <c r="D180" s="35"/>
      <c r="E180" s="236">
        <f>E177*Inputs!E$48*((1+E$148)^(E$146)-1)</f>
        <v>3200.9753769723916</v>
      </c>
      <c r="F180" s="214">
        <f>F176*Inputs!F$48*((1+$E$148)^F$145-1)</f>
        <v>6539.1034103342226</v>
      </c>
      <c r="G180" s="214">
        <f>G176*Inputs!G$48*((1+$E$148)^G$145-1)</f>
        <v>6166.5222437048669</v>
      </c>
      <c r="H180" s="214">
        <f>H176*Inputs!H$48*((1+$E$148)^H$145-1)</f>
        <v>5810.2244912397919</v>
      </c>
      <c r="I180" s="214">
        <f>I176*Inputs!I$48*((1+$E$148)^I$145-1)</f>
        <v>5421.3599104461546</v>
      </c>
      <c r="J180" s="214">
        <f>J176*Inputs!J$48*((1+$E$148)^J$145-1)</f>
        <v>5048.7787438167989</v>
      </c>
      <c r="K180" s="214">
        <f>K176*Inputs!K$48*((1+$E$148)^K$145-1)</f>
        <v>4676.1975771874431</v>
      </c>
      <c r="L180" s="214">
        <f>L176*Inputs!L$48*((1+$E$148)^L$145-1)</f>
        <v>4315.7113848571162</v>
      </c>
      <c r="M180" s="214">
        <f>M176*Inputs!M$48*((1+$E$148)^M$145-1)</f>
        <v>3931.0352439287312</v>
      </c>
      <c r="N180" s="214">
        <f>N176*Inputs!N$48*((1+$E$148)^N$145-1)</f>
        <v>1771.1535169881224</v>
      </c>
      <c r="O180" s="30"/>
      <c r="P180" s="30"/>
    </row>
    <row r="181" spans="1:17" ht="18" customHeight="1" x14ac:dyDescent="0.25">
      <c r="A181" s="54" t="s">
        <v>98</v>
      </c>
      <c r="B181" s="39" t="s">
        <v>16</v>
      </c>
      <c r="C181" s="157"/>
      <c r="D181" s="157"/>
      <c r="E181" s="237">
        <f>-(((1+E$150)^(E$146)-1)*Inputs!E$100+((1+E$151)^(E$146)-1)*Inputs!E$101)</f>
        <v>-1427.3389025779106</v>
      </c>
      <c r="F181" s="231">
        <f>-(((1+$E$150)^(F$145)-1)*Inputs!$E$100+((1+$E$151)^(F$145)-1)*Inputs!$E$101)</f>
        <v>-2918.000844340987</v>
      </c>
      <c r="G181" s="231">
        <f>-(((1+$E$150)^(G$145)-1)*Inputs!$E$100+((1+$E$151)^(G$145)-1)*Inputs!$E$101)</f>
        <v>-2918.000844340987</v>
      </c>
      <c r="H181" s="231">
        <f>-(((1+$E$150)^(H$145)-1)*Inputs!$E$100+((1+$E$151)^(H$145)-1)*Inputs!$E$101)</f>
        <v>-2926.2135163430148</v>
      </c>
      <c r="I181" s="231">
        <f>-(((1+$E$150)^(I$145)-1)*Inputs!$E$100+((1+$E$151)^(I$145)-1)*Inputs!$E$101)</f>
        <v>-2918.000844340987</v>
      </c>
      <c r="J181" s="231">
        <f>-(((1+$E$150)^(J$145)-1)*Inputs!$E$100+((1+$E$151)^(J$145)-1)*Inputs!$E$101)</f>
        <v>-2918.000844340987</v>
      </c>
      <c r="K181" s="231">
        <f>-(((1+$E$150)^(K$145)-1)*Inputs!$E$100+((1+$E$151)^(K$145)-1)*Inputs!$E$101)</f>
        <v>-2918.000844340987</v>
      </c>
      <c r="L181" s="231">
        <f>-(((1+$E$150)^(L$145)-1)*Inputs!$E$100+((1+$E$151)^(L$145)-1)*Inputs!$E$101)</f>
        <v>-2926.2135163430148</v>
      </c>
      <c r="M181" s="231">
        <f>-(((1+$E$150)^(M$145)-1)*Inputs!$E$100+((1+$E$151)^(M$145)-1)*Inputs!$E$101)</f>
        <v>-2918.000844340987</v>
      </c>
      <c r="N181" s="231">
        <f>-(((1+$E$150)^(N$145)-1)*Inputs!$E$100+((1+$E$151)^(N$145)-1)*Inputs!$E$101)</f>
        <v>-1451.3195615003178</v>
      </c>
      <c r="O181" s="30"/>
      <c r="P181" s="30"/>
      <c r="Q181" s="30"/>
    </row>
    <row r="182" spans="1:17" ht="18" customHeight="1" x14ac:dyDescent="0.25">
      <c r="A182" s="54" t="s">
        <v>129</v>
      </c>
      <c r="B182" s="39" t="s">
        <v>16</v>
      </c>
      <c r="C182" s="156"/>
      <c r="D182" s="156"/>
      <c r="E182" s="219">
        <f t="shared" ref="E182:F182" si="57">SUM(E180:E181)</f>
        <v>1773.636474394481</v>
      </c>
      <c r="F182" s="73">
        <f t="shared" si="57"/>
        <v>3621.1025659932357</v>
      </c>
      <c r="G182" s="73">
        <f t="shared" ref="G182:N182" si="58">SUM(G180:G181)</f>
        <v>3248.5213993638799</v>
      </c>
      <c r="H182" s="73">
        <f t="shared" si="58"/>
        <v>2884.010974896777</v>
      </c>
      <c r="I182" s="73">
        <f t="shared" si="58"/>
        <v>2503.3590661051676</v>
      </c>
      <c r="J182" s="73">
        <f t="shared" si="58"/>
        <v>2130.7778994758119</v>
      </c>
      <c r="K182" s="73">
        <f t="shared" si="58"/>
        <v>1758.1967328464561</v>
      </c>
      <c r="L182" s="73">
        <f t="shared" si="58"/>
        <v>1389.4978685141014</v>
      </c>
      <c r="M182" s="73">
        <f t="shared" si="58"/>
        <v>1013.0343995877442</v>
      </c>
      <c r="N182" s="73">
        <f t="shared" si="58"/>
        <v>319.83395548780459</v>
      </c>
      <c r="O182" s="30"/>
      <c r="P182" s="30"/>
    </row>
    <row r="183" spans="1:17" ht="18" customHeight="1" x14ac:dyDescent="0.25">
      <c r="A183" s="210"/>
      <c r="B183" s="39"/>
      <c r="C183" s="35"/>
      <c r="D183" s="35"/>
      <c r="E183" s="73"/>
      <c r="F183" s="73"/>
      <c r="G183" s="73"/>
      <c r="H183" s="73"/>
      <c r="I183" s="73"/>
      <c r="J183" s="73"/>
      <c r="K183" s="73"/>
      <c r="L183" s="73"/>
      <c r="M183" s="73"/>
      <c r="N183" s="73"/>
      <c r="O183" s="30"/>
      <c r="P183" s="30"/>
    </row>
    <row r="184" spans="1:17" ht="18" customHeight="1" x14ac:dyDescent="0.25">
      <c r="A184" s="33" t="s">
        <v>159</v>
      </c>
      <c r="B184" s="39"/>
      <c r="C184" s="110"/>
      <c r="D184" s="110"/>
      <c r="E184" s="110"/>
      <c r="F184" s="110"/>
      <c r="G184" s="110"/>
      <c r="H184" s="110"/>
      <c r="I184" s="110"/>
      <c r="J184" s="110"/>
      <c r="K184" s="110"/>
      <c r="L184" s="110"/>
      <c r="M184" s="110"/>
      <c r="N184" s="110"/>
      <c r="O184" s="30"/>
      <c r="P184" s="30"/>
    </row>
    <row r="185" spans="1:17" ht="20.25" customHeight="1" x14ac:dyDescent="0.25">
      <c r="A185" s="54" t="s">
        <v>106</v>
      </c>
      <c r="B185" s="39" t="s">
        <v>16</v>
      </c>
      <c r="C185" s="35"/>
      <c r="D185" s="35"/>
      <c r="E185" s="35"/>
      <c r="G185" s="30">
        <f t="shared" ref="G185:N185" si="59">F188</f>
        <v>432069.32127889898</v>
      </c>
      <c r="H185" s="30">
        <f t="shared" si="59"/>
        <v>395189.35728559748</v>
      </c>
      <c r="I185" s="30">
        <f t="shared" si="59"/>
        <v>358309.39329229598</v>
      </c>
      <c r="J185" s="30">
        <f t="shared" si="59"/>
        <v>321429.42929899448</v>
      </c>
      <c r="K185" s="30">
        <f t="shared" si="59"/>
        <v>284549.46530569298</v>
      </c>
      <c r="L185" s="30">
        <f t="shared" si="59"/>
        <v>247669.50131239151</v>
      </c>
      <c r="M185" s="30">
        <f t="shared" si="59"/>
        <v>210789.53731909004</v>
      </c>
      <c r="N185" s="30">
        <f t="shared" si="59"/>
        <v>173909.57332578857</v>
      </c>
      <c r="O185" s="30"/>
      <c r="P185" s="30"/>
    </row>
    <row r="186" spans="1:17" ht="26.25" x14ac:dyDescent="0.25">
      <c r="A186" s="54" t="s">
        <v>121</v>
      </c>
      <c r="B186" s="39" t="s">
        <v>16</v>
      </c>
      <c r="C186" s="35"/>
      <c r="D186" s="35"/>
      <c r="E186" s="35"/>
      <c r="F186" s="191">
        <f>F$52+F$54</f>
        <v>432069.32127889898</v>
      </c>
      <c r="G186" s="110"/>
      <c r="H186" s="110"/>
      <c r="I186" s="110"/>
      <c r="J186" s="110"/>
      <c r="K186" s="110"/>
      <c r="L186" s="110"/>
      <c r="M186" s="110"/>
      <c r="N186" s="110"/>
      <c r="O186" s="30"/>
      <c r="P186" s="30"/>
    </row>
    <row r="187" spans="1:17" ht="18" customHeight="1" x14ac:dyDescent="0.25">
      <c r="A187" s="54" t="s">
        <v>3</v>
      </c>
      <c r="B187" s="39" t="s">
        <v>16</v>
      </c>
      <c r="C187" s="134"/>
      <c r="D187" s="134"/>
      <c r="E187" s="134"/>
      <c r="F187" s="140"/>
      <c r="G187" s="238">
        <f>G185*G$152</f>
        <v>-36879.96399330147</v>
      </c>
      <c r="H187" s="140">
        <f t="shared" ref="H187:M187" si="60">IF(H185+G187&lt;0,-H185,G187)</f>
        <v>-36879.96399330147</v>
      </c>
      <c r="I187" s="140">
        <f t="shared" si="60"/>
        <v>-36879.96399330147</v>
      </c>
      <c r="J187" s="140">
        <f t="shared" si="60"/>
        <v>-36879.96399330147</v>
      </c>
      <c r="K187" s="140">
        <f t="shared" si="60"/>
        <v>-36879.96399330147</v>
      </c>
      <c r="L187" s="140">
        <f t="shared" si="60"/>
        <v>-36879.96399330147</v>
      </c>
      <c r="M187" s="140">
        <f t="shared" si="60"/>
        <v>-36879.96399330147</v>
      </c>
      <c r="N187" s="238">
        <f>IF(N185+M187&lt;0,-N185,M187*N$145)</f>
        <v>-18578.818274517373</v>
      </c>
      <c r="O187" s="30"/>
      <c r="P187" s="30"/>
    </row>
    <row r="188" spans="1:17" ht="18" customHeight="1" x14ac:dyDescent="0.25">
      <c r="A188" s="54" t="s">
        <v>108</v>
      </c>
      <c r="B188" s="39" t="s">
        <v>16</v>
      </c>
      <c r="C188" s="73"/>
      <c r="D188" s="73"/>
      <c r="E188" s="73"/>
      <c r="F188" s="30">
        <f>SUM(F185:F187)</f>
        <v>432069.32127889898</v>
      </c>
      <c r="G188" s="73">
        <f t="shared" ref="G188:N188" si="61">SUM(G185:G187)</f>
        <v>395189.35728559748</v>
      </c>
      <c r="H188" s="73">
        <f t="shared" si="61"/>
        <v>358309.39329229598</v>
      </c>
      <c r="I188" s="73">
        <f t="shared" si="61"/>
        <v>321429.42929899448</v>
      </c>
      <c r="J188" s="73">
        <f t="shared" si="61"/>
        <v>284549.46530569298</v>
      </c>
      <c r="K188" s="73">
        <f t="shared" si="61"/>
        <v>247669.50131239151</v>
      </c>
      <c r="L188" s="73">
        <f t="shared" si="61"/>
        <v>210789.53731909004</v>
      </c>
      <c r="M188" s="73">
        <f t="shared" si="61"/>
        <v>173909.57332578857</v>
      </c>
      <c r="N188" s="73">
        <f t="shared" si="61"/>
        <v>155330.7550512712</v>
      </c>
      <c r="O188" s="30"/>
      <c r="P188" s="30"/>
    </row>
    <row r="189" spans="1:17" ht="18" customHeight="1" x14ac:dyDescent="0.25">
      <c r="A189" s="54" t="s">
        <v>194</v>
      </c>
      <c r="B189" s="39" t="s">
        <v>16</v>
      </c>
      <c r="C189" s="35"/>
      <c r="D189" s="35"/>
      <c r="E189" s="35"/>
      <c r="F189" s="236">
        <f>F186*Inputs!F$48*((1+F$148)^(F$146)-1)</f>
        <v>3984.5874376706597</v>
      </c>
      <c r="G189" s="214">
        <f>G185*Inputs!G$48*((1+$F$148)^G$145-1)</f>
        <v>8165.1193737730209</v>
      </c>
      <c r="H189" s="214">
        <f>H185*Inputs!H$48*((1+$F$148)^H$145-1)</f>
        <v>7489.2878289240416</v>
      </c>
      <c r="I189" s="214">
        <f>I185*Inputs!I$48*((1+$F$148)^I$145-1)</f>
        <v>6771.2258771719062</v>
      </c>
      <c r="J189" s="214">
        <f>J185*Inputs!J$48*((1+$F$148)^J$145-1)</f>
        <v>6074.2791288713479</v>
      </c>
      <c r="K189" s="214">
        <f>K185*Inputs!K$48*((1+$F$148)^K$145-1)</f>
        <v>5377.3323805707905</v>
      </c>
      <c r="L189" s="214">
        <f>L185*Inputs!L$48*((1+$F$148)^L$145-1)</f>
        <v>4693.6187616866791</v>
      </c>
      <c r="M189" s="214">
        <f>M185*Inputs!M$48*((1+$F$148)^M$145-1)</f>
        <v>3983.4388839696771</v>
      </c>
      <c r="N189" s="214">
        <f>N185*Inputs!N$48*((1+$F$148)^N$145-1)</f>
        <v>1630.8196379591225</v>
      </c>
      <c r="O189" s="30"/>
      <c r="P189" s="30"/>
    </row>
    <row r="190" spans="1:17" ht="18" customHeight="1" x14ac:dyDescent="0.25">
      <c r="A190" s="54" t="s">
        <v>98</v>
      </c>
      <c r="B190" s="39" t="s">
        <v>16</v>
      </c>
      <c r="C190" s="157"/>
      <c r="D190" s="157"/>
      <c r="E190" s="157"/>
      <c r="F190" s="237">
        <f>-(((1+F$150)^(F$146)-1)*Inputs!F$100+((1+F$151)^(F$146)-1)*Inputs!F$101)</f>
        <v>-2371.603316778037</v>
      </c>
      <c r="G190" s="231">
        <f>-(((1+$F$150)^(G$145)-1)*Inputs!$F$100+((1+$F$151)^(G$145)-1)*Inputs!$F$101)</f>
        <v>-4863.2164136551137</v>
      </c>
      <c r="H190" s="231">
        <f>-(((1+$F$150)^(H$145)-1)*Inputs!$F$100+((1+$F$151)^(H$145)-1)*Inputs!$F$101)</f>
        <v>-4876.985027578763</v>
      </c>
      <c r="I190" s="231">
        <f>-(((1+$F$150)^(I$145)-1)*Inputs!$F$100+((1+$F$151)^(I$145)-1)*Inputs!$F$101)</f>
        <v>-4863.2164136551137</v>
      </c>
      <c r="J190" s="231">
        <f>-(((1+$F$150)^(J$145)-1)*Inputs!$F$100+((1+$F$151)^(J$145)-1)*Inputs!$F$101)</f>
        <v>-4863.2164136551137</v>
      </c>
      <c r="K190" s="231">
        <f>-(((1+$F$150)^(K$145)-1)*Inputs!$F$100+((1+$F$151)^(K$145)-1)*Inputs!$F$101)</f>
        <v>-4863.2164136551137</v>
      </c>
      <c r="L190" s="231">
        <f>-(((1+$F$150)^(L$145)-1)*Inputs!$F$100+((1+$F$151)^(L$145)-1)*Inputs!$F$101)</f>
        <v>-4876.985027578763</v>
      </c>
      <c r="M190" s="231">
        <f>-(((1+$F$150)^(M$145)-1)*Inputs!$F$100+((1+$F$151)^(M$145)-1)*Inputs!$F$101)</f>
        <v>-4863.2164136551137</v>
      </c>
      <c r="N190" s="231">
        <f>-(((1+$F$150)^(N$145)-1)*Inputs!$F$100+((1+$F$151)^(N$145)-1)*Inputs!$F$101)</f>
        <v>-2411.56773343635</v>
      </c>
      <c r="O190" s="30"/>
      <c r="P190" s="30"/>
      <c r="Q190" s="30"/>
    </row>
    <row r="191" spans="1:17" ht="18" customHeight="1" x14ac:dyDescent="0.25">
      <c r="A191" s="54" t="s">
        <v>129</v>
      </c>
      <c r="B191" s="39" t="s">
        <v>16</v>
      </c>
      <c r="C191" s="156"/>
      <c r="D191" s="156"/>
      <c r="E191" s="156"/>
      <c r="F191" s="158">
        <f t="shared" ref="F191:G191" si="62">SUM(F189:F190)</f>
        <v>1612.9841208926227</v>
      </c>
      <c r="G191" s="73">
        <f t="shared" si="62"/>
        <v>3301.9029601179072</v>
      </c>
      <c r="H191" s="73">
        <f t="shared" ref="H191:N191" si="63">SUM(H189:H190)</f>
        <v>2612.3028013452786</v>
      </c>
      <c r="I191" s="73">
        <f t="shared" si="63"/>
        <v>1908.0094635167925</v>
      </c>
      <c r="J191" s="73">
        <f t="shared" si="63"/>
        <v>1211.0627152162342</v>
      </c>
      <c r="K191" s="73">
        <f t="shared" si="63"/>
        <v>514.11596691567684</v>
      </c>
      <c r="L191" s="73">
        <f t="shared" si="63"/>
        <v>-183.3662658920839</v>
      </c>
      <c r="M191" s="73">
        <f t="shared" si="63"/>
        <v>-879.77752968543655</v>
      </c>
      <c r="N191" s="73">
        <f t="shared" si="63"/>
        <v>-780.74809547722748</v>
      </c>
      <c r="O191" s="30"/>
      <c r="P191" s="30"/>
    </row>
    <row r="192" spans="1:17" ht="18" customHeight="1" x14ac:dyDescent="0.25">
      <c r="A192" s="54"/>
      <c r="B192" s="39"/>
      <c r="C192" s="35"/>
      <c r="D192" s="35"/>
      <c r="E192" s="35"/>
      <c r="F192" s="35"/>
      <c r="G192" s="35"/>
      <c r="H192" s="35"/>
      <c r="I192" s="35"/>
      <c r="J192" s="35"/>
      <c r="K192" s="35"/>
      <c r="L192" s="35"/>
      <c r="M192" s="35"/>
      <c r="N192" s="35"/>
      <c r="O192" s="30"/>
      <c r="P192" s="30"/>
    </row>
    <row r="193" spans="1:17" ht="18" customHeight="1" x14ac:dyDescent="0.25">
      <c r="A193" s="33" t="s">
        <v>160</v>
      </c>
      <c r="B193" s="39"/>
      <c r="C193" s="110"/>
      <c r="D193" s="110"/>
      <c r="E193" s="110"/>
      <c r="F193" s="110"/>
      <c r="G193" s="110"/>
      <c r="H193" s="110"/>
      <c r="I193" s="110"/>
      <c r="J193" s="110"/>
      <c r="K193" s="110"/>
      <c r="L193" s="110"/>
      <c r="M193" s="110"/>
      <c r="N193" s="110"/>
      <c r="O193" s="30"/>
      <c r="P193" s="30"/>
    </row>
    <row r="194" spans="1:17" ht="18" customHeight="1" x14ac:dyDescent="0.25">
      <c r="A194" s="54" t="s">
        <v>106</v>
      </c>
      <c r="B194" s="39" t="s">
        <v>16</v>
      </c>
      <c r="C194" s="35"/>
      <c r="D194" s="35"/>
      <c r="E194" s="35"/>
      <c r="F194" s="35"/>
      <c r="H194" s="73">
        <f t="shared" ref="H194:N194" si="64">G197</f>
        <v>490982.28365486767</v>
      </c>
      <c r="I194" s="73">
        <f t="shared" si="64"/>
        <v>451902.24006608932</v>
      </c>
      <c r="J194" s="73">
        <f t="shared" si="64"/>
        <v>412822.19647731096</v>
      </c>
      <c r="K194" s="73">
        <f t="shared" si="64"/>
        <v>373742.15288853261</v>
      </c>
      <c r="L194" s="73">
        <f t="shared" si="64"/>
        <v>334662.10929975426</v>
      </c>
      <c r="M194" s="73">
        <f t="shared" si="64"/>
        <v>295582.0657109759</v>
      </c>
      <c r="N194" s="73">
        <f t="shared" si="64"/>
        <v>256502.02212219758</v>
      </c>
      <c r="O194" s="30"/>
      <c r="P194" s="30"/>
    </row>
    <row r="195" spans="1:17" ht="26.25" x14ac:dyDescent="0.25">
      <c r="A195" s="54" t="s">
        <v>122</v>
      </c>
      <c r="B195" s="39" t="s">
        <v>16</v>
      </c>
      <c r="C195" s="35"/>
      <c r="D195" s="35"/>
      <c r="E195" s="35"/>
      <c r="F195" s="35"/>
      <c r="G195" s="191">
        <f>G$52+G$54</f>
        <v>490982.28365486767</v>
      </c>
      <c r="H195" s="73"/>
      <c r="I195" s="73"/>
      <c r="J195" s="73"/>
      <c r="K195" s="73"/>
      <c r="L195" s="73"/>
      <c r="M195" s="73"/>
      <c r="N195" s="73"/>
      <c r="O195" s="30"/>
      <c r="P195" s="30"/>
    </row>
    <row r="196" spans="1:17" ht="18" customHeight="1" x14ac:dyDescent="0.25">
      <c r="A196" s="54" t="s">
        <v>3</v>
      </c>
      <c r="B196" s="39" t="s">
        <v>16</v>
      </c>
      <c r="C196" s="134"/>
      <c r="D196" s="134"/>
      <c r="E196" s="134"/>
      <c r="F196" s="134"/>
      <c r="G196" s="140"/>
      <c r="H196" s="238">
        <f>H194*H$152</f>
        <v>-39080.043588778324</v>
      </c>
      <c r="I196" s="140">
        <f>IF(I194+H196&lt;0,-I194,H196)</f>
        <v>-39080.043588778324</v>
      </c>
      <c r="J196" s="140">
        <f>IF(J194+I196&lt;0,-J194,I196)</f>
        <v>-39080.043588778324</v>
      </c>
      <c r="K196" s="140">
        <f>IF(K194+J196&lt;0,-K194,J196)</f>
        <v>-39080.043588778324</v>
      </c>
      <c r="L196" s="140">
        <f>IF(L194+K196&lt;0,-L194,K196)</f>
        <v>-39080.043588778324</v>
      </c>
      <c r="M196" s="140">
        <f>IF(M194+L196&lt;0,-M194,L196)</f>
        <v>-39080.043588778324</v>
      </c>
      <c r="N196" s="238">
        <f>IF(N194+M196&lt;0,-N194,M196*N$145)</f>
        <v>-19687.140370527613</v>
      </c>
      <c r="O196" s="30"/>
      <c r="P196" s="30"/>
    </row>
    <row r="197" spans="1:17" ht="18" customHeight="1" x14ac:dyDescent="0.25">
      <c r="A197" s="54" t="s">
        <v>108</v>
      </c>
      <c r="B197" s="39" t="s">
        <v>16</v>
      </c>
      <c r="C197" s="73"/>
      <c r="D197" s="73"/>
      <c r="E197" s="73"/>
      <c r="F197" s="73"/>
      <c r="G197" s="30">
        <f>SUM(G194:G196)</f>
        <v>490982.28365486767</v>
      </c>
      <c r="H197" s="73">
        <f t="shared" ref="H197:N197" si="65">SUM(H194:H196)</f>
        <v>451902.24006608932</v>
      </c>
      <c r="I197" s="73">
        <f t="shared" si="65"/>
        <v>412822.19647731096</v>
      </c>
      <c r="J197" s="73">
        <f t="shared" si="65"/>
        <v>373742.15288853261</v>
      </c>
      <c r="K197" s="73">
        <f t="shared" si="65"/>
        <v>334662.10929975426</v>
      </c>
      <c r="L197" s="73">
        <f t="shared" si="65"/>
        <v>295582.0657109759</v>
      </c>
      <c r="M197" s="73">
        <f t="shared" si="65"/>
        <v>256502.02212219758</v>
      </c>
      <c r="N197" s="73">
        <f t="shared" si="65"/>
        <v>236814.88175166998</v>
      </c>
      <c r="O197" s="30"/>
      <c r="P197" s="30"/>
    </row>
    <row r="198" spans="1:17" ht="18" customHeight="1" x14ac:dyDescent="0.25">
      <c r="A198" s="54" t="s">
        <v>194</v>
      </c>
      <c r="B198" s="39" t="s">
        <v>16</v>
      </c>
      <c r="C198" s="35"/>
      <c r="D198" s="35"/>
      <c r="E198" s="35"/>
      <c r="F198" s="35"/>
      <c r="G198" s="236">
        <f>G195*Inputs!G$48*((1+G$148)^(G$146)-1)</f>
        <v>3897.5096622017818</v>
      </c>
      <c r="H198" s="214">
        <f>H194*Inputs!H$48*((1+$G$148)^H$145-1)</f>
        <v>7991.42362237</v>
      </c>
      <c r="I198" s="214">
        <f>I194*Inputs!I$48*((1+$G$148)^I$145-1)</f>
        <v>7334.6925135156625</v>
      </c>
      <c r="J198" s="214">
        <f>J194*Inputs!J$48*((1+$G$148)^J$145-1)</f>
        <v>6700.3958056777947</v>
      </c>
      <c r="K198" s="214">
        <f>K194*Inputs!K$48*((1+$G$148)^K$145-1)</f>
        <v>6066.0990978399259</v>
      </c>
      <c r="L198" s="214">
        <f>L194*Inputs!L$48*((1+$G$148)^L$145-1)</f>
        <v>5447.0940699974335</v>
      </c>
      <c r="M198" s="214">
        <f>M194*Inputs!M$48*((1+$G$148)^M$145-1)</f>
        <v>4797.5056821641911</v>
      </c>
      <c r="N198" s="214">
        <f>N194*Inputs!N$48*((1+$G$148)^N$145-1)</f>
        <v>2070.3751970006597</v>
      </c>
      <c r="O198" s="30"/>
      <c r="P198" s="30"/>
    </row>
    <row r="199" spans="1:17" ht="18" customHeight="1" x14ac:dyDescent="0.25">
      <c r="A199" s="54" t="s">
        <v>98</v>
      </c>
      <c r="B199" s="39" t="s">
        <v>16</v>
      </c>
      <c r="C199" s="157"/>
      <c r="D199" s="157"/>
      <c r="E199" s="157"/>
      <c r="F199" s="157"/>
      <c r="G199" s="237">
        <f>-(((1+G$150)^(G$146)-1)*Inputs!G$100+((1+G$151)^(G$146)-1)*Inputs!G$101)</f>
        <v>-1993.0354101923326</v>
      </c>
      <c r="H199" s="231">
        <f>-(((1+$G$150)^(H$145)-1)*Inputs!$G$100+((1+$G$151)^(H$145)-1)*Inputs!$G$101)</f>
        <v>-4089.1887573401013</v>
      </c>
      <c r="I199" s="231">
        <f>-(((1+$G$150)^(I$145)-1)*Inputs!$G$100+((1+$G$151)^(I$145)-1)*Inputs!$G$101)</f>
        <v>-4077.6945938281033</v>
      </c>
      <c r="J199" s="231">
        <f>-(((1+$G$150)^(J$145)-1)*Inputs!$G$100+((1+$G$151)^(J$145)-1)*Inputs!$G$101)</f>
        <v>-4077.6945938281033</v>
      </c>
      <c r="K199" s="231">
        <f>-(((1+$G$150)^(K$145)-1)*Inputs!$G$100+((1+$G$151)^(K$145)-1)*Inputs!$G$101)</f>
        <v>-4077.6945938281033</v>
      </c>
      <c r="L199" s="231">
        <f>-(((1+$G$150)^(L$145)-1)*Inputs!$G$100+((1+$G$151)^(L$145)-1)*Inputs!$G$101)</f>
        <v>-4089.1887573401013</v>
      </c>
      <c r="M199" s="231">
        <f>-(((1+$G$150)^(M$145)-1)*Inputs!$G$100+((1+$G$151)^(M$145)-1)*Inputs!$G$101)</f>
        <v>-4077.6945938281033</v>
      </c>
      <c r="N199" s="231">
        <f>-(((1+$G$150)^(N$145)-1)*Inputs!$G$100+((1+$G$151)^(N$145)-1)*Inputs!$G$101)</f>
        <v>-2026.5461649843207</v>
      </c>
      <c r="O199" s="30"/>
      <c r="P199" s="30"/>
      <c r="Q199" s="30"/>
    </row>
    <row r="200" spans="1:17" ht="18" customHeight="1" x14ac:dyDescent="0.25">
      <c r="A200" s="54" t="s">
        <v>129</v>
      </c>
      <c r="B200" s="39" t="s">
        <v>16</v>
      </c>
      <c r="C200" s="156"/>
      <c r="D200" s="156"/>
      <c r="E200" s="156"/>
      <c r="F200" s="156"/>
      <c r="G200" s="158">
        <f t="shared" ref="G200:H200" si="66">SUM(G198:G199)</f>
        <v>1904.4742520094492</v>
      </c>
      <c r="H200" s="73">
        <f t="shared" si="66"/>
        <v>3902.2348650298986</v>
      </c>
      <c r="I200" s="73">
        <f t="shared" ref="I200:N200" si="67">SUM(I198:I199)</f>
        <v>3256.9979196875593</v>
      </c>
      <c r="J200" s="73">
        <f t="shared" si="67"/>
        <v>2622.7012118496914</v>
      </c>
      <c r="K200" s="73">
        <f t="shared" si="67"/>
        <v>1988.4045040118226</v>
      </c>
      <c r="L200" s="73">
        <f t="shared" si="67"/>
        <v>1357.9053126573322</v>
      </c>
      <c r="M200" s="73">
        <f t="shared" si="67"/>
        <v>719.81108833608778</v>
      </c>
      <c r="N200" s="73">
        <f t="shared" si="67"/>
        <v>43.829032016338942</v>
      </c>
      <c r="O200" s="30"/>
      <c r="P200" s="30"/>
    </row>
    <row r="201" spans="1:17" ht="18" customHeight="1" x14ac:dyDescent="0.25">
      <c r="A201" s="54"/>
      <c r="B201" s="39"/>
      <c r="C201" s="35"/>
      <c r="D201" s="35"/>
      <c r="E201" s="35"/>
      <c r="F201" s="35"/>
      <c r="G201" s="35"/>
      <c r="H201" s="30"/>
      <c r="I201" s="30"/>
      <c r="J201" s="30"/>
      <c r="K201" s="30"/>
      <c r="L201" s="30"/>
      <c r="M201" s="30"/>
      <c r="N201" s="30"/>
      <c r="O201" s="30"/>
      <c r="P201" s="30"/>
    </row>
    <row r="202" spans="1:17" ht="18" customHeight="1" x14ac:dyDescent="0.25">
      <c r="A202" s="33" t="s">
        <v>161</v>
      </c>
      <c r="B202" s="39"/>
      <c r="C202" s="110"/>
      <c r="D202" s="110"/>
      <c r="E202" s="110"/>
      <c r="F202" s="110"/>
      <c r="G202" s="110"/>
      <c r="H202" s="110"/>
      <c r="I202" s="110"/>
      <c r="J202" s="110"/>
      <c r="K202" s="110"/>
      <c r="L202" s="110"/>
      <c r="M202" s="110"/>
      <c r="N202" s="110"/>
      <c r="O202" s="30"/>
      <c r="P202" s="30"/>
    </row>
    <row r="203" spans="1:17" ht="18" customHeight="1" x14ac:dyDescent="0.25">
      <c r="A203" s="54" t="s">
        <v>106</v>
      </c>
      <c r="B203" s="39" t="s">
        <v>16</v>
      </c>
      <c r="C203" s="35"/>
      <c r="D203" s="35"/>
      <c r="E203" s="35"/>
      <c r="F203" s="35"/>
      <c r="G203" s="35"/>
      <c r="I203" s="73">
        <f t="shared" ref="I203:N203" si="68">H206</f>
        <v>408215.15064387239</v>
      </c>
      <c r="J203" s="73">
        <f t="shared" si="68"/>
        <v>381588.71499361785</v>
      </c>
      <c r="K203" s="73">
        <f t="shared" si="68"/>
        <v>354962.27934336331</v>
      </c>
      <c r="L203" s="73">
        <f t="shared" si="68"/>
        <v>328335.84369310876</v>
      </c>
      <c r="M203" s="73">
        <f t="shared" si="68"/>
        <v>301709.40804285422</v>
      </c>
      <c r="N203" s="73">
        <f t="shared" si="68"/>
        <v>275082.97239259968</v>
      </c>
      <c r="O203" s="30"/>
      <c r="P203" s="30"/>
    </row>
    <row r="204" spans="1:17" ht="26.25" x14ac:dyDescent="0.25">
      <c r="A204" s="54" t="s">
        <v>123</v>
      </c>
      <c r="B204" s="39" t="s">
        <v>16</v>
      </c>
      <c r="C204" s="35"/>
      <c r="D204" s="35"/>
      <c r="E204" s="35"/>
      <c r="F204" s="35"/>
      <c r="G204" s="35"/>
      <c r="H204" s="191">
        <f>H$52+H$54</f>
        <v>408215.15064387239</v>
      </c>
      <c r="I204" s="73"/>
      <c r="J204" s="73"/>
      <c r="K204" s="73"/>
      <c r="L204" s="73"/>
      <c r="M204" s="73"/>
      <c r="N204" s="73"/>
      <c r="O204" s="30"/>
      <c r="P204" s="30"/>
    </row>
    <row r="205" spans="1:17" ht="18" customHeight="1" x14ac:dyDescent="0.25">
      <c r="A205" s="54" t="s">
        <v>3</v>
      </c>
      <c r="B205" s="39" t="s">
        <v>16</v>
      </c>
      <c r="C205" s="134"/>
      <c r="D205" s="134"/>
      <c r="E205" s="134"/>
      <c r="F205" s="134"/>
      <c r="G205" s="134"/>
      <c r="H205" s="140"/>
      <c r="I205" s="238">
        <f>I203*I$152</f>
        <v>-26626.435650254542</v>
      </c>
      <c r="J205" s="140">
        <f>IF(J203+I205&lt;0,-J203,I205)</f>
        <v>-26626.435650254542</v>
      </c>
      <c r="K205" s="140">
        <f>IF(K203+J205&lt;0,-K203,J205)</f>
        <v>-26626.435650254542</v>
      </c>
      <c r="L205" s="140">
        <f>IF(L203+K205&lt;0,-L203,K205)</f>
        <v>-26626.435650254542</v>
      </c>
      <c r="M205" s="140">
        <f>IF(M203+L205&lt;0,-M203,L205)</f>
        <v>-26626.435650254542</v>
      </c>
      <c r="N205" s="238">
        <f>IF(N203+M205&lt;0,-N203,M205*N$145)</f>
        <v>-13413.45423585718</v>
      </c>
      <c r="O205" s="30"/>
      <c r="P205" s="30"/>
    </row>
    <row r="206" spans="1:17" ht="18" customHeight="1" x14ac:dyDescent="0.25">
      <c r="A206" s="54" t="s">
        <v>108</v>
      </c>
      <c r="B206" s="39" t="s">
        <v>16</v>
      </c>
      <c r="C206" s="73"/>
      <c r="D206" s="73"/>
      <c r="E206" s="73"/>
      <c r="F206" s="73"/>
      <c r="G206" s="73"/>
      <c r="H206" s="30">
        <f>SUM(H203:H205)</f>
        <v>408215.15064387239</v>
      </c>
      <c r="I206" s="73">
        <f t="shared" ref="I206:N206" si="69">SUM(I203:I205)</f>
        <v>381588.71499361785</v>
      </c>
      <c r="J206" s="73">
        <f t="shared" si="69"/>
        <v>354962.27934336331</v>
      </c>
      <c r="K206" s="73">
        <f t="shared" si="69"/>
        <v>328335.84369310876</v>
      </c>
      <c r="L206" s="73">
        <f t="shared" si="69"/>
        <v>301709.40804285422</v>
      </c>
      <c r="M206" s="73">
        <f t="shared" si="69"/>
        <v>275082.97239259968</v>
      </c>
      <c r="N206" s="73">
        <f t="shared" si="69"/>
        <v>261669.5181567425</v>
      </c>
      <c r="O206" s="30"/>
      <c r="P206" s="30"/>
    </row>
    <row r="207" spans="1:17" ht="18" customHeight="1" x14ac:dyDescent="0.25">
      <c r="A207" s="54" t="s">
        <v>194</v>
      </c>
      <c r="B207" s="39" t="s">
        <v>16</v>
      </c>
      <c r="C207" s="35"/>
      <c r="D207" s="35"/>
      <c r="E207" s="35"/>
      <c r="F207" s="35"/>
      <c r="G207" s="35"/>
      <c r="H207" s="236">
        <f>H204*Inputs!H$48*((1+H$148)^(H$146)-1)</f>
        <v>2830.7965759894</v>
      </c>
      <c r="I207" s="214">
        <f>I203*Inputs!I$48*((1+$H$148)^I$145-1)</f>
        <v>5745.3997516295713</v>
      </c>
      <c r="J207" s="214">
        <f>J203*Inputs!J$48*((1+$H$148)^J$145-1)</f>
        <v>5370.647573689922</v>
      </c>
      <c r="K207" s="214">
        <f>K203*Inputs!K$48*((1+$H$148)^K$145-1)</f>
        <v>4995.8953957502727</v>
      </c>
      <c r="L207" s="214">
        <f>L203*Inputs!L$48*((1+$H$148)^L$145-1)</f>
        <v>4634.1071000176325</v>
      </c>
      <c r="M207" s="214">
        <f>M203*Inputs!M$48*((1+$H$148)^M$145-1)</f>
        <v>4246.3910398709741</v>
      </c>
      <c r="N207" s="214">
        <f>N203*Inputs!N$48*((1+$H$148)^N$145-1)</f>
        <v>1928.7960055800086</v>
      </c>
      <c r="O207" s="30"/>
      <c r="P207" s="30"/>
    </row>
    <row r="208" spans="1:17" ht="18" customHeight="1" x14ac:dyDescent="0.25">
      <c r="A208" s="54" t="s">
        <v>98</v>
      </c>
      <c r="B208" s="39" t="s">
        <v>16</v>
      </c>
      <c r="C208" s="157"/>
      <c r="D208" s="157"/>
      <c r="E208" s="157"/>
      <c r="F208" s="157"/>
      <c r="G208" s="157"/>
      <c r="H208" s="237">
        <f>-(((1+H$150)^(H$146)-1)*Inputs!H$100+((1+H$151)^(H$146)-1)*Inputs!H$101)</f>
        <v>-1657.9034440598075</v>
      </c>
      <c r="I208" s="231">
        <f>-(((1+$H$150)^(I$145)-1)*Inputs!$H$100+((1+$H$151)^(I$145)-1)*Inputs!$H$101)</f>
        <v>-3367.5655825522304</v>
      </c>
      <c r="J208" s="231">
        <f>-(((1+$H$150)^(J$145)-1)*Inputs!$H$100+((1+$H$151)^(J$145)-1)*Inputs!$H$101)</f>
        <v>-3367.5655825522304</v>
      </c>
      <c r="K208" s="231">
        <f>-(((1+$H$150)^(K$145)-1)*Inputs!$H$100+((1+$H$151)^(K$145)-1)*Inputs!$H$101)</f>
        <v>-3367.5655825522304</v>
      </c>
      <c r="L208" s="231">
        <f>-(((1+$H$150)^(L$145)-1)*Inputs!$H$100+((1+$H$151)^(L$145)-1)*Inputs!$H$101)</f>
        <v>-3377.0274832055866</v>
      </c>
      <c r="M208" s="231">
        <f>-(((1+$H$150)^(M$145)-1)*Inputs!$H$100+((1+$H$151)^(M$145)-1)*Inputs!$H$101)</f>
        <v>-3367.5655825522304</v>
      </c>
      <c r="N208" s="231">
        <f>-(((1+$H$150)^(N$145)-1)*Inputs!$H$100+((1+$H$151)^(N$145)-1)*Inputs!$H$101)</f>
        <v>-1676.3551709402182</v>
      </c>
      <c r="O208" s="30"/>
      <c r="P208" s="30"/>
      <c r="Q208" s="30"/>
    </row>
    <row r="209" spans="1:17" ht="18" customHeight="1" x14ac:dyDescent="0.25">
      <c r="A209" s="54" t="s">
        <v>129</v>
      </c>
      <c r="B209" s="39" t="s">
        <v>16</v>
      </c>
      <c r="C209" s="156"/>
      <c r="D209" s="156"/>
      <c r="E209" s="156"/>
      <c r="F209" s="156"/>
      <c r="G209" s="156"/>
      <c r="H209" s="158">
        <f t="shared" ref="H209:I209" si="70">SUM(H207:H208)</f>
        <v>1172.8931319295925</v>
      </c>
      <c r="I209" s="73">
        <f t="shared" si="70"/>
        <v>2377.8341690773409</v>
      </c>
      <c r="J209" s="73">
        <f t="shared" ref="J209:N209" si="71">SUM(J207:J208)</f>
        <v>2003.0819911376916</v>
      </c>
      <c r="K209" s="73">
        <f t="shared" si="71"/>
        <v>1628.3298131980423</v>
      </c>
      <c r="L209" s="73">
        <f t="shared" si="71"/>
        <v>1257.079616812046</v>
      </c>
      <c r="M209" s="73">
        <f t="shared" si="71"/>
        <v>878.8254573187437</v>
      </c>
      <c r="N209" s="73">
        <f t="shared" si="71"/>
        <v>252.44083463979041</v>
      </c>
      <c r="O209" s="30"/>
      <c r="P209" s="30"/>
    </row>
    <row r="210" spans="1:17" ht="18" customHeight="1" x14ac:dyDescent="0.25">
      <c r="A210" s="54"/>
      <c r="B210" s="39"/>
      <c r="C210" s="35"/>
      <c r="D210" s="35"/>
      <c r="E210" s="35"/>
      <c r="F210" s="35"/>
      <c r="G210" s="35"/>
      <c r="H210" s="35"/>
      <c r="I210" s="73"/>
      <c r="J210" s="73"/>
      <c r="K210" s="73"/>
      <c r="L210" s="73"/>
      <c r="M210" s="73"/>
      <c r="N210" s="73"/>
      <c r="O210" s="30"/>
      <c r="P210" s="30"/>
    </row>
    <row r="211" spans="1:17" ht="18" customHeight="1" x14ac:dyDescent="0.25">
      <c r="A211" s="33" t="s">
        <v>162</v>
      </c>
      <c r="B211" s="39"/>
      <c r="C211" s="110"/>
      <c r="D211" s="110"/>
      <c r="E211" s="110"/>
      <c r="F211" s="110"/>
      <c r="G211" s="110"/>
      <c r="H211" s="110"/>
      <c r="I211" s="110"/>
      <c r="J211" s="110"/>
      <c r="K211" s="110"/>
      <c r="L211" s="110"/>
      <c r="M211" s="110"/>
      <c r="N211" s="110"/>
      <c r="O211" s="30"/>
      <c r="P211" s="30"/>
    </row>
    <row r="212" spans="1:17" ht="18" customHeight="1" x14ac:dyDescent="0.25">
      <c r="A212" s="54" t="s">
        <v>106</v>
      </c>
      <c r="B212" s="39" t="s">
        <v>16</v>
      </c>
      <c r="C212" s="35"/>
      <c r="D212" s="35"/>
      <c r="E212" s="35"/>
      <c r="F212" s="35"/>
      <c r="G212" s="35"/>
      <c r="H212" s="35"/>
      <c r="J212" s="73">
        <f>I215</f>
        <v>490232.17140324973</v>
      </c>
      <c r="K212" s="73">
        <f>J215</f>
        <v>478066.0254502896</v>
      </c>
      <c r="L212" s="73">
        <f>K215</f>
        <v>465899.87949732947</v>
      </c>
      <c r="M212" s="73">
        <f>L215</f>
        <v>453733.73354436934</v>
      </c>
      <c r="N212" s="73">
        <f>M215</f>
        <v>441567.58759140922</v>
      </c>
      <c r="O212" s="30"/>
      <c r="P212" s="30"/>
    </row>
    <row r="213" spans="1:17" ht="26.25" x14ac:dyDescent="0.25">
      <c r="A213" s="54" t="s">
        <v>124</v>
      </c>
      <c r="B213" s="39" t="s">
        <v>16</v>
      </c>
      <c r="C213" s="35"/>
      <c r="D213" s="35"/>
      <c r="E213" s="35"/>
      <c r="F213" s="35"/>
      <c r="G213" s="35"/>
      <c r="H213" s="35"/>
      <c r="I213" s="191">
        <f>I$52+I$54</f>
        <v>490232.17140324973</v>
      </c>
      <c r="J213" s="73"/>
      <c r="K213" s="73"/>
      <c r="L213" s="73"/>
      <c r="M213" s="73"/>
      <c r="N213" s="73"/>
      <c r="O213" s="30"/>
      <c r="P213" s="30"/>
    </row>
    <row r="214" spans="1:17" ht="18" customHeight="1" x14ac:dyDescent="0.25">
      <c r="A214" s="54" t="s">
        <v>3</v>
      </c>
      <c r="B214" s="39" t="s">
        <v>16</v>
      </c>
      <c r="C214" s="134"/>
      <c r="D214" s="134"/>
      <c r="E214" s="134"/>
      <c r="F214" s="134"/>
      <c r="G214" s="134"/>
      <c r="H214" s="134"/>
      <c r="I214" s="140"/>
      <c r="J214" s="238">
        <f>J212*J$152</f>
        <v>-12166.145952960127</v>
      </c>
      <c r="K214" s="140">
        <f>IF(K212+J214&lt;0,-K212,J214)</f>
        <v>-12166.145952960127</v>
      </c>
      <c r="L214" s="140">
        <f>IF(L212+K214&lt;0,-L212,K214)</f>
        <v>-12166.145952960127</v>
      </c>
      <c r="M214" s="140">
        <f>IF(M212+L214&lt;0,-M212,L214)</f>
        <v>-12166.145952960127</v>
      </c>
      <c r="N214" s="238">
        <f>IF(N212+M214&lt;0,-N212,M214*N$145)</f>
        <v>-6128.8729783563676</v>
      </c>
      <c r="O214" s="30"/>
      <c r="P214" s="30"/>
    </row>
    <row r="215" spans="1:17" ht="18" customHeight="1" x14ac:dyDescent="0.25">
      <c r="A215" s="54" t="s">
        <v>108</v>
      </c>
      <c r="B215" s="39" t="s">
        <v>16</v>
      </c>
      <c r="C215" s="73"/>
      <c r="D215" s="73"/>
      <c r="E215" s="73"/>
      <c r="F215" s="73"/>
      <c r="G215" s="73"/>
      <c r="H215" s="73"/>
      <c r="I215" s="30">
        <f>SUM(I212:I214)</f>
        <v>490232.17140324973</v>
      </c>
      <c r="J215" s="73">
        <f t="shared" ref="J215:N215" si="72">SUM(J212:J214)</f>
        <v>478066.0254502896</v>
      </c>
      <c r="K215" s="73">
        <f t="shared" si="72"/>
        <v>465899.87949732947</v>
      </c>
      <c r="L215" s="73">
        <f t="shared" si="72"/>
        <v>453733.73354436934</v>
      </c>
      <c r="M215" s="73">
        <f t="shared" si="72"/>
        <v>441567.58759140922</v>
      </c>
      <c r="N215" s="73">
        <f t="shared" si="72"/>
        <v>435438.71461305284</v>
      </c>
      <c r="O215" s="30"/>
      <c r="P215" s="30"/>
    </row>
    <row r="216" spans="1:17" ht="18" customHeight="1" x14ac:dyDescent="0.25">
      <c r="A216" s="54" t="s">
        <v>194</v>
      </c>
      <c r="B216" s="39" t="s">
        <v>16</v>
      </c>
      <c r="C216" s="35"/>
      <c r="D216" s="35"/>
      <c r="E216" s="35"/>
      <c r="F216" s="35"/>
      <c r="G216" s="35"/>
      <c r="H216" s="35"/>
      <c r="I216" s="236">
        <f>I213*Inputs!I$48*((1+I$148)^(I$146)-1)</f>
        <v>3297.8703799722002</v>
      </c>
      <c r="J216" s="214">
        <f>J212*Inputs!J$48*((1+$I$148)^J$145-1)</f>
        <v>6728.8250987021629</v>
      </c>
      <c r="K216" s="214">
        <f>K212*Inputs!K$48*((1+$I$148)^K$145-1)</f>
        <v>6561.8351029040023</v>
      </c>
      <c r="L216" s="214">
        <f>L212*Inputs!L$48*((1+$I$148)^L$145-1)</f>
        <v>6412.7745922176837</v>
      </c>
      <c r="M216" s="214">
        <f>M212*Inputs!M$48*((1+$I$148)^M$145-1)</f>
        <v>6227.855111307681</v>
      </c>
      <c r="N216" s="214">
        <f>N212*Inputs!N$48*((1+$I$148)^N$145-1)</f>
        <v>3020.3068173015076</v>
      </c>
      <c r="O216" s="30"/>
      <c r="P216" s="30"/>
    </row>
    <row r="217" spans="1:17" ht="18" customHeight="1" x14ac:dyDescent="0.25">
      <c r="A217" s="54" t="s">
        <v>98</v>
      </c>
      <c r="B217" s="39" t="s">
        <v>16</v>
      </c>
      <c r="C217" s="157"/>
      <c r="D217" s="157"/>
      <c r="E217" s="157"/>
      <c r="F217" s="157"/>
      <c r="G217" s="157"/>
      <c r="H217" s="157"/>
      <c r="I217" s="237">
        <f>-(((1+I$150)^(I$146)-1)*Inputs!I$100+((1+I$151)^(I$146)-1)*Inputs!I$101)</f>
        <v>-1329.1990072846052</v>
      </c>
      <c r="J217" s="231">
        <f>-(((1+$I$150)^(J$145)-1)*Inputs!$I$100+((1+$I$151)^(J$145)-1)*Inputs!$I$101)</f>
        <v>-2713.6371423159271</v>
      </c>
      <c r="K217" s="231">
        <f>-(((1+$I$150)^(K$145)-1)*Inputs!$I$100+((1+$I$151)^(K$145)-1)*Inputs!$I$101)</f>
        <v>-2713.6371423159271</v>
      </c>
      <c r="L217" s="231">
        <f>-(((1+$I$150)^(L$145)-1)*Inputs!$I$100+((1+$I$151)^(L$145)-1)*Inputs!$I$101)</f>
        <v>-2721.2542345674224</v>
      </c>
      <c r="M217" s="231">
        <f>-(((1+$I$150)^(M$145)-1)*Inputs!$I$100+((1+$I$151)^(M$145)-1)*Inputs!$I$101)</f>
        <v>-2713.6371423159271</v>
      </c>
      <c r="N217" s="231">
        <f>-(((1+$I$150)^(N$145)-1)*Inputs!$I$100+((1+$I$151)^(N$145)-1)*Inputs!$I$101)</f>
        <v>-1351.5006799629882</v>
      </c>
      <c r="O217" s="30"/>
      <c r="P217" s="30"/>
      <c r="Q217" s="30"/>
    </row>
    <row r="218" spans="1:17" ht="18" customHeight="1" x14ac:dyDescent="0.25">
      <c r="A218" s="54" t="s">
        <v>129</v>
      </c>
      <c r="B218" s="39" t="s">
        <v>16</v>
      </c>
      <c r="C218" s="156"/>
      <c r="D218" s="156"/>
      <c r="E218" s="156"/>
      <c r="F218" s="156"/>
      <c r="G218" s="156"/>
      <c r="H218" s="156"/>
      <c r="I218" s="158">
        <f t="shared" ref="I218:J218" si="73">SUM(I216:I217)</f>
        <v>1968.6713726875951</v>
      </c>
      <c r="J218" s="73">
        <f t="shared" si="73"/>
        <v>4015.1879563862358</v>
      </c>
      <c r="K218" s="73">
        <f t="shared" ref="K218:N218" si="74">SUM(K216:K217)</f>
        <v>3848.1979605880751</v>
      </c>
      <c r="L218" s="73">
        <f t="shared" si="74"/>
        <v>3691.5203576502613</v>
      </c>
      <c r="M218" s="73">
        <f t="shared" si="74"/>
        <v>3514.2179689917539</v>
      </c>
      <c r="N218" s="73">
        <f t="shared" si="74"/>
        <v>1668.8061373385194</v>
      </c>
      <c r="O218" s="30"/>
      <c r="P218" s="30"/>
    </row>
    <row r="219" spans="1:17" ht="18" customHeight="1" x14ac:dyDescent="0.25">
      <c r="A219" s="54"/>
      <c r="B219" s="39"/>
      <c r="C219" s="35"/>
      <c r="D219" s="35"/>
      <c r="E219" s="35"/>
      <c r="F219" s="35"/>
      <c r="G219" s="35"/>
      <c r="H219" s="35"/>
      <c r="I219" s="35"/>
      <c r="J219" s="73"/>
      <c r="K219" s="73"/>
      <c r="L219" s="73"/>
      <c r="M219" s="73"/>
      <c r="N219" s="73"/>
      <c r="O219" s="30"/>
      <c r="P219" s="30"/>
    </row>
    <row r="220" spans="1:17" ht="18" customHeight="1" x14ac:dyDescent="0.25">
      <c r="A220" s="33" t="s">
        <v>163</v>
      </c>
      <c r="B220" s="39"/>
      <c r="C220" s="110"/>
      <c r="D220" s="110"/>
      <c r="E220" s="110"/>
      <c r="F220" s="110"/>
      <c r="G220" s="110"/>
      <c r="H220" s="110"/>
      <c r="I220" s="110"/>
      <c r="J220" s="110"/>
      <c r="K220" s="110"/>
      <c r="L220" s="110"/>
      <c r="M220" s="110"/>
      <c r="N220" s="110"/>
      <c r="O220" s="30"/>
      <c r="P220" s="30"/>
    </row>
    <row r="221" spans="1:17" ht="18" customHeight="1" x14ac:dyDescent="0.25">
      <c r="A221" s="54" t="s">
        <v>106</v>
      </c>
      <c r="B221" s="39" t="s">
        <v>16</v>
      </c>
      <c r="C221" s="35"/>
      <c r="D221" s="35"/>
      <c r="E221" s="35"/>
      <c r="F221" s="35"/>
      <c r="G221" s="35"/>
      <c r="H221" s="35"/>
      <c r="I221" s="35"/>
      <c r="K221" s="73">
        <f>J224</f>
        <v>576585.25126935448</v>
      </c>
      <c r="L221" s="73">
        <f>K224</f>
        <v>553108.04309084464</v>
      </c>
      <c r="M221" s="73">
        <f>L224</f>
        <v>529630.8349123348</v>
      </c>
      <c r="N221" s="73">
        <f>M224</f>
        <v>506153.62673382496</v>
      </c>
      <c r="O221" s="218"/>
      <c r="P221" s="30"/>
    </row>
    <row r="222" spans="1:17" ht="26.25" x14ac:dyDescent="0.25">
      <c r="A222" s="54" t="s">
        <v>125</v>
      </c>
      <c r="B222" s="39" t="s">
        <v>16</v>
      </c>
      <c r="C222" s="35"/>
      <c r="D222" s="35"/>
      <c r="E222" s="35"/>
      <c r="F222" s="35"/>
      <c r="G222" s="35"/>
      <c r="H222" s="35"/>
      <c r="I222" s="35"/>
      <c r="J222" s="191">
        <f>J$52+J$54</f>
        <v>576585.25126935448</v>
      </c>
      <c r="K222" s="73"/>
      <c r="L222" s="73"/>
      <c r="M222" s="73"/>
      <c r="N222" s="73"/>
      <c r="O222" s="218"/>
      <c r="P222" s="30"/>
    </row>
    <row r="223" spans="1:17" ht="18" customHeight="1" x14ac:dyDescent="0.25">
      <c r="A223" s="54" t="s">
        <v>3</v>
      </c>
      <c r="B223" s="39" t="s">
        <v>16</v>
      </c>
      <c r="C223" s="134"/>
      <c r="D223" s="134"/>
      <c r="E223" s="134"/>
      <c r="F223" s="134"/>
      <c r="G223" s="134"/>
      <c r="H223" s="134"/>
      <c r="I223" s="134"/>
      <c r="J223" s="140"/>
      <c r="K223" s="191">
        <f>K221*K$152</f>
        <v>-23477.208178509871</v>
      </c>
      <c r="L223" s="140">
        <f>IF(L221+K223&lt;0,-L221,K223)</f>
        <v>-23477.208178509871</v>
      </c>
      <c r="M223" s="140">
        <f>IF(M221+L223&lt;0,-M221,L223)</f>
        <v>-23477.208178509871</v>
      </c>
      <c r="N223" s="191">
        <f>IF(N221+M223&lt;0,-N221,M223*N$145)</f>
        <v>-11826.98509198033</v>
      </c>
      <c r="O223" s="218"/>
      <c r="P223" s="30"/>
    </row>
    <row r="224" spans="1:17" ht="18" customHeight="1" x14ac:dyDescent="0.25">
      <c r="A224" s="54" t="s">
        <v>108</v>
      </c>
      <c r="B224" s="39" t="s">
        <v>16</v>
      </c>
      <c r="C224" s="73"/>
      <c r="D224" s="73"/>
      <c r="E224" s="73"/>
      <c r="F224" s="73"/>
      <c r="G224" s="73"/>
      <c r="H224" s="73"/>
      <c r="I224" s="73"/>
      <c r="J224" s="30">
        <f>SUM(J221:J223)</f>
        <v>576585.25126935448</v>
      </c>
      <c r="K224" s="73">
        <f t="shared" ref="K224:N224" si="75">SUM(K221:K223)</f>
        <v>553108.04309084464</v>
      </c>
      <c r="L224" s="73">
        <f t="shared" si="75"/>
        <v>529630.8349123348</v>
      </c>
      <c r="M224" s="73">
        <f t="shared" si="75"/>
        <v>506153.62673382496</v>
      </c>
      <c r="N224" s="73">
        <f t="shared" si="75"/>
        <v>494326.64164184465</v>
      </c>
      <c r="O224" s="218"/>
      <c r="P224" s="30"/>
    </row>
    <row r="225" spans="1:17" ht="18" customHeight="1" x14ac:dyDescent="0.25">
      <c r="A225" s="54" t="s">
        <v>194</v>
      </c>
      <c r="B225" s="39" t="s">
        <v>16</v>
      </c>
      <c r="C225" s="35"/>
      <c r="D225" s="35"/>
      <c r="E225" s="35"/>
      <c r="F225" s="35"/>
      <c r="G225" s="35"/>
      <c r="H225" s="35"/>
      <c r="I225" s="35"/>
      <c r="J225" s="236">
        <f>J222*Inputs!J$48*((1+J$148)^(J$146)-1)</f>
        <v>3483.0597222984184</v>
      </c>
      <c r="K225" s="214">
        <f>K221*Inputs!K$48*((1+$J$148)^K$145-1)</f>
        <v>7098.225847016015</v>
      </c>
      <c r="L225" s="214">
        <f>L221*Inputs!L$48*((1+$J$148)^L$145-1)</f>
        <v>6828.2495437748457</v>
      </c>
      <c r="M225" s="214">
        <f>M221*Inputs!M$48*((1+$J$148)^M$145-1)</f>
        <v>6520.179407078117</v>
      </c>
      <c r="N225" s="214">
        <f>N221*Inputs!N$48*((1+$J$148)^N$145-1)</f>
        <v>3108.8047841011971</v>
      </c>
      <c r="O225" s="218"/>
      <c r="P225" s="30"/>
    </row>
    <row r="226" spans="1:17" ht="18" customHeight="1" x14ac:dyDescent="0.25">
      <c r="A226" s="54" t="s">
        <v>98</v>
      </c>
      <c r="B226" s="39" t="s">
        <v>16</v>
      </c>
      <c r="C226" s="157"/>
      <c r="D226" s="157"/>
      <c r="E226" s="157"/>
      <c r="F226" s="157"/>
      <c r="G226" s="157"/>
      <c r="H226" s="157"/>
      <c r="I226" s="157"/>
      <c r="J226" s="237">
        <f>-(((1+J$150)^(J$146)-1)*Inputs!J$100+((1+J$151)^(J$146)-1)*Inputs!J$101)</f>
        <v>-1216.0304767280788</v>
      </c>
      <c r="K226" s="231">
        <f>-(((1+$J$150)^(K$145)-1)*Inputs!$J$100+((1+$J$151)^(K$145)-1)*Inputs!$J$101)</f>
        <v>-2479.5083848907921</v>
      </c>
      <c r="L226" s="231">
        <f>-(((1+$J$150)^(L$145)-1)*Inputs!$J$100+((1+$J$151)^(L$145)-1)*Inputs!$J$101)</f>
        <v>-2486.4513980106317</v>
      </c>
      <c r="M226" s="231">
        <f>-(((1+$J$150)^(M$145)-1)*Inputs!$J$100+((1+$J$151)^(M$145)-1)*Inputs!$J$101)</f>
        <v>-2479.5083848907921</v>
      </c>
      <c r="N226" s="231">
        <f>-(((1+$J$150)^(N$145)-1)*Inputs!$J$100+((1+$J$151)^(N$145)-1)*Inputs!$J$101)</f>
        <v>-1236.4083749806662</v>
      </c>
      <c r="O226" s="218"/>
      <c r="P226" s="30"/>
      <c r="Q226" s="30"/>
    </row>
    <row r="227" spans="1:17" ht="18" customHeight="1" x14ac:dyDescent="0.25">
      <c r="A227" s="54" t="s">
        <v>129</v>
      </c>
      <c r="B227" s="39" t="s">
        <v>16</v>
      </c>
      <c r="C227" s="156"/>
      <c r="D227" s="156"/>
      <c r="E227" s="156"/>
      <c r="F227" s="156"/>
      <c r="G227" s="156"/>
      <c r="H227" s="156"/>
      <c r="I227" s="158"/>
      <c r="J227" s="73">
        <f t="shared" ref="J227:K227" si="76">SUM(J225:J226)</f>
        <v>2267.0292455703393</v>
      </c>
      <c r="K227" s="73">
        <f t="shared" si="76"/>
        <v>4618.7174621252234</v>
      </c>
      <c r="L227" s="73">
        <f t="shared" ref="L227:N227" si="77">SUM(L225:L226)</f>
        <v>4341.7981457642145</v>
      </c>
      <c r="M227" s="73">
        <f t="shared" si="77"/>
        <v>4040.671022187325</v>
      </c>
      <c r="N227" s="73">
        <f t="shared" si="77"/>
        <v>1872.396409120531</v>
      </c>
      <c r="O227" s="218"/>
      <c r="P227" s="30"/>
    </row>
    <row r="228" spans="1:17" ht="18" customHeight="1" x14ac:dyDescent="0.25">
      <c r="A228" s="54"/>
      <c r="B228" s="39"/>
      <c r="C228" s="35"/>
      <c r="D228" s="35"/>
      <c r="E228" s="35"/>
      <c r="F228" s="35"/>
      <c r="G228" s="35"/>
      <c r="H228" s="35"/>
      <c r="I228" s="35"/>
      <c r="J228" s="30"/>
      <c r="K228" s="30"/>
      <c r="L228" s="30"/>
      <c r="M228" s="30"/>
      <c r="N228" s="30"/>
      <c r="O228" s="218"/>
      <c r="P228" s="30"/>
    </row>
    <row r="229" spans="1:17" ht="18" customHeight="1" x14ac:dyDescent="0.25">
      <c r="A229" s="33" t="s">
        <v>164</v>
      </c>
      <c r="B229" s="39"/>
      <c r="C229" s="110"/>
      <c r="D229" s="110"/>
      <c r="E229" s="110"/>
      <c r="F229" s="110"/>
      <c r="G229" s="110"/>
      <c r="H229" s="110"/>
      <c r="I229" s="110"/>
      <c r="J229" s="110"/>
      <c r="K229" s="110"/>
      <c r="L229" s="110"/>
      <c r="M229" s="110"/>
      <c r="N229" s="110"/>
      <c r="O229" s="218"/>
      <c r="P229" s="30"/>
    </row>
    <row r="230" spans="1:17" ht="18" customHeight="1" x14ac:dyDescent="0.25">
      <c r="A230" s="54" t="s">
        <v>106</v>
      </c>
      <c r="B230" s="39" t="s">
        <v>16</v>
      </c>
      <c r="C230" s="35"/>
      <c r="D230" s="35"/>
      <c r="E230" s="35"/>
      <c r="F230" s="35"/>
      <c r="G230" s="35"/>
      <c r="H230" s="35"/>
      <c r="I230" s="35"/>
      <c r="J230" s="35"/>
      <c r="L230" s="73">
        <f>K233</f>
        <v>690978.59902693843</v>
      </c>
      <c r="M230" s="73">
        <f>L233</f>
        <v>660283.44889523496</v>
      </c>
      <c r="N230" s="73">
        <f>M233</f>
        <v>629588.29876353149</v>
      </c>
      <c r="O230" s="218"/>
      <c r="P230" s="30"/>
    </row>
    <row r="231" spans="1:17" ht="26.25" x14ac:dyDescent="0.25">
      <c r="A231" s="54" t="s">
        <v>126</v>
      </c>
      <c r="B231" s="39" t="s">
        <v>16</v>
      </c>
      <c r="C231" s="35"/>
      <c r="D231" s="35"/>
      <c r="E231" s="35"/>
      <c r="F231" s="35"/>
      <c r="G231" s="35"/>
      <c r="H231" s="35"/>
      <c r="I231" s="35"/>
      <c r="J231" s="35"/>
      <c r="K231" s="191">
        <f>K$52+K$54</f>
        <v>690978.59902693843</v>
      </c>
      <c r="L231" s="73"/>
      <c r="M231" s="73"/>
      <c r="N231" s="73"/>
      <c r="O231" s="218"/>
      <c r="P231" s="30"/>
    </row>
    <row r="232" spans="1:17" ht="18" customHeight="1" x14ac:dyDescent="0.25">
      <c r="A232" s="54" t="s">
        <v>3</v>
      </c>
      <c r="B232" s="39" t="s">
        <v>16</v>
      </c>
      <c r="C232" s="134"/>
      <c r="D232" s="134"/>
      <c r="E232" s="134"/>
      <c r="F232" s="134"/>
      <c r="G232" s="134"/>
      <c r="H232" s="134"/>
      <c r="I232" s="134"/>
      <c r="J232" s="134"/>
      <c r="K232" s="140"/>
      <c r="L232" s="238">
        <f>L230*L$152</f>
        <v>-30695.150131703442</v>
      </c>
      <c r="M232" s="140">
        <f>IF(M230+L232&lt;0,-M230,L232)</f>
        <v>-30695.150131703442</v>
      </c>
      <c r="N232" s="238">
        <f>IF(N230+M232&lt;0,-N230,M232*N$145)</f>
        <v>-15463.1283346569</v>
      </c>
      <c r="O232" s="218"/>
      <c r="P232" s="30"/>
    </row>
    <row r="233" spans="1:17" ht="18" customHeight="1" x14ac:dyDescent="0.25">
      <c r="A233" s="54" t="s">
        <v>108</v>
      </c>
      <c r="B233" s="39" t="s">
        <v>16</v>
      </c>
      <c r="C233" s="73"/>
      <c r="D233" s="73"/>
      <c r="E233" s="73"/>
      <c r="F233" s="73"/>
      <c r="G233" s="73"/>
      <c r="H233" s="73"/>
      <c r="I233" s="73"/>
      <c r="J233" s="73"/>
      <c r="K233" s="180">
        <f>SUM(K230:K232)</f>
        <v>690978.59902693843</v>
      </c>
      <c r="L233" s="73">
        <f t="shared" ref="L233:N233" si="78">SUM(L230:L232)</f>
        <v>660283.44889523496</v>
      </c>
      <c r="M233" s="73">
        <f t="shared" si="78"/>
        <v>629588.29876353149</v>
      </c>
      <c r="N233" s="73">
        <f t="shared" si="78"/>
        <v>614125.17042887455</v>
      </c>
      <c r="O233" s="218"/>
      <c r="P233" s="30"/>
    </row>
    <row r="234" spans="1:17" ht="18" customHeight="1" x14ac:dyDescent="0.25">
      <c r="A234" s="54" t="s">
        <v>194</v>
      </c>
      <c r="B234" s="39" t="s">
        <v>16</v>
      </c>
      <c r="C234" s="35"/>
      <c r="D234" s="35"/>
      <c r="E234" s="35"/>
      <c r="F234" s="35"/>
      <c r="G234" s="35"/>
      <c r="H234" s="35"/>
      <c r="I234" s="35"/>
      <c r="J234" s="35"/>
      <c r="K234" s="236">
        <f>K231*Inputs!K$48*((1+K$148)^(K$146)-1)</f>
        <v>3990.4385470461143</v>
      </c>
      <c r="L234" s="214">
        <f>L230*Inputs!L$48*((1+$K$148)^L$145-1)</f>
        <v>8151.1946974624288</v>
      </c>
      <c r="M234" s="214">
        <f>M230*Inputs!M$48*((1+$K$148)^M$145-1)</f>
        <v>7767.3888458902675</v>
      </c>
      <c r="N234" s="214">
        <f>N230*Inputs!N$48*((1+$K$148)^N$145-1)</f>
        <v>3696.7759500004927</v>
      </c>
      <c r="O234" s="218"/>
      <c r="P234" s="30"/>
    </row>
    <row r="235" spans="1:17" ht="18" customHeight="1" x14ac:dyDescent="0.25">
      <c r="A235" s="54" t="s">
        <v>98</v>
      </c>
      <c r="B235" s="39" t="s">
        <v>16</v>
      </c>
      <c r="C235" s="157"/>
      <c r="D235" s="157"/>
      <c r="E235" s="157"/>
      <c r="F235" s="157"/>
      <c r="G235" s="157"/>
      <c r="H235" s="157"/>
      <c r="I235" s="157"/>
      <c r="J235" s="157"/>
      <c r="K235" s="237">
        <f>-(((1+K$150)^(K$146)-1)*Inputs!K$100+((1+K$151)^(K$146)-1)*Inputs!K$101)</f>
        <v>-1039.0519933232872</v>
      </c>
      <c r="L235" s="231">
        <f>-(((1+$K$150)^(L$145)-1)*Inputs!$K$100+((1+$K$151)^(L$145)-1)*Inputs!$K$101)</f>
        <v>-2123.4008875071163</v>
      </c>
      <c r="M235" s="231">
        <f>-(((1+$K$150)^(M$145)-1)*Inputs!$K$100+((1+$K$151)^(M$145)-1)*Inputs!$K$101)</f>
        <v>-2117.478002939868</v>
      </c>
      <c r="N235" s="231">
        <f>-(((1+$K$150)^(N$145)-1)*Inputs!$K$100+((1+$K$151)^(N$145)-1)*Inputs!$K$101)</f>
        <v>-1056.4546700410058</v>
      </c>
      <c r="O235" s="218"/>
      <c r="P235" s="30"/>
      <c r="Q235" s="30"/>
    </row>
    <row r="236" spans="1:17" ht="18" customHeight="1" x14ac:dyDescent="0.25">
      <c r="A236" s="54" t="s">
        <v>129</v>
      </c>
      <c r="B236" s="39" t="s">
        <v>16</v>
      </c>
      <c r="C236" s="156"/>
      <c r="D236" s="156"/>
      <c r="E236" s="156"/>
      <c r="F236" s="156"/>
      <c r="G236" s="156"/>
      <c r="H236" s="156"/>
      <c r="I236" s="156"/>
      <c r="J236" s="156"/>
      <c r="K236" s="158">
        <f t="shared" ref="K236:L236" si="79">SUM(K234:K235)</f>
        <v>2951.3865537228271</v>
      </c>
      <c r="L236" s="158">
        <f t="shared" si="79"/>
        <v>6027.7938099553121</v>
      </c>
      <c r="M236" s="158">
        <f t="shared" ref="M236:N236" si="80">SUM(M234:M235)</f>
        <v>5649.9108429503995</v>
      </c>
      <c r="N236" s="158">
        <f t="shared" si="80"/>
        <v>2640.3212799594867</v>
      </c>
      <c r="O236" s="218"/>
      <c r="P236" s="30"/>
    </row>
    <row r="237" spans="1:17" ht="18" customHeight="1" x14ac:dyDescent="0.25">
      <c r="A237" s="54"/>
      <c r="B237" s="39"/>
      <c r="C237" s="35"/>
      <c r="D237" s="35"/>
      <c r="E237" s="35"/>
      <c r="F237" s="35"/>
      <c r="G237" s="35"/>
      <c r="H237" s="35"/>
      <c r="I237" s="35"/>
      <c r="J237" s="35"/>
      <c r="K237" s="35"/>
      <c r="L237" s="35"/>
      <c r="M237" s="35"/>
      <c r="N237" s="35"/>
      <c r="O237" s="218"/>
      <c r="P237" s="30"/>
    </row>
    <row r="238" spans="1:17" ht="18" customHeight="1" x14ac:dyDescent="0.25">
      <c r="A238" s="33" t="s">
        <v>165</v>
      </c>
      <c r="B238" s="39"/>
      <c r="C238" s="110"/>
      <c r="D238" s="110"/>
      <c r="E238" s="110"/>
      <c r="F238" s="110"/>
      <c r="G238" s="110"/>
      <c r="H238" s="110"/>
      <c r="I238" s="110"/>
      <c r="J238" s="110"/>
      <c r="K238" s="110"/>
      <c r="L238" s="110"/>
      <c r="M238" s="110"/>
      <c r="N238" s="110"/>
      <c r="O238" s="218"/>
      <c r="P238" s="30"/>
    </row>
    <row r="239" spans="1:17" ht="18" customHeight="1" x14ac:dyDescent="0.25">
      <c r="A239" s="54" t="s">
        <v>106</v>
      </c>
      <c r="B239" s="39" t="s">
        <v>16</v>
      </c>
      <c r="C239" s="35"/>
      <c r="D239" s="35"/>
      <c r="E239" s="35"/>
      <c r="F239" s="35"/>
      <c r="G239" s="35"/>
      <c r="H239" s="35"/>
      <c r="I239" s="35"/>
      <c r="J239" s="35"/>
      <c r="K239" s="35"/>
      <c r="L239" s="73"/>
      <c r="M239" s="73">
        <f>L242</f>
        <v>570084.93023664074</v>
      </c>
      <c r="N239" s="73">
        <f>M242</f>
        <v>544131.77356876945</v>
      </c>
      <c r="O239" s="218"/>
      <c r="P239" s="30"/>
    </row>
    <row r="240" spans="1:17" ht="26.25" x14ac:dyDescent="0.25">
      <c r="A240" s="54" t="s">
        <v>127</v>
      </c>
      <c r="B240" s="39" t="s">
        <v>16</v>
      </c>
      <c r="C240" s="35"/>
      <c r="D240" s="35"/>
      <c r="E240" s="35"/>
      <c r="F240" s="35"/>
      <c r="G240" s="35"/>
      <c r="H240" s="35"/>
      <c r="I240" s="35"/>
      <c r="J240" s="35"/>
      <c r="K240" s="35"/>
      <c r="L240" s="191">
        <f>L$52+L$54</f>
        <v>570084.93023664074</v>
      </c>
      <c r="M240" s="154"/>
      <c r="N240" s="154"/>
      <c r="O240" s="218"/>
      <c r="P240" s="30"/>
    </row>
    <row r="241" spans="1:17" ht="18" customHeight="1" x14ac:dyDescent="0.25">
      <c r="A241" s="54" t="s">
        <v>3</v>
      </c>
      <c r="B241" s="39" t="s">
        <v>16</v>
      </c>
      <c r="C241" s="134"/>
      <c r="D241" s="134"/>
      <c r="E241" s="134"/>
      <c r="F241" s="134"/>
      <c r="G241" s="134"/>
      <c r="H241" s="134"/>
      <c r="I241" s="134"/>
      <c r="J241" s="134"/>
      <c r="K241" s="134"/>
      <c r="L241" s="140"/>
      <c r="M241" s="238">
        <f>M239*M$152</f>
        <v>-25953.156667871284</v>
      </c>
      <c r="N241" s="238">
        <f>IF(N239+M241&lt;0,-N239,M241*N$145)</f>
        <v>-13074.28015575172</v>
      </c>
      <c r="O241" s="218"/>
      <c r="P241" s="30"/>
    </row>
    <row r="242" spans="1:17" ht="18" customHeight="1" x14ac:dyDescent="0.25">
      <c r="A242" s="54" t="s">
        <v>108</v>
      </c>
      <c r="B242" s="39" t="s">
        <v>16</v>
      </c>
      <c r="C242" s="73"/>
      <c r="D242" s="73"/>
      <c r="E242" s="73"/>
      <c r="F242" s="73"/>
      <c r="G242" s="73"/>
      <c r="H242" s="73"/>
      <c r="I242" s="73"/>
      <c r="J242" s="73"/>
      <c r="K242" s="73"/>
      <c r="L242" s="30">
        <f>SUM(L239:L241)</f>
        <v>570084.93023664074</v>
      </c>
      <c r="M242" s="73">
        <f t="shared" ref="M242:N242" si="81">SUM(M239:M241)</f>
        <v>544131.77356876945</v>
      </c>
      <c r="N242" s="73">
        <f t="shared" si="81"/>
        <v>531057.49341301771</v>
      </c>
      <c r="O242" s="218"/>
      <c r="P242" s="30"/>
    </row>
    <row r="243" spans="1:17" ht="18" customHeight="1" x14ac:dyDescent="0.25">
      <c r="A243" s="54" t="s">
        <v>194</v>
      </c>
      <c r="B243" s="39" t="s">
        <v>16</v>
      </c>
      <c r="C243" s="35"/>
      <c r="D243" s="35"/>
      <c r="E243" s="35"/>
      <c r="F243" s="35"/>
      <c r="G243" s="35"/>
      <c r="H243" s="35"/>
      <c r="I243" s="35"/>
      <c r="J243" s="35"/>
      <c r="K243" s="35"/>
      <c r="L243" s="236">
        <f>L240*Inputs!L$48*((1+L$148)^(L$146)-1)</f>
        <v>2420.4058640647886</v>
      </c>
      <c r="M243" s="214">
        <f>M239*Inputs!M$48*((1+$L$148)^M$145-1)</f>
        <v>4889.8397238328162</v>
      </c>
      <c r="N243" s="214">
        <f>N239*Inputs!N$48*((1+$L$148)^N$145-1)</f>
        <v>2335.7906920510377</v>
      </c>
      <c r="O243" s="218"/>
      <c r="P243" s="30"/>
    </row>
    <row r="244" spans="1:17" ht="18" customHeight="1" x14ac:dyDescent="0.25">
      <c r="A244" s="54" t="s">
        <v>98</v>
      </c>
      <c r="B244" s="39" t="s">
        <v>16</v>
      </c>
      <c r="C244" s="157"/>
      <c r="D244" s="157"/>
      <c r="E244" s="157"/>
      <c r="F244" s="157"/>
      <c r="G244" s="157"/>
      <c r="H244" s="157"/>
      <c r="I244" s="157"/>
      <c r="J244" s="157"/>
      <c r="K244" s="157"/>
      <c r="L244" s="237">
        <f>-(((1+L$150)^(L$146)-1)*Inputs!L$100+((1+L$151)^(L$146)-1)*Inputs!L$101)</f>
        <v>-551.88951830258281</v>
      </c>
      <c r="M244" s="231">
        <f>-(((1+$L$150)^(M$145)-1)*Inputs!$L$100+((1+$L$151)^(M$145)-1)*Inputs!$L$101)</f>
        <v>-1115.255201923957</v>
      </c>
      <c r="N244" s="231">
        <f>-(((1+$L$150)^(N$145)-1)*Inputs!$L$100+((1+$L$151)^(N$145)-1)*Inputs!$L$101)</f>
        <v>-558.00052549786915</v>
      </c>
      <c r="O244" s="218"/>
      <c r="P244" s="30"/>
      <c r="Q244" s="30"/>
    </row>
    <row r="245" spans="1:17" ht="18" customHeight="1" x14ac:dyDescent="0.25">
      <c r="A245" s="54" t="s">
        <v>129</v>
      </c>
      <c r="B245" s="39" t="s">
        <v>16</v>
      </c>
      <c r="C245" s="156"/>
      <c r="D245" s="156"/>
      <c r="E245" s="156"/>
      <c r="F245" s="156"/>
      <c r="G245" s="156"/>
      <c r="H245" s="156"/>
      <c r="I245" s="156"/>
      <c r="J245" s="156"/>
      <c r="K245" s="156"/>
      <c r="L245" s="158">
        <f t="shared" ref="L245:N245" si="82">SUM(L243:L244)</f>
        <v>1868.5163457622057</v>
      </c>
      <c r="M245" s="73">
        <f t="shared" si="82"/>
        <v>3774.5845219088592</v>
      </c>
      <c r="N245" s="73">
        <f t="shared" si="82"/>
        <v>1777.7901665531685</v>
      </c>
      <c r="O245" s="218"/>
      <c r="P245" s="30"/>
    </row>
    <row r="246" spans="1:17" ht="18" customHeight="1" x14ac:dyDescent="0.25">
      <c r="A246" s="54"/>
      <c r="B246" s="39"/>
      <c r="C246" s="35"/>
      <c r="D246" s="35"/>
      <c r="E246" s="35"/>
      <c r="F246" s="35"/>
      <c r="G246" s="35"/>
      <c r="H246" s="35"/>
      <c r="I246" s="35"/>
      <c r="J246" s="35"/>
      <c r="K246" s="35"/>
      <c r="L246" s="35"/>
      <c r="M246" s="73"/>
      <c r="N246" s="73"/>
      <c r="O246" s="218"/>
      <c r="P246" s="30"/>
    </row>
    <row r="247" spans="1:17" ht="18" customHeight="1" x14ac:dyDescent="0.25">
      <c r="A247" s="33" t="s">
        <v>166</v>
      </c>
      <c r="B247" s="39"/>
      <c r="C247" s="110"/>
      <c r="D247" s="110"/>
      <c r="E247" s="110"/>
      <c r="F247" s="110"/>
      <c r="G247" s="110"/>
      <c r="H247" s="110"/>
      <c r="I247" s="110"/>
      <c r="J247" s="110"/>
      <c r="K247" s="110"/>
      <c r="L247" s="110"/>
      <c r="M247" s="110"/>
      <c r="N247" s="110"/>
      <c r="O247" s="218"/>
      <c r="P247" s="30"/>
    </row>
    <row r="248" spans="1:17" ht="18" customHeight="1" x14ac:dyDescent="0.25">
      <c r="A248" s="54" t="s">
        <v>106</v>
      </c>
      <c r="B248" s="39" t="s">
        <v>16</v>
      </c>
      <c r="C248" s="35"/>
      <c r="D248" s="35"/>
      <c r="E248" s="35"/>
      <c r="F248" s="35"/>
      <c r="G248" s="35"/>
      <c r="H248" s="35"/>
      <c r="I248" s="35"/>
      <c r="J248" s="35"/>
      <c r="K248" s="35"/>
      <c r="L248" s="35"/>
      <c r="N248" s="73">
        <f>M251</f>
        <v>623491.30246544478</v>
      </c>
      <c r="O248" s="218"/>
      <c r="P248" s="30"/>
    </row>
    <row r="249" spans="1:17" ht="26.25" x14ac:dyDescent="0.25">
      <c r="A249" s="54" t="s">
        <v>128</v>
      </c>
      <c r="B249" s="39" t="s">
        <v>16</v>
      </c>
      <c r="C249" s="35"/>
      <c r="D249" s="35"/>
      <c r="E249" s="35"/>
      <c r="F249" s="35"/>
      <c r="G249" s="35"/>
      <c r="H249" s="35"/>
      <c r="I249" s="35"/>
      <c r="J249" s="35"/>
      <c r="K249" s="35"/>
      <c r="L249" s="35"/>
      <c r="M249" s="191">
        <f>M$52+M$54</f>
        <v>623491.30246544478</v>
      </c>
      <c r="N249" s="73"/>
      <c r="O249" s="218"/>
      <c r="P249" s="30"/>
    </row>
    <row r="250" spans="1:17" ht="18" customHeight="1" x14ac:dyDescent="0.25">
      <c r="A250" s="54" t="s">
        <v>3</v>
      </c>
      <c r="B250" s="39" t="s">
        <v>16</v>
      </c>
      <c r="C250" s="134"/>
      <c r="D250" s="134"/>
      <c r="E250" s="134"/>
      <c r="F250" s="134"/>
      <c r="G250" s="134"/>
      <c r="H250" s="134"/>
      <c r="I250" s="134"/>
      <c r="J250" s="134"/>
      <c r="K250" s="134"/>
      <c r="L250" s="134"/>
      <c r="M250" s="140"/>
      <c r="N250" s="238">
        <f>N248*N$152</f>
        <v>-21161.737863653139</v>
      </c>
      <c r="O250" s="218"/>
      <c r="P250" s="30"/>
    </row>
    <row r="251" spans="1:17" ht="18" customHeight="1" x14ac:dyDescent="0.25">
      <c r="A251" s="54" t="s">
        <v>108</v>
      </c>
      <c r="B251" s="39" t="s">
        <v>16</v>
      </c>
      <c r="C251" s="73"/>
      <c r="D251" s="73"/>
      <c r="E251" s="73"/>
      <c r="F251" s="73"/>
      <c r="G251" s="73"/>
      <c r="H251" s="73"/>
      <c r="I251" s="73"/>
      <c r="J251" s="73"/>
      <c r="K251" s="73"/>
      <c r="L251" s="73"/>
      <c r="M251" s="30">
        <f>SUM(M248:M250)</f>
        <v>623491.30246544478</v>
      </c>
      <c r="N251" s="73">
        <f t="shared" ref="N251" si="83">SUM(N248:N250)</f>
        <v>602329.56460179167</v>
      </c>
      <c r="O251" s="218"/>
      <c r="P251" s="30"/>
    </row>
    <row r="252" spans="1:17" ht="18" customHeight="1" x14ac:dyDescent="0.25">
      <c r="A252" s="54" t="s">
        <v>194</v>
      </c>
      <c r="B252" s="39" t="s">
        <v>16</v>
      </c>
      <c r="C252" s="35"/>
      <c r="D252" s="35"/>
      <c r="E252" s="35"/>
      <c r="F252" s="35"/>
      <c r="G252" s="35"/>
      <c r="H252" s="35"/>
      <c r="I252" s="35"/>
      <c r="J252" s="35"/>
      <c r="K252" s="35"/>
      <c r="L252" s="35"/>
      <c r="M252" s="236">
        <f>M249*Inputs!M$48*((1+M$148)^(M$146)-1)</f>
        <v>1787.3574140694939</v>
      </c>
      <c r="N252" s="214">
        <f>N248*Inputs!N$48*((1+$M$148)^N$145-1)</f>
        <v>1817.1304917504747</v>
      </c>
      <c r="O252" s="218"/>
      <c r="P252" s="30"/>
    </row>
    <row r="253" spans="1:17" ht="18" customHeight="1" x14ac:dyDescent="0.25">
      <c r="A253" s="54" t="s">
        <v>98</v>
      </c>
      <c r="B253" s="39" t="s">
        <v>16</v>
      </c>
      <c r="C253" s="157"/>
      <c r="D253" s="157"/>
      <c r="E253" s="157"/>
      <c r="F253" s="157"/>
      <c r="G253" s="157"/>
      <c r="H253" s="157"/>
      <c r="I253" s="157"/>
      <c r="J253" s="157"/>
      <c r="K253" s="157"/>
      <c r="L253" s="157"/>
      <c r="M253" s="237">
        <f>-(((1+M$150)^(M$146)-1)*Inputs!M$100+((1+M$151)^(M$146)-1)*Inputs!M$101)</f>
        <v>31.259613702180673</v>
      </c>
      <c r="N253" s="231">
        <f>(-((1+Inputs!$M$110)^(N$145)-1)*Inputs!$M$100-((1+Inputs!$M$111)^(N$145)-1)*Inputs!$M$101)</f>
        <v>31.783433998902552</v>
      </c>
      <c r="O253" s="218"/>
      <c r="P253" s="30"/>
      <c r="Q253" s="30"/>
    </row>
    <row r="254" spans="1:17" ht="18" customHeight="1" x14ac:dyDescent="0.25">
      <c r="A254" s="54" t="s">
        <v>129</v>
      </c>
      <c r="B254" s="39" t="s">
        <v>16</v>
      </c>
      <c r="C254" s="156"/>
      <c r="D254" s="156"/>
      <c r="E254" s="156"/>
      <c r="F254" s="156"/>
      <c r="G254" s="156"/>
      <c r="H254" s="156"/>
      <c r="I254" s="156"/>
      <c r="J254" s="156"/>
      <c r="K254" s="156"/>
      <c r="L254" s="156"/>
      <c r="M254" s="73">
        <f t="shared" ref="M254:N254" si="84">SUM(M252:M253)</f>
        <v>1818.6170277716747</v>
      </c>
      <c r="N254" s="73">
        <f t="shared" si="84"/>
        <v>1848.9139257493773</v>
      </c>
      <c r="O254" s="218"/>
      <c r="P254" s="30"/>
    </row>
    <row r="255" spans="1:17" ht="18" customHeight="1" x14ac:dyDescent="0.25">
      <c r="A255" s="54"/>
      <c r="B255" s="39"/>
      <c r="C255" s="35"/>
      <c r="D255" s="35"/>
      <c r="E255" s="35"/>
      <c r="F255" s="35"/>
      <c r="G255" s="35"/>
      <c r="H255" s="35"/>
      <c r="I255" s="35"/>
      <c r="J255" s="35"/>
      <c r="K255" s="35"/>
      <c r="L255" s="35"/>
      <c r="M255" s="73"/>
      <c r="N255" s="73"/>
      <c r="O255" s="218"/>
      <c r="P255" s="30"/>
    </row>
    <row r="256" spans="1:17" ht="18" customHeight="1" x14ac:dyDescent="0.25">
      <c r="A256" s="33" t="s">
        <v>167</v>
      </c>
      <c r="B256" s="39"/>
      <c r="C256" s="110"/>
      <c r="D256" s="110"/>
      <c r="E256" s="110"/>
      <c r="F256" s="110"/>
      <c r="G256" s="110"/>
      <c r="H256" s="110"/>
      <c r="I256" s="110"/>
      <c r="J256" s="110"/>
      <c r="K256" s="110"/>
      <c r="L256" s="110"/>
      <c r="M256" s="110"/>
      <c r="N256" s="110"/>
      <c r="O256" s="218"/>
      <c r="P256" s="30"/>
    </row>
    <row r="257" spans="1:17" ht="18" customHeight="1" x14ac:dyDescent="0.25">
      <c r="A257" s="54" t="s">
        <v>106</v>
      </c>
      <c r="B257" s="39" t="s">
        <v>16</v>
      </c>
      <c r="C257" s="35"/>
      <c r="D257" s="35"/>
      <c r="E257" s="35"/>
      <c r="F257" s="35"/>
      <c r="G257" s="35"/>
      <c r="H257" s="35"/>
      <c r="I257" s="35"/>
      <c r="J257" s="35"/>
      <c r="K257" s="35"/>
      <c r="L257" s="35"/>
      <c r="M257" s="35"/>
      <c r="N257" s="155"/>
      <c r="O257" s="218"/>
      <c r="P257" s="30"/>
    </row>
    <row r="258" spans="1:17" ht="26.25" x14ac:dyDescent="0.25">
      <c r="A258" s="54" t="s">
        <v>119</v>
      </c>
      <c r="B258" s="39" t="s">
        <v>16</v>
      </c>
      <c r="C258" s="35"/>
      <c r="D258" s="35"/>
      <c r="E258" s="35"/>
      <c r="F258" s="35"/>
      <c r="G258" s="35"/>
      <c r="H258" s="35"/>
      <c r="I258" s="35"/>
      <c r="J258" s="35"/>
      <c r="K258" s="35"/>
      <c r="L258" s="35"/>
      <c r="M258" s="35"/>
      <c r="N258" s="174">
        <f>N$52+N$54</f>
        <v>251286.57455227058</v>
      </c>
      <c r="O258" s="218"/>
      <c r="P258" s="30"/>
    </row>
    <row r="259" spans="1:17" ht="18" customHeight="1" x14ac:dyDescent="0.25">
      <c r="A259" s="54" t="s">
        <v>3</v>
      </c>
      <c r="B259" s="39" t="s">
        <v>16</v>
      </c>
      <c r="C259" s="134"/>
      <c r="D259" s="134"/>
      <c r="E259" s="134"/>
      <c r="F259" s="134"/>
      <c r="G259" s="134"/>
      <c r="H259" s="134"/>
      <c r="I259" s="134"/>
      <c r="J259" s="134"/>
      <c r="K259" s="134"/>
      <c r="L259" s="134"/>
      <c r="M259" s="134"/>
      <c r="N259" s="140"/>
      <c r="O259" s="218"/>
      <c r="P259" s="30"/>
    </row>
    <row r="260" spans="1:17" ht="18" customHeight="1" x14ac:dyDescent="0.25">
      <c r="A260" s="54" t="s">
        <v>108</v>
      </c>
      <c r="B260" s="39" t="s">
        <v>16</v>
      </c>
      <c r="C260" s="73"/>
      <c r="D260" s="73"/>
      <c r="E260" s="73"/>
      <c r="F260" s="73"/>
      <c r="G260" s="73"/>
      <c r="H260" s="73"/>
      <c r="I260" s="73"/>
      <c r="J260" s="73"/>
      <c r="K260" s="73"/>
      <c r="L260" s="73"/>
      <c r="M260" s="73"/>
      <c r="N260" s="30">
        <f>SUM(N257:N259)</f>
        <v>251286.57455227058</v>
      </c>
      <c r="O260" s="218"/>
      <c r="P260" s="30"/>
    </row>
    <row r="261" spans="1:17" ht="18" customHeight="1" x14ac:dyDescent="0.25">
      <c r="A261" s="54" t="s">
        <v>194</v>
      </c>
      <c r="B261" s="39" t="s">
        <v>16</v>
      </c>
      <c r="C261" s="35"/>
      <c r="D261" s="35"/>
      <c r="E261" s="35"/>
      <c r="F261" s="35"/>
      <c r="G261" s="35"/>
      <c r="H261" s="35"/>
      <c r="I261" s="35"/>
      <c r="J261" s="35"/>
      <c r="K261" s="35"/>
      <c r="L261" s="35"/>
      <c r="M261" s="35"/>
      <c r="N261" s="236">
        <f>N258*Inputs!N$48*((1+N$148)^(N$146)-1)</f>
        <v>483.97983106951568</v>
      </c>
      <c r="O261" s="218"/>
      <c r="P261" s="30"/>
    </row>
    <row r="262" spans="1:17" ht="18" customHeight="1" x14ac:dyDescent="0.25">
      <c r="A262" s="54" t="s">
        <v>98</v>
      </c>
      <c r="B262" s="39" t="s">
        <v>16</v>
      </c>
      <c r="C262" s="157"/>
      <c r="D262" s="157"/>
      <c r="E262" s="157"/>
      <c r="F262" s="157"/>
      <c r="G262" s="157"/>
      <c r="H262" s="157"/>
      <c r="I262" s="157"/>
      <c r="J262" s="157"/>
      <c r="K262" s="157"/>
      <c r="L262" s="157"/>
      <c r="M262" s="157"/>
      <c r="N262" s="237">
        <f>-(((1+N$150)^(N$146)-1)*Inputs!N$100+((1+N$151)^(N$146)-1)*Inputs!N$101)</f>
        <v>-196.88388404416014</v>
      </c>
      <c r="O262" s="218"/>
      <c r="P262" s="30"/>
      <c r="Q262" s="30"/>
    </row>
    <row r="263" spans="1:17" ht="18" customHeight="1" x14ac:dyDescent="0.25">
      <c r="A263" s="54" t="s">
        <v>129</v>
      </c>
      <c r="B263" s="39" t="s">
        <v>16</v>
      </c>
      <c r="C263" s="156"/>
      <c r="D263" s="156"/>
      <c r="E263" s="156"/>
      <c r="F263" s="156"/>
      <c r="G263" s="156"/>
      <c r="H263" s="156"/>
      <c r="I263" s="156"/>
      <c r="J263" s="156"/>
      <c r="K263" s="156"/>
      <c r="L263" s="156"/>
      <c r="M263" s="156"/>
      <c r="N263" s="158">
        <f t="shared" ref="N263" si="85">SUM(N261:N262)</f>
        <v>287.09594702535554</v>
      </c>
      <c r="O263" s="218"/>
    </row>
    <row r="264" spans="1:17" ht="18" customHeight="1" x14ac:dyDescent="0.25">
      <c r="A264" s="33"/>
      <c r="B264" s="39"/>
      <c r="C264" s="35"/>
      <c r="D264" s="35"/>
      <c r="E264" s="35"/>
      <c r="F264" s="35"/>
      <c r="G264" s="35"/>
      <c r="H264" s="35"/>
      <c r="I264" s="35"/>
      <c r="J264" s="35"/>
      <c r="K264" s="35"/>
      <c r="L264" s="35"/>
      <c r="M264" s="35"/>
      <c r="N264" s="35"/>
      <c r="O264" s="218"/>
    </row>
    <row r="265" spans="1:17" ht="18" customHeight="1" x14ac:dyDescent="0.25">
      <c r="A265" s="54" t="s">
        <v>107</v>
      </c>
      <c r="B265" s="39" t="s">
        <v>16</v>
      </c>
      <c r="C265" s="35"/>
      <c r="D265" s="35">
        <f t="shared" ref="D265:N265" si="86">SUM(D259,D250,D241,D232,D223,D214,D205,D196,D187,D178,D169,D160)</f>
        <v>-5383.7079918809704</v>
      </c>
      <c r="E265" s="35">
        <f t="shared" si="86"/>
        <v>-24922.057463206107</v>
      </c>
      <c r="F265" s="35">
        <f t="shared" si="86"/>
        <v>-49461.75987363758</v>
      </c>
      <c r="G265" s="35">
        <f t="shared" si="86"/>
        <v>-84922.681724193943</v>
      </c>
      <c r="H265" s="35">
        <f t="shared" si="86"/>
        <v>-116189.84565273838</v>
      </c>
      <c r="I265" s="35">
        <f t="shared" si="86"/>
        <v>-142816.28130299292</v>
      </c>
      <c r="J265" s="35">
        <f t="shared" si="86"/>
        <v>-154982.42725595305</v>
      </c>
      <c r="K265" s="35">
        <f t="shared" si="86"/>
        <v>-178459.63543446292</v>
      </c>
      <c r="L265" s="35">
        <f t="shared" si="86"/>
        <v>-209154.78556616636</v>
      </c>
      <c r="M265" s="35">
        <f t="shared" si="86"/>
        <v>-235107.94223403765</v>
      </c>
      <c r="N265" s="35">
        <f t="shared" si="86"/>
        <v>-133777.18097379923</v>
      </c>
      <c r="O265" s="218"/>
    </row>
    <row r="266" spans="1:17" ht="18" customHeight="1" x14ac:dyDescent="0.25">
      <c r="A266" s="54" t="s">
        <v>179</v>
      </c>
      <c r="B266" s="39" t="s">
        <v>16</v>
      </c>
      <c r="C266" s="35"/>
      <c r="D266" s="35">
        <f t="shared" ref="D266:N266" si="87">D53</f>
        <v>-5383.7079918809704</v>
      </c>
      <c r="E266" s="35">
        <f t="shared" si="87"/>
        <v>-24922.057463206107</v>
      </c>
      <c r="F266" s="35">
        <f t="shared" si="87"/>
        <v>-49461.759873637573</v>
      </c>
      <c r="G266" s="35">
        <f t="shared" si="87"/>
        <v>-84922.681724193943</v>
      </c>
      <c r="H266" s="35">
        <f t="shared" si="87"/>
        <v>-116189.84565273838</v>
      </c>
      <c r="I266" s="35">
        <f t="shared" si="87"/>
        <v>-142816.28130299292</v>
      </c>
      <c r="J266" s="35">
        <f t="shared" si="87"/>
        <v>-154982.42725595305</v>
      </c>
      <c r="K266" s="35">
        <f t="shared" si="87"/>
        <v>-178459.63543446292</v>
      </c>
      <c r="L266" s="35">
        <f t="shared" si="87"/>
        <v>-209154.78556616636</v>
      </c>
      <c r="M266" s="35">
        <f t="shared" si="87"/>
        <v>-235107.94223403765</v>
      </c>
      <c r="N266" s="35">
        <f t="shared" si="87"/>
        <v>-133777.18097379923</v>
      </c>
      <c r="O266" s="218"/>
    </row>
    <row r="267" spans="1:17" ht="18" customHeight="1" x14ac:dyDescent="0.25">
      <c r="A267" s="54"/>
      <c r="B267" s="39"/>
      <c r="C267" s="35"/>
      <c r="D267" s="35"/>
      <c r="E267" s="35"/>
      <c r="F267" s="35"/>
      <c r="G267" s="35"/>
      <c r="H267" s="35"/>
      <c r="I267" s="35"/>
      <c r="J267" s="35"/>
      <c r="K267" s="35"/>
      <c r="L267" s="35"/>
      <c r="M267" s="35"/>
      <c r="N267" s="35"/>
      <c r="O267" s="218"/>
    </row>
    <row r="268" spans="1:17" ht="18" customHeight="1" x14ac:dyDescent="0.25">
      <c r="A268" s="103" t="s">
        <v>168</v>
      </c>
      <c r="B268" s="39"/>
      <c r="C268" s="35"/>
      <c r="D268" s="35">
        <f t="shared" ref="D268:N269" si="88">SUM(D261,D252,D243,D234,D225,D216,D207,D198,D189,D180,D171,D162)</f>
        <v>1081.0214851261449</v>
      </c>
      <c r="E268" s="35">
        <f t="shared" si="88"/>
        <v>6346.872339017651</v>
      </c>
      <c r="F268" s="35">
        <f t="shared" si="88"/>
        <v>13210.317470292215</v>
      </c>
      <c r="G268" s="35">
        <f t="shared" si="88"/>
        <v>20456.507562209074</v>
      </c>
      <c r="H268" s="35">
        <f t="shared" si="88"/>
        <v>25920.523805117104</v>
      </c>
      <c r="I268" s="35">
        <f t="shared" si="88"/>
        <v>30071.780744676798</v>
      </c>
      <c r="J268" s="35">
        <f t="shared" si="88"/>
        <v>34614.728819211057</v>
      </c>
      <c r="K268" s="35">
        <f t="shared" si="88"/>
        <v>39682.277128682479</v>
      </c>
      <c r="L268" s="35">
        <f t="shared" si="88"/>
        <v>43528.682506638426</v>
      </c>
      <c r="M268" s="35">
        <f t="shared" si="88"/>
        <v>44482.265400906479</v>
      </c>
      <c r="N268" s="35">
        <f t="shared" si="88"/>
        <v>21883.182539066904</v>
      </c>
      <c r="O268" s="218"/>
    </row>
    <row r="269" spans="1:17" ht="18" customHeight="1" x14ac:dyDescent="0.25">
      <c r="A269" s="33" t="s">
        <v>197</v>
      </c>
      <c r="B269" s="39" t="s">
        <v>16</v>
      </c>
      <c r="C269" s="35"/>
      <c r="D269" s="35">
        <f t="shared" si="88"/>
        <v>-120.54266860633169</v>
      </c>
      <c r="E269" s="35">
        <f t="shared" si="88"/>
        <v>-1856.290295976848</v>
      </c>
      <c r="F269" s="35">
        <f t="shared" si="88"/>
        <v>-5718.5555545179614</v>
      </c>
      <c r="G269" s="109">
        <f>SUM(G262,G253,G244,G235,G226,G217,G208,G199,G190,G181,G172,G163)</f>
        <v>-10203.20406158737</v>
      </c>
      <c r="H269" s="109">
        <f t="shared" si="88"/>
        <v>-13980.456215683114</v>
      </c>
      <c r="I269" s="109">
        <f t="shared" si="88"/>
        <v>-16984.627835059975</v>
      </c>
      <c r="J269" s="109">
        <f t="shared" si="88"/>
        <v>-19585.096446819378</v>
      </c>
      <c r="K269" s="109">
        <f t="shared" si="88"/>
        <v>-21887.626348305377</v>
      </c>
      <c r="L269" s="109">
        <f t="shared" si="88"/>
        <v>-23582.576293216644</v>
      </c>
      <c r="M269" s="109">
        <f t="shared" si="88"/>
        <v>-24050.047946143735</v>
      </c>
      <c r="N269" s="109">
        <f t="shared" si="88"/>
        <v>-12145.993374195188</v>
      </c>
      <c r="O269" s="218"/>
    </row>
    <row r="270" spans="1:17" ht="18" customHeight="1" x14ac:dyDescent="0.25">
      <c r="A270" s="33"/>
      <c r="B270" s="39"/>
      <c r="C270" s="35"/>
    </row>
    <row r="271" spans="1:17" ht="18" customHeight="1" x14ac:dyDescent="0.25">
      <c r="A271" s="33" t="s">
        <v>169</v>
      </c>
      <c r="B271" s="39" t="s">
        <v>16</v>
      </c>
      <c r="C271" s="35"/>
      <c r="D271" s="35">
        <f t="shared" ref="D271:N271" si="89">SUM(D263,D254,D245,D236,D227,D218,D209,D200,D191,D182,D173,D164)</f>
        <v>960.47881651981334</v>
      </c>
      <c r="E271" s="35">
        <f t="shared" si="89"/>
        <v>4490.582043040803</v>
      </c>
      <c r="F271" s="35">
        <f t="shared" si="89"/>
        <v>7491.7619157742538</v>
      </c>
      <c r="G271" s="35">
        <f t="shared" si="89"/>
        <v>10253.303500621705</v>
      </c>
      <c r="H271" s="35">
        <f t="shared" si="89"/>
        <v>11940.067589433987</v>
      </c>
      <c r="I271" s="35">
        <f t="shared" si="89"/>
        <v>13087.15290961682</v>
      </c>
      <c r="J271" s="35">
        <f t="shared" si="89"/>
        <v>15029.632372391676</v>
      </c>
      <c r="K271" s="35">
        <f t="shared" si="89"/>
        <v>17794.650780377102</v>
      </c>
      <c r="L271" s="35">
        <f t="shared" si="89"/>
        <v>19946.106213421775</v>
      </c>
      <c r="M271" s="35">
        <f t="shared" si="89"/>
        <v>20432.217454762744</v>
      </c>
      <c r="N271" s="35">
        <f t="shared" si="89"/>
        <v>9737.1891648717174</v>
      </c>
    </row>
    <row r="272" spans="1:17" ht="18" customHeight="1" x14ac:dyDescent="0.25">
      <c r="B272" s="182"/>
      <c r="C272" s="182"/>
    </row>
    <row r="273" spans="1:14" ht="30" customHeight="1" x14ac:dyDescent="0.3">
      <c r="A273" s="208" t="s">
        <v>199</v>
      </c>
      <c r="B273" s="64"/>
      <c r="C273" s="64"/>
      <c r="D273" s="93" t="s">
        <v>65</v>
      </c>
      <c r="E273" s="93" t="s">
        <v>43</v>
      </c>
      <c r="F273" s="93" t="s">
        <v>43</v>
      </c>
      <c r="G273" s="93" t="s">
        <v>43</v>
      </c>
      <c r="H273" s="93" t="s">
        <v>43</v>
      </c>
      <c r="I273" s="93" t="s">
        <v>43</v>
      </c>
      <c r="J273" s="93" t="s">
        <v>43</v>
      </c>
      <c r="K273" s="93" t="s">
        <v>43</v>
      </c>
      <c r="L273" s="93" t="s">
        <v>43</v>
      </c>
      <c r="M273" s="93" t="s">
        <v>43</v>
      </c>
      <c r="N273" s="93" t="s">
        <v>66</v>
      </c>
    </row>
    <row r="274" spans="1:14" ht="18" customHeight="1" x14ac:dyDescent="0.25">
      <c r="A274" s="1"/>
      <c r="B274" s="39"/>
      <c r="C274" s="39"/>
      <c r="D274" s="94">
        <f t="shared" ref="D274:N274" si="90">D40</f>
        <v>41090</v>
      </c>
      <c r="E274" s="94">
        <f t="shared" si="90"/>
        <v>41455</v>
      </c>
      <c r="F274" s="94">
        <f t="shared" si="90"/>
        <v>41820</v>
      </c>
      <c r="G274" s="94">
        <f t="shared" si="90"/>
        <v>42185</v>
      </c>
      <c r="H274" s="94">
        <f t="shared" si="90"/>
        <v>42551</v>
      </c>
      <c r="I274" s="94">
        <f t="shared" si="90"/>
        <v>42916</v>
      </c>
      <c r="J274" s="94">
        <f t="shared" si="90"/>
        <v>43281</v>
      </c>
      <c r="K274" s="94">
        <f t="shared" si="90"/>
        <v>43646</v>
      </c>
      <c r="L274" s="94">
        <f t="shared" si="90"/>
        <v>44012</v>
      </c>
      <c r="M274" s="94">
        <f t="shared" si="90"/>
        <v>44377</v>
      </c>
      <c r="N274" s="94">
        <f t="shared" si="90"/>
        <v>44561</v>
      </c>
    </row>
    <row r="275" spans="1:14" ht="18" customHeight="1" x14ac:dyDescent="0.25">
      <c r="A275" s="173" t="s">
        <v>150</v>
      </c>
      <c r="B275" s="39"/>
      <c r="C275" s="39"/>
    </row>
    <row r="276" spans="1:14" ht="18" customHeight="1" x14ac:dyDescent="0.25">
      <c r="A276" s="169" t="s">
        <v>195</v>
      </c>
      <c r="B276" s="39" t="s">
        <v>16</v>
      </c>
      <c r="C276" s="39"/>
      <c r="D276" s="35">
        <f t="shared" ref="D276:N276" si="91">SUM(D26:D28)</f>
        <v>160213.55033569183</v>
      </c>
      <c r="E276" s="35">
        <f t="shared" si="91"/>
        <v>468547.99245429935</v>
      </c>
      <c r="F276" s="35">
        <f t="shared" si="91"/>
        <v>473461.16319148743</v>
      </c>
      <c r="G276" s="35">
        <f t="shared" si="91"/>
        <v>567105.70980190544</v>
      </c>
      <c r="H276" s="35">
        <f t="shared" si="91"/>
        <v>508925.19588824041</v>
      </c>
      <c r="I276" s="35">
        <f t="shared" si="91"/>
        <v>599243.52913206629</v>
      </c>
      <c r="J276" s="35">
        <f t="shared" si="91"/>
        <v>687150.17087321554</v>
      </c>
      <c r="K276" s="35">
        <f t="shared" si="91"/>
        <v>822893.2458462537</v>
      </c>
      <c r="L276" s="35">
        <f t="shared" si="91"/>
        <v>710455.89473739534</v>
      </c>
      <c r="M276" s="35">
        <f t="shared" si="91"/>
        <v>784056.3304633348</v>
      </c>
      <c r="N276" s="35">
        <f t="shared" si="91"/>
        <v>338882.18764968368</v>
      </c>
    </row>
    <row r="277" spans="1:14" ht="26.25" x14ac:dyDescent="0.25">
      <c r="A277" s="172" t="s">
        <v>153</v>
      </c>
      <c r="B277" s="251" t="s">
        <v>178</v>
      </c>
      <c r="C277" s="254" t="s">
        <v>195</v>
      </c>
    </row>
    <row r="278" spans="1:14" ht="18" customHeight="1" x14ac:dyDescent="0.25">
      <c r="A278" s="33"/>
      <c r="B278" s="216" cm="1">
        <f t="array" ref="B278:B289">TRANSPOSE(Inputs!C50:N50)</f>
        <v>7.0499999999999993E-2</v>
      </c>
      <c r="C278" s="184">
        <f>C22</f>
        <v>31660.431258072822</v>
      </c>
      <c r="D278" s="191">
        <f>SUM($C278:C278)*((1+$B278)^D$145-1)</f>
        <v>1283.1383368344043</v>
      </c>
      <c r="E278" s="191">
        <f>SUM($C278:D278)*((1+$B278)^E$145-1)</f>
        <v>2320.8772514511584</v>
      </c>
      <c r="F278" s="191">
        <f>SUM($C278:E278)*((1+$B278)^F$145-1)</f>
        <v>2484.3832492084925</v>
      </c>
      <c r="G278" s="191">
        <f>SUM($C278:F278)*((1+$B278)^G$145-1)</f>
        <v>2659.4082582732558</v>
      </c>
      <c r="H278" s="191">
        <f>SUM($C278:G278)*((1+$B278)^H$145-1)</f>
        <v>2854.8323982422116</v>
      </c>
      <c r="I278" s="191">
        <f>SUM($C278:H278)*((1+$B278)^I$145-1)</f>
        <v>3047.886976763808</v>
      </c>
      <c r="J278" s="191">
        <f>SUM($C278:I278)*((1+$B278)^J$145-1)</f>
        <v>3262.6108708757229</v>
      </c>
      <c r="K278" s="191">
        <f>SUM($C278:J278)*((1+$B278)^K$145-1)</f>
        <v>3492.4620814052373</v>
      </c>
      <c r="L278" s="191">
        <f>SUM($C278:K278)*((1+$B278)^L$145-1)</f>
        <v>3749.1024059998367</v>
      </c>
      <c r="M278" s="191">
        <f>SUM($C278:L278)*((1+$B278)^M$145-1)</f>
        <v>4002.630909203825</v>
      </c>
      <c r="N278" s="191">
        <f>SUM($C278:M278)*((1+$B278)^N$145-1)</f>
        <v>2123.4572350498547</v>
      </c>
    </row>
    <row r="279" spans="1:14" ht="18" customHeight="1" x14ac:dyDescent="0.25">
      <c r="A279" s="33"/>
      <c r="B279" s="216">
        <v>7.1800000000000003E-2</v>
      </c>
      <c r="C279" s="184" cm="1">
        <f t="array" ref="C279:C289">TRANSPOSE(D276:N276)</f>
        <v>160213.55033569183</v>
      </c>
      <c r="D279" s="191">
        <f>SUM($C279:C279)*((1+$B279)^(D$146)-1)</f>
        <v>3225.6299498760459</v>
      </c>
      <c r="E279" s="35">
        <f>SUM($C279:D279)*((1+$B279)^(E$145)-1)</f>
        <v>11726.619528237585</v>
      </c>
      <c r="F279" s="35">
        <f>SUM($C279:E279)*((1+$B279)^(F$145)-1)</f>
        <v>12567.994315603584</v>
      </c>
      <c r="G279" s="35">
        <f>SUM($C279:F279)*((1+$B279)^(G$145)-1)</f>
        <v>13469.737014720327</v>
      </c>
      <c r="H279" s="35">
        <f>SUM($C279:G279)*((1+$B279)^(H$145)-1)</f>
        <v>14477.120146367612</v>
      </c>
      <c r="I279" s="35">
        <f>SUM($C279:H279)*((1+$B279)^(I$145)-1)</f>
        <v>15474.899793715364</v>
      </c>
      <c r="J279" s="35">
        <f>SUM($C279:I279)*((1+$B279)^(J$145)-1)</f>
        <v>16585.210441391358</v>
      </c>
      <c r="K279" s="35">
        <f>SUM($C279:J279)*((1+$B279)^(K$145)-1)</f>
        <v>17775.184915701197</v>
      </c>
      <c r="L279" s="35">
        <f>SUM($C279:K279)*((1+$B279)^(L$145)-1)</f>
        <v>19104.566582649837</v>
      </c>
      <c r="M279" s="35">
        <f>SUM($C279:L279)*((1+$B279)^(M$145)-1)</f>
        <v>20421.275121008606</v>
      </c>
      <c r="N279" s="35">
        <f>SUM($C279:M279)*((1+$B279)^(N$145)-1)</f>
        <v>10843.630354621806</v>
      </c>
    </row>
    <row r="280" spans="1:14" ht="18" customHeight="1" x14ac:dyDescent="0.25">
      <c r="A280" s="33"/>
      <c r="B280" s="216">
        <v>6.5100000000000005E-2</v>
      </c>
      <c r="C280" s="184">
        <v>468547.99245429935</v>
      </c>
      <c r="D280" s="35"/>
      <c r="E280" s="191">
        <f>SUM($C280:D280)*((1+$B280)^(E$146)-1)</f>
        <v>14875.123971864745</v>
      </c>
      <c r="F280" s="35">
        <f>SUM($C280:E280)*((1+$B280)^(F$145)-1)</f>
        <v>31448.618330760677</v>
      </c>
      <c r="G280" s="35">
        <f>SUM($C280:F280)*((1+$B280)^(G$145)-1)</f>
        <v>33494.477457699868</v>
      </c>
      <c r="H280" s="35">
        <f>SUM($C280:G280)*((1+$B280)^(H$145)-1)</f>
        <v>35774.284339848469</v>
      </c>
      <c r="I280" s="35">
        <f>SUM($C280:H280)*((1+$B280)^(I$145)-1)</f>
        <v>38000.689051634254</v>
      </c>
      <c r="J280" s="35">
        <f>SUM($C280:I280)*((1+$B280)^(J$145)-1)</f>
        <v>40472.786735182432</v>
      </c>
      <c r="K280" s="35">
        <f>SUM($C280:J280)*((1+$B280)^(K$145)-1)</f>
        <v>43105.70431725141</v>
      </c>
      <c r="L280" s="35">
        <f>SUM($C280:K280)*((1+$B280)^(L$145)-1)</f>
        <v>46039.700868964777</v>
      </c>
      <c r="M280" s="35">
        <f>SUM($C280:L280)*((1+$B280)^(M$145)-1)</f>
        <v>48904.971518968938</v>
      </c>
      <c r="N280" s="35">
        <f>SUM($C280:M280)*((1+$B280)^(N$145)-1)</f>
        <v>25846.951553301402</v>
      </c>
    </row>
    <row r="281" spans="1:14" ht="18" customHeight="1" x14ac:dyDescent="0.25">
      <c r="A281" s="33"/>
      <c r="B281" s="216">
        <v>7.5600000000000001E-2</v>
      </c>
      <c r="C281" s="184">
        <v>473461.16319148743</v>
      </c>
      <c r="D281" s="35"/>
      <c r="E281" s="35"/>
      <c r="F281" s="191">
        <f>SUM($C281:E281)*((1+$B281)^(F$146)-1)</f>
        <v>17411.608591209329</v>
      </c>
      <c r="G281" s="35">
        <f>SUM($C281:F281)*((1+$B281)^(G$145)-1)</f>
        <v>37083.644990872148</v>
      </c>
      <c r="H281" s="35">
        <f>SUM($C281:G281)*((1+$B281)^(H$145)-1)</f>
        <v>39998.492146008197</v>
      </c>
      <c r="I281" s="35">
        <f>SUM($C281:H281)*((1+$B281)^(I$145)-1)</f>
        <v>42906.9189083491</v>
      </c>
      <c r="J281" s="35">
        <f>SUM($C281:I281)*((1+$B281)^(J$145)-1)</f>
        <v>46148.379913959201</v>
      </c>
      <c r="K281" s="35">
        <f>SUM($C281:J281)*((1+$B281)^(K$145)-1)</f>
        <v>49634.721459077024</v>
      </c>
      <c r="L281" s="35">
        <f>SUM($C281:K281)*((1+$B281)^(L$145)-1)</f>
        <v>53536.107816231823</v>
      </c>
      <c r="M281" s="35">
        <f>SUM($C281:L281)*((1+$B281)^(M$145)-1)</f>
        <v>57428.900778424424</v>
      </c>
      <c r="N281" s="35">
        <f>SUM($C281:M281)*((1+$B281)^(N$145)-1)</f>
        <v>30575.299248515959</v>
      </c>
    </row>
    <row r="282" spans="1:14" ht="18" customHeight="1" x14ac:dyDescent="0.25">
      <c r="A282" s="33"/>
      <c r="B282" s="216">
        <v>7.0000000000000007E-2</v>
      </c>
      <c r="C282" s="184">
        <v>567105.70980190544</v>
      </c>
      <c r="D282" s="35"/>
      <c r="E282" s="35"/>
      <c r="F282" s="35"/>
      <c r="G282" s="191">
        <f>SUM($C282:F282)*((1+$B282)^(G$146)-1)</f>
        <v>19336.444032729036</v>
      </c>
      <c r="H282" s="35">
        <f>SUM($C282:G282)*((1+$B282)^(H$145)-1)</f>
        <v>41138.134104500721</v>
      </c>
      <c r="I282" s="35">
        <f>SUM($C282:H282)*((1+$B282)^(I$145)-1)</f>
        <v>43899.523325839225</v>
      </c>
      <c r="J282" s="35">
        <f>SUM($C282:I282)*((1+$B282)^(J$145)-1)</f>
        <v>46970.314721414106</v>
      </c>
      <c r="K282" s="35">
        <f>SUM($C282:J282)*((1+$B282)^(K$145)-1)</f>
        <v>50255.909355856646</v>
      </c>
      <c r="L282" s="35">
        <f>SUM($C282:K282)*((1+$B282)^(L$145)-1)</f>
        <v>53923.702043024481</v>
      </c>
      <c r="M282" s="35">
        <f>SUM($C282:L282)*((1+$B282)^(M$145)-1)</f>
        <v>57543.320016411992</v>
      </c>
      <c r="N282" s="35">
        <f>SUM($C282:M282)*((1+$B282)^(N$145)-1)</f>
        <v>30516.959518518332</v>
      </c>
    </row>
    <row r="283" spans="1:14" ht="18" customHeight="1" x14ac:dyDescent="0.25">
      <c r="A283" s="33"/>
      <c r="B283" s="216">
        <v>6.4000000000000001E-2</v>
      </c>
      <c r="C283" s="184">
        <v>508925.19588824041</v>
      </c>
      <c r="D283" s="35"/>
      <c r="E283" s="35"/>
      <c r="F283" s="35"/>
      <c r="G283" s="35"/>
      <c r="H283" s="191">
        <f>SUM($C283:G283)*((1+$B283)^(H$146)-1)</f>
        <v>15977.33297215148</v>
      </c>
      <c r="I283" s="35">
        <f>SUM($C283:H283)*((1+$B283)^(I$145)-1)</f>
        <v>33570.048089248725</v>
      </c>
      <c r="J283" s="35">
        <f>SUM($C283:I283)*((1+$B283)^(J$145)-1)</f>
        <v>35717.014557787508</v>
      </c>
      <c r="K283" s="35">
        <f>SUM($C283:J283)*((1+$B283)^(K$145)-1)</f>
        <v>38001.289885842227</v>
      </c>
      <c r="L283" s="35">
        <f>SUM($C283:K283)*((1+$B283)^(L$145)-1)</f>
        <v>40545.906001863106</v>
      </c>
      <c r="M283" s="35">
        <f>SUM($C283:L283)*((1+$B283)^(M$145)-1)</f>
        <v>43024.761860630948</v>
      </c>
      <c r="N283" s="35">
        <f>SUM($C283:M283)*((1+$B283)^(N$145)-1)</f>
        <v>22721.619211063953</v>
      </c>
    </row>
    <row r="284" spans="1:14" ht="18" customHeight="1" x14ac:dyDescent="0.25">
      <c r="A284" s="33"/>
      <c r="B284" s="216">
        <v>6.2600000000000003E-2</v>
      </c>
      <c r="C284" s="184">
        <v>599243.52913206629</v>
      </c>
      <c r="D284" s="35"/>
      <c r="E284" s="35"/>
      <c r="F284" s="35"/>
      <c r="G284" s="35"/>
      <c r="H284" s="35"/>
      <c r="I284" s="191">
        <f>SUM($C284:H284)*((1+$B284)^(I$146)-1)</f>
        <v>18304.783416382506</v>
      </c>
      <c r="J284" s="35">
        <f>SUM($C284:I284)*((1+$B284)^(J$145)-1)</f>
        <v>38631.253166958923</v>
      </c>
      <c r="K284" s="35">
        <f>SUM($C284:J284)*((1+$B284)^(K$145)-1)</f>
        <v>41047.86364248766</v>
      </c>
      <c r="L284" s="35">
        <f>SUM($C284:K284)*((1+$B284)^(L$145)-1)</f>
        <v>43738.81434360992</v>
      </c>
      <c r="M284" s="35">
        <f>SUM($C284:L284)*((1+$B284)^(M$145)-1)</f>
        <v>46351.765468321559</v>
      </c>
      <c r="N284" s="35">
        <f>SUM($C284:M284)*((1+$B284)^(N$145)-1)</f>
        <v>24454.541119964259</v>
      </c>
    </row>
    <row r="285" spans="1:14" ht="18" customHeight="1" x14ac:dyDescent="0.25">
      <c r="A285" s="33"/>
      <c r="B285" s="216">
        <v>5.8900000000000001E-2</v>
      </c>
      <c r="C285" s="184">
        <v>687150.17087321554</v>
      </c>
      <c r="D285" s="35"/>
      <c r="E285" s="35"/>
      <c r="F285" s="35"/>
      <c r="G285" s="35"/>
      <c r="H285" s="35"/>
      <c r="I285" s="35"/>
      <c r="J285" s="191">
        <f>SUM($C285:I285)*((1+$B285)^(J$146)-1)</f>
        <v>19767.036484916669</v>
      </c>
      <c r="K285" s="35">
        <f>SUM($C285:J285)*((1+$B285)^(K$145)-1)</f>
        <v>41608.101530754226</v>
      </c>
      <c r="L285" s="35">
        <f>SUM($C285:K285)*((1+$B285)^(L$145)-1)</f>
        <v>44181.291484707624</v>
      </c>
      <c r="M285" s="35">
        <f>SUM($C285:L285)*((1+$B285)^(M$145)-1)</f>
        <v>46657.538349797098</v>
      </c>
      <c r="N285" s="35">
        <f>SUM($C285:M285)*((1+$B285)^(N$145)-1)</f>
        <v>24551.731371231934</v>
      </c>
    </row>
    <row r="286" spans="1:14" ht="18" customHeight="1" x14ac:dyDescent="0.25">
      <c r="A286" s="33"/>
      <c r="B286" s="216">
        <v>5.6899999999999999E-2</v>
      </c>
      <c r="C286" s="184">
        <v>822893.2458462537</v>
      </c>
      <c r="D286" s="35"/>
      <c r="E286" s="35"/>
      <c r="F286" s="35"/>
      <c r="G286" s="35"/>
      <c r="H286" s="35"/>
      <c r="I286" s="35"/>
      <c r="J286" s="35"/>
      <c r="K286" s="191">
        <f>SUM($C286:J286)*((1+$B286)^(K$146)-1)</f>
        <v>22879.175443132419</v>
      </c>
      <c r="L286" s="35">
        <f>SUM($C286:K286)*((1+$B286)^(L$145)-1)</f>
        <v>48226.034238749577</v>
      </c>
      <c r="M286" s="35">
        <f>SUM($C286:L286)*((1+$B286)^(M$145)-1)</f>
        <v>50832.722908402335</v>
      </c>
      <c r="N286" s="35">
        <f>SUM($C286:M286)*((1+$B286)^(N$145)-1)</f>
        <v>26710.95968215281</v>
      </c>
    </row>
    <row r="287" spans="1:14" ht="18" customHeight="1" x14ac:dyDescent="0.25">
      <c r="A287" s="33"/>
      <c r="B287" s="216">
        <v>4.99E-2</v>
      </c>
      <c r="C287" s="184">
        <v>710455.89473739534</v>
      </c>
      <c r="D287" s="35"/>
      <c r="E287" s="35"/>
      <c r="F287" s="35"/>
      <c r="G287" s="35"/>
      <c r="H287" s="35"/>
      <c r="I287" s="35"/>
      <c r="J287" s="35"/>
      <c r="K287" s="35"/>
      <c r="L287" s="191">
        <f>SUM($C287:K287)*((1+$B287)^(L$146)-1)</f>
        <v>17449.440235801489</v>
      </c>
      <c r="M287" s="35">
        <f>SUM($C287:L287)*((1+$B287)^(M$145)-1)</f>
        <v>36297.005035736518</v>
      </c>
      <c r="N287" s="35">
        <f>SUM($C287:M287)*((1+$B287)^(N$145)-1)</f>
        <v>18978.300163688753</v>
      </c>
    </row>
    <row r="288" spans="1:14" ht="18" customHeight="1" x14ac:dyDescent="0.25">
      <c r="A288" s="33"/>
      <c r="B288" s="216">
        <v>4.4499999999999998E-2</v>
      </c>
      <c r="C288" s="184">
        <v>784056.3304633348</v>
      </c>
      <c r="D288" s="35"/>
      <c r="E288" s="35"/>
      <c r="F288" s="35"/>
      <c r="G288" s="35"/>
      <c r="H288" s="35"/>
      <c r="I288" s="35"/>
      <c r="J288" s="35"/>
      <c r="K288" s="35"/>
      <c r="L288" s="35"/>
      <c r="M288" s="191">
        <f>SUM($C288:L288)*((1+$B288)^(M$146)-1)</f>
        <v>17100.175838418185</v>
      </c>
      <c r="N288" s="35">
        <f>SUM($C288:M288)*((1+$B288)^(N$145)-1)</f>
        <v>17765.926333687643</v>
      </c>
    </row>
    <row r="289" spans="1:14" ht="18" customHeight="1" x14ac:dyDescent="0.25">
      <c r="A289" s="33"/>
      <c r="B289" s="216">
        <v>5.2999999999999999E-2</v>
      </c>
      <c r="C289" s="234">
        <v>338882.18764968368</v>
      </c>
      <c r="D289" s="134"/>
      <c r="E289" s="134"/>
      <c r="F289" s="134"/>
      <c r="G289" s="134"/>
      <c r="H289" s="134"/>
      <c r="I289" s="134"/>
      <c r="J289" s="134"/>
      <c r="K289" s="134"/>
      <c r="L289" s="134"/>
      <c r="M289" s="134"/>
      <c r="N289" s="238">
        <f>SUM($C289:M289)*((1+$B289)^(N$146)-1)</f>
        <v>4388.4411720033868</v>
      </c>
    </row>
    <row r="290" spans="1:14" ht="18" customHeight="1" x14ac:dyDescent="0.25">
      <c r="A290" s="54" t="s">
        <v>72</v>
      </c>
      <c r="B290" s="185"/>
      <c r="C290" s="235">
        <f>SUM(C278:C289)</f>
        <v>6152595.4016316468</v>
      </c>
      <c r="D290" s="73">
        <f>SUM(D278:D289)</f>
        <v>4508.7682867104504</v>
      </c>
      <c r="E290" s="73">
        <f>SUM(E278:E289)</f>
        <v>28922.620751553488</v>
      </c>
      <c r="F290" s="73">
        <f t="shared" ref="F290:N290" si="92">SUM(F278:F289)</f>
        <v>63912.604486782089</v>
      </c>
      <c r="G290" s="73">
        <f t="shared" si="92"/>
        <v>106043.71175429464</v>
      </c>
      <c r="H290" s="73">
        <f t="shared" si="92"/>
        <v>150220.19610711871</v>
      </c>
      <c r="I290" s="73">
        <f t="shared" si="92"/>
        <v>195204.74956193299</v>
      </c>
      <c r="J290" s="73">
        <f t="shared" si="92"/>
        <v>247554.6068924859</v>
      </c>
      <c r="K290" s="73">
        <f t="shared" si="92"/>
        <v>307800.41263150808</v>
      </c>
      <c r="L290" s="73">
        <f t="shared" si="92"/>
        <v>370494.66602160246</v>
      </c>
      <c r="M290" s="73">
        <f t="shared" si="92"/>
        <v>428565.06780532445</v>
      </c>
      <c r="N290" s="73">
        <f t="shared" si="92"/>
        <v>239477.81696380011</v>
      </c>
    </row>
    <row r="291" spans="1:14" ht="18" customHeight="1" x14ac:dyDescent="0.25">
      <c r="A291" s="33"/>
      <c r="B291" s="39"/>
      <c r="C291" s="39"/>
      <c r="D291" s="39"/>
      <c r="E291" s="39"/>
      <c r="F291" s="39"/>
      <c r="G291" s="39"/>
      <c r="H291" s="39"/>
      <c r="I291" s="39"/>
      <c r="J291" s="39"/>
      <c r="K291" s="39"/>
      <c r="L291" s="39"/>
      <c r="M291" s="39"/>
      <c r="N291" s="39"/>
    </row>
    <row r="292" spans="1:14" ht="18" customHeight="1" x14ac:dyDescent="0.25">
      <c r="A292" s="33"/>
      <c r="B292" s="39"/>
      <c r="C292" s="39"/>
      <c r="D292" s="39"/>
      <c r="E292" s="39"/>
      <c r="F292" s="39"/>
      <c r="G292" s="39"/>
      <c r="H292" s="39"/>
      <c r="I292" s="39"/>
      <c r="J292" s="39"/>
      <c r="K292" s="39"/>
      <c r="L292" s="39"/>
      <c r="M292" s="39"/>
      <c r="N292" s="39"/>
    </row>
    <row r="293" spans="1:14" ht="26.25" x14ac:dyDescent="0.25">
      <c r="A293" s="66" t="s">
        <v>154</v>
      </c>
      <c r="B293" s="251" t="s">
        <v>178</v>
      </c>
      <c r="C293" s="253" t="s">
        <v>54</v>
      </c>
    </row>
    <row r="294" spans="1:14" ht="18" customHeight="1" x14ac:dyDescent="0.25">
      <c r="A294" s="33"/>
      <c r="B294" s="216" cm="1">
        <f t="array" ref="B294:B305">TRANSPOSE(Inputs!C50:N50)</f>
        <v>7.0499999999999993E-2</v>
      </c>
      <c r="C294" s="184">
        <v>0</v>
      </c>
      <c r="D294" s="191">
        <v>0</v>
      </c>
      <c r="E294" s="191">
        <v>0</v>
      </c>
      <c r="F294" s="191">
        <v>0</v>
      </c>
      <c r="G294" s="191">
        <v>0</v>
      </c>
      <c r="H294" s="191">
        <v>0</v>
      </c>
      <c r="I294" s="191">
        <v>0</v>
      </c>
      <c r="J294" s="191">
        <v>0</v>
      </c>
      <c r="K294" s="191">
        <v>0</v>
      </c>
      <c r="L294" s="191">
        <v>0</v>
      </c>
      <c r="M294" s="191">
        <v>0</v>
      </c>
      <c r="N294" s="191">
        <v>0</v>
      </c>
    </row>
    <row r="295" spans="1:14" ht="18" customHeight="1" x14ac:dyDescent="0.25">
      <c r="A295" s="33"/>
      <c r="B295" s="216">
        <v>7.1800000000000003E-2</v>
      </c>
      <c r="C295" s="184" cm="1">
        <f t="array" ref="C295:C305">-TRANSPOSE(D17:N17)</f>
        <v>-16497.531873</v>
      </c>
      <c r="D295" s="191">
        <f>SUM($C295:C295)*((1+$B295)^(D$147)-1)</f>
        <v>-227.04570337051206</v>
      </c>
      <c r="E295" s="35">
        <f>SUM($C295:D295)*((1+$B295)^(E$145)-1)</f>
        <v>-1199.9739454512489</v>
      </c>
      <c r="F295" s="35">
        <f>SUM($C295:E295)*((1+$B295)^(F$145)-1)</f>
        <v>-1286.0710359868131</v>
      </c>
      <c r="G295" s="35">
        <f>SUM($C295:F295)*((1+$B295)^(G$145)-1)</f>
        <v>-1378.3455181455774</v>
      </c>
      <c r="H295" s="35">
        <f>SUM($C295:G295)*((1+$B295)^(H$145)-1)</f>
        <v>-1481.4300863924593</v>
      </c>
      <c r="I295" s="35">
        <f>SUM($C295:H295)*((1+$B295)^(I$145)-1)</f>
        <v>-1583.5319391246749</v>
      </c>
      <c r="J295" s="35">
        <f>SUM($C295:I295)*((1+$B295)^(J$145)-1)</f>
        <v>-1697.1489832659997</v>
      </c>
      <c r="K295" s="35">
        <f>SUM($C295:J295)*((1+$B295)^(K$145)-1)</f>
        <v>-1818.9179518494345</v>
      </c>
      <c r="L295" s="35">
        <f>SUM($C295:K295)*((1+$B295)^(L$145)-1)</f>
        <v>-1954.9523273195034</v>
      </c>
      <c r="M295" s="35">
        <f>SUM($C295:L295)*((1+$B295)^(M$145)-1)</f>
        <v>-2089.6898734621968</v>
      </c>
      <c r="N295" s="35">
        <f>SUM($C295:M295)*((1+$B295)^(N$145)-1)</f>
        <v>-1109.6184939161287</v>
      </c>
    </row>
    <row r="296" spans="1:14" ht="18" customHeight="1" x14ac:dyDescent="0.25">
      <c r="A296" s="33"/>
      <c r="B296" s="216">
        <v>6.5100000000000005E-2</v>
      </c>
      <c r="C296" s="184">
        <v>-34411.330964000001</v>
      </c>
      <c r="D296" s="35"/>
      <c r="E296" s="191">
        <f>SUM($C296:D296)*((1+$B296)^(E$147)-1)</f>
        <v>-890.73377027038271</v>
      </c>
      <c r="F296" s="35">
        <f>SUM($C296:E296)*((1+$B296)^(F$145)-1)</f>
        <v>-2296.5413162765931</v>
      </c>
      <c r="G296" s="35">
        <f>SUM($C296:F296)*((1+$B296)^(G$145)-1)</f>
        <v>-2445.9405669171779</v>
      </c>
      <c r="H296" s="35">
        <f>SUM($C296:G296)*((1+$B296)^(H$145)-1)</f>
        <v>-2612.4238967385345</v>
      </c>
      <c r="I296" s="35">
        <f>SUM($C296:H296)*((1+$B296)^(I$145)-1)</f>
        <v>-2775.0075229440695</v>
      </c>
      <c r="J296" s="35">
        <f>SUM($C296:I296)*((1+$B296)^(J$145)-1)</f>
        <v>-2955.532924996056</v>
      </c>
      <c r="K296" s="35">
        <f>SUM($C296:J296)*((1+$B296)^(K$145)-1)</f>
        <v>-3147.8022306290522</v>
      </c>
      <c r="L296" s="35">
        <f>SUM($C296:K296)*((1+$B296)^(L$145)-1)</f>
        <v>-3362.0578851050441</v>
      </c>
      <c r="M296" s="35">
        <f>SUM($C296:L296)*((1+$B296)^(M$145)-1)</f>
        <v>-3571.2948175782576</v>
      </c>
      <c r="N296" s="35">
        <f>SUM($C296:M296)*((1+$B296)^(N$145)-1)</f>
        <v>-1887.4785377739795</v>
      </c>
    </row>
    <row r="297" spans="1:14" ht="18" customHeight="1" x14ac:dyDescent="0.25">
      <c r="A297" s="33"/>
      <c r="B297" s="216">
        <v>7.5600000000000001E-2</v>
      </c>
      <c r="C297" s="184">
        <v>-41232.312978000002</v>
      </c>
      <c r="D297" s="35"/>
      <c r="E297" s="35"/>
      <c r="F297" s="191">
        <f>SUM($C297:E297)*((1+$B297)^(F$147)-1)</f>
        <v>-1235.7702670223632</v>
      </c>
      <c r="G297" s="35">
        <f>SUM($C297:F297)*((1+$B297)^(G$145)-1)</f>
        <v>-3208.3085740970591</v>
      </c>
      <c r="H297" s="35">
        <f>SUM($C297:G297)*((1+$B297)^(H$145)-1)</f>
        <v>-3460.4879141351607</v>
      </c>
      <c r="I297" s="35">
        <f>SUM($C297:H297)*((1+$B297)^(I$145)-1)</f>
        <v>-3712.1117909425366</v>
      </c>
      <c r="J297" s="35">
        <f>SUM($C297:I297)*((1+$B297)^(J$145)-1)</f>
        <v>-3992.5482782258105</v>
      </c>
      <c r="K297" s="35">
        <f>SUM($C297:J297)*((1+$B297)^(K$145)-1)</f>
        <v>-4294.1707178264887</v>
      </c>
      <c r="L297" s="35">
        <f>SUM($C297:K297)*((1+$B297)^(L$145)-1)</f>
        <v>-4631.7009499168344</v>
      </c>
      <c r="M297" s="35">
        <f>SUM($C297:L297)*((1+$B297)^(M$145)-1)</f>
        <v>-4968.4877204961922</v>
      </c>
      <c r="N297" s="35">
        <f>SUM($C297:M297)*((1+$B297)^(N$145)-1)</f>
        <v>-2645.2360537574573</v>
      </c>
    </row>
    <row r="298" spans="1:14" ht="18" customHeight="1" x14ac:dyDescent="0.25">
      <c r="A298" s="33"/>
      <c r="B298" s="216">
        <v>7.0000000000000007E-2</v>
      </c>
      <c r="C298" s="184">
        <v>-66777.41462299999</v>
      </c>
      <c r="D298" s="35"/>
      <c r="E298" s="35"/>
      <c r="F298" s="35"/>
      <c r="G298" s="191">
        <f>SUM($C298:F298)*((1+$B298)^(G$147)-1)</f>
        <v>-1856.0564980482734</v>
      </c>
      <c r="H298" s="35">
        <f>SUM($C298:G298)*((1+$B298)^(H$145)-1)</f>
        <v>-4814.546363308019</v>
      </c>
      <c r="I298" s="35">
        <f>SUM($C298:H298)*((1+$B298)^(I$145)-1)</f>
        <v>-5137.7218481149175</v>
      </c>
      <c r="J298" s="35">
        <f>SUM($C298:I298)*((1+$B298)^(J$145)-1)</f>
        <v>-5497.1078015100456</v>
      </c>
      <c r="K298" s="35">
        <f>SUM($C298:J298)*((1+$B298)^(K$145)-1)</f>
        <v>-5881.6329639390588</v>
      </c>
      <c r="L298" s="35">
        <f>SUM($C298:K298)*((1+$B298)^(L$145)-1)</f>
        <v>-6310.8881629841635</v>
      </c>
      <c r="M298" s="35">
        <f>SUM($C298:L298)*((1+$B298)^(M$145)-1)</f>
        <v>-6734.5052989988617</v>
      </c>
      <c r="N298" s="35">
        <f>SUM($C298:M298)*((1+$B298)^(N$145)-1)</f>
        <v>-3571.5114374384352</v>
      </c>
    </row>
    <row r="299" spans="1:14" ht="18" customHeight="1" x14ac:dyDescent="0.25">
      <c r="A299" s="33"/>
      <c r="B299" s="216">
        <v>6.4000000000000001E-2</v>
      </c>
      <c r="C299" s="184">
        <v>-100606.975593</v>
      </c>
      <c r="D299" s="35"/>
      <c r="E299" s="35"/>
      <c r="F299" s="35"/>
      <c r="G299" s="35"/>
      <c r="H299" s="191">
        <f>SUM($C299:G299)*((1+$B299)^(H$147)-1)</f>
        <v>-2578.5201544644192</v>
      </c>
      <c r="I299" s="35">
        <f>SUM($C299:H299)*((1+$B299)^(I$145)-1)</f>
        <v>-6599.2100702503067</v>
      </c>
      <c r="J299" s="35">
        <f>SUM($C299:I299)*((1+$B299)^(J$145)-1)</f>
        <v>-7021.2613792625343</v>
      </c>
      <c r="K299" s="35">
        <f>SUM($C299:J299)*((1+$B299)^(K$145)-1)</f>
        <v>-7470.3049048495832</v>
      </c>
      <c r="L299" s="35">
        <f>SUM($C299:K299)*((1+$B299)^(L$145)-1)</f>
        <v>-7970.5263002173269</v>
      </c>
      <c r="M299" s="35">
        <f>SUM($C299:L299)*((1+$B299)^(M$145)-1)</f>
        <v>-8457.82052459226</v>
      </c>
      <c r="N299" s="35">
        <f>SUM($C299:M299)*((1+$B299)^(N$145)-1)</f>
        <v>-4466.6226843466447</v>
      </c>
    </row>
    <row r="300" spans="1:14" ht="18" customHeight="1" x14ac:dyDescent="0.25">
      <c r="A300" s="33"/>
      <c r="B300" s="216">
        <v>6.2600000000000003E-2</v>
      </c>
      <c r="C300" s="184">
        <v>-165552.05482699999</v>
      </c>
      <c r="D300" s="35"/>
      <c r="E300" s="35"/>
      <c r="F300" s="35"/>
      <c r="G300" s="35"/>
      <c r="H300" s="35"/>
      <c r="I300" s="191">
        <f>SUM($C300:H300)*((1+$B300)^(I$147)-1)</f>
        <v>-4123.6546285651966</v>
      </c>
      <c r="J300" s="35">
        <f>SUM($C300:I300)*((1+$B300)^(J$145)-1)</f>
        <v>-10614.206459752992</v>
      </c>
      <c r="K300" s="35">
        <f>SUM($C300:J300)*((1+$B300)^(K$145)-1)</f>
        <v>-11278.187056219958</v>
      </c>
      <c r="L300" s="35">
        <f>SUM($C300:K300)*((1+$B300)^(L$145)-1)</f>
        <v>-12017.544544606018</v>
      </c>
      <c r="M300" s="35">
        <f>SUM($C300:L300)*((1+$B300)^(M$145)-1)</f>
        <v>-12735.471104924132</v>
      </c>
      <c r="N300" s="35">
        <f>SUM($C300:M300)*((1+$B300)^(N$145)-1)</f>
        <v>-6719.0558691951674</v>
      </c>
    </row>
    <row r="301" spans="1:14" ht="18" customHeight="1" x14ac:dyDescent="0.25">
      <c r="A301" s="33"/>
      <c r="B301" s="216">
        <v>5.8900000000000001E-2</v>
      </c>
      <c r="C301" s="184">
        <v>-238309.77238400001</v>
      </c>
      <c r="D301" s="35"/>
      <c r="E301" s="35"/>
      <c r="F301" s="35"/>
      <c r="G301" s="35"/>
      <c r="H301" s="35"/>
      <c r="I301" s="35"/>
      <c r="J301" s="191">
        <f>SUM($C301:I301)*((1+$B301)^(J$147)-1)</f>
        <v>-5590.9713036458015</v>
      </c>
      <c r="K301" s="35">
        <f>SUM($C301:J301)*((1+$B301)^(K$145)-1)</f>
        <v>-14355.637125750165</v>
      </c>
      <c r="L301" s="35">
        <f>SUM($C301:K301)*((1+$B301)^(L$145)-1)</f>
        <v>-15243.43973811586</v>
      </c>
      <c r="M301" s="35">
        <f>SUM($C301:L301)*((1+$B301)^(M$145)-1)</f>
        <v>-16097.795022812659</v>
      </c>
      <c r="N301" s="35">
        <f>SUM($C301:M301)*((1+$B301)^(N$145)-1)</f>
        <v>-8470.8442204167332</v>
      </c>
    </row>
    <row r="302" spans="1:14" ht="18" customHeight="1" x14ac:dyDescent="0.25">
      <c r="A302" s="33"/>
      <c r="B302" s="216">
        <v>5.6899999999999999E-2</v>
      </c>
      <c r="C302" s="184">
        <v>-333431.90610600001</v>
      </c>
      <c r="D302" s="35"/>
      <c r="E302" s="35"/>
      <c r="F302" s="35"/>
      <c r="G302" s="35"/>
      <c r="H302" s="35"/>
      <c r="I302" s="35"/>
      <c r="J302" s="35"/>
      <c r="K302" s="191">
        <f>SUM($C302:J302)*((1+$B302)^(K$147)-1)</f>
        <v>-7561.3081293602718</v>
      </c>
      <c r="L302" s="35">
        <f>SUM($C302:K302)*((1+$B302)^(L$145)-1)</f>
        <v>-19443.469674532083</v>
      </c>
      <c r="M302" s="35">
        <f>SUM($C302:L302)*((1+$B302)^(M$145)-1)</f>
        <v>-20494.418045041391</v>
      </c>
      <c r="N302" s="35">
        <f>SUM($C302:M302)*((1+$B302)^(N$145)-1)</f>
        <v>-10769.157007322139</v>
      </c>
    </row>
    <row r="303" spans="1:14" ht="18" customHeight="1" x14ac:dyDescent="0.25">
      <c r="A303" s="33"/>
      <c r="B303" s="216">
        <v>4.99E-2</v>
      </c>
      <c r="C303" s="184">
        <v>-433902.34761800006</v>
      </c>
      <c r="D303" s="35"/>
      <c r="E303" s="35"/>
      <c r="F303" s="35"/>
      <c r="G303" s="35"/>
      <c r="H303" s="35"/>
      <c r="I303" s="35"/>
      <c r="J303" s="35"/>
      <c r="K303" s="35"/>
      <c r="L303" s="191">
        <f>SUM($C303:K303)*((1+$B303)^(L$147)-1)</f>
        <v>-8705.4734753978155</v>
      </c>
      <c r="M303" s="35">
        <f>SUM($C303:L303)*((1+$B303)^(M$145)-1)</f>
        <v>-22070.642347572561</v>
      </c>
      <c r="N303" s="35">
        <f>SUM($C303:M303)*((1+$B303)^(N$145)-1)</f>
        <v>-11539.885311894383</v>
      </c>
    </row>
    <row r="304" spans="1:14" ht="18" customHeight="1" x14ac:dyDescent="0.25">
      <c r="A304" s="33"/>
      <c r="B304" s="216">
        <v>4.4499999999999998E-2</v>
      </c>
      <c r="C304" s="184">
        <v>-527183.446291</v>
      </c>
      <c r="D304" s="35"/>
      <c r="E304" s="35"/>
      <c r="F304" s="35"/>
      <c r="G304" s="35"/>
      <c r="H304" s="35"/>
      <c r="I304" s="35"/>
      <c r="J304" s="35"/>
      <c r="K304" s="35"/>
      <c r="L304" s="35"/>
      <c r="M304" s="191">
        <f>SUM($C304:L304)*((1+$B304)^(M$147)-1)</f>
        <v>-9382.9897981049671</v>
      </c>
      <c r="N304" s="35">
        <f>SUM($C304:M304)*((1+$B304)^(N$145)-1)</f>
        <v>-11898.548787542311</v>
      </c>
    </row>
    <row r="305" spans="1:14" ht="18" customHeight="1" x14ac:dyDescent="0.25">
      <c r="A305" s="33"/>
      <c r="B305" s="216">
        <v>5.2999999999999999E-2</v>
      </c>
      <c r="C305" s="234">
        <v>-307047.77975149994</v>
      </c>
      <c r="D305" s="134"/>
      <c r="E305" s="134"/>
      <c r="F305" s="134"/>
      <c r="G305" s="134"/>
      <c r="H305" s="134"/>
      <c r="I305" s="134"/>
      <c r="J305" s="134"/>
      <c r="K305" s="134"/>
      <c r="L305" s="134"/>
      <c r="M305" s="134"/>
      <c r="N305" s="238">
        <f>SUM($C305:M305)*((1+$B305)^(N$147)-1)</f>
        <v>-2528.3612836821439</v>
      </c>
    </row>
    <row r="306" spans="1:14" ht="18" customHeight="1" x14ac:dyDescent="0.25">
      <c r="A306" s="54" t="s">
        <v>72</v>
      </c>
      <c r="B306" s="185"/>
      <c r="C306" s="186">
        <f>SUM(C294:C305)</f>
        <v>-2264952.8730085003</v>
      </c>
      <c r="D306" s="73">
        <f>SUM(D294:D305)</f>
        <v>-227.04570337051206</v>
      </c>
      <c r="E306" s="73">
        <f t="shared" ref="E306:N306" si="93">SUM(E294:E305)</f>
        <v>-2090.7077157216318</v>
      </c>
      <c r="F306" s="73">
        <f t="shared" si="93"/>
        <v>-4818.3826192857696</v>
      </c>
      <c r="G306" s="73">
        <f t="shared" si="93"/>
        <v>-8888.651157208089</v>
      </c>
      <c r="H306" s="73">
        <f t="shared" si="93"/>
        <v>-14947.408415038593</v>
      </c>
      <c r="I306" s="73">
        <f t="shared" si="93"/>
        <v>-23931.237799941704</v>
      </c>
      <c r="J306" s="73">
        <f t="shared" si="93"/>
        <v>-37368.777130659233</v>
      </c>
      <c r="K306" s="73">
        <f t="shared" si="93"/>
        <v>-55807.961080424015</v>
      </c>
      <c r="L306" s="73">
        <f t="shared" si="93"/>
        <v>-79640.053058194651</v>
      </c>
      <c r="M306" s="73">
        <f t="shared" si="93"/>
        <v>-106603.11455358348</v>
      </c>
      <c r="N306" s="73">
        <f t="shared" si="93"/>
        <v>-65606.319687285519</v>
      </c>
    </row>
    <row r="307" spans="1:14" ht="18" customHeight="1" x14ac:dyDescent="0.25">
      <c r="A307" s="33"/>
      <c r="B307" s="185"/>
      <c r="C307" s="183"/>
      <c r="D307" s="139"/>
      <c r="E307" s="139"/>
      <c r="F307" s="139"/>
      <c r="G307" s="139"/>
      <c r="H307" s="139"/>
      <c r="I307" s="139"/>
      <c r="J307" s="139"/>
      <c r="K307" s="139"/>
      <c r="L307" s="139"/>
      <c r="M307" s="139"/>
      <c r="N307" s="139"/>
    </row>
    <row r="308" spans="1:14" ht="18" customHeight="1" x14ac:dyDescent="0.25">
      <c r="A308" s="33"/>
      <c r="B308" s="39"/>
      <c r="C308" s="139"/>
      <c r="D308" s="139"/>
      <c r="E308" s="139"/>
      <c r="F308" s="139"/>
      <c r="G308" s="139"/>
      <c r="H308" s="139"/>
      <c r="I308" s="139"/>
      <c r="J308" s="139"/>
      <c r="K308" s="139"/>
      <c r="L308" s="139"/>
      <c r="M308" s="139"/>
      <c r="N308" s="139"/>
    </row>
    <row r="309" spans="1:14" ht="18" customHeight="1" x14ac:dyDescent="0.25">
      <c r="A309" s="66" t="s">
        <v>149</v>
      </c>
      <c r="C309" s="139"/>
      <c r="D309" s="139"/>
      <c r="E309" s="139"/>
      <c r="F309" s="139"/>
      <c r="G309" s="139"/>
      <c r="H309" s="139"/>
      <c r="I309" s="139"/>
      <c r="J309" s="139"/>
      <c r="K309" s="139"/>
      <c r="L309" s="139"/>
      <c r="M309" s="139"/>
      <c r="N309" s="139"/>
    </row>
    <row r="310" spans="1:14" ht="18" customHeight="1" x14ac:dyDescent="0.25">
      <c r="A310" s="33"/>
      <c r="B310" s="39" t="s">
        <v>16</v>
      </c>
      <c r="C310" s="35">
        <f>SUM($C278:C278,$C294:C294)</f>
        <v>31660.431258072822</v>
      </c>
      <c r="D310" s="35">
        <f>SUM($C278:D278,$C294:D294)</f>
        <v>32943.569594907225</v>
      </c>
      <c r="E310" s="35">
        <f>SUM($C278:E278,$C294:E294)</f>
        <v>35264.446846358383</v>
      </c>
      <c r="F310" s="35">
        <f>SUM($C278:F278,$C294:F294)</f>
        <v>37748.830095566875</v>
      </c>
      <c r="G310" s="35">
        <f>SUM($C278:G278,$C294:G294)</f>
        <v>40408.238353840134</v>
      </c>
      <c r="H310" s="35">
        <f>SUM($C278:H278,$C294:H294)</f>
        <v>43263.070752082349</v>
      </c>
      <c r="I310" s="35">
        <f>SUM($C278:I278,$C294:I294)</f>
        <v>46310.957728846159</v>
      </c>
      <c r="J310" s="35">
        <f>SUM($C278:J278,$C294:J294)</f>
        <v>49573.568599721882</v>
      </c>
      <c r="K310" s="35">
        <f>SUM($C278:K278,$C294:K294)</f>
        <v>53066.030681127122</v>
      </c>
      <c r="L310" s="35">
        <f>SUM($C278:L278,$C294:L294)</f>
        <v>56815.13308712696</v>
      </c>
      <c r="M310" s="35">
        <f>SUM($C278:M278,$C294:M294)</f>
        <v>60817.763996330788</v>
      </c>
      <c r="N310" s="35">
        <f>SUM($C278:N278,$C294:N294)</f>
        <v>62941.221231380645</v>
      </c>
    </row>
    <row r="311" spans="1:14" ht="18" customHeight="1" x14ac:dyDescent="0.25">
      <c r="A311" s="33"/>
      <c r="B311" s="39" t="s">
        <v>16</v>
      </c>
      <c r="C311" s="35"/>
      <c r="D311" s="35">
        <f>SUM($C279:D279,$C295:D295)</f>
        <v>146714.60270919738</v>
      </c>
      <c r="E311" s="35">
        <f>SUM($C279:E279,$C295:E295)</f>
        <v>157241.24829198371</v>
      </c>
      <c r="F311" s="35">
        <f>SUM($C279:F279,$C295:F295)</f>
        <v>168523.17157160045</v>
      </c>
      <c r="G311" s="35">
        <f>SUM($C279:G279,$C295:G295)</f>
        <v>180614.56306817522</v>
      </c>
      <c r="H311" s="35">
        <f>SUM($C279:H279,$C295:H295)</f>
        <v>193610.25312815036</v>
      </c>
      <c r="I311" s="35">
        <f>SUM($C279:I279,$C295:I295)</f>
        <v>207501.62098274103</v>
      </c>
      <c r="J311" s="35">
        <f>SUM($C279:J279,$C295:J295)</f>
        <v>222389.6824408664</v>
      </c>
      <c r="K311" s="35">
        <f>SUM($C279:K279,$C295:K295)</f>
        <v>238345.94940471818</v>
      </c>
      <c r="L311" s="35">
        <f>SUM($C279:L279,$C295:L295)</f>
        <v>255495.56366004844</v>
      </c>
      <c r="M311" s="35">
        <f>SUM($C279:M279,$C295:M295)</f>
        <v>273827.14890759496</v>
      </c>
      <c r="N311" s="35">
        <f>SUM($C279:N279,$C295:N295)</f>
        <v>283561.16076830064</v>
      </c>
    </row>
    <row r="312" spans="1:14" ht="18" customHeight="1" x14ac:dyDescent="0.25">
      <c r="A312" s="33"/>
      <c r="B312" s="39" t="s">
        <v>16</v>
      </c>
      <c r="C312" s="35"/>
      <c r="D312" s="35"/>
      <c r="E312" s="35">
        <f>SUM($C280:E280,$C296:E296)</f>
        <v>448121.05169189372</v>
      </c>
      <c r="F312" s="35">
        <f>SUM($C280:F280,$C296:F296)</f>
        <v>477273.12870637781</v>
      </c>
      <c r="G312" s="35">
        <f>SUM($C280:G280,$C296:G296)</f>
        <v>508321.66559716046</v>
      </c>
      <c r="H312" s="35">
        <f>SUM($C280:H280,$C296:H296)</f>
        <v>541483.52604027034</v>
      </c>
      <c r="I312" s="35">
        <f>SUM($C280:I280,$C296:I296)</f>
        <v>576709.20756896061</v>
      </c>
      <c r="J312" s="35">
        <f>SUM($C280:J280,$C296:J296)</f>
        <v>614226.4613791469</v>
      </c>
      <c r="K312" s="35">
        <f>SUM($C280:K280,$C296:K296)</f>
        <v>654184.36346576933</v>
      </c>
      <c r="L312" s="35">
        <f>SUM($C280:L280,$C296:L296)</f>
        <v>696862.00644962909</v>
      </c>
      <c r="M312" s="35">
        <f>SUM($C280:M280,$C296:M296)</f>
        <v>742195.68315101974</v>
      </c>
      <c r="N312" s="35">
        <f>SUM($C280:N280,$C296:N296)</f>
        <v>766155.15616654721</v>
      </c>
    </row>
    <row r="313" spans="1:14" ht="18" customHeight="1" x14ac:dyDescent="0.25">
      <c r="A313" s="33"/>
      <c r="B313" s="39" t="s">
        <v>16</v>
      </c>
      <c r="C313" s="35"/>
      <c r="D313" s="35"/>
      <c r="E313" s="35"/>
      <c r="F313" s="35">
        <f>SUM($C281:F281,$C297:F297)</f>
        <v>448404.68853767443</v>
      </c>
      <c r="G313" s="35">
        <f>SUM($C281:G281,$C297:G297)</f>
        <v>482280.0249544495</v>
      </c>
      <c r="H313" s="35">
        <f>SUM($C281:H281,$C297:H297)</f>
        <v>518818.02918632259</v>
      </c>
      <c r="I313" s="35">
        <f>SUM($C281:I281,$C297:I297)</f>
        <v>558012.8363037291</v>
      </c>
      <c r="J313" s="35">
        <f>SUM($C281:J281,$C297:J297)</f>
        <v>600168.66793946247</v>
      </c>
      <c r="K313" s="35">
        <f>SUM($C281:K281,$C297:K297)</f>
        <v>645509.21868071298</v>
      </c>
      <c r="L313" s="35">
        <f>SUM($C281:L281,$C297:L297)</f>
        <v>694413.62554702791</v>
      </c>
      <c r="M313" s="35">
        <f>SUM($C281:M281,$C297:M297)</f>
        <v>746874.03860495624</v>
      </c>
      <c r="N313" s="35">
        <f>SUM($C281:N281,$C297:N297)</f>
        <v>774804.10179971473</v>
      </c>
    </row>
    <row r="314" spans="1:14" ht="18" customHeight="1" x14ac:dyDescent="0.25">
      <c r="A314" s="33"/>
      <c r="B314" s="39" t="s">
        <v>16</v>
      </c>
      <c r="C314" s="35"/>
      <c r="D314" s="35"/>
      <c r="E314" s="35"/>
      <c r="F314" s="35"/>
      <c r="G314" s="35">
        <f>SUM($C282:G282,$C298:G298)</f>
        <v>517808.68271358625</v>
      </c>
      <c r="H314" s="35">
        <f>SUM($C282:H282,$C298:H298)</f>
        <v>554132.27045477903</v>
      </c>
      <c r="I314" s="35">
        <f>SUM($C282:I282,$C298:I298)</f>
        <v>592894.07193250326</v>
      </c>
      <c r="J314" s="35">
        <f>SUM($C282:J282,$C298:J298)</f>
        <v>634367.27885240735</v>
      </c>
      <c r="K314" s="35">
        <f>SUM($C282:K282,$C298:K298)</f>
        <v>678741.55524432496</v>
      </c>
      <c r="L314" s="35">
        <f>SUM($C282:L282,$C298:L298)</f>
        <v>726354.36912436516</v>
      </c>
      <c r="M314" s="35">
        <f>SUM($C282:M282,$C298:M298)</f>
        <v>777163.18384177831</v>
      </c>
      <c r="N314" s="35">
        <f>SUM($C282:N282,$C298:N298)</f>
        <v>804108.63192285819</v>
      </c>
    </row>
    <row r="315" spans="1:14" ht="18" customHeight="1" x14ac:dyDescent="0.25">
      <c r="A315" s="33"/>
      <c r="B315" s="39" t="s">
        <v>16</v>
      </c>
      <c r="C315" s="35"/>
      <c r="D315" s="35"/>
      <c r="E315" s="35"/>
      <c r="F315" s="35"/>
      <c r="G315" s="35"/>
      <c r="H315" s="35">
        <f>SUM($C283:H283,$C299:H299)</f>
        <v>421717.03311292751</v>
      </c>
      <c r="I315" s="35">
        <f>SUM($C283:I283,$C299:I299)</f>
        <v>448687.8711319259</v>
      </c>
      <c r="J315" s="35">
        <f>SUM($C283:J283,$C299:J299)</f>
        <v>477383.6243104508</v>
      </c>
      <c r="K315" s="35">
        <f>SUM($C283:K283,$C299:K299)</f>
        <v>507914.60929144354</v>
      </c>
      <c r="L315" s="35">
        <f>SUM($C283:L283,$C299:L299)</f>
        <v>540489.98899308918</v>
      </c>
      <c r="M315" s="35">
        <f>SUM($C283:M283,$C299:M299)</f>
        <v>575056.93032912782</v>
      </c>
      <c r="N315" s="35">
        <f>SUM($C283:N283,$C299:N299)</f>
        <v>593311.92685584514</v>
      </c>
    </row>
    <row r="316" spans="1:14" ht="18" customHeight="1" x14ac:dyDescent="0.25">
      <c r="A316" s="33"/>
      <c r="B316" s="39" t="s">
        <v>16</v>
      </c>
      <c r="C316" s="35"/>
      <c r="D316" s="35"/>
      <c r="E316" s="35"/>
      <c r="F316" s="35"/>
      <c r="G316" s="35"/>
      <c r="H316" s="35"/>
      <c r="I316" s="35">
        <f>SUM($C284:I284,$C300:I300)</f>
        <v>447872.6030928836</v>
      </c>
      <c r="J316" s="35">
        <f>SUM($C284:J284,$C300:J300)</f>
        <v>475889.64980008954</v>
      </c>
      <c r="K316" s="35">
        <f>SUM($C284:K284,$C300:K300)</f>
        <v>505659.32638635725</v>
      </c>
      <c r="L316" s="35">
        <f>SUM($C284:L284,$C300:L300)</f>
        <v>537380.59618536127</v>
      </c>
      <c r="M316" s="35">
        <f>SUM($C284:M284,$C300:M300)</f>
        <v>570996.89054875867</v>
      </c>
      <c r="N316" s="35">
        <f>SUM($C284:N284,$C300:N300)</f>
        <v>588732.37579952774</v>
      </c>
    </row>
    <row r="317" spans="1:14" ht="18" customHeight="1" x14ac:dyDescent="0.25">
      <c r="A317" s="33"/>
      <c r="B317" s="39" t="s">
        <v>16</v>
      </c>
      <c r="C317" s="35"/>
      <c r="D317" s="35"/>
      <c r="E317" s="35"/>
      <c r="F317" s="35"/>
      <c r="G317" s="35"/>
      <c r="H317" s="35"/>
      <c r="I317" s="35"/>
      <c r="J317" s="35">
        <f>SUM($C285:J285,$C301:J301)</f>
        <v>463016.46367048641</v>
      </c>
      <c r="K317" s="35">
        <f>SUM($C285:K285,$C301:K301)</f>
        <v>490268.92807549046</v>
      </c>
      <c r="L317" s="35">
        <f>SUM($C285:L285,$C301:L301)</f>
        <v>519206.77982208226</v>
      </c>
      <c r="M317" s="35">
        <f>SUM($C285:M285,$C301:M301)</f>
        <v>549766.52314906672</v>
      </c>
      <c r="N317" s="35">
        <f>SUM($C285:N285,$C301:N301)</f>
        <v>565847.41029988194</v>
      </c>
    </row>
    <row r="318" spans="1:14" ht="18" customHeight="1" x14ac:dyDescent="0.25">
      <c r="A318" s="33"/>
      <c r="B318" s="39" t="s">
        <v>16</v>
      </c>
      <c r="C318" s="35"/>
      <c r="D318" s="35"/>
      <c r="E318" s="35"/>
      <c r="F318" s="35"/>
      <c r="G318" s="35"/>
      <c r="H318" s="35"/>
      <c r="I318" s="35"/>
      <c r="J318" s="35"/>
      <c r="K318" s="35">
        <f>SUM($C286:K286,$C302:K302)</f>
        <v>504779.20705402584</v>
      </c>
      <c r="L318" s="35">
        <f>SUM($C286:L286,$C302:L302)</f>
        <v>533561.77161824319</v>
      </c>
      <c r="M318" s="35">
        <f>SUM($C286:M286,$C302:M302)</f>
        <v>563900.07648160413</v>
      </c>
      <c r="N318" s="35">
        <f>SUM($C286:N286,$C302:N302)</f>
        <v>579841.87915643479</v>
      </c>
    </row>
    <row r="319" spans="1:14" ht="18" customHeight="1" x14ac:dyDescent="0.25">
      <c r="A319" s="33"/>
      <c r="B319" s="39" t="s">
        <v>16</v>
      </c>
      <c r="C319" s="35"/>
      <c r="D319" s="35"/>
      <c r="E319" s="35"/>
      <c r="F319" s="35"/>
      <c r="G319" s="35"/>
      <c r="H319" s="35"/>
      <c r="I319" s="35"/>
      <c r="J319" s="35"/>
      <c r="K319" s="35"/>
      <c r="L319" s="35">
        <f>SUM($C287:L287,$C303:L303)</f>
        <v>285297.51387979899</v>
      </c>
      <c r="M319" s="35">
        <f>SUM($C287:M287,$C303:M303)</f>
        <v>299523.87656796293</v>
      </c>
      <c r="N319" s="35">
        <f>SUM($C287:N287,$C303:N303)</f>
        <v>306962.29141975724</v>
      </c>
    </row>
    <row r="320" spans="1:14" ht="18" customHeight="1" x14ac:dyDescent="0.25">
      <c r="A320" s="33"/>
      <c r="B320" s="39" t="s">
        <v>16</v>
      </c>
      <c r="C320" s="35"/>
      <c r="D320" s="35"/>
      <c r="E320" s="35"/>
      <c r="F320" s="35"/>
      <c r="G320" s="35"/>
      <c r="H320" s="35"/>
      <c r="I320" s="35"/>
      <c r="J320" s="35"/>
      <c r="K320" s="35"/>
      <c r="L320" s="35"/>
      <c r="M320" s="35">
        <f>SUM($C288:M288,$C304:M304)</f>
        <v>264590.07021264802</v>
      </c>
      <c r="N320" s="35">
        <f>SUM($C288:N288,$C304:N304)</f>
        <v>270457.44775879331</v>
      </c>
    </row>
    <row r="321" spans="1:18" ht="18" customHeight="1" x14ac:dyDescent="0.25">
      <c r="A321" s="33"/>
      <c r="B321" s="39" t="s">
        <v>16</v>
      </c>
      <c r="C321" s="134"/>
      <c r="D321" s="134"/>
      <c r="E321" s="134"/>
      <c r="F321" s="134"/>
      <c r="G321" s="134"/>
      <c r="H321" s="134"/>
      <c r="I321" s="134"/>
      <c r="J321" s="134"/>
      <c r="K321" s="134"/>
      <c r="L321" s="134"/>
      <c r="M321" s="134"/>
      <c r="N321" s="134">
        <f>SUM($C289:N289,$C305:N305)</f>
        <v>33694.487786504993</v>
      </c>
    </row>
    <row r="322" spans="1:18" ht="18" customHeight="1" x14ac:dyDescent="0.25">
      <c r="A322" s="54" t="s">
        <v>147</v>
      </c>
      <c r="B322" s="39" t="s">
        <v>16</v>
      </c>
      <c r="C322" s="73">
        <f>SUM(C310:C321)</f>
        <v>31660.431258072822</v>
      </c>
      <c r="D322" s="73">
        <f>SUM(D310:D321)</f>
        <v>179658.17230410461</v>
      </c>
      <c r="E322" s="73">
        <f>SUM(E310:E321)</f>
        <v>640626.74683023582</v>
      </c>
      <c r="F322" s="73">
        <f t="shared" ref="F322:N322" si="94">SUM(F310:F321)</f>
        <v>1131949.8189112195</v>
      </c>
      <c r="G322" s="73">
        <f t="shared" si="94"/>
        <v>1729433.1746872119</v>
      </c>
      <c r="H322" s="73">
        <f t="shared" si="94"/>
        <v>2273024.1826745323</v>
      </c>
      <c r="I322" s="73">
        <f t="shared" si="94"/>
        <v>2877989.1687415899</v>
      </c>
      <c r="J322" s="73">
        <f t="shared" si="94"/>
        <v>3537015.3969926317</v>
      </c>
      <c r="K322" s="73">
        <f t="shared" si="94"/>
        <v>4278469.1882839696</v>
      </c>
      <c r="L322" s="73">
        <f t="shared" si="94"/>
        <v>4845877.3483667728</v>
      </c>
      <c r="M322" s="73">
        <f t="shared" si="94"/>
        <v>5424712.185790848</v>
      </c>
      <c r="N322" s="73">
        <f t="shared" si="94"/>
        <v>5630418.0909655467</v>
      </c>
      <c r="O322" s="30"/>
      <c r="P322" s="30"/>
      <c r="Q322" s="30"/>
    </row>
    <row r="323" spans="1:18" ht="18" customHeight="1" x14ac:dyDescent="0.25">
      <c r="A323" s="66"/>
      <c r="C323" s="30"/>
      <c r="D323" s="30"/>
      <c r="E323" s="30"/>
      <c r="F323" s="30"/>
      <c r="G323" s="30"/>
      <c r="H323" s="30"/>
      <c r="I323" s="30"/>
      <c r="J323" s="30"/>
      <c r="K323" s="30"/>
      <c r="L323" s="30"/>
      <c r="M323" s="30"/>
      <c r="N323" s="30"/>
    </row>
    <row r="324" spans="1:18" s="79" customFormat="1" ht="18" customHeight="1" x14ac:dyDescent="0.35">
      <c r="A324" s="66" t="s">
        <v>148</v>
      </c>
      <c r="O324" s="1"/>
      <c r="P324" s="1"/>
      <c r="Q324" s="80"/>
      <c r="R324" s="164"/>
    </row>
    <row r="325" spans="1:18" ht="18" customHeight="1" x14ac:dyDescent="0.35">
      <c r="A325" s="243" t="s">
        <v>222</v>
      </c>
      <c r="B325" s="39" t="s">
        <v>16</v>
      </c>
      <c r="C325" s="39"/>
      <c r="D325" s="35">
        <f>C330</f>
        <v>31660.431258072822</v>
      </c>
      <c r="E325" s="35">
        <f>D330</f>
        <v>179658.17230410461</v>
      </c>
      <c r="F325" s="35">
        <f t="shared" ref="F325:N325" si="95">E330</f>
        <v>640626.74683023582</v>
      </c>
      <c r="G325" s="35">
        <f t="shared" si="95"/>
        <v>1131949.8189112195</v>
      </c>
      <c r="H325" s="35">
        <f t="shared" si="95"/>
        <v>1729433.1746872119</v>
      </c>
      <c r="I325" s="35">
        <f t="shared" si="95"/>
        <v>2273024.1826745323</v>
      </c>
      <c r="J325" s="35">
        <f t="shared" si="95"/>
        <v>2877989.1687415899</v>
      </c>
      <c r="K325" s="35">
        <f t="shared" si="95"/>
        <v>3537015.3969926317</v>
      </c>
      <c r="L325" s="35">
        <f t="shared" si="95"/>
        <v>4278469.1882839696</v>
      </c>
      <c r="M325" s="35">
        <f t="shared" si="95"/>
        <v>4845877.3483667728</v>
      </c>
      <c r="N325" s="35">
        <f t="shared" si="95"/>
        <v>5424712.185790848</v>
      </c>
      <c r="O325" s="38"/>
      <c r="P325" s="38"/>
      <c r="Q325" s="80"/>
      <c r="R325" s="164"/>
    </row>
    <row r="326" spans="1:18" ht="18" customHeight="1" x14ac:dyDescent="0.35">
      <c r="A326" s="243" t="s">
        <v>151</v>
      </c>
      <c r="B326" s="39" t="s">
        <v>16</v>
      </c>
      <c r="C326" s="39"/>
      <c r="D326" s="35">
        <f t="shared" ref="D326:N326" si="96">D52</f>
        <v>139082.17695616727</v>
      </c>
      <c r="E326" s="35">
        <f t="shared" si="96"/>
        <v>423687.6684495919</v>
      </c>
      <c r="F326" s="35">
        <f t="shared" si="96"/>
        <v>417825.89649912406</v>
      </c>
      <c r="G326" s="35">
        <f t="shared" si="96"/>
        <v>467068.24258278275</v>
      </c>
      <c r="H326" s="35">
        <f t="shared" si="96"/>
        <v>376763.37081148016</v>
      </c>
      <c r="I326" s="35">
        <f t="shared" si="96"/>
        <v>450907.81133290194</v>
      </c>
      <c r="J326" s="35">
        <f t="shared" si="96"/>
        <v>523965.99335277092</v>
      </c>
      <c r="K326" s="35">
        <f t="shared" si="96"/>
        <v>637156.02389413596</v>
      </c>
      <c r="L326" s="35">
        <f t="shared" si="96"/>
        <v>523418.67334551597</v>
      </c>
      <c r="M326" s="35">
        <f t="shared" si="96"/>
        <v>593450.04853671195</v>
      </c>
      <c r="N326" s="35">
        <f t="shared" si="96"/>
        <v>251286.57455227058</v>
      </c>
      <c r="O326" s="38"/>
      <c r="P326" s="38"/>
      <c r="Q326" s="80"/>
      <c r="R326" s="164"/>
    </row>
    <row r="327" spans="1:18" ht="18" customHeight="1" x14ac:dyDescent="0.35">
      <c r="A327" s="243" t="s">
        <v>70</v>
      </c>
      <c r="B327" s="39" t="s">
        <v>16</v>
      </c>
      <c r="C327" s="39"/>
      <c r="D327" s="35">
        <f t="shared" ref="D327:N327" si="97">D265</f>
        <v>-5383.7079918809704</v>
      </c>
      <c r="E327" s="35">
        <f t="shared" si="97"/>
        <v>-24922.057463206107</v>
      </c>
      <c r="F327" s="35">
        <f t="shared" si="97"/>
        <v>-49461.75987363758</v>
      </c>
      <c r="G327" s="35">
        <f t="shared" si="97"/>
        <v>-84922.681724193943</v>
      </c>
      <c r="H327" s="35">
        <f t="shared" si="97"/>
        <v>-116189.84565273838</v>
      </c>
      <c r="I327" s="35">
        <f t="shared" si="97"/>
        <v>-142816.28130299292</v>
      </c>
      <c r="J327" s="35">
        <f t="shared" si="97"/>
        <v>-154982.42725595305</v>
      </c>
      <c r="K327" s="35">
        <f t="shared" si="97"/>
        <v>-178459.63543446292</v>
      </c>
      <c r="L327" s="35">
        <f t="shared" si="97"/>
        <v>-209154.78556616636</v>
      </c>
      <c r="M327" s="35">
        <f t="shared" si="97"/>
        <v>-235107.94223403765</v>
      </c>
      <c r="N327" s="35">
        <f t="shared" si="97"/>
        <v>-133777.18097379923</v>
      </c>
      <c r="O327" s="38"/>
      <c r="P327" s="38"/>
      <c r="Q327" s="80"/>
      <c r="R327" s="164"/>
    </row>
    <row r="328" spans="1:18" ht="18" customHeight="1" x14ac:dyDescent="0.35">
      <c r="A328" s="243" t="s">
        <v>57</v>
      </c>
      <c r="B328" s="39" t="s">
        <v>16</v>
      </c>
      <c r="C328" s="39"/>
      <c r="D328" s="35">
        <f t="shared" ref="D328:N328" si="98">D28</f>
        <v>4209.5756392641961</v>
      </c>
      <c r="E328" s="35">
        <f t="shared" si="98"/>
        <v>7004.1273068820237</v>
      </c>
      <c r="F328" s="35">
        <f t="shared" si="98"/>
        <v>14243.424779774905</v>
      </c>
      <c r="G328" s="35">
        <f t="shared" si="98"/>
        <v>23914.041072084903</v>
      </c>
      <c r="H328" s="35">
        <f t="shared" si="98"/>
        <v>31451.779832392214</v>
      </c>
      <c r="I328" s="35">
        <f t="shared" si="98"/>
        <v>39324.360070347786</v>
      </c>
      <c r="J328" s="35">
        <f t="shared" si="98"/>
        <v>52619.257916583541</v>
      </c>
      <c r="K328" s="35">
        <f t="shared" si="98"/>
        <v>53822.575132802485</v>
      </c>
      <c r="L328" s="35">
        <f t="shared" si="98"/>
        <v>46666.256891124722</v>
      </c>
      <c r="M328" s="35">
        <f t="shared" si="98"/>
        <v>30041.253928732873</v>
      </c>
      <c r="N328" s="35">
        <f t="shared" si="98"/>
        <v>0</v>
      </c>
      <c r="O328" s="98"/>
      <c r="P328" s="98"/>
      <c r="Q328" s="80"/>
      <c r="R328" s="164"/>
    </row>
    <row r="329" spans="1:18" ht="18" customHeight="1" x14ac:dyDescent="0.35">
      <c r="A329" s="243" t="s">
        <v>115</v>
      </c>
      <c r="B329" s="39" t="s">
        <v>16</v>
      </c>
      <c r="C329" s="232"/>
      <c r="D329" s="134">
        <f t="shared" ref="D329:N329" si="99">D322-SUM(D325:D328)</f>
        <v>10089.696442481305</v>
      </c>
      <c r="E329" s="134">
        <f t="shared" si="99"/>
        <v>55198.836232863367</v>
      </c>
      <c r="F329" s="134">
        <f t="shared" si="99"/>
        <v>108715.51067572238</v>
      </c>
      <c r="G329" s="134">
        <f t="shared" si="99"/>
        <v>191423.75384531892</v>
      </c>
      <c r="H329" s="134">
        <f t="shared" si="99"/>
        <v>251565.70299618645</v>
      </c>
      <c r="I329" s="134">
        <f t="shared" si="99"/>
        <v>257549.09596680058</v>
      </c>
      <c r="J329" s="134">
        <f t="shared" si="99"/>
        <v>237423.40423764056</v>
      </c>
      <c r="K329" s="134">
        <f t="shared" si="99"/>
        <v>228934.82769886265</v>
      </c>
      <c r="L329" s="134">
        <f t="shared" si="99"/>
        <v>206478.01541232783</v>
      </c>
      <c r="M329" s="134">
        <f t="shared" si="99"/>
        <v>190451.47719266731</v>
      </c>
      <c r="N329" s="134">
        <f t="shared" si="99"/>
        <v>88196.511596227065</v>
      </c>
      <c r="O329" s="98"/>
      <c r="P329" s="98"/>
      <c r="Q329" s="80"/>
      <c r="R329" s="164"/>
    </row>
    <row r="330" spans="1:18" ht="18" customHeight="1" x14ac:dyDescent="0.35">
      <c r="A330" s="243" t="s">
        <v>223</v>
      </c>
      <c r="B330" s="39" t="s">
        <v>16</v>
      </c>
      <c r="C330" s="241">
        <f>C22</f>
        <v>31660.431258072822</v>
      </c>
      <c r="D330" s="73">
        <f>SUM(D325:D329)</f>
        <v>179658.17230410461</v>
      </c>
      <c r="E330" s="73">
        <f t="shared" ref="E330:N330" si="100">SUM(E325:E329)</f>
        <v>640626.74683023582</v>
      </c>
      <c r="F330" s="73">
        <f t="shared" si="100"/>
        <v>1131949.8189112195</v>
      </c>
      <c r="G330" s="73">
        <f t="shared" si="100"/>
        <v>1729433.1746872119</v>
      </c>
      <c r="H330" s="73">
        <f t="shared" si="100"/>
        <v>2273024.1826745323</v>
      </c>
      <c r="I330" s="73">
        <f t="shared" si="100"/>
        <v>2877989.1687415899</v>
      </c>
      <c r="J330" s="73">
        <f t="shared" si="100"/>
        <v>3537015.3969926317</v>
      </c>
      <c r="K330" s="73">
        <f t="shared" si="100"/>
        <v>4278469.1882839696</v>
      </c>
      <c r="L330" s="73">
        <f t="shared" si="100"/>
        <v>4845877.3483667728</v>
      </c>
      <c r="M330" s="73">
        <f t="shared" si="100"/>
        <v>5424712.185790848</v>
      </c>
      <c r="N330" s="73">
        <f t="shared" si="100"/>
        <v>5630418.0909655467</v>
      </c>
      <c r="O330" s="38"/>
      <c r="P330" s="38"/>
      <c r="Q330" s="80"/>
      <c r="R330" s="164"/>
    </row>
    <row r="331" spans="1:18" ht="18" customHeight="1" x14ac:dyDescent="0.35">
      <c r="Q331" s="80"/>
    </row>
    <row r="332" spans="1:18" ht="18" customHeight="1" x14ac:dyDescent="0.35">
      <c r="A332" s="66" t="s">
        <v>155</v>
      </c>
      <c r="B332" s="1" t="s">
        <v>23</v>
      </c>
      <c r="C332" s="137" t="s">
        <v>131</v>
      </c>
      <c r="D332" s="79"/>
      <c r="E332" s="79"/>
      <c r="F332" s="79"/>
      <c r="G332" s="79"/>
      <c r="H332" s="79"/>
      <c r="I332" s="79"/>
      <c r="J332" s="79"/>
      <c r="K332" s="79"/>
      <c r="L332" s="79"/>
      <c r="M332" s="79"/>
      <c r="N332" s="79"/>
    </row>
    <row r="333" spans="1:18" ht="18" customHeight="1" x14ac:dyDescent="0.25">
      <c r="A333" s="33"/>
      <c r="B333" s="216" cm="1">
        <f t="array" ref="B333:B343">TRANSPOSE(Inputs!D45:N45)</f>
        <v>6.4326867547209718E-2</v>
      </c>
      <c r="C333" s="184" cm="1">
        <f t="array" ref="C333:C343">TRANSPOSE(D329:N329)</f>
        <v>10089.696442481305</v>
      </c>
      <c r="D333" s="236">
        <f>$C333*((1+$B333)^D$146-1)*Inputs!D$48</f>
        <v>52.912372517063432</v>
      </c>
      <c r="E333" s="217">
        <f>$C333*((1+$B333)^E$145-1)*Inputs!E$48</f>
        <v>188.08829925299585</v>
      </c>
      <c r="F333" s="217">
        <f>$C333*((1+$B333)^F$145-1)*Inputs!F$48</f>
        <v>188.08829925299585</v>
      </c>
      <c r="G333" s="217">
        <f>$C333*((1+$B333)^G$145-1)*Inputs!G$48</f>
        <v>188.08829925299585</v>
      </c>
      <c r="H333" s="217">
        <f>$C333*((1+$B333)^H$145-1)*Inputs!H$48</f>
        <v>188.61987357543637</v>
      </c>
      <c r="I333" s="217">
        <f>$C333*((1+$B333)^I$145-1)*Inputs!I$48</f>
        <v>188.08829925299585</v>
      </c>
      <c r="J333" s="217">
        <f>$C333*((1+$B333)^J$145-1)*Inputs!J$48</f>
        <v>188.08829925299585</v>
      </c>
      <c r="K333" s="217">
        <f>$C333*((1+$B333)^K$145-1)*Inputs!K$48</f>
        <v>188.08829925299585</v>
      </c>
      <c r="L333" s="217">
        <f>$C333*((1+$B333)^L$145-1)*Inputs!L$48</f>
        <v>188.61987357543637</v>
      </c>
      <c r="M333" s="217">
        <f>$C333*((1+$B333)^M$145-1)*Inputs!M$48</f>
        <v>188.08829925299585</v>
      </c>
      <c r="N333" s="217">
        <f>$C333*((1+$B333)^N$145-1)*Inputs!N$48</f>
        <v>93.352472835413195</v>
      </c>
    </row>
    <row r="334" spans="1:18" ht="18" customHeight="1" x14ac:dyDescent="0.25">
      <c r="A334" s="33"/>
      <c r="B334" s="216">
        <v>5.239123342763756E-2</v>
      </c>
      <c r="C334" s="184">
        <v>55198.836232863367</v>
      </c>
      <c r="D334" s="217"/>
      <c r="E334" s="236">
        <f>$C334*((1+$B334)^E$146-1)*Inputs!E$48</f>
        <v>410.24722866751102</v>
      </c>
      <c r="F334" s="217">
        <f>$C334*((1+$B334)^F$145-1)*Inputs!F$48</f>
        <v>838.07237986230325</v>
      </c>
      <c r="G334" s="217">
        <f>$C334*((1+$B334)^G$145-1)*Inputs!G$48</f>
        <v>838.07237986230325</v>
      </c>
      <c r="H334" s="217">
        <f>$C334*((1+$B334)^H$145-1)*Inputs!H$48</f>
        <v>840.42771614884862</v>
      </c>
      <c r="I334" s="217">
        <f>$C334*((1+$B334)^I$145-1)*Inputs!I$48</f>
        <v>838.07237986230325</v>
      </c>
      <c r="J334" s="217">
        <f>$C334*((1+$B334)^J$145-1)*Inputs!J$48</f>
        <v>838.07237986230325</v>
      </c>
      <c r="K334" s="217">
        <f>$C334*((1+$B334)^K$145-1)*Inputs!K$48</f>
        <v>838.07237986230325</v>
      </c>
      <c r="L334" s="217">
        <f>$C334*((1+$B334)^L$145-1)*Inputs!L$48</f>
        <v>840.42771614884862</v>
      </c>
      <c r="M334" s="217">
        <f>$C334*((1+$B334)^M$145-1)*Inputs!M$48</f>
        <v>838.07237986230325</v>
      </c>
      <c r="N334" s="217">
        <f>$C334*((1+$B334)^N$145-1)*Inputs!N$48</f>
        <v>417.13474751660931</v>
      </c>
    </row>
    <row r="335" spans="1:18" ht="18" customHeight="1" x14ac:dyDescent="0.25">
      <c r="A335" s="33"/>
      <c r="B335" s="216">
        <v>6.5210564262641602E-2</v>
      </c>
      <c r="C335" s="184">
        <v>108715.51067572238</v>
      </c>
      <c r="D335" s="217"/>
      <c r="E335" s="217"/>
      <c r="F335" s="236">
        <f>$C335*((1+$B335)^F$146-1)*Inputs!F$48</f>
        <v>1002.5855500136605</v>
      </c>
      <c r="G335" s="217">
        <f>$C335*((1+$B335)^G$145-1)*Inputs!G$48</f>
        <v>2054.4738511415344</v>
      </c>
      <c r="H335" s="217">
        <f>$C335*((1+$B335)^H$145-1)*Inputs!H$48</f>
        <v>2060.2825858251485</v>
      </c>
      <c r="I335" s="217">
        <f>$C335*((1+$B335)^I$145-1)*Inputs!I$48</f>
        <v>2054.4738511415344</v>
      </c>
      <c r="J335" s="217">
        <f>$C335*((1+$B335)^J$145-1)*Inputs!J$48</f>
        <v>2054.4738511415344</v>
      </c>
      <c r="K335" s="217">
        <f>$C335*((1+$B335)^K$145-1)*Inputs!K$48</f>
        <v>2054.4738511415344</v>
      </c>
      <c r="L335" s="217">
        <f>$C335*((1+$B335)^L$145-1)*Inputs!L$48</f>
        <v>2060.2825858251485</v>
      </c>
      <c r="M335" s="217">
        <f>$C335*((1+$B335)^M$145-1)*Inputs!M$48</f>
        <v>2054.4738511415344</v>
      </c>
      <c r="N335" s="217">
        <f>$C335*((1+$B335)^N$145-1)*Inputs!N$48</f>
        <v>1019.4688329698296</v>
      </c>
    </row>
    <row r="336" spans="1:18" ht="18" customHeight="1" x14ac:dyDescent="0.25">
      <c r="A336" s="33"/>
      <c r="B336" s="216">
        <v>5.6007340817272856E-2</v>
      </c>
      <c r="C336" s="184">
        <v>191423.75384531892</v>
      </c>
      <c r="D336" s="217"/>
      <c r="E336" s="217"/>
      <c r="F336" s="217"/>
      <c r="G336" s="236">
        <f>$C336*((1+$B336)^G$146-1)*Inputs!G$48</f>
        <v>1519.5577417443326</v>
      </c>
      <c r="H336" s="217">
        <f>$C336*((1+$B336)^H$145-1)*Inputs!H$48</f>
        <v>3115.6894236076892</v>
      </c>
      <c r="I336" s="217">
        <f>$C336*((1+$B336)^I$145-1)*Inputs!I$48</f>
        <v>3106.9427184804176</v>
      </c>
      <c r="J336" s="217">
        <f>$C336*((1+$B336)^J$145-1)*Inputs!J$48</f>
        <v>3106.9427184804176</v>
      </c>
      <c r="K336" s="217">
        <f>$C336*((1+$B336)^K$145-1)*Inputs!K$48</f>
        <v>3106.9427184804176</v>
      </c>
      <c r="L336" s="217">
        <f>$C336*((1+$B336)^L$145-1)*Inputs!L$48</f>
        <v>3115.6894236076892</v>
      </c>
      <c r="M336" s="217">
        <f>$C336*((1+$B336)^M$145-1)*Inputs!M$48</f>
        <v>3106.9427184804176</v>
      </c>
      <c r="N336" s="217">
        <f>$C336*((1+$B336)^N$145-1)*Inputs!N$48</f>
        <v>1545.0911022030912</v>
      </c>
    </row>
    <row r="337" spans="1:16" ht="18" customHeight="1" x14ac:dyDescent="0.25">
      <c r="A337" s="33"/>
      <c r="B337" s="216">
        <v>4.8566588558104418E-2</v>
      </c>
      <c r="C337" s="184">
        <v>251565.70299618645</v>
      </c>
      <c r="D337" s="217"/>
      <c r="E337" s="217"/>
      <c r="F337" s="217"/>
      <c r="G337" s="217"/>
      <c r="H337" s="236">
        <f>$C337*((1+$B337)^H$146-1)*Inputs!H$48</f>
        <v>1744.5000009302339</v>
      </c>
      <c r="I337" s="217">
        <f>$C337*((1+$B337)^I$145-1)*Inputs!I$48</f>
        <v>3540.6464586948418</v>
      </c>
      <c r="J337" s="217">
        <f>$C337*((1+$B337)^J$145-1)*Inputs!J$48</f>
        <v>3540.6464586948418</v>
      </c>
      <c r="K337" s="217">
        <f>$C337*((1+$B337)^K$145-1)*Inputs!K$48</f>
        <v>3540.6464586948418</v>
      </c>
      <c r="L337" s="217">
        <f>$C337*((1+$B337)^L$145-1)*Inputs!L$48</f>
        <v>3550.5791791200127</v>
      </c>
      <c r="M337" s="217">
        <f>$C337*((1+$B337)^M$145-1)*Inputs!M$48</f>
        <v>3540.6464586948418</v>
      </c>
      <c r="N337" s="217">
        <f>$C337*((1+$B337)^N$145-1)*Inputs!N$48</f>
        <v>1763.9002474768397</v>
      </c>
    </row>
    <row r="338" spans="1:16" ht="18" customHeight="1" x14ac:dyDescent="0.25">
      <c r="A338" s="33"/>
      <c r="B338" s="216">
        <v>4.7363493132139597E-2</v>
      </c>
      <c r="C338" s="184">
        <v>257549.09596680058</v>
      </c>
      <c r="D338" s="217"/>
      <c r="E338" s="217"/>
      <c r="F338" s="217"/>
      <c r="G338" s="217"/>
      <c r="H338" s="217"/>
      <c r="I338" s="236">
        <f>$C338*((1+$B338)^I$146-1)*Inputs!I$48</f>
        <v>1732.5740425119293</v>
      </c>
      <c r="J338" s="217">
        <f>$C338*((1+$B338)^J$145-1)*Inputs!J$48</f>
        <v>3535.0654693446172</v>
      </c>
      <c r="K338" s="217">
        <f>$C338*((1+$B338)^K$145-1)*Inputs!K$48</f>
        <v>3535.0654693446172</v>
      </c>
      <c r="L338" s="217">
        <f>$C338*((1+$B338)^L$145-1)*Inputs!L$48</f>
        <v>3544.976874959676</v>
      </c>
      <c r="M338" s="217">
        <f>$C338*((1+$B338)^M$145-1)*Inputs!M$48</f>
        <v>3535.0654693446172</v>
      </c>
      <c r="N338" s="217">
        <f>$C338*((1+$B338)^N$145-1)*Inputs!N$48</f>
        <v>1761.6267864709139</v>
      </c>
    </row>
    <row r="339" spans="1:16" ht="18" customHeight="1" x14ac:dyDescent="0.25">
      <c r="A339" s="33"/>
      <c r="B339" s="216">
        <v>4.2480720370542777E-2</v>
      </c>
      <c r="C339" s="184">
        <v>237423.40423764056</v>
      </c>
      <c r="D339" s="217"/>
      <c r="E339" s="217"/>
      <c r="F339" s="217"/>
      <c r="G339" s="217"/>
      <c r="H339" s="217"/>
      <c r="I339" s="217"/>
      <c r="J339" s="236">
        <f>$C339*((1+$B339)^J$146-1)*Inputs!J$48</f>
        <v>1434.2369920329149</v>
      </c>
      <c r="K339" s="217">
        <f>$C339*((1+$B339)^K$145-1)*Inputs!K$48</f>
        <v>2922.8721007621871</v>
      </c>
      <c r="L339" s="217">
        <f>$C339*((1+$B339)^L$145-1)*Inputs!L$48</f>
        <v>2931.0480509517197</v>
      </c>
      <c r="M339" s="217">
        <f>$C339*((1+$B339)^M$145-1)*Inputs!M$48</f>
        <v>2922.8721007621871</v>
      </c>
      <c r="N339" s="217">
        <f>$C339*((1+$B339)^N$145-1)*Inputs!N$48</f>
        <v>1458.2588683884339</v>
      </c>
    </row>
    <row r="340" spans="1:16" ht="18" customHeight="1" x14ac:dyDescent="0.25">
      <c r="A340" s="33"/>
      <c r="B340" s="216">
        <v>4.0592888091034438E-2</v>
      </c>
      <c r="C340" s="184">
        <v>228934.82769886265</v>
      </c>
      <c r="D340" s="217"/>
      <c r="E340" s="217"/>
      <c r="F340" s="217"/>
      <c r="G340" s="217"/>
      <c r="H340" s="217"/>
      <c r="I340" s="217"/>
      <c r="J340" s="217"/>
      <c r="K340" s="236">
        <f>$C340*((1+$B340)^K$146-1)*Inputs!K$48</f>
        <v>1322.1109344014378</v>
      </c>
      <c r="L340" s="217">
        <f>$C340*((1+$B340)^L$145-1)*Inputs!L$48</f>
        <v>2700.651447427379</v>
      </c>
      <c r="M340" s="217">
        <f>$C340*((1+$B340)^M$145-1)*Inputs!M$48</f>
        <v>2693.1249451719964</v>
      </c>
      <c r="N340" s="217">
        <f>$C340*((1+$B340)^N$145-1)*Inputs!N$48</f>
        <v>1344.2447498099605</v>
      </c>
    </row>
    <row r="341" spans="1:16" ht="18" customHeight="1" x14ac:dyDescent="0.25">
      <c r="A341" s="33"/>
      <c r="B341" s="216">
        <v>2.9597755753197487E-2</v>
      </c>
      <c r="C341" s="184">
        <v>206478.01541232783</v>
      </c>
      <c r="D341" s="217"/>
      <c r="E341" s="217"/>
      <c r="F341" s="217"/>
      <c r="G341" s="217"/>
      <c r="H341" s="217"/>
      <c r="I341" s="217"/>
      <c r="J341" s="217"/>
      <c r="K341" s="217"/>
      <c r="L341" s="236">
        <f>$C341*((1+$B341)^L$146-1)*Inputs!L$48</f>
        <v>876.6423611601324</v>
      </c>
      <c r="M341" s="217">
        <f>$C341*((1+$B341)^M$145-1)*Inputs!M$48</f>
        <v>1771.0420821723253</v>
      </c>
      <c r="N341" s="217">
        <f>$C341*((1+$B341)^N$145-1)*Inputs!N$48</f>
        <v>886.34674529318306</v>
      </c>
    </row>
    <row r="342" spans="1:16" ht="18" customHeight="1" x14ac:dyDescent="0.25">
      <c r="A342" s="33"/>
      <c r="B342" s="216">
        <v>2.0048153676001084E-2</v>
      </c>
      <c r="C342" s="184">
        <v>190451.47719266731</v>
      </c>
      <c r="D342" s="217"/>
      <c r="E342" s="217"/>
      <c r="F342" s="217"/>
      <c r="G342" s="217"/>
      <c r="H342" s="217"/>
      <c r="I342" s="217"/>
      <c r="J342" s="217"/>
      <c r="K342" s="217"/>
      <c r="L342" s="217"/>
      <c r="M342" s="236">
        <f>$C342*((1+$B342)^M$146-1)*Inputs!M$48</f>
        <v>545.96569099641442</v>
      </c>
      <c r="N342" s="217">
        <f>$C342*((1+$B342)^N$145-1)*Inputs!N$48</f>
        <v>555.06016689767068</v>
      </c>
    </row>
    <row r="343" spans="1:16" ht="18" customHeight="1" x14ac:dyDescent="0.25">
      <c r="A343" s="33"/>
      <c r="B343" s="242">
        <v>2.692481461E-2</v>
      </c>
      <c r="C343" s="234">
        <v>88196.511596227065</v>
      </c>
      <c r="D343" s="215"/>
      <c r="E343" s="215"/>
      <c r="F343" s="215"/>
      <c r="G343" s="215"/>
      <c r="H343" s="215"/>
      <c r="I343" s="215"/>
      <c r="J343" s="215"/>
      <c r="K343" s="215"/>
      <c r="L343" s="215"/>
      <c r="M343" s="215"/>
      <c r="N343" s="237">
        <f>$C343*((1+$B343)^N$146-1)*Inputs!N$48</f>
        <v>169.86714415331213</v>
      </c>
    </row>
    <row r="344" spans="1:16" ht="18" customHeight="1" x14ac:dyDescent="0.25">
      <c r="A344" s="103" t="s">
        <v>130</v>
      </c>
      <c r="B344" s="64" t="s">
        <v>16</v>
      </c>
      <c r="C344" s="233"/>
      <c r="D344" s="73">
        <f>SUM(D333:D343)</f>
        <v>52.912372517063432</v>
      </c>
      <c r="E344" s="73">
        <f t="shared" ref="E344:N344" si="101">SUM(E333:E343)</f>
        <v>598.33552792050682</v>
      </c>
      <c r="F344" s="73">
        <f t="shared" si="101"/>
        <v>2028.7462291289594</v>
      </c>
      <c r="G344" s="73">
        <f t="shared" si="101"/>
        <v>4600.1922720011662</v>
      </c>
      <c r="H344" s="73">
        <f t="shared" si="101"/>
        <v>7949.5196000873566</v>
      </c>
      <c r="I344" s="73">
        <f t="shared" si="101"/>
        <v>11460.797749944022</v>
      </c>
      <c r="J344" s="73">
        <f t="shared" si="101"/>
        <v>14697.526168809625</v>
      </c>
      <c r="K344" s="73">
        <f t="shared" si="101"/>
        <v>17508.272211940333</v>
      </c>
      <c r="L344" s="73">
        <f t="shared" si="101"/>
        <v>19808.917512776043</v>
      </c>
      <c r="M344" s="73">
        <f t="shared" si="101"/>
        <v>21196.293995879631</v>
      </c>
      <c r="N344" s="73">
        <f t="shared" si="101"/>
        <v>11014.351864015256</v>
      </c>
    </row>
    <row r="345" spans="1:16" ht="18" customHeight="1" x14ac:dyDescent="0.25">
      <c r="A345" s="103"/>
      <c r="B345" s="39"/>
      <c r="C345" s="139"/>
      <c r="D345" s="35"/>
      <c r="E345" s="35"/>
      <c r="F345" s="35"/>
      <c r="G345" s="35"/>
      <c r="H345" s="35"/>
      <c r="I345" s="35"/>
      <c r="J345" s="35"/>
      <c r="K345" s="35"/>
      <c r="L345" s="35"/>
      <c r="M345" s="35"/>
      <c r="N345" s="35"/>
    </row>
    <row r="346" spans="1:16" ht="18" customHeight="1" x14ac:dyDescent="0.25">
      <c r="A346" s="103" t="s">
        <v>132</v>
      </c>
      <c r="B346" s="39" t="s">
        <v>16</v>
      </c>
      <c r="C346" s="139"/>
      <c r="D346" s="35">
        <f t="shared" ref="D346:N346" si="102">D344+D271</f>
        <v>1013.3911890368768</v>
      </c>
      <c r="E346" s="35">
        <f t="shared" si="102"/>
        <v>5088.91757096131</v>
      </c>
      <c r="F346" s="35">
        <f t="shared" si="102"/>
        <v>9520.5081449032132</v>
      </c>
      <c r="G346" s="35">
        <f t="shared" si="102"/>
        <v>14853.495772622871</v>
      </c>
      <c r="H346" s="35">
        <f t="shared" si="102"/>
        <v>19889.587189521342</v>
      </c>
      <c r="I346" s="35">
        <f t="shared" si="102"/>
        <v>24547.95065956084</v>
      </c>
      <c r="J346" s="35">
        <f t="shared" si="102"/>
        <v>29727.158541201301</v>
      </c>
      <c r="K346" s="35">
        <f t="shared" si="102"/>
        <v>35302.922992317435</v>
      </c>
      <c r="L346" s="35">
        <f t="shared" si="102"/>
        <v>39755.023726197818</v>
      </c>
      <c r="M346" s="35">
        <f t="shared" si="102"/>
        <v>41628.511450642371</v>
      </c>
      <c r="N346" s="35">
        <f t="shared" si="102"/>
        <v>20751.541028886975</v>
      </c>
      <c r="O346" s="218"/>
      <c r="P346" s="218"/>
    </row>
    <row r="347" spans="1:16" ht="15" customHeight="1" x14ac:dyDescent="0.25">
      <c r="A347" s="33"/>
      <c r="B347" s="30"/>
      <c r="C347" s="30"/>
      <c r="D347" s="30"/>
      <c r="E347" s="30"/>
      <c r="F347" s="30"/>
      <c r="G347" s="30"/>
      <c r="H347" s="30"/>
      <c r="I347" s="30"/>
      <c r="J347" s="30"/>
      <c r="K347" s="30"/>
      <c r="L347" s="30"/>
      <c r="M347" s="30"/>
      <c r="N347" s="30"/>
    </row>
    <row r="348" spans="1:16" ht="12.75" customHeight="1" x14ac:dyDescent="0.25"/>
    <row r="352" spans="1:16" ht="12.75" customHeight="1" x14ac:dyDescent="0.25"/>
    <row r="353" spans="4:16" ht="12.75" customHeight="1" x14ac:dyDescent="0.25"/>
    <row r="355" spans="4:16" ht="12.75" customHeight="1" x14ac:dyDescent="0.25"/>
    <row r="361" spans="4:16" ht="12.75" customHeight="1" x14ac:dyDescent="0.25"/>
    <row r="362" spans="4:16" ht="12.75" customHeight="1" x14ac:dyDescent="0.25">
      <c r="N362" s="38"/>
      <c r="O362" s="38"/>
      <c r="P362" s="38"/>
    </row>
    <row r="363" spans="4:16" ht="12.75" customHeight="1" x14ac:dyDescent="0.25">
      <c r="D363" s="30"/>
      <c r="E363" s="30"/>
      <c r="F363" s="30"/>
      <c r="G363" s="30"/>
      <c r="H363" s="30"/>
      <c r="I363" s="30"/>
      <c r="J363" s="30"/>
      <c r="K363" s="30"/>
      <c r="L363" s="30"/>
      <c r="M363" s="30"/>
      <c r="N363" s="30"/>
      <c r="O363" s="30"/>
      <c r="P363" s="30"/>
    </row>
    <row r="364" spans="4:16" ht="12.75" customHeight="1" x14ac:dyDescent="0.25">
      <c r="D364" s="29"/>
      <c r="E364" s="29"/>
      <c r="F364" s="29"/>
      <c r="G364" s="29"/>
      <c r="H364" s="29"/>
      <c r="I364" s="29"/>
      <c r="J364" s="29"/>
      <c r="K364" s="29"/>
      <c r="L364" s="29"/>
      <c r="M364" s="29"/>
      <c r="N364" s="29"/>
      <c r="O364" s="29"/>
      <c r="P364" s="29"/>
    </row>
    <row r="368" spans="4:16" ht="12.75" customHeight="1" x14ac:dyDescent="0.25">
      <c r="D368" s="30"/>
      <c r="E368" s="30"/>
      <c r="F368" s="30"/>
      <c r="G368" s="30"/>
      <c r="H368" s="30"/>
      <c r="I368" s="30"/>
      <c r="J368" s="30"/>
      <c r="K368" s="30"/>
      <c r="L368" s="30"/>
      <c r="M368" s="30"/>
      <c r="N368" s="30"/>
      <c r="O368" s="30"/>
      <c r="P368" s="30"/>
    </row>
    <row r="369" spans="4:16" ht="12.75" customHeight="1" x14ac:dyDescent="0.25">
      <c r="D369" s="30"/>
      <c r="E369" s="30"/>
      <c r="F369" s="30"/>
      <c r="G369" s="30"/>
      <c r="H369" s="30"/>
      <c r="I369" s="30"/>
      <c r="J369" s="30"/>
      <c r="K369" s="30"/>
      <c r="L369" s="30"/>
      <c r="M369" s="30"/>
      <c r="N369" s="30"/>
      <c r="O369" s="30"/>
      <c r="P369" s="30"/>
    </row>
  </sheetData>
  <pageMargins left="0.7" right="0.7" top="0.75" bottom="0.75" header="0.3" footer="0.3"/>
  <pageSetup paperSize="8" scale="4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3F22637866924A9D2FBE3CA0994D7B" ma:contentTypeVersion="13" ma:contentTypeDescription="Create a new document." ma:contentTypeScope="" ma:versionID="c96ecf3c5415e2d6f93f4fe5587aa840">
  <xsd:schema xmlns:xsd="http://www.w3.org/2001/XMLSchema" xmlns:xs="http://www.w3.org/2001/XMLSchema" xmlns:p="http://schemas.microsoft.com/office/2006/metadata/properties" xmlns:ns3="ab85c8e3-f074-41d6-a29a-418cdf6559a4" xmlns:ns4="7534bd27-abb8-42d0-acf8-880543ac9767" targetNamespace="http://schemas.microsoft.com/office/2006/metadata/properties" ma:root="true" ma:fieldsID="ae5af1f8e58924ba8b2b4866f31c7426" ns3:_="" ns4:_="">
    <xsd:import namespace="ab85c8e3-f074-41d6-a29a-418cdf6559a4"/>
    <xsd:import namespace="7534bd27-abb8-42d0-acf8-880543ac976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5c8e3-f074-41d6-a29a-418cdf6559a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4bd27-abb8-42d0-acf8-880543ac976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35A5C6-9B50-4391-AFA7-E46D0B7918F5}">
  <ds:schemaRefs>
    <ds:schemaRef ds:uri="http://schemas.microsoft.com/sharepoint/v3/contenttype/forms"/>
  </ds:schemaRefs>
</ds:datastoreItem>
</file>

<file path=customXml/itemProps2.xml><?xml version="1.0" encoding="utf-8"?>
<ds:datastoreItem xmlns:ds="http://schemas.openxmlformats.org/officeDocument/2006/customXml" ds:itemID="{A2FBC63E-4490-443F-AE14-B7F1A6502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5c8e3-f074-41d6-a29a-418cdf6559a4"/>
    <ds:schemaRef ds:uri="7534bd27-abb8-42d0-acf8-880543ac9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C0B917-76E6-4696-994D-A036F4E06B4C}">
  <ds:schemaRefs>
    <ds:schemaRef ds:uri="http://purl.org/dc/dcmitype/"/>
    <ds:schemaRef ds:uri="ab85c8e3-f074-41d6-a29a-418cdf6559a4"/>
    <ds:schemaRef ds:uri="http://schemas.microsoft.com/office/2006/documentManagement/types"/>
    <ds:schemaRef ds:uri="http://schemas.microsoft.com/office/infopath/2007/PartnerControls"/>
    <ds:schemaRef ds:uri="http://www.w3.org/XML/1998/namespace"/>
    <ds:schemaRef ds:uri="http://purl.org/dc/terms/"/>
    <ds:schemaRef ds:uri="7534bd27-abb8-42d0-acf8-880543ac9767"/>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Description</vt:lpstr>
      <vt:lpstr>Inputs</vt:lpstr>
      <vt:lpstr>DCF</vt:lpstr>
      <vt:lpstr>'Cover Sheet'!Print_Area</vt:lpstr>
      <vt:lpstr>DCF!Print_Area</vt:lpstr>
      <vt:lpstr>Description!Print_Area</vt:lpstr>
      <vt:lpstr>Inputs!Print_Area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2019-12-16T03:14:42Z</dcterms:created>
  <dcterms:modified xsi:type="dcterms:W3CDTF">2021-12-15T00:24:12Z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0x010100BF3F22637866924A9D2FBE3CA0994D7B</vt:lpwstr>
  </property>
</Properties>
</file>