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hidePivotFieldList="1" defaultThemeVersion="124226"/>
  <bookViews>
    <workbookView xWindow="240" yWindow="105" windowWidth="14805" windowHeight="8010"/>
  </bookViews>
  <sheets>
    <sheet name="Information request" sheetId="18" r:id="rId1"/>
  </sheets>
  <definedNames>
    <definedName name="_xlnm.Print_Area" localSheetId="0">'Information request'!$A$1:$AJ$67</definedName>
  </definedNames>
  <calcPr calcId="124519" concurrentCalc="0"/>
</workbook>
</file>

<file path=xl/calcChain.xml><?xml version="1.0" encoding="utf-8"?>
<calcChain xmlns="http://schemas.openxmlformats.org/spreadsheetml/2006/main">
  <c r="N43" i="18"/>
  <c r="L43"/>
  <c r="Q25"/>
  <c r="S25"/>
  <c r="AG26"/>
  <c r="AI26"/>
  <c r="O43"/>
  <c r="O42"/>
  <c r="O41"/>
  <c r="J43"/>
  <c r="J42"/>
  <c r="J41"/>
  <c r="N42"/>
  <c r="N41"/>
  <c r="I43"/>
  <c r="I42"/>
  <c r="I41"/>
  <c r="AH41"/>
  <c r="AH42"/>
  <c r="AH43"/>
  <c r="AH44"/>
  <c r="AC25"/>
  <c r="AC26"/>
  <c r="AH26"/>
  <c r="AI41"/>
  <c r="AI42"/>
  <c r="AI43"/>
  <c r="AI44"/>
  <c r="M43"/>
  <c r="M42"/>
  <c r="M41"/>
  <c r="L42"/>
  <c r="L41"/>
  <c r="H43"/>
  <c r="H42"/>
  <c r="H41"/>
  <c r="G43"/>
  <c r="G42"/>
  <c r="G41"/>
  <c r="AF41"/>
  <c r="L34"/>
  <c r="M34"/>
  <c r="N34"/>
  <c r="O34"/>
  <c r="L35"/>
  <c r="M35"/>
  <c r="N35"/>
  <c r="O35"/>
  <c r="M33"/>
  <c r="N33"/>
  <c r="O33"/>
  <c r="L33"/>
  <c r="Y25"/>
  <c r="Y24"/>
  <c r="Y23"/>
  <c r="X25"/>
  <c r="X24"/>
  <c r="X23"/>
  <c r="W25"/>
  <c r="W24"/>
  <c r="W23"/>
  <c r="V25"/>
  <c r="V24"/>
  <c r="V23"/>
  <c r="T25"/>
  <c r="T24"/>
  <c r="T23"/>
  <c r="S24"/>
  <c r="S23"/>
  <c r="R25"/>
  <c r="R24"/>
  <c r="R23"/>
  <c r="Q24"/>
  <c r="Q23"/>
  <c r="O25"/>
  <c r="O23"/>
  <c r="N25"/>
  <c r="N23"/>
  <c r="M25"/>
  <c r="M23"/>
  <c r="L25"/>
  <c r="L23"/>
  <c r="J23"/>
  <c r="J25"/>
  <c r="J24"/>
  <c r="I25"/>
  <c r="I24"/>
  <c r="I23"/>
  <c r="H25"/>
  <c r="H24"/>
  <c r="H23"/>
  <c r="G23"/>
  <c r="G25"/>
  <c r="G24"/>
  <c r="T26"/>
  <c r="Q26"/>
  <c r="AF42"/>
  <c r="AF43"/>
  <c r="AF44"/>
  <c r="AA25"/>
  <c r="AA26"/>
  <c r="AF26"/>
  <c r="R26"/>
  <c r="AG41"/>
  <c r="AG42"/>
  <c r="AG43"/>
  <c r="AG44"/>
  <c r="S26"/>
  <c r="D46"/>
  <c r="D18"/>
  <c r="B46"/>
  <c r="B47"/>
  <c r="AA23"/>
  <c r="AA24"/>
  <c r="AB23"/>
  <c r="AB24"/>
  <c r="AB25"/>
  <c r="AB26"/>
  <c r="AC23"/>
  <c r="AC24"/>
  <c r="AD23"/>
  <c r="AD24"/>
  <c r="AD25"/>
  <c r="AD26"/>
  <c r="B11"/>
  <c r="B12"/>
  <c r="B14"/>
  <c r="B15"/>
  <c r="B16"/>
  <c r="B17"/>
  <c r="B18"/>
  <c r="B19"/>
  <c r="B20"/>
  <c r="B21"/>
  <c r="B22"/>
  <c r="B23"/>
  <c r="B24"/>
  <c r="B25"/>
  <c r="B26"/>
  <c r="B27"/>
  <c r="B28"/>
  <c r="B29"/>
  <c r="B31"/>
  <c r="B32"/>
  <c r="B33"/>
  <c r="B34"/>
  <c r="B35"/>
  <c r="B36"/>
  <c r="B37"/>
  <c r="B38"/>
  <c r="B39"/>
  <c r="B40"/>
  <c r="B30"/>
  <c r="L26"/>
  <c r="M26"/>
  <c r="N26"/>
  <c r="O26"/>
  <c r="B45"/>
  <c r="B44"/>
  <c r="B43"/>
  <c r="B42"/>
  <c r="B41"/>
  <c r="D43"/>
  <c r="D17"/>
  <c r="D42"/>
  <c r="D41"/>
  <c r="D35"/>
  <c r="D34"/>
  <c r="D33"/>
  <c r="D25"/>
  <c r="D24"/>
  <c r="D23"/>
  <c r="T36"/>
  <c r="S36"/>
  <c r="R36"/>
  <c r="Q36"/>
  <c r="O36"/>
  <c r="N36"/>
  <c r="M36"/>
  <c r="L36"/>
  <c r="Y44"/>
  <c r="X44"/>
  <c r="W44"/>
  <c r="V44"/>
  <c r="AD44"/>
  <c r="AC44"/>
  <c r="AB44"/>
  <c r="AA44"/>
  <c r="T44"/>
  <c r="S44"/>
  <c r="R44"/>
  <c r="Q44"/>
  <c r="O44"/>
  <c r="N44"/>
  <c r="M44"/>
  <c r="L44"/>
  <c r="J44"/>
  <c r="I44"/>
  <c r="H44"/>
  <c r="G44"/>
  <c r="J26"/>
  <c r="I26"/>
  <c r="H26"/>
  <c r="G26"/>
</calcChain>
</file>

<file path=xl/sharedStrings.xml><?xml version="1.0" encoding="utf-8"?>
<sst xmlns="http://schemas.openxmlformats.org/spreadsheetml/2006/main" count="54" uniqueCount="35">
  <si>
    <t>Company Name</t>
  </si>
  <si>
    <t>Network / Sub-network Name</t>
  </si>
  <si>
    <t>ref</t>
  </si>
  <si>
    <t>Household</t>
  </si>
  <si>
    <t>$000</t>
  </si>
  <si>
    <t>(MwH)</t>
  </si>
  <si>
    <t>Customer group</t>
  </si>
  <si>
    <t>Customer grouping rule</t>
  </si>
  <si>
    <t>[eg, (kw)]</t>
  </si>
  <si>
    <t xml:space="preserve">Quantities billed </t>
  </si>
  <si>
    <t>Quantities Supplied</t>
  </si>
  <si>
    <t>Transmission line charge revenue</t>
  </si>
  <si>
    <t xml:space="preserve">Distribution line charge revenue </t>
  </si>
  <si>
    <t xml:space="preserve">[ Quantities billed - other 3, eg Demand/capacity supplied to customers ] </t>
  </si>
  <si>
    <t>Yes</t>
  </si>
  <si>
    <t>No</t>
  </si>
  <si>
    <t>Total</t>
  </si>
  <si>
    <t>Include</t>
  </si>
  <si>
    <t>Exclude</t>
  </si>
  <si>
    <t>If no, please explain why:</t>
  </si>
  <si>
    <t xml:space="preserve">Can you split revenue by commercial users and industrial users ? </t>
  </si>
  <si>
    <t>For quantities billed, does the revenue include or exclude transmission line charge revenue?</t>
  </si>
  <si>
    <t xml:space="preserve">[Quantities billed - other 2, eg Demand/capacity supplied to customers ] </t>
  </si>
  <si>
    <t xml:space="preserve">[Quantities billed - other 1, eg Demand/capacity supplied to customers] </t>
  </si>
  <si>
    <t>Can you identify transmission line charge revenue by customer group?</t>
  </si>
  <si>
    <t>Average ICPs</t>
  </si>
  <si>
    <t>Fixed componet of Distribution line charge revenue OR net line charge revenue</t>
  </si>
  <si>
    <t>[Distribution line charge revenue OR                            net line charge revenue] applicable to above billable quantities</t>
  </si>
  <si>
    <t xml:space="preserve">Net line charge revenue </t>
  </si>
  <si>
    <t>Schedule A: Information gathering request</t>
  </si>
  <si>
    <t>Relates to those Customer installations that are not Domestic households and are not half hour metered.</t>
  </si>
  <si>
    <t>Relates to Customer installations that are Time of Use (TOU) metered - These are the larger Half Hour installations that represent approx. 25% of Eastland's load.</t>
  </si>
  <si>
    <t>Eastland Group Ltd</t>
  </si>
  <si>
    <t>Eastland Network Ltd</t>
  </si>
  <si>
    <t>Relates to Customer installations that qualify for Domestic (Residential) pricing, as it is their primary and permanent place of residence.</t>
  </si>
</sst>
</file>

<file path=xl/styles.xml><?xml version="1.0" encoding="utf-8"?>
<styleSheet xmlns="http://schemas.openxmlformats.org/spreadsheetml/2006/main">
  <numFmts count="8">
    <numFmt numFmtId="164" formatCode="_(* #,##0_);_(* \(#,##0\);_(* &quot;-&quot;_);_(@_)"/>
    <numFmt numFmtId="165" formatCode="_(* #,##0.00_);_(* \(#,##0.00\);_(* &quot;-&quot;??_);_(@_)"/>
    <numFmt numFmtId="166" formatCode="[$-C09]d\ mmmm\ yyyy;@"/>
    <numFmt numFmtId="167" formatCode="_([$-1409]d\ mmmm\ yyyy;_(@"/>
    <numFmt numFmtId="168" formatCode="_(* #,##0_);_(* \(#,##0\);_(* &quot;–&quot;??_);_(* @_)"/>
    <numFmt numFmtId="169" formatCode="_-* #,##0_-;\-* #,##0_-;_-* &quot;-&quot;??_-;_-@_-"/>
    <numFmt numFmtId="170" formatCode="&quot;$&quot;#,##0.000;[Red]\-&quot;$&quot;#,##0.000"/>
    <numFmt numFmtId="171" formatCode="_(* #,##0_);_(* \(#,##0\);_(* &quot;-&quot;??_);_(@_)"/>
  </numFmts>
  <fonts count="18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4"/>
      <scheme val="minor"/>
    </font>
    <font>
      <b/>
      <sz val="13"/>
      <color theme="4"/>
      <name val="Calibri"/>
      <family val="4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4"/>
      <name val="Calibri"/>
      <family val="2"/>
    </font>
    <font>
      <b/>
      <sz val="11"/>
      <color theme="1"/>
      <name val="Cambria"/>
      <family val="1"/>
      <scheme val="major"/>
    </font>
    <font>
      <sz val="11"/>
      <color theme="1"/>
      <name val="Calibri"/>
      <family val="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theme="5"/>
      </top>
      <bottom style="thin">
        <color theme="5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13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7" fillId="2" borderId="0"/>
    <xf numFmtId="0" fontId="8" fillId="0" borderId="11" applyFill="0">
      <alignment horizontal="center"/>
    </xf>
    <xf numFmtId="166" fontId="8" fillId="0" borderId="11" applyFill="0">
      <alignment horizontal="center"/>
    </xf>
    <xf numFmtId="167" fontId="8" fillId="0" borderId="11" applyFill="0">
      <alignment horizontal="center" vertical="center"/>
    </xf>
    <xf numFmtId="0" fontId="9" fillId="0" borderId="12" applyNumberFormat="0" applyFill="0" applyAlignment="0" applyProtection="0"/>
    <xf numFmtId="166" fontId="10" fillId="0" borderId="0" applyNumberFormat="0" applyFill="0" applyAlignment="0"/>
    <xf numFmtId="166" fontId="10" fillId="0" borderId="0" applyNumberFormat="0" applyFill="0" applyAlignment="0" applyProtection="0"/>
    <xf numFmtId="49" fontId="11" fillId="0" borderId="0" applyFill="0" applyBorder="0">
      <alignment horizontal="right" indent="1"/>
    </xf>
    <xf numFmtId="166" fontId="7" fillId="0" borderId="0"/>
    <xf numFmtId="166" fontId="12" fillId="3" borderId="0"/>
  </cellStyleXfs>
  <cellXfs count="78">
    <xf numFmtId="0" fontId="0" fillId="0" borderId="0" xfId="0"/>
    <xf numFmtId="0" fontId="6" fillId="4" borderId="0" xfId="0" applyFont="1" applyFill="1"/>
    <xf numFmtId="0" fontId="0" fillId="4" borderId="0" xfId="0" applyFont="1" applyFill="1"/>
    <xf numFmtId="166" fontId="1" fillId="0" borderId="0" xfId="12" applyFont="1" applyFill="1" applyBorder="1" applyAlignment="1"/>
    <xf numFmtId="166" fontId="2" fillId="5" borderId="1" xfId="12" applyFont="1" applyFill="1" applyBorder="1" applyAlignment="1"/>
    <xf numFmtId="166" fontId="2" fillId="5" borderId="2" xfId="12" applyFont="1" applyFill="1" applyBorder="1" applyAlignment="1"/>
    <xf numFmtId="166" fontId="2" fillId="5" borderId="3" xfId="12" applyFont="1" applyFill="1" applyBorder="1" applyAlignment="1"/>
    <xf numFmtId="0" fontId="0" fillId="0" borderId="0" xfId="0" applyFont="1"/>
    <xf numFmtId="166" fontId="2" fillId="5" borderId="4" xfId="12" applyFont="1" applyFill="1" applyBorder="1"/>
    <xf numFmtId="166" fontId="2" fillId="5" borderId="0" xfId="12" applyFont="1" applyFill="1" applyBorder="1"/>
    <xf numFmtId="166" fontId="3" fillId="5" borderId="0" xfId="5" applyFont="1" applyFill="1" applyBorder="1" applyAlignment="1">
      <alignment horizontal="center"/>
    </xf>
    <xf numFmtId="49" fontId="14" fillId="5" borderId="5" xfId="10" applyFont="1" applyFill="1" applyBorder="1">
      <alignment horizontal="right" indent="1"/>
    </xf>
    <xf numFmtId="49" fontId="2" fillId="5" borderId="5" xfId="10" applyFont="1" applyFill="1" applyBorder="1">
      <alignment horizontal="right" indent="1"/>
    </xf>
    <xf numFmtId="166" fontId="13" fillId="5" borderId="6" xfId="7" applyNumberFormat="1" applyFont="1" applyFill="1" applyBorder="1" applyAlignment="1"/>
    <xf numFmtId="166" fontId="16" fillId="5" borderId="0" xfId="7" applyNumberFormat="1" applyFont="1" applyFill="1" applyBorder="1" applyAlignment="1"/>
    <xf numFmtId="166" fontId="2" fillId="5" borderId="0" xfId="12" applyFont="1" applyFill="1" applyBorder="1" applyAlignment="1"/>
    <xf numFmtId="166" fontId="2" fillId="5" borderId="5" xfId="12" applyFont="1" applyFill="1" applyBorder="1"/>
    <xf numFmtId="166" fontId="3" fillId="5" borderId="5" xfId="8" applyFont="1" applyFill="1" applyBorder="1" applyAlignment="1"/>
    <xf numFmtId="0" fontId="4" fillId="6" borderId="7" xfId="3" applyNumberFormat="1" applyFont="1" applyFill="1" applyBorder="1" applyAlignment="1">
      <alignment vertical="top"/>
    </xf>
    <xf numFmtId="0" fontId="4" fillId="2" borderId="1" xfId="3" applyNumberFormat="1" applyFont="1" applyBorder="1" applyAlignment="1"/>
    <xf numFmtId="0" fontId="3" fillId="2" borderId="2" xfId="3" applyNumberFormat="1" applyFont="1" applyBorder="1" applyAlignment="1">
      <alignment vertical="top" wrapText="1"/>
    </xf>
    <xf numFmtId="0" fontId="4" fillId="2" borderId="2" xfId="3" applyNumberFormat="1" applyFont="1" applyBorder="1" applyAlignment="1">
      <alignment horizontal="center" vertical="top"/>
    </xf>
    <xf numFmtId="0" fontId="4" fillId="2" borderId="2" xfId="3" applyNumberFormat="1" applyFont="1" applyBorder="1" applyAlignment="1"/>
    <xf numFmtId="0" fontId="4" fillId="2" borderId="3" xfId="3" applyNumberFormat="1" applyFont="1" applyBorder="1" applyAlignment="1"/>
    <xf numFmtId="0" fontId="4" fillId="2" borderId="4" xfId="3" applyNumberFormat="1" applyFont="1" applyBorder="1" applyAlignment="1"/>
    <xf numFmtId="0" fontId="3" fillId="2" borderId="0" xfId="3" applyNumberFormat="1" applyFont="1" applyBorder="1" applyAlignment="1">
      <alignment vertical="top" wrapText="1"/>
    </xf>
    <xf numFmtId="0" fontId="4" fillId="2" borderId="0" xfId="3" applyNumberFormat="1" applyFont="1" applyBorder="1" applyAlignment="1">
      <alignment vertical="top"/>
    </xf>
    <xf numFmtId="0" fontId="4" fillId="2" borderId="0" xfId="3" applyNumberFormat="1" applyFont="1" applyBorder="1" applyAlignment="1"/>
    <xf numFmtId="0" fontId="4" fillId="2" borderId="5" xfId="3" applyNumberFormat="1" applyFont="1" applyBorder="1" applyAlignment="1"/>
    <xf numFmtId="166" fontId="3" fillId="2" borderId="0" xfId="3" applyNumberFormat="1" applyFont="1" applyBorder="1" applyAlignment="1">
      <alignment wrapText="1"/>
    </xf>
    <xf numFmtId="0" fontId="2" fillId="2" borderId="0" xfId="3" applyNumberFormat="1" applyFont="1" applyBorder="1" applyAlignment="1">
      <alignment horizontal="left" vertical="top"/>
    </xf>
    <xf numFmtId="0" fontId="3" fillId="2" borderId="0" xfId="3" applyNumberFormat="1" applyFont="1" applyBorder="1" applyAlignment="1">
      <alignment horizontal="left" vertical="top"/>
    </xf>
    <xf numFmtId="166" fontId="3" fillId="2" borderId="0" xfId="11" applyFont="1" applyFill="1" applyBorder="1" applyAlignment="1">
      <alignment horizontal="center" wrapText="1"/>
    </xf>
    <xf numFmtId="166" fontId="3" fillId="2" borderId="0" xfId="11" applyFont="1" applyFill="1" applyBorder="1" applyAlignment="1">
      <alignment horizontal="left"/>
    </xf>
    <xf numFmtId="49" fontId="3" fillId="2" borderId="0" xfId="9" applyNumberFormat="1" applyFont="1" applyFill="1" applyBorder="1" applyAlignment="1">
      <alignment horizontal="left"/>
    </xf>
    <xf numFmtId="168" fontId="2" fillId="4" borderId="11" xfId="2" applyNumberFormat="1" applyFont="1" applyFill="1" applyBorder="1" applyAlignment="1" applyProtection="1">
      <alignment horizontal="left" vertical="top"/>
      <protection locked="0"/>
    </xf>
    <xf numFmtId="166" fontId="2" fillId="2" borderId="0" xfId="11" applyFont="1" applyFill="1" applyBorder="1"/>
    <xf numFmtId="166" fontId="2" fillId="2" borderId="0" xfId="3" applyFont="1" applyFill="1" applyBorder="1" applyAlignment="1"/>
    <xf numFmtId="166" fontId="3" fillId="2" borderId="0" xfId="3" applyFont="1" applyFill="1" applyBorder="1" applyAlignment="1"/>
    <xf numFmtId="166" fontId="2" fillId="2" borderId="5" xfId="3" applyFont="1" applyFill="1" applyBorder="1" applyAlignment="1"/>
    <xf numFmtId="170" fontId="3" fillId="2" borderId="0" xfId="11" quotePrefix="1" applyNumberFormat="1" applyFont="1" applyFill="1" applyBorder="1" applyAlignment="1">
      <alignment horizontal="center" wrapText="1"/>
    </xf>
    <xf numFmtId="1" fontId="2" fillId="2" borderId="0" xfId="11" applyNumberFormat="1" applyFont="1" applyFill="1" applyBorder="1"/>
    <xf numFmtId="1" fontId="0" fillId="2" borderId="0" xfId="0" applyNumberFormat="1" applyFont="1" applyFill="1" applyBorder="1"/>
    <xf numFmtId="1" fontId="2" fillId="2" borderId="5" xfId="11" applyNumberFormat="1" applyFont="1" applyFill="1" applyBorder="1"/>
    <xf numFmtId="168" fontId="17" fillId="2" borderId="0" xfId="2" applyNumberFormat="1" applyFont="1" applyFill="1" applyBorder="1" applyAlignment="1" applyProtection="1">
      <alignment horizontal="left"/>
    </xf>
    <xf numFmtId="168" fontId="2" fillId="4" borderId="11" xfId="2" applyNumberFormat="1" applyFont="1" applyFill="1" applyBorder="1" applyAlignment="1" applyProtection="1">
      <protection locked="0"/>
    </xf>
    <xf numFmtId="168" fontId="17" fillId="2" borderId="11" xfId="2" applyNumberFormat="1" applyFont="1" applyFill="1" applyBorder="1" applyAlignment="1" applyProtection="1">
      <alignment horizontal="left"/>
    </xf>
    <xf numFmtId="168" fontId="2" fillId="2" borderId="0" xfId="2" applyNumberFormat="1" applyFont="1" applyFill="1" applyBorder="1" applyAlignment="1" applyProtection="1">
      <protection locked="0"/>
    </xf>
    <xf numFmtId="166" fontId="2" fillId="2" borderId="0" xfId="11" applyFont="1" applyFill="1" applyBorder="1" applyAlignment="1"/>
    <xf numFmtId="168" fontId="17" fillId="2" borderId="13" xfId="2" applyNumberFormat="1" applyFont="1" applyFill="1" applyBorder="1" applyAlignment="1" applyProtection="1">
      <alignment horizontal="left"/>
    </xf>
    <xf numFmtId="0" fontId="2" fillId="4" borderId="11" xfId="2" applyNumberFormat="1" applyFont="1" applyFill="1" applyBorder="1" applyAlignment="1" applyProtection="1">
      <alignment horizontal="left" vertical="top" wrapText="1"/>
      <protection locked="0"/>
    </xf>
    <xf numFmtId="166" fontId="2" fillId="2" borderId="0" xfId="11" applyFont="1" applyFill="1" applyBorder="1" applyAlignment="1">
      <alignment horizontal="center" wrapText="1"/>
    </xf>
    <xf numFmtId="170" fontId="2" fillId="2" borderId="0" xfId="11" quotePrefix="1" applyNumberFormat="1" applyFont="1" applyFill="1" applyBorder="1" applyAlignment="1">
      <alignment horizontal="center" wrapText="1"/>
    </xf>
    <xf numFmtId="168" fontId="5" fillId="2" borderId="0" xfId="2" applyNumberFormat="1" applyFont="1" applyFill="1" applyBorder="1" applyAlignment="1" applyProtection="1">
      <alignment horizontal="left"/>
    </xf>
    <xf numFmtId="0" fontId="3" fillId="0" borderId="14" xfId="3" applyNumberFormat="1" applyFont="1" applyFill="1" applyBorder="1" applyAlignment="1">
      <alignment horizontal="left" vertical="top"/>
    </xf>
    <xf numFmtId="0" fontId="3" fillId="4" borderId="15" xfId="3" applyNumberFormat="1" applyFont="1" applyFill="1" applyBorder="1" applyAlignment="1">
      <alignment horizontal="left" vertical="top"/>
    </xf>
    <xf numFmtId="0" fontId="3" fillId="4" borderId="16" xfId="3" applyNumberFormat="1" applyFont="1" applyFill="1" applyBorder="1" applyAlignment="1">
      <alignment horizontal="left" vertical="top"/>
    </xf>
    <xf numFmtId="0" fontId="4" fillId="6" borderId="8" xfId="3" applyNumberFormat="1" applyFont="1" applyFill="1" applyBorder="1" applyAlignment="1">
      <alignment vertical="top"/>
    </xf>
    <xf numFmtId="0" fontId="4" fillId="2" borderId="6" xfId="3" applyNumberFormat="1" applyFont="1" applyBorder="1" applyAlignment="1"/>
    <xf numFmtId="0" fontId="4" fillId="2" borderId="9" xfId="3" applyNumberFormat="1" applyFont="1" applyBorder="1" applyAlignment="1"/>
    <xf numFmtId="166" fontId="2" fillId="2" borderId="9" xfId="11" applyFont="1" applyFill="1" applyBorder="1" applyAlignment="1"/>
    <xf numFmtId="166" fontId="2" fillId="2" borderId="9" xfId="11" applyFont="1" applyFill="1" applyBorder="1"/>
    <xf numFmtId="168" fontId="2" fillId="2" borderId="9" xfId="2" applyNumberFormat="1" applyFont="1" applyFill="1" applyBorder="1" applyAlignment="1" applyProtection="1">
      <protection locked="0"/>
    </xf>
    <xf numFmtId="166" fontId="2" fillId="2" borderId="9" xfId="3" applyFont="1" applyFill="1" applyBorder="1" applyAlignment="1"/>
    <xf numFmtId="166" fontId="2" fillId="2" borderId="10" xfId="3" applyFont="1" applyFill="1" applyBorder="1" applyAlignment="1"/>
    <xf numFmtId="0" fontId="13" fillId="4" borderId="0" xfId="0" applyFont="1" applyFill="1"/>
    <xf numFmtId="169" fontId="5" fillId="4" borderId="0" xfId="1" applyNumberFormat="1" applyFont="1" applyFill="1"/>
    <xf numFmtId="165" fontId="2" fillId="2" borderId="0" xfId="1" applyFont="1" applyFill="1" applyBorder="1" applyAlignment="1"/>
    <xf numFmtId="171" fontId="2" fillId="2" borderId="0" xfId="1" applyNumberFormat="1" applyFont="1" applyFill="1" applyBorder="1" applyAlignment="1"/>
    <xf numFmtId="171" fontId="2" fillId="2" borderId="5" xfId="1" applyNumberFormat="1" applyFont="1" applyFill="1" applyBorder="1" applyAlignment="1"/>
    <xf numFmtId="0" fontId="15" fillId="6" borderId="13" xfId="4" applyFont="1" applyFill="1" applyBorder="1" applyAlignment="1">
      <alignment horizontal="left"/>
    </xf>
    <xf numFmtId="166" fontId="3" fillId="2" borderId="0" xfId="11" applyFont="1" applyFill="1" applyBorder="1" applyAlignment="1">
      <alignment horizontal="center" wrapText="1"/>
    </xf>
    <xf numFmtId="0" fontId="3" fillId="0" borderId="17" xfId="3" applyNumberFormat="1" applyFont="1" applyFill="1" applyBorder="1" applyAlignment="1">
      <alignment horizontal="left" vertical="top"/>
    </xf>
    <xf numFmtId="0" fontId="3" fillId="0" borderId="18" xfId="3" applyNumberFormat="1" applyFont="1" applyFill="1" applyBorder="1" applyAlignment="1">
      <alignment horizontal="left" vertical="top"/>
    </xf>
    <xf numFmtId="0" fontId="3" fillId="0" borderId="19" xfId="3" applyNumberFormat="1" applyFont="1" applyFill="1" applyBorder="1" applyAlignment="1">
      <alignment horizontal="left" vertical="top"/>
    </xf>
    <xf numFmtId="168" fontId="2" fillId="4" borderId="17" xfId="2" applyNumberFormat="1" applyFont="1" applyFill="1" applyBorder="1" applyAlignment="1" applyProtection="1">
      <alignment horizontal="left" vertical="top"/>
      <protection locked="0"/>
    </xf>
    <xf numFmtId="168" fontId="2" fillId="4" borderId="18" xfId="2" applyNumberFormat="1" applyFont="1" applyFill="1" applyBorder="1" applyAlignment="1" applyProtection="1">
      <alignment horizontal="left" vertical="top"/>
      <protection locked="0"/>
    </xf>
    <xf numFmtId="168" fontId="2" fillId="4" borderId="19" xfId="2" applyNumberFormat="1" applyFont="1" applyFill="1" applyBorder="1" applyAlignment="1" applyProtection="1">
      <alignment horizontal="left" vertical="top"/>
      <protection locked="0"/>
    </xf>
  </cellXfs>
  <cellStyles count="13">
    <cellStyle name="Comma" xfId="1" builtinId="3"/>
    <cellStyle name="Comma [0]" xfId="2" builtinId="6"/>
    <cellStyle name="Data Rows 3" xfId="3"/>
    <cellStyle name="Entry 1A 2 2" xfId="4"/>
    <cellStyle name="Entry 1A 3" xfId="5"/>
    <cellStyle name="Entry 1B 2 2" xfId="6"/>
    <cellStyle name="Heading 1" xfId="7" builtinId="16"/>
    <cellStyle name="Heading 1 5" xfId="8"/>
    <cellStyle name="Heading 1-noindex 3" xfId="9"/>
    <cellStyle name="Label 1" xfId="10"/>
    <cellStyle name="Normal" xfId="0" builtinId="0"/>
    <cellStyle name="Normal 9" xfId="11"/>
    <cellStyle name="Top rows 3" xfId="12"/>
  </cellStyles>
  <dxfs count="7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15207</xdr:colOff>
      <xdr:row>50</xdr:row>
      <xdr:rowOff>37693</xdr:rowOff>
    </xdr:from>
    <xdr:to>
      <xdr:col>12</xdr:col>
      <xdr:colOff>340178</xdr:colOff>
      <xdr:row>67</xdr:row>
      <xdr:rowOff>122465</xdr:rowOff>
    </xdr:to>
    <xdr:sp macro="" textlink="">
      <xdr:nvSpPr>
        <xdr:cNvPr id="2" name="TextBox 1"/>
        <xdr:cNvSpPr txBox="1"/>
      </xdr:nvSpPr>
      <xdr:spPr>
        <a:xfrm>
          <a:off x="192100" y="13100550"/>
          <a:ext cx="9904399" cy="33232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200" b="0">
              <a:solidFill>
                <a:schemeClr val="dk1"/>
              </a:solidFill>
              <a:latin typeface="+mn-lt"/>
              <a:ea typeface="+mn-ea"/>
              <a:cs typeface="+mn-cs"/>
            </a:rPr>
            <a:t> Relevant definitions:</a:t>
          </a:r>
        </a:p>
        <a:p>
          <a:endParaRPr lang="en-NZ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net line charge revenue 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means revenue from 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 prices  </a:t>
          </a:r>
        </a:p>
        <a:p>
          <a:endParaRPr lang="en-NZ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prices 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is defined in the input methodology determination at clause 3.1.1(4), where it states that:</a:t>
          </a:r>
        </a:p>
        <a:p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"Prices means- (a) individual tariffs, fees or charges; or (b) individual components thereof, posted in nominal terms exclusive of GST for the supply of an electricity distribution service, and must include a posted discount if a discount is taken up by consumers."</a:t>
          </a:r>
        </a:p>
        <a:p>
          <a:endParaRPr lang="en-NZ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distribution line charge revenue </a:t>
          </a:r>
          <a:r>
            <a:rPr lang="en-NZ" sz="1200" b="0">
              <a:solidFill>
                <a:schemeClr val="dk1"/>
              </a:solidFill>
              <a:latin typeface="+mn-lt"/>
              <a:ea typeface="+mn-ea"/>
              <a:cs typeface="+mn-cs"/>
            </a:rPr>
            <a:t>means 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net line charge revenue </a:t>
          </a:r>
          <a:r>
            <a:rPr lang="en-NZ" sz="1200" b="0">
              <a:solidFill>
                <a:schemeClr val="dk1"/>
              </a:solidFill>
              <a:latin typeface="+mn-lt"/>
              <a:ea typeface="+mn-ea"/>
              <a:cs typeface="+mn-cs"/>
            </a:rPr>
            <a:t>minus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 transmission line charge revenue</a:t>
          </a:r>
        </a:p>
        <a:p>
          <a:endParaRPr lang="en-NZ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transmission line charge revenue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 means 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 net line charge revenue 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relating to transmission charges</a:t>
          </a:r>
        </a:p>
        <a:p>
          <a:pPr lvl="0"/>
          <a:endParaRPr lang="en-NZ" sz="1100">
            <a:noFill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6"/>
  <sheetViews>
    <sheetView tabSelected="1" topLeftCell="G1" zoomScale="85" zoomScaleNormal="85" workbookViewId="0">
      <selection activeCell="G16" sqref="G16:V16"/>
    </sheetView>
  </sheetViews>
  <sheetFormatPr defaultRowHeight="15"/>
  <cols>
    <col min="1" max="1" width="2.7109375" style="2" customWidth="1"/>
    <col min="2" max="2" width="10.7109375" style="7" customWidth="1"/>
    <col min="3" max="3" width="3.140625" style="7" customWidth="1"/>
    <col min="4" max="4" width="51" style="7" customWidth="1"/>
    <col min="5" max="5" width="12.85546875" style="7" customWidth="1"/>
    <col min="6" max="6" width="8.85546875" style="7" customWidth="1"/>
    <col min="7" max="7" width="19" style="7" customWidth="1"/>
    <col min="8" max="11" width="12.7109375" style="7" customWidth="1"/>
    <col min="12" max="12" width="20" style="7" customWidth="1"/>
    <col min="13" max="16" width="12.7109375" style="7" customWidth="1"/>
    <col min="17" max="17" width="21" style="7" customWidth="1"/>
    <col min="18" max="21" width="12.7109375" style="7" customWidth="1"/>
    <col min="22" max="22" width="22.7109375" style="7" customWidth="1"/>
    <col min="23" max="26" width="12.7109375" style="7" customWidth="1"/>
    <col min="27" max="27" width="21.7109375" style="7" customWidth="1"/>
    <col min="28" max="34" width="12.7109375" style="7" customWidth="1"/>
    <col min="35" max="35" width="19.42578125" style="7" customWidth="1"/>
    <col min="36" max="43" width="10.7109375" style="2" customWidth="1"/>
    <col min="44" max="48" width="10.7109375" style="7" customWidth="1"/>
    <col min="49" max="16384" width="9.140625" style="7"/>
  </cols>
  <sheetData>
    <row r="1" spans="1:43" s="2" customFormat="1">
      <c r="A1" s="1" t="s">
        <v>14</v>
      </c>
      <c r="B1" s="1" t="s">
        <v>17</v>
      </c>
    </row>
    <row r="2" spans="1:43" s="2" customFormat="1">
      <c r="A2" s="1" t="s">
        <v>15</v>
      </c>
      <c r="B2" s="1" t="s">
        <v>18</v>
      </c>
    </row>
    <row r="3" spans="1:43" s="2" customFormat="1"/>
    <row r="4" spans="1:43" s="2" customFormat="1">
      <c r="B4" s="3" t="s">
        <v>29</v>
      </c>
    </row>
    <row r="5" spans="1:43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6"/>
    </row>
    <row r="6" spans="1:43"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1" t="s">
        <v>0</v>
      </c>
      <c r="AI6" s="70" t="s">
        <v>32</v>
      </c>
    </row>
    <row r="7" spans="1:43">
      <c r="B7" s="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2" t="s">
        <v>1</v>
      </c>
      <c r="AI7" s="70" t="s">
        <v>33</v>
      </c>
    </row>
    <row r="8" spans="1:43">
      <c r="B8" s="13" t="s">
        <v>2</v>
      </c>
      <c r="C8" s="14"/>
      <c r="D8" s="10"/>
      <c r="E8" s="10"/>
      <c r="F8" s="10"/>
      <c r="G8" s="10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9"/>
      <c r="AA8" s="15"/>
      <c r="AB8" s="15"/>
      <c r="AC8" s="15"/>
      <c r="AD8" s="15"/>
      <c r="AE8" s="15"/>
      <c r="AF8" s="15"/>
      <c r="AG8" s="15"/>
      <c r="AH8" s="16"/>
      <c r="AI8" s="17"/>
    </row>
    <row r="9" spans="1:43" ht="60" customHeight="1">
      <c r="B9" s="18">
        <v>9</v>
      </c>
      <c r="C9" s="19"/>
      <c r="D9" s="20" t="s">
        <v>20</v>
      </c>
      <c r="E9" s="21">
        <v>1</v>
      </c>
      <c r="F9" s="22"/>
      <c r="G9" s="72" t="s">
        <v>19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4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O9" s="7"/>
      <c r="AP9" s="7"/>
      <c r="AQ9" s="7"/>
    </row>
    <row r="10" spans="1:43" ht="57" customHeight="1">
      <c r="B10" s="18">
        <v>10</v>
      </c>
      <c r="C10" s="24"/>
      <c r="D10" s="25" t="s">
        <v>24</v>
      </c>
      <c r="E10" s="26">
        <v>1</v>
      </c>
      <c r="F10" s="27"/>
      <c r="G10" s="72" t="s">
        <v>19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4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8"/>
      <c r="AO10" s="7"/>
      <c r="AP10" s="7"/>
      <c r="AQ10" s="7"/>
    </row>
    <row r="11" spans="1:43" ht="30">
      <c r="B11" s="18">
        <f>ROW()</f>
        <v>11</v>
      </c>
      <c r="C11" s="24"/>
      <c r="D11" s="25" t="s">
        <v>21</v>
      </c>
      <c r="E11" s="29"/>
      <c r="F11" s="30">
        <v>2</v>
      </c>
      <c r="G11" s="25"/>
      <c r="H11" s="26"/>
      <c r="I11" s="27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8"/>
      <c r="AO11" s="7"/>
      <c r="AP11" s="7"/>
      <c r="AQ11" s="7"/>
    </row>
    <row r="12" spans="1:43">
      <c r="B12" s="18">
        <f>ROW()</f>
        <v>12</v>
      </c>
      <c r="C12" s="24"/>
      <c r="D12" s="32"/>
      <c r="E12" s="27"/>
      <c r="F12" s="27"/>
      <c r="G12" s="25"/>
      <c r="H12" s="26"/>
      <c r="I12" s="27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27"/>
      <c r="AA12" s="27"/>
      <c r="AB12" s="27"/>
      <c r="AC12" s="27"/>
      <c r="AD12" s="27"/>
      <c r="AE12" s="27"/>
      <c r="AF12" s="27"/>
      <c r="AG12" s="27"/>
      <c r="AH12" s="27"/>
      <c r="AI12" s="28"/>
    </row>
    <row r="13" spans="1:43" ht="13.5" customHeight="1">
      <c r="B13" s="18"/>
      <c r="C13" s="24"/>
      <c r="D13" s="32"/>
      <c r="E13" s="27"/>
      <c r="F13" s="27"/>
      <c r="G13" s="25"/>
      <c r="H13" s="26"/>
      <c r="I13" s="27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27"/>
      <c r="AA13" s="27"/>
      <c r="AB13" s="27"/>
      <c r="AC13" s="27"/>
      <c r="AD13" s="27"/>
      <c r="AE13" s="27"/>
      <c r="AF13" s="27"/>
      <c r="AG13" s="27"/>
      <c r="AH13" s="27"/>
      <c r="AI13" s="28"/>
    </row>
    <row r="14" spans="1:43" ht="18" customHeight="1">
      <c r="B14" s="18">
        <f>ROW()</f>
        <v>14</v>
      </c>
      <c r="C14" s="24"/>
      <c r="D14" s="32" t="s">
        <v>6</v>
      </c>
      <c r="E14" s="27"/>
      <c r="F14" s="27"/>
      <c r="G14" s="33" t="s">
        <v>7</v>
      </c>
      <c r="H14" s="26"/>
      <c r="I14" s="27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27"/>
      <c r="AA14" s="27"/>
      <c r="AB14" s="27"/>
      <c r="AC14" s="27"/>
      <c r="AD14" s="27"/>
      <c r="AE14" s="27"/>
      <c r="AF14" s="27"/>
      <c r="AG14" s="27"/>
      <c r="AH14" s="27"/>
      <c r="AI14" s="28"/>
    </row>
    <row r="15" spans="1:43">
      <c r="B15" s="18">
        <f>ROW()</f>
        <v>15</v>
      </c>
      <c r="C15" s="24"/>
      <c r="D15" s="34"/>
      <c r="E15" s="27"/>
      <c r="F15" s="27"/>
      <c r="G15" s="32"/>
      <c r="H15" s="26"/>
      <c r="I15" s="27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43">
      <c r="B16" s="18">
        <f>ROW()</f>
        <v>16</v>
      </c>
      <c r="C16" s="24"/>
      <c r="D16" s="35" t="s">
        <v>3</v>
      </c>
      <c r="E16" s="27"/>
      <c r="F16" s="27"/>
      <c r="G16" s="75" t="s">
        <v>34</v>
      </c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31"/>
      <c r="X16" s="31"/>
      <c r="Y16" s="31"/>
      <c r="Z16" s="27"/>
      <c r="AA16" s="27"/>
      <c r="AB16" s="27"/>
      <c r="AC16" s="27"/>
      <c r="AD16" s="27"/>
      <c r="AE16" s="27"/>
      <c r="AF16" s="27"/>
      <c r="AG16" s="27"/>
      <c r="AH16" s="27"/>
      <c r="AI16" s="28"/>
    </row>
    <row r="17" spans="2:35">
      <c r="B17" s="18">
        <f>ROW()</f>
        <v>17</v>
      </c>
      <c r="C17" s="24"/>
      <c r="D17" s="35" t="str">
        <f>IF(E9=1,"Commercial", "Other User")</f>
        <v>Commercial</v>
      </c>
      <c r="E17" s="27"/>
      <c r="F17" s="27"/>
      <c r="G17" s="75" t="s">
        <v>30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7"/>
      <c r="W17" s="31"/>
      <c r="X17" s="31"/>
      <c r="Y17" s="31"/>
      <c r="Z17" s="27"/>
      <c r="AA17" s="27"/>
      <c r="AB17" s="27"/>
      <c r="AC17" s="27"/>
      <c r="AD17" s="27"/>
      <c r="AE17" s="27"/>
      <c r="AF17" s="27"/>
      <c r="AG17" s="27"/>
      <c r="AH17" s="27"/>
      <c r="AI17" s="28"/>
    </row>
    <row r="18" spans="2:35">
      <c r="B18" s="18">
        <f>ROW()</f>
        <v>18</v>
      </c>
      <c r="C18" s="24"/>
      <c r="D18" s="35" t="str">
        <f>IF(E9=1,"Industrial","Not Used")</f>
        <v>Industrial</v>
      </c>
      <c r="E18" s="27"/>
      <c r="F18" s="27"/>
      <c r="G18" s="75" t="s">
        <v>31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7"/>
      <c r="W18" s="31"/>
      <c r="X18" s="31"/>
      <c r="Y18" s="31"/>
      <c r="Z18" s="27"/>
      <c r="AA18" s="27"/>
      <c r="AB18" s="27"/>
      <c r="AC18" s="27"/>
      <c r="AD18" s="27"/>
      <c r="AE18" s="27"/>
      <c r="AF18" s="27"/>
      <c r="AG18" s="27"/>
      <c r="AH18" s="27"/>
      <c r="AI18" s="28"/>
    </row>
    <row r="19" spans="2:35">
      <c r="B19" s="18">
        <f>ROW()</f>
        <v>19</v>
      </c>
      <c r="C19" s="24"/>
      <c r="D19" s="34"/>
      <c r="E19" s="27"/>
      <c r="F19" s="27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2:35" ht="62.25" customHeight="1">
      <c r="B20" s="18">
        <f>ROW()</f>
        <v>20</v>
      </c>
      <c r="C20" s="24"/>
      <c r="D20" s="32"/>
      <c r="E20" s="34"/>
      <c r="F20" s="36"/>
      <c r="G20" s="32" t="s">
        <v>10</v>
      </c>
      <c r="H20" s="37"/>
      <c r="I20" s="37"/>
      <c r="J20" s="37"/>
      <c r="K20" s="37"/>
      <c r="L20" s="32" t="s">
        <v>25</v>
      </c>
      <c r="M20" s="32"/>
      <c r="N20" s="32"/>
      <c r="O20" s="32"/>
      <c r="P20" s="32"/>
      <c r="Q20" s="32" t="s">
        <v>28</v>
      </c>
      <c r="R20" s="32"/>
      <c r="S20" s="32"/>
      <c r="T20" s="32"/>
      <c r="U20" s="32"/>
      <c r="V20" s="32" t="s">
        <v>11</v>
      </c>
      <c r="W20" s="37"/>
      <c r="X20" s="37"/>
      <c r="Y20" s="37"/>
      <c r="Z20" s="36"/>
      <c r="AA20" s="32" t="s">
        <v>12</v>
      </c>
      <c r="AB20" s="37"/>
      <c r="AC20" s="37"/>
      <c r="AD20" s="37"/>
      <c r="AE20" s="37"/>
      <c r="AF20" s="38"/>
      <c r="AG20" s="37"/>
      <c r="AH20" s="37"/>
      <c r="AI20" s="39"/>
    </row>
    <row r="21" spans="2:35">
      <c r="B21" s="18">
        <f>ROW()</f>
        <v>21</v>
      </c>
      <c r="C21" s="24"/>
      <c r="D21" s="32" t="s">
        <v>6</v>
      </c>
      <c r="E21" s="34"/>
      <c r="F21" s="32"/>
      <c r="G21" s="32" t="s">
        <v>5</v>
      </c>
      <c r="H21" s="32"/>
      <c r="I21" s="32"/>
      <c r="J21" s="32"/>
      <c r="K21" s="32"/>
      <c r="L21" s="32"/>
      <c r="M21" s="32"/>
      <c r="N21" s="32"/>
      <c r="O21" s="32"/>
      <c r="P21" s="32"/>
      <c r="Q21" s="40" t="s">
        <v>4</v>
      </c>
      <c r="R21" s="32"/>
      <c r="S21" s="32"/>
      <c r="T21" s="32"/>
      <c r="U21" s="32"/>
      <c r="V21" s="40" t="s">
        <v>4</v>
      </c>
      <c r="W21" s="32"/>
      <c r="X21" s="32"/>
      <c r="Y21" s="32"/>
      <c r="Z21" s="32"/>
      <c r="AA21" s="40" t="s">
        <v>4</v>
      </c>
      <c r="AB21" s="32"/>
      <c r="AC21" s="32"/>
      <c r="AD21" s="32"/>
      <c r="AE21" s="32"/>
      <c r="AF21" s="37"/>
      <c r="AG21" s="37"/>
      <c r="AH21" s="37"/>
      <c r="AI21" s="39"/>
    </row>
    <row r="22" spans="2:35" ht="20.25" customHeight="1">
      <c r="B22" s="18">
        <f>ROW()</f>
        <v>22</v>
      </c>
      <c r="C22" s="24"/>
      <c r="D22" s="34"/>
      <c r="E22" s="37"/>
      <c r="F22" s="36"/>
      <c r="G22" s="41">
        <v>2008</v>
      </c>
      <c r="H22" s="41">
        <v>2009</v>
      </c>
      <c r="I22" s="41">
        <v>2010</v>
      </c>
      <c r="J22" s="41">
        <v>2011</v>
      </c>
      <c r="K22" s="41"/>
      <c r="L22" s="41">
        <v>2008</v>
      </c>
      <c r="M22" s="41">
        <v>2009</v>
      </c>
      <c r="N22" s="41">
        <v>2010</v>
      </c>
      <c r="O22" s="41">
        <v>2011</v>
      </c>
      <c r="P22" s="32"/>
      <c r="Q22" s="41">
        <v>2008</v>
      </c>
      <c r="R22" s="41">
        <v>2009</v>
      </c>
      <c r="S22" s="41">
        <v>2010</v>
      </c>
      <c r="T22" s="41">
        <v>2011</v>
      </c>
      <c r="U22" s="32"/>
      <c r="V22" s="41">
        <v>2008</v>
      </c>
      <c r="W22" s="41">
        <v>2009</v>
      </c>
      <c r="X22" s="41">
        <v>2010</v>
      </c>
      <c r="Y22" s="41">
        <v>2011</v>
      </c>
      <c r="Z22" s="41"/>
      <c r="AA22" s="41">
        <v>2008</v>
      </c>
      <c r="AB22" s="41">
        <v>2009</v>
      </c>
      <c r="AC22" s="41">
        <v>2010</v>
      </c>
      <c r="AD22" s="41">
        <v>2011</v>
      </c>
      <c r="AE22" s="42"/>
      <c r="AF22" s="41">
        <v>2008</v>
      </c>
      <c r="AG22" s="41">
        <v>2009</v>
      </c>
      <c r="AH22" s="41">
        <v>2010</v>
      </c>
      <c r="AI22" s="43">
        <v>2011</v>
      </c>
    </row>
    <row r="23" spans="2:35">
      <c r="B23" s="18">
        <f>ROW()</f>
        <v>23</v>
      </c>
      <c r="C23" s="24"/>
      <c r="D23" s="44" t="str">
        <f>$D$16</f>
        <v>Household</v>
      </c>
      <c r="E23" s="37"/>
      <c r="F23" s="36"/>
      <c r="G23" s="45">
        <f>85442+72+38311</f>
        <v>123825</v>
      </c>
      <c r="H23" s="45">
        <f>84892+62+36876</f>
        <v>121830</v>
      </c>
      <c r="I23" s="45">
        <f>88694+75+37823</f>
        <v>126592</v>
      </c>
      <c r="J23" s="45">
        <f>88275+93+36747</f>
        <v>125115</v>
      </c>
      <c r="K23" s="32"/>
      <c r="L23" s="45">
        <f>13076+3233+3204</f>
        <v>19513</v>
      </c>
      <c r="M23" s="45">
        <f>13101+3237+3213</f>
        <v>19551</v>
      </c>
      <c r="N23" s="45">
        <f>13186+3268+3224</f>
        <v>19678</v>
      </c>
      <c r="O23" s="45">
        <f>13593+6160</f>
        <v>19753</v>
      </c>
      <c r="P23" s="32"/>
      <c r="Q23" s="45">
        <f>(800839+9211235+266033+3047324)/1000</f>
        <v>13325.431</v>
      </c>
      <c r="R23" s="45">
        <f>(804170+10044244+267070+3050886)/1000</f>
        <v>14166.37</v>
      </c>
      <c r="S23" s="45">
        <f>(806617+10996405+267881+3236824)/1000</f>
        <v>15307.727000000001</v>
      </c>
      <c r="T23" s="45">
        <f>(809334+11789394+270363+3122486)/1000</f>
        <v>15991.576999999999</v>
      </c>
      <c r="U23" s="32"/>
      <c r="V23" s="45">
        <f>(266033+3047324)/1000</f>
        <v>3313.357</v>
      </c>
      <c r="W23" s="45">
        <f>(267070+3050886)/1000</f>
        <v>3317.9560000000001</v>
      </c>
      <c r="X23" s="45">
        <f>(267881+3236824)/1000</f>
        <v>3504.7049999999999</v>
      </c>
      <c r="Y23" s="45">
        <f>(270363+3122486)/1000</f>
        <v>3392.8490000000002</v>
      </c>
      <c r="Z23" s="36"/>
      <c r="AA23" s="46">
        <f t="shared" ref="AA23:AD25" si="0">IF($E$10=1,Q23-V23,)</f>
        <v>10012.074000000001</v>
      </c>
      <c r="AB23" s="46">
        <f t="shared" si="0"/>
        <v>10848.414000000001</v>
      </c>
      <c r="AC23" s="46">
        <f t="shared" si="0"/>
        <v>11803.022000000001</v>
      </c>
      <c r="AD23" s="46">
        <f t="shared" si="0"/>
        <v>12598.727999999999</v>
      </c>
      <c r="AE23" s="47"/>
      <c r="AF23" s="37"/>
      <c r="AG23" s="37"/>
      <c r="AH23" s="37"/>
      <c r="AI23" s="39"/>
    </row>
    <row r="24" spans="2:35">
      <c r="B24" s="18">
        <f>ROW()</f>
        <v>24</v>
      </c>
      <c r="C24" s="24"/>
      <c r="D24" s="35" t="str">
        <f>$D$17</f>
        <v>Commercial</v>
      </c>
      <c r="E24" s="37"/>
      <c r="F24" s="36"/>
      <c r="G24" s="45">
        <f>77803+326+3099</f>
        <v>81228</v>
      </c>
      <c r="H24" s="45">
        <f>80296+77+2929</f>
        <v>83302</v>
      </c>
      <c r="I24" s="45">
        <f>78729+47+3182</f>
        <v>81958</v>
      </c>
      <c r="J24" s="45">
        <f>79634+135+2973</f>
        <v>82742</v>
      </c>
      <c r="K24" s="32"/>
      <c r="L24" s="45">
        <v>5628</v>
      </c>
      <c r="M24" s="45">
        <v>5704</v>
      </c>
      <c r="N24" s="45">
        <v>5709</v>
      </c>
      <c r="O24" s="45">
        <v>5714</v>
      </c>
      <c r="P24" s="32"/>
      <c r="Q24" s="45">
        <f>(1936053+4367299+641595+1444874)/1000</f>
        <v>8389.8209999999999</v>
      </c>
      <c r="R24" s="45">
        <f>(2251670+4871678+656810+1482055)/1000</f>
        <v>9262.2129999999997</v>
      </c>
      <c r="S24" s="45">
        <f>(2359308+5046638+676543+1482740)/1000</f>
        <v>9565.2289999999994</v>
      </c>
      <c r="T24" s="45">
        <f>(2857661+5236976+842483+1515174)/1000</f>
        <v>10452.294</v>
      </c>
      <c r="U24" s="32"/>
      <c r="V24" s="45">
        <f>(641595+1444874)/1000</f>
        <v>2086.4690000000001</v>
      </c>
      <c r="W24" s="45">
        <f>(656810+1482055)/1000</f>
        <v>2138.8649999999998</v>
      </c>
      <c r="X24" s="45">
        <f>(676543+1482740)/1000</f>
        <v>2159.2829999999999</v>
      </c>
      <c r="Y24" s="45">
        <f>(842483+1515174)/1000</f>
        <v>2357.6570000000002</v>
      </c>
      <c r="Z24" s="36"/>
      <c r="AA24" s="46">
        <f t="shared" si="0"/>
        <v>6303.3519999999999</v>
      </c>
      <c r="AB24" s="46">
        <f t="shared" si="0"/>
        <v>7123.348</v>
      </c>
      <c r="AC24" s="46">
        <f t="shared" si="0"/>
        <v>7405.9459999999999</v>
      </c>
      <c r="AD24" s="46">
        <f t="shared" si="0"/>
        <v>8094.6369999999997</v>
      </c>
      <c r="AE24" s="47"/>
      <c r="AF24" s="37"/>
      <c r="AG24" s="37"/>
      <c r="AH24" s="37"/>
      <c r="AI24" s="39"/>
    </row>
    <row r="25" spans="2:35">
      <c r="B25" s="18">
        <f>ROW()</f>
        <v>25</v>
      </c>
      <c r="C25" s="24"/>
      <c r="D25" s="35" t="str">
        <f>$D$18</f>
        <v>Industrial</v>
      </c>
      <c r="E25" s="37"/>
      <c r="F25" s="36"/>
      <c r="G25" s="45">
        <f>24508+22666+18551+12939</f>
        <v>78664</v>
      </c>
      <c r="H25" s="45">
        <f>23700+21398+18154+12354</f>
        <v>75606</v>
      </c>
      <c r="I25" s="45">
        <f>22524+19764+17487+11502</f>
        <v>71277</v>
      </c>
      <c r="J25" s="45">
        <f>23397+20929+17671+12216</f>
        <v>74213</v>
      </c>
      <c r="K25" s="32"/>
      <c r="L25" s="45">
        <f>19+16+1+1+1+2+1+2</f>
        <v>43</v>
      </c>
      <c r="M25" s="45">
        <f>20+17+1+1+1+2+1+2</f>
        <v>45</v>
      </c>
      <c r="N25" s="45">
        <f>20+17+1+1+1+2+1+2</f>
        <v>45</v>
      </c>
      <c r="O25" s="45">
        <f>19+21+1+1+3+1+1</f>
        <v>47</v>
      </c>
      <c r="P25" s="32"/>
      <c r="Q25" s="45">
        <f>(195972+1798230+64883+596313-11000)/1000</f>
        <v>2644.3980000000001</v>
      </c>
      <c r="R25" s="45">
        <f>(212271+1925858+67561+583842)/1000</f>
        <v>2789.5320000000002</v>
      </c>
      <c r="S25" s="45">
        <f>(236560+1911332+70279+563011+4000)/1000</f>
        <v>2785.1819999999998</v>
      </c>
      <c r="T25" s="45">
        <f>(331478+1987462+91771+532457)/1000</f>
        <v>2943.1680000000001</v>
      </c>
      <c r="U25" s="32"/>
      <c r="V25" s="45">
        <f>(64883+596324)/1000</f>
        <v>661.20699999999999</v>
      </c>
      <c r="W25" s="45">
        <f>(67561+583842)/1000</f>
        <v>651.40300000000002</v>
      </c>
      <c r="X25" s="45">
        <f>(70279+563007)/1000</f>
        <v>633.28599999999994</v>
      </c>
      <c r="Y25" s="45">
        <f>(91771+532457)/1000</f>
        <v>624.22799999999995</v>
      </c>
      <c r="Z25" s="36"/>
      <c r="AA25" s="46">
        <f t="shared" si="0"/>
        <v>1983.1910000000003</v>
      </c>
      <c r="AB25" s="46">
        <f t="shared" si="0"/>
        <v>2138.1289999999999</v>
      </c>
      <c r="AC25" s="46">
        <f t="shared" si="0"/>
        <v>2151.8959999999997</v>
      </c>
      <c r="AD25" s="46">
        <f t="shared" si="0"/>
        <v>2318.94</v>
      </c>
      <c r="AE25" s="47"/>
      <c r="AF25" s="37"/>
      <c r="AG25" s="37"/>
      <c r="AH25" s="37"/>
      <c r="AI25" s="39"/>
    </row>
    <row r="26" spans="2:35">
      <c r="B26" s="18">
        <f>ROW()</f>
        <v>26</v>
      </c>
      <c r="C26" s="24"/>
      <c r="D26" s="46" t="s">
        <v>16</v>
      </c>
      <c r="E26" s="48"/>
      <c r="F26" s="36"/>
      <c r="G26" s="46">
        <f>SUM(G23:G25)</f>
        <v>283717</v>
      </c>
      <c r="H26" s="46">
        <f>SUM(H23:H25)</f>
        <v>280738</v>
      </c>
      <c r="I26" s="46">
        <f>SUM(I23:I25)</f>
        <v>279827</v>
      </c>
      <c r="J26" s="46">
        <f>SUM(J23:J25)</f>
        <v>282070</v>
      </c>
      <c r="K26" s="44"/>
      <c r="L26" s="46">
        <f>SUM(L23:L25)</f>
        <v>25184</v>
      </c>
      <c r="M26" s="46">
        <f>SUM(M23:M25)</f>
        <v>25300</v>
      </c>
      <c r="N26" s="46">
        <f>SUM(N23:N25)</f>
        <v>25432</v>
      </c>
      <c r="O26" s="46">
        <f>SUM(O23:O25)</f>
        <v>25514</v>
      </c>
      <c r="P26" s="32"/>
      <c r="Q26" s="46">
        <f>SUM(Q23:Q25)</f>
        <v>24359.65</v>
      </c>
      <c r="R26" s="46">
        <f>SUM(R23:R25)</f>
        <v>26218.114999999998</v>
      </c>
      <c r="S26" s="46">
        <f>SUM(S23:S25)</f>
        <v>27658.137999999999</v>
      </c>
      <c r="T26" s="46">
        <f>SUM(T23:T25)</f>
        <v>29387.039000000001</v>
      </c>
      <c r="U26" s="32"/>
      <c r="V26" s="45"/>
      <c r="W26" s="45"/>
      <c r="X26" s="45"/>
      <c r="Y26" s="45"/>
      <c r="Z26" s="36"/>
      <c r="AA26" s="46">
        <f>IF($E$10=1,SUM(AA23:AA25),(Q26-V26))</f>
        <v>18298.616999999998</v>
      </c>
      <c r="AB26" s="46">
        <f>IF($E$10=1,SUM(AB23:AB25),(R26-W26))</f>
        <v>20109.891000000003</v>
      </c>
      <c r="AC26" s="46">
        <f>IF($E$10=1,SUM(AC23:AC25),(S26-X26))</f>
        <v>21360.864000000001</v>
      </c>
      <c r="AD26" s="46">
        <f>IF($E$10=1,SUM(AD23:AD25),(T26-Y26))</f>
        <v>23012.304999999997</v>
      </c>
      <c r="AE26" s="44"/>
      <c r="AF26" s="46">
        <f>IF($F$11=1,ABS(Q26-AF44),ABS(AA26-AF44))</f>
        <v>1.1000000002240995E-2</v>
      </c>
      <c r="AG26" s="46">
        <f>IF($F$11=1,ABS(R26-AG44),ABS(AB26-AG44))</f>
        <v>0</v>
      </c>
      <c r="AH26" s="46">
        <f>IF($F$11=1,ABS(S26-AH44),ABS(AC26-AH44))</f>
        <v>4.0000000008149073E-3</v>
      </c>
      <c r="AI26" s="46">
        <f>IF($F$11=1,ABS(T26-AI44),ABS(AD26-AI44))</f>
        <v>1.0000000002037268E-2</v>
      </c>
    </row>
    <row r="27" spans="2:35" ht="6.75" customHeight="1">
      <c r="B27" s="18">
        <f>ROW()</f>
        <v>27</v>
      </c>
      <c r="C27" s="24"/>
      <c r="D27" s="27"/>
      <c r="E27" s="48"/>
      <c r="F27" s="36"/>
      <c r="G27" s="44"/>
      <c r="H27" s="44"/>
      <c r="I27" s="44"/>
      <c r="J27" s="44"/>
      <c r="K27" s="44"/>
      <c r="L27" s="44"/>
      <c r="M27" s="44"/>
      <c r="N27" s="44"/>
      <c r="O27" s="44"/>
      <c r="P27" s="32"/>
      <c r="Q27" s="44"/>
      <c r="R27" s="44"/>
      <c r="S27" s="44"/>
      <c r="T27" s="44"/>
      <c r="U27" s="32"/>
      <c r="V27" s="44"/>
      <c r="W27" s="44"/>
      <c r="X27" s="44"/>
      <c r="Y27" s="44"/>
      <c r="Z27" s="36"/>
      <c r="AA27" s="44"/>
      <c r="AB27" s="44"/>
      <c r="AC27" s="44"/>
      <c r="AD27" s="44"/>
      <c r="AE27" s="44"/>
      <c r="AF27" s="37"/>
      <c r="AG27" s="37"/>
      <c r="AH27" s="37"/>
      <c r="AI27" s="39"/>
    </row>
    <row r="28" spans="2:35" ht="6" customHeight="1">
      <c r="B28" s="18">
        <f>ROW()</f>
        <v>28</v>
      </c>
      <c r="C28" s="24"/>
      <c r="D28" s="27"/>
      <c r="E28" s="48"/>
      <c r="F28" s="36"/>
      <c r="G28" s="44"/>
      <c r="H28" s="44"/>
      <c r="I28" s="44"/>
      <c r="J28" s="44"/>
      <c r="K28" s="44"/>
      <c r="L28" s="44"/>
      <c r="M28" s="44"/>
      <c r="N28" s="44"/>
      <c r="O28" s="44"/>
      <c r="P28" s="32"/>
      <c r="Q28" s="44"/>
      <c r="R28" s="44"/>
      <c r="S28" s="44"/>
      <c r="T28" s="44"/>
      <c r="U28" s="32"/>
      <c r="V28" s="44"/>
      <c r="W28" s="44"/>
      <c r="X28" s="44"/>
      <c r="Y28" s="44"/>
      <c r="Z28" s="36"/>
      <c r="AA28" s="44"/>
      <c r="AB28" s="44"/>
      <c r="AC28" s="44"/>
      <c r="AD28" s="44"/>
      <c r="AE28" s="44"/>
      <c r="AF28" s="37"/>
      <c r="AG28" s="37"/>
      <c r="AH28" s="37"/>
      <c r="AI28" s="39"/>
    </row>
    <row r="29" spans="2:35">
      <c r="B29" s="18">
        <f>ROW()</f>
        <v>29</v>
      </c>
      <c r="C29" s="24"/>
      <c r="D29" s="27"/>
      <c r="E29" s="48"/>
      <c r="F29" s="36"/>
      <c r="G29" s="44"/>
      <c r="H29" s="44"/>
      <c r="I29" s="44"/>
      <c r="J29" s="44"/>
      <c r="K29" s="44"/>
      <c r="L29" s="44"/>
      <c r="M29" s="44"/>
      <c r="N29" s="44"/>
      <c r="O29" s="44"/>
      <c r="P29" s="32"/>
      <c r="Q29" s="44"/>
      <c r="R29" s="44"/>
      <c r="S29" s="44"/>
      <c r="T29" s="44"/>
      <c r="U29" s="44"/>
      <c r="V29" s="44"/>
      <c r="W29" s="44"/>
      <c r="X29" s="44"/>
      <c r="Y29" s="44"/>
      <c r="Z29" s="36"/>
      <c r="AA29" s="44"/>
      <c r="AB29" s="44"/>
      <c r="AC29" s="44"/>
      <c r="AD29" s="44"/>
      <c r="AE29" s="44"/>
      <c r="AF29" s="67"/>
      <c r="AG29" s="67"/>
      <c r="AH29" s="68"/>
      <c r="AI29" s="69"/>
    </row>
    <row r="30" spans="2:35" ht="75">
      <c r="B30" s="18">
        <f>ROW()</f>
        <v>30</v>
      </c>
      <c r="C30" s="24"/>
      <c r="D30" s="27"/>
      <c r="E30" s="34"/>
      <c r="F30" s="36"/>
      <c r="G30" s="32"/>
      <c r="H30" s="37"/>
      <c r="I30" s="37"/>
      <c r="J30" s="37"/>
      <c r="K30" s="37"/>
      <c r="L30" s="32" t="s">
        <v>9</v>
      </c>
      <c r="M30" s="37"/>
      <c r="N30" s="37"/>
      <c r="O30" s="37"/>
      <c r="P30" s="37"/>
      <c r="Q30" s="50" t="s">
        <v>23</v>
      </c>
      <c r="R30" s="37"/>
      <c r="S30" s="37"/>
      <c r="T30" s="37"/>
      <c r="U30" s="37"/>
      <c r="V30" s="50" t="s">
        <v>22</v>
      </c>
      <c r="W30" s="37"/>
      <c r="X30" s="37"/>
      <c r="Y30" s="37"/>
      <c r="Z30" s="36"/>
      <c r="AA30" s="50" t="s">
        <v>13</v>
      </c>
      <c r="AB30" s="37"/>
      <c r="AC30" s="37"/>
      <c r="AD30" s="37"/>
      <c r="AE30" s="37"/>
      <c r="AF30" s="37"/>
      <c r="AG30" s="37"/>
      <c r="AH30" s="37"/>
      <c r="AI30" s="39"/>
    </row>
    <row r="31" spans="2:35">
      <c r="B31" s="18">
        <f>ROW()</f>
        <v>31</v>
      </c>
      <c r="C31" s="24"/>
      <c r="D31" s="32" t="s">
        <v>6</v>
      </c>
      <c r="E31" s="34"/>
      <c r="F31" s="32"/>
      <c r="G31" s="32"/>
      <c r="H31" s="32"/>
      <c r="I31" s="32"/>
      <c r="J31" s="32"/>
      <c r="K31" s="51"/>
      <c r="L31" s="51" t="s">
        <v>5</v>
      </c>
      <c r="M31" s="51"/>
      <c r="N31" s="32"/>
      <c r="O31" s="32"/>
      <c r="P31" s="32"/>
      <c r="Q31" s="50" t="s">
        <v>8</v>
      </c>
      <c r="R31" s="32"/>
      <c r="S31" s="32"/>
      <c r="T31" s="32"/>
      <c r="U31" s="32"/>
      <c r="V31" s="50" t="s">
        <v>8</v>
      </c>
      <c r="W31" s="32"/>
      <c r="X31" s="32"/>
      <c r="Y31" s="32"/>
      <c r="Z31" s="32"/>
      <c r="AA31" s="50" t="s">
        <v>8</v>
      </c>
      <c r="AB31" s="32"/>
      <c r="AC31" s="32"/>
      <c r="AD31" s="32"/>
      <c r="AE31" s="32"/>
      <c r="AF31" s="37"/>
      <c r="AG31" s="37"/>
      <c r="AH31" s="37"/>
      <c r="AI31" s="39"/>
    </row>
    <row r="32" spans="2:35" ht="22.5" customHeight="1">
      <c r="B32" s="18">
        <f>ROW()</f>
        <v>32</v>
      </c>
      <c r="C32" s="24"/>
      <c r="D32" s="34"/>
      <c r="E32" s="37"/>
      <c r="F32" s="36"/>
      <c r="G32" s="32"/>
      <c r="H32" s="32"/>
      <c r="I32" s="32"/>
      <c r="J32" s="32"/>
      <c r="K32" s="41"/>
      <c r="L32" s="41">
        <v>2008</v>
      </c>
      <c r="M32" s="41">
        <v>2009</v>
      </c>
      <c r="N32" s="41">
        <v>2010</v>
      </c>
      <c r="O32" s="41">
        <v>2011</v>
      </c>
      <c r="P32" s="32"/>
      <c r="Q32" s="41">
        <v>2008</v>
      </c>
      <c r="R32" s="41">
        <v>2009</v>
      </c>
      <c r="S32" s="41">
        <v>2010</v>
      </c>
      <c r="T32" s="41">
        <v>2011</v>
      </c>
      <c r="U32" s="32"/>
      <c r="V32" s="41">
        <v>2008</v>
      </c>
      <c r="W32" s="41">
        <v>2009</v>
      </c>
      <c r="X32" s="41">
        <v>2010</v>
      </c>
      <c r="Y32" s="41">
        <v>2011</v>
      </c>
      <c r="Z32" s="41"/>
      <c r="AA32" s="41">
        <v>2008</v>
      </c>
      <c r="AB32" s="41">
        <v>2009</v>
      </c>
      <c r="AC32" s="41">
        <v>2010</v>
      </c>
      <c r="AD32" s="41">
        <v>2011</v>
      </c>
      <c r="AE32" s="42"/>
      <c r="AF32" s="37"/>
      <c r="AG32" s="37"/>
      <c r="AH32" s="37"/>
      <c r="AI32" s="39"/>
    </row>
    <row r="33" spans="2:35">
      <c r="B33" s="18">
        <f>ROW()</f>
        <v>33</v>
      </c>
      <c r="C33" s="24"/>
      <c r="D33" s="44" t="str">
        <f>$D$16</f>
        <v>Household</v>
      </c>
      <c r="E33" s="37"/>
      <c r="F33" s="36"/>
      <c r="G33" s="32"/>
      <c r="H33" s="32"/>
      <c r="I33" s="32"/>
      <c r="J33" s="32"/>
      <c r="K33" s="32"/>
      <c r="L33" s="45">
        <f>G23</f>
        <v>123825</v>
      </c>
      <c r="M33" s="45">
        <f t="shared" ref="M33:O33" si="1">H23</f>
        <v>121830</v>
      </c>
      <c r="N33" s="45">
        <f t="shared" si="1"/>
        <v>126592</v>
      </c>
      <c r="O33" s="45">
        <f t="shared" si="1"/>
        <v>125115</v>
      </c>
      <c r="P33" s="32"/>
      <c r="Q33" s="45">
        <v>0</v>
      </c>
      <c r="R33" s="45">
        <v>0</v>
      </c>
      <c r="S33" s="45">
        <v>0</v>
      </c>
      <c r="T33" s="45">
        <v>0</v>
      </c>
      <c r="U33" s="32"/>
      <c r="V33" s="45">
        <v>0</v>
      </c>
      <c r="W33" s="45">
        <v>0</v>
      </c>
      <c r="X33" s="45">
        <v>0</v>
      </c>
      <c r="Y33" s="45">
        <v>0</v>
      </c>
      <c r="Z33" s="36"/>
      <c r="AA33" s="45">
        <v>0</v>
      </c>
      <c r="AB33" s="45">
        <v>0</v>
      </c>
      <c r="AC33" s="45">
        <v>0</v>
      </c>
      <c r="AD33" s="45">
        <v>0</v>
      </c>
      <c r="AE33" s="47"/>
      <c r="AF33" s="37"/>
      <c r="AG33" s="37"/>
      <c r="AH33" s="37"/>
      <c r="AI33" s="39"/>
    </row>
    <row r="34" spans="2:35">
      <c r="B34" s="18">
        <f>ROW()</f>
        <v>34</v>
      </c>
      <c r="C34" s="24"/>
      <c r="D34" s="35" t="str">
        <f>$D$17</f>
        <v>Commercial</v>
      </c>
      <c r="E34" s="37"/>
      <c r="F34" s="36"/>
      <c r="G34" s="32"/>
      <c r="H34" s="32"/>
      <c r="I34" s="32"/>
      <c r="J34" s="32"/>
      <c r="K34" s="32"/>
      <c r="L34" s="45">
        <f t="shared" ref="L34:L35" si="2">G24</f>
        <v>81228</v>
      </c>
      <c r="M34" s="45">
        <f t="shared" ref="M34:M35" si="3">H24</f>
        <v>83302</v>
      </c>
      <c r="N34" s="45">
        <f t="shared" ref="N34:N35" si="4">I24</f>
        <v>81958</v>
      </c>
      <c r="O34" s="45">
        <f t="shared" ref="O34:O35" si="5">J24</f>
        <v>82742</v>
      </c>
      <c r="P34" s="32"/>
      <c r="Q34" s="45">
        <v>0</v>
      </c>
      <c r="R34" s="45">
        <v>0</v>
      </c>
      <c r="S34" s="45">
        <v>0</v>
      </c>
      <c r="T34" s="45">
        <v>0</v>
      </c>
      <c r="U34" s="32"/>
      <c r="V34" s="45">
        <v>0</v>
      </c>
      <c r="W34" s="45">
        <v>0</v>
      </c>
      <c r="X34" s="45">
        <v>0</v>
      </c>
      <c r="Y34" s="45">
        <v>0</v>
      </c>
      <c r="Z34" s="36"/>
      <c r="AA34" s="45">
        <v>0</v>
      </c>
      <c r="AB34" s="45">
        <v>0</v>
      </c>
      <c r="AC34" s="45">
        <v>0</v>
      </c>
      <c r="AD34" s="45">
        <v>0</v>
      </c>
      <c r="AE34" s="47"/>
      <c r="AF34" s="37"/>
      <c r="AG34" s="37"/>
      <c r="AH34" s="37"/>
      <c r="AI34" s="39"/>
    </row>
    <row r="35" spans="2:35">
      <c r="B35" s="18">
        <f>ROW()</f>
        <v>35</v>
      </c>
      <c r="C35" s="24"/>
      <c r="D35" s="35" t="str">
        <f>$D$18</f>
        <v>Industrial</v>
      </c>
      <c r="E35" s="37"/>
      <c r="F35" s="36"/>
      <c r="G35" s="32"/>
      <c r="H35" s="32"/>
      <c r="I35" s="32"/>
      <c r="J35" s="32"/>
      <c r="K35" s="32"/>
      <c r="L35" s="45">
        <f t="shared" si="2"/>
        <v>78664</v>
      </c>
      <c r="M35" s="45">
        <f t="shared" si="3"/>
        <v>75606</v>
      </c>
      <c r="N35" s="45">
        <f t="shared" si="4"/>
        <v>71277</v>
      </c>
      <c r="O35" s="45">
        <f t="shared" si="5"/>
        <v>74213</v>
      </c>
      <c r="P35" s="32"/>
      <c r="Q35" s="45">
        <v>0</v>
      </c>
      <c r="R35" s="45">
        <v>0</v>
      </c>
      <c r="S35" s="45">
        <v>0</v>
      </c>
      <c r="T35" s="45">
        <v>0</v>
      </c>
      <c r="U35" s="32"/>
      <c r="V35" s="45">
        <v>0</v>
      </c>
      <c r="W35" s="45">
        <v>0</v>
      </c>
      <c r="X35" s="45">
        <v>0</v>
      </c>
      <c r="Y35" s="45">
        <v>0</v>
      </c>
      <c r="Z35" s="36"/>
      <c r="AA35" s="45">
        <v>0</v>
      </c>
      <c r="AB35" s="45">
        <v>0</v>
      </c>
      <c r="AC35" s="45">
        <v>0</v>
      </c>
      <c r="AD35" s="45">
        <v>0</v>
      </c>
      <c r="AE35" s="47"/>
      <c r="AF35" s="37"/>
      <c r="AG35" s="37"/>
      <c r="AH35" s="37"/>
      <c r="AI35" s="39"/>
    </row>
    <row r="36" spans="2:35">
      <c r="B36" s="18">
        <f>ROW()</f>
        <v>36</v>
      </c>
      <c r="C36" s="24"/>
      <c r="D36" s="46" t="s">
        <v>16</v>
      </c>
      <c r="E36" s="48"/>
      <c r="F36" s="36"/>
      <c r="G36" s="32"/>
      <c r="H36" s="32"/>
      <c r="I36" s="32"/>
      <c r="J36" s="32"/>
      <c r="K36" s="44"/>
      <c r="L36" s="46">
        <f>SUM(L33:L35)</f>
        <v>283717</v>
      </c>
      <c r="M36" s="46">
        <f>SUM(M33:M35)</f>
        <v>280738</v>
      </c>
      <c r="N36" s="46">
        <f>SUM(N33:N35)</f>
        <v>279827</v>
      </c>
      <c r="O36" s="46">
        <f>SUM(O33:O35)</f>
        <v>282070</v>
      </c>
      <c r="P36" s="32"/>
      <c r="Q36" s="46">
        <f>SUM(Q33:Q35)</f>
        <v>0</v>
      </c>
      <c r="R36" s="46">
        <f>SUM(R33:R35)</f>
        <v>0</v>
      </c>
      <c r="S36" s="46">
        <f>SUM(S33:S35)</f>
        <v>0</v>
      </c>
      <c r="T36" s="46">
        <f>SUM(T33:T35)</f>
        <v>0</v>
      </c>
      <c r="U36" s="32"/>
      <c r="V36" s="46"/>
      <c r="W36" s="46"/>
      <c r="X36" s="46"/>
      <c r="Y36" s="46"/>
      <c r="Z36" s="36"/>
      <c r="AA36" s="46"/>
      <c r="AB36" s="46"/>
      <c r="AC36" s="46"/>
      <c r="AD36" s="46"/>
      <c r="AE36" s="44"/>
      <c r="AF36" s="37"/>
      <c r="AG36" s="37"/>
      <c r="AH36" s="37"/>
      <c r="AI36" s="39"/>
    </row>
    <row r="37" spans="2:35">
      <c r="B37" s="18">
        <f>ROW()</f>
        <v>37</v>
      </c>
      <c r="C37" s="24"/>
      <c r="D37" s="27"/>
      <c r="E37" s="48"/>
      <c r="F37" s="36"/>
      <c r="G37" s="44"/>
      <c r="H37" s="44"/>
      <c r="I37" s="44"/>
      <c r="J37" s="44"/>
      <c r="K37" s="44"/>
      <c r="L37" s="44"/>
      <c r="M37" s="44"/>
      <c r="N37" s="44"/>
      <c r="O37" s="44"/>
      <c r="P37" s="32"/>
      <c r="Q37" s="44"/>
      <c r="R37" s="44"/>
      <c r="S37" s="44"/>
      <c r="T37" s="44"/>
      <c r="U37" s="44"/>
      <c r="V37" s="44"/>
      <c r="W37" s="44"/>
      <c r="X37" s="44"/>
      <c r="Y37" s="44"/>
      <c r="Z37" s="36"/>
      <c r="AA37" s="44"/>
      <c r="AB37" s="44"/>
      <c r="AC37" s="44"/>
      <c r="AD37" s="44"/>
      <c r="AE37" s="44"/>
      <c r="AF37" s="37"/>
      <c r="AG37" s="37"/>
      <c r="AH37" s="37"/>
      <c r="AI37" s="39"/>
    </row>
    <row r="38" spans="2:35" ht="90">
      <c r="B38" s="18">
        <f>ROW()</f>
        <v>38</v>
      </c>
      <c r="C38" s="24"/>
      <c r="D38" s="27"/>
      <c r="E38" s="48"/>
      <c r="F38" s="36"/>
      <c r="G38" s="71" t="s">
        <v>26</v>
      </c>
      <c r="H38" s="71"/>
      <c r="I38" s="71"/>
      <c r="J38" s="71"/>
      <c r="K38" s="44"/>
      <c r="L38" s="50" t="s">
        <v>27</v>
      </c>
      <c r="M38" s="44"/>
      <c r="N38" s="44"/>
      <c r="O38" s="44"/>
      <c r="P38" s="32"/>
      <c r="Q38" s="50" t="s">
        <v>27</v>
      </c>
      <c r="R38" s="44"/>
      <c r="S38" s="44"/>
      <c r="T38" s="44"/>
      <c r="U38" s="44"/>
      <c r="V38" s="50" t="s">
        <v>27</v>
      </c>
      <c r="W38" s="44"/>
      <c r="X38" s="44"/>
      <c r="Y38" s="44"/>
      <c r="Z38" s="36"/>
      <c r="AA38" s="50" t="s">
        <v>27</v>
      </c>
      <c r="AB38" s="44"/>
      <c r="AC38" s="44"/>
      <c r="AD38" s="44"/>
      <c r="AE38" s="44"/>
      <c r="AF38" s="37"/>
      <c r="AG38" s="37"/>
      <c r="AH38" s="37"/>
      <c r="AI38" s="39"/>
    </row>
    <row r="39" spans="2:35" ht="24.75" customHeight="1">
      <c r="B39" s="18">
        <f>ROW()</f>
        <v>39</v>
      </c>
      <c r="C39" s="24"/>
      <c r="D39" s="27"/>
      <c r="E39" s="48"/>
      <c r="F39" s="36"/>
      <c r="G39" s="52" t="s">
        <v>4</v>
      </c>
      <c r="H39" s="53"/>
      <c r="I39" s="53"/>
      <c r="J39" s="53"/>
      <c r="K39" s="53"/>
      <c r="L39" s="52" t="s">
        <v>4</v>
      </c>
      <c r="M39" s="53"/>
      <c r="N39" s="53"/>
      <c r="O39" s="53"/>
      <c r="P39" s="51"/>
      <c r="Q39" s="52" t="s">
        <v>4</v>
      </c>
      <c r="R39" s="53"/>
      <c r="S39" s="53"/>
      <c r="T39" s="53"/>
      <c r="U39" s="53"/>
      <c r="V39" s="52" t="s">
        <v>4</v>
      </c>
      <c r="W39" s="53"/>
      <c r="X39" s="53"/>
      <c r="Y39" s="53"/>
      <c r="Z39" s="36"/>
      <c r="AA39" s="52" t="s">
        <v>4</v>
      </c>
      <c r="AB39" s="44"/>
      <c r="AC39" s="44"/>
      <c r="AD39" s="44"/>
      <c r="AE39" s="44"/>
      <c r="AF39" s="40" t="s">
        <v>4</v>
      </c>
      <c r="AG39" s="37"/>
      <c r="AH39" s="37"/>
      <c r="AI39" s="39"/>
    </row>
    <row r="40" spans="2:35">
      <c r="B40" s="18">
        <f>ROW()</f>
        <v>40</v>
      </c>
      <c r="C40" s="24"/>
      <c r="D40" s="34"/>
      <c r="E40" s="37"/>
      <c r="F40" s="36"/>
      <c r="G40" s="41">
        <v>2008</v>
      </c>
      <c r="H40" s="41">
        <v>2009</v>
      </c>
      <c r="I40" s="41">
        <v>2010</v>
      </c>
      <c r="J40" s="41">
        <v>2011</v>
      </c>
      <c r="K40" s="41"/>
      <c r="L40" s="41">
        <v>2008</v>
      </c>
      <c r="M40" s="41">
        <v>2009</v>
      </c>
      <c r="N40" s="41">
        <v>2010</v>
      </c>
      <c r="O40" s="41">
        <v>2011</v>
      </c>
      <c r="P40" s="32"/>
      <c r="Q40" s="41">
        <v>2008</v>
      </c>
      <c r="R40" s="41">
        <v>2009</v>
      </c>
      <c r="S40" s="41">
        <v>2010</v>
      </c>
      <c r="T40" s="41">
        <v>2011</v>
      </c>
      <c r="U40" s="41"/>
      <c r="V40" s="41">
        <v>2008</v>
      </c>
      <c r="W40" s="41">
        <v>2009</v>
      </c>
      <c r="X40" s="41">
        <v>2010</v>
      </c>
      <c r="Y40" s="41">
        <v>2011</v>
      </c>
      <c r="Z40" s="41"/>
      <c r="AA40" s="41">
        <v>2008</v>
      </c>
      <c r="AB40" s="41">
        <v>2009</v>
      </c>
      <c r="AC40" s="41">
        <v>2010</v>
      </c>
      <c r="AD40" s="41">
        <v>2011</v>
      </c>
      <c r="AE40" s="42"/>
      <c r="AF40" s="41">
        <v>2008</v>
      </c>
      <c r="AG40" s="41">
        <v>2009</v>
      </c>
      <c r="AH40" s="41">
        <v>2010</v>
      </c>
      <c r="AI40" s="43">
        <v>2011</v>
      </c>
    </row>
    <row r="41" spans="2:35">
      <c r="B41" s="18">
        <f>ROW()</f>
        <v>41</v>
      </c>
      <c r="C41" s="24"/>
      <c r="D41" s="44" t="str">
        <f>$D$16</f>
        <v>Household</v>
      </c>
      <c r="E41" s="37"/>
      <c r="F41" s="36"/>
      <c r="G41" s="45">
        <f>(800839)/1000</f>
        <v>800.83900000000006</v>
      </c>
      <c r="H41" s="45">
        <f>(804170)/1000</f>
        <v>804.17</v>
      </c>
      <c r="I41" s="45">
        <f>(806617)/1000</f>
        <v>806.61699999999996</v>
      </c>
      <c r="J41" s="45">
        <f>(809344)/1000</f>
        <v>809.34400000000005</v>
      </c>
      <c r="K41" s="32"/>
      <c r="L41" s="45">
        <f>(9211235)/1000</f>
        <v>9211.2350000000006</v>
      </c>
      <c r="M41" s="45">
        <f>(10044244)/1000</f>
        <v>10044.244000000001</v>
      </c>
      <c r="N41" s="45">
        <f>(10996405)/1000</f>
        <v>10996.405000000001</v>
      </c>
      <c r="O41" s="45">
        <f>(11789394)/1000</f>
        <v>11789.394</v>
      </c>
      <c r="P41" s="32"/>
      <c r="Q41" s="45">
        <v>0</v>
      </c>
      <c r="R41" s="45">
        <v>0</v>
      </c>
      <c r="S41" s="45">
        <v>0</v>
      </c>
      <c r="T41" s="45">
        <v>0</v>
      </c>
      <c r="U41" s="44"/>
      <c r="V41" s="45">
        <v>0</v>
      </c>
      <c r="W41" s="45">
        <v>0</v>
      </c>
      <c r="X41" s="45">
        <v>0</v>
      </c>
      <c r="Y41" s="45">
        <v>0</v>
      </c>
      <c r="Z41" s="36"/>
      <c r="AA41" s="45">
        <v>0</v>
      </c>
      <c r="AB41" s="45">
        <v>0</v>
      </c>
      <c r="AC41" s="45">
        <v>0</v>
      </c>
      <c r="AD41" s="45">
        <v>0</v>
      </c>
      <c r="AE41" s="47"/>
      <c r="AF41" s="46">
        <f t="shared" ref="AF41:AI43" si="6">G41+L41+Q41+V41+AA41</f>
        <v>10012.074000000001</v>
      </c>
      <c r="AG41" s="46">
        <f t="shared" si="6"/>
        <v>10848.414000000001</v>
      </c>
      <c r="AH41" s="46">
        <f t="shared" si="6"/>
        <v>11803.022000000001</v>
      </c>
      <c r="AI41" s="49">
        <f t="shared" si="6"/>
        <v>12598.738000000001</v>
      </c>
    </row>
    <row r="42" spans="2:35">
      <c r="B42" s="18">
        <f>ROW()</f>
        <v>42</v>
      </c>
      <c r="C42" s="24"/>
      <c r="D42" s="35" t="str">
        <f>$D$17</f>
        <v>Commercial</v>
      </c>
      <c r="E42" s="37"/>
      <c r="F42" s="36"/>
      <c r="G42" s="45">
        <f>(1936053)/1000</f>
        <v>1936.0530000000001</v>
      </c>
      <c r="H42" s="45">
        <f>(2251670)/1000</f>
        <v>2251.67</v>
      </c>
      <c r="I42" s="45">
        <f>(2359308)/1000</f>
        <v>2359.308</v>
      </c>
      <c r="J42" s="45">
        <f>(2857661)/1000</f>
        <v>2857.6610000000001</v>
      </c>
      <c r="K42" s="32"/>
      <c r="L42" s="45">
        <f>(4367299)/1000</f>
        <v>4367.299</v>
      </c>
      <c r="M42" s="45">
        <f>(4871678)/1000</f>
        <v>4871.6779999999999</v>
      </c>
      <c r="N42" s="45">
        <f>+(5046638)/1000</f>
        <v>5046.6379999999999</v>
      </c>
      <c r="O42" s="45">
        <f>(5236976)/1000</f>
        <v>5236.9759999999997</v>
      </c>
      <c r="P42" s="32"/>
      <c r="Q42" s="45">
        <v>0</v>
      </c>
      <c r="R42" s="45">
        <v>0</v>
      </c>
      <c r="S42" s="45">
        <v>0</v>
      </c>
      <c r="T42" s="45">
        <v>0</v>
      </c>
      <c r="U42" s="44"/>
      <c r="V42" s="45">
        <v>0</v>
      </c>
      <c r="W42" s="45">
        <v>0</v>
      </c>
      <c r="X42" s="45">
        <v>0</v>
      </c>
      <c r="Y42" s="45">
        <v>0</v>
      </c>
      <c r="Z42" s="36"/>
      <c r="AA42" s="45">
        <v>0</v>
      </c>
      <c r="AB42" s="45">
        <v>0</v>
      </c>
      <c r="AC42" s="45">
        <v>0</v>
      </c>
      <c r="AD42" s="45">
        <v>0</v>
      </c>
      <c r="AE42" s="47"/>
      <c r="AF42" s="46">
        <f t="shared" si="6"/>
        <v>6303.3519999999999</v>
      </c>
      <c r="AG42" s="46">
        <f t="shared" si="6"/>
        <v>7123.348</v>
      </c>
      <c r="AH42" s="46">
        <f t="shared" si="6"/>
        <v>7405.9459999999999</v>
      </c>
      <c r="AI42" s="49">
        <f t="shared" si="6"/>
        <v>8094.6369999999997</v>
      </c>
    </row>
    <row r="43" spans="2:35">
      <c r="B43" s="18">
        <f>ROW()</f>
        <v>43</v>
      </c>
      <c r="C43" s="24"/>
      <c r="D43" s="35" t="str">
        <f>$D$18</f>
        <v>Industrial</v>
      </c>
      <c r="E43" s="37"/>
      <c r="F43" s="36"/>
      <c r="G43" s="45">
        <f>(195972)/1000</f>
        <v>195.97200000000001</v>
      </c>
      <c r="H43" s="45">
        <f>(212271)/1000</f>
        <v>212.27099999999999</v>
      </c>
      <c r="I43" s="45">
        <f>(236560)/1000</f>
        <v>236.56</v>
      </c>
      <c r="J43" s="45">
        <f>(331478)/1000</f>
        <v>331.47800000000001</v>
      </c>
      <c r="K43" s="32"/>
      <c r="L43" s="45">
        <f>(1798230-11000)/1000</f>
        <v>1787.23</v>
      </c>
      <c r="M43" s="45">
        <f>(1925858)/1000</f>
        <v>1925.8579999999999</v>
      </c>
      <c r="N43" s="45">
        <f>(1911332+4000)/1000</f>
        <v>1915.3320000000001</v>
      </c>
      <c r="O43" s="45">
        <f>(1987462)/1000</f>
        <v>1987.462</v>
      </c>
      <c r="P43" s="32"/>
      <c r="Q43" s="45">
        <v>0</v>
      </c>
      <c r="R43" s="45">
        <v>0</v>
      </c>
      <c r="S43" s="45">
        <v>0</v>
      </c>
      <c r="T43" s="45">
        <v>0</v>
      </c>
      <c r="U43" s="44"/>
      <c r="V43" s="45">
        <v>0</v>
      </c>
      <c r="W43" s="45">
        <v>0</v>
      </c>
      <c r="X43" s="45">
        <v>0</v>
      </c>
      <c r="Y43" s="45">
        <v>0</v>
      </c>
      <c r="Z43" s="36"/>
      <c r="AA43" s="45">
        <v>0</v>
      </c>
      <c r="AB43" s="45">
        <v>0</v>
      </c>
      <c r="AC43" s="45">
        <v>0</v>
      </c>
      <c r="AD43" s="45">
        <v>0</v>
      </c>
      <c r="AE43" s="47"/>
      <c r="AF43" s="46">
        <f t="shared" si="6"/>
        <v>1983.202</v>
      </c>
      <c r="AG43" s="46">
        <f t="shared" si="6"/>
        <v>2138.1289999999999</v>
      </c>
      <c r="AH43" s="46">
        <f t="shared" si="6"/>
        <v>2151.8920000000003</v>
      </c>
      <c r="AI43" s="49">
        <f t="shared" si="6"/>
        <v>2318.94</v>
      </c>
    </row>
    <row r="44" spans="2:35">
      <c r="B44" s="18">
        <f>ROW()</f>
        <v>44</v>
      </c>
      <c r="C44" s="24"/>
      <c r="D44" s="46" t="s">
        <v>16</v>
      </c>
      <c r="E44" s="48"/>
      <c r="F44" s="36"/>
      <c r="G44" s="46">
        <f>SUM(G41:G43)</f>
        <v>2932.8640000000005</v>
      </c>
      <c r="H44" s="46">
        <f>SUM(H41:H43)</f>
        <v>3268.1110000000003</v>
      </c>
      <c r="I44" s="46">
        <f>SUM(I41:I43)</f>
        <v>3402.4850000000001</v>
      </c>
      <c r="J44" s="46">
        <f>SUM(J41:J43)</f>
        <v>3998.4830000000002</v>
      </c>
      <c r="K44" s="44"/>
      <c r="L44" s="46">
        <f>SUM(L41:L43)</f>
        <v>15365.763999999999</v>
      </c>
      <c r="M44" s="46">
        <f>SUM(M41:M43)</f>
        <v>16841.78</v>
      </c>
      <c r="N44" s="46">
        <f>SUM(N41:N43)</f>
        <v>17958.375</v>
      </c>
      <c r="O44" s="46">
        <f>SUM(O41:O43)</f>
        <v>19013.831999999999</v>
      </c>
      <c r="P44" s="32"/>
      <c r="Q44" s="46">
        <f>SUM(Q41:Q43)</f>
        <v>0</v>
      </c>
      <c r="R44" s="46">
        <f>SUM(R41:R43)</f>
        <v>0</v>
      </c>
      <c r="S44" s="46">
        <f>SUM(S41:S43)</f>
        <v>0</v>
      </c>
      <c r="T44" s="46">
        <f>SUM(T41:T43)</f>
        <v>0</v>
      </c>
      <c r="U44" s="44"/>
      <c r="V44" s="46">
        <f>SUM(V41:V43)</f>
        <v>0</v>
      </c>
      <c r="W44" s="46">
        <f>SUM(W41:W43)</f>
        <v>0</v>
      </c>
      <c r="X44" s="46">
        <f>SUM(X41:X43)</f>
        <v>0</v>
      </c>
      <c r="Y44" s="46">
        <f>SUM(Y41:Y43)</f>
        <v>0</v>
      </c>
      <c r="Z44" s="36"/>
      <c r="AA44" s="46">
        <f>SUM(AA41:AA43)</f>
        <v>0</v>
      </c>
      <c r="AB44" s="46">
        <f>SUM(AB41:AB43)</f>
        <v>0</v>
      </c>
      <c r="AC44" s="46">
        <f>SUM(AC41:AC43)</f>
        <v>0</v>
      </c>
      <c r="AD44" s="46">
        <f>SUM(AD41:AD43)</f>
        <v>0</v>
      </c>
      <c r="AE44" s="44"/>
      <c r="AF44" s="46">
        <f>SUM(AF41:AF43)</f>
        <v>18298.628000000001</v>
      </c>
      <c r="AG44" s="46">
        <f>SUM(AG41:AG43)</f>
        <v>20109.891000000003</v>
      </c>
      <c r="AH44" s="46">
        <f>SUM(AH41:AH43)</f>
        <v>21360.86</v>
      </c>
      <c r="AI44" s="49">
        <f>SUM(AI41:AI43)</f>
        <v>23012.314999999999</v>
      </c>
    </row>
    <row r="45" spans="2:35">
      <c r="B45" s="18">
        <f>ROW()</f>
        <v>45</v>
      </c>
      <c r="C45" s="24"/>
      <c r="D45" s="27"/>
      <c r="E45" s="48"/>
      <c r="F45" s="36"/>
      <c r="G45" s="44"/>
      <c r="H45" s="44"/>
      <c r="I45" s="44"/>
      <c r="J45" s="44"/>
      <c r="K45" s="44"/>
      <c r="L45" s="44"/>
      <c r="M45" s="44"/>
      <c r="N45" s="44"/>
      <c r="O45" s="44"/>
      <c r="P45" s="32"/>
      <c r="Q45" s="44"/>
      <c r="R45" s="44"/>
      <c r="S45" s="44"/>
      <c r="T45" s="44"/>
      <c r="U45" s="44"/>
      <c r="V45" s="44"/>
      <c r="W45" s="44"/>
      <c r="X45" s="44"/>
      <c r="Y45" s="44"/>
      <c r="Z45" s="36"/>
      <c r="AA45" s="44"/>
      <c r="AB45" s="44"/>
      <c r="AC45" s="44"/>
      <c r="AD45" s="44"/>
      <c r="AE45" s="44"/>
      <c r="AF45" s="37"/>
      <c r="AG45" s="37"/>
      <c r="AH45" s="37"/>
      <c r="AI45" s="39"/>
    </row>
    <row r="46" spans="2:35">
      <c r="B46" s="18">
        <f>ROW()</f>
        <v>46</v>
      </c>
      <c r="C46" s="24"/>
      <c r="D46" s="38" t="str">
        <f>IF(SUM(AF26:AI26)&lt;0.1,"You are not required to provide information in this cell","You are required to explain why total revenue does not reconcile total revenue calculated from billed quanties")</f>
        <v>You are not required to provide information in this cell</v>
      </c>
      <c r="E46" s="48"/>
      <c r="F46" s="36"/>
      <c r="G46" s="44"/>
      <c r="H46" s="44"/>
      <c r="I46" s="44"/>
      <c r="J46" s="44"/>
      <c r="K46" s="44"/>
      <c r="L46" s="44"/>
      <c r="M46" s="44"/>
      <c r="N46" s="44"/>
      <c r="O46" s="44"/>
      <c r="P46" s="32"/>
      <c r="Q46" s="44"/>
      <c r="R46" s="44"/>
      <c r="S46" s="44"/>
      <c r="T46" s="44"/>
      <c r="U46" s="44"/>
      <c r="V46" s="44"/>
      <c r="W46" s="44"/>
      <c r="X46" s="44"/>
      <c r="Y46" s="44"/>
      <c r="Z46" s="36"/>
      <c r="AA46" s="44"/>
      <c r="AB46" s="44"/>
      <c r="AC46" s="44"/>
      <c r="AD46" s="44"/>
      <c r="AE46" s="44"/>
      <c r="AF46" s="37"/>
      <c r="AG46" s="37"/>
      <c r="AH46" s="37"/>
      <c r="AI46" s="39"/>
    </row>
    <row r="47" spans="2:35" ht="60" customHeight="1">
      <c r="B47" s="18">
        <f>ROW()</f>
        <v>47</v>
      </c>
      <c r="C47" s="24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6"/>
      <c r="T47" s="44"/>
      <c r="U47" s="44"/>
      <c r="V47" s="44"/>
      <c r="W47" s="44"/>
      <c r="X47" s="44"/>
      <c r="Y47" s="44"/>
      <c r="Z47" s="36"/>
      <c r="AA47" s="44"/>
      <c r="AB47" s="44"/>
      <c r="AC47" s="44"/>
      <c r="AD47" s="44"/>
      <c r="AE47" s="44"/>
      <c r="AF47" s="37"/>
      <c r="AG47" s="37"/>
      <c r="AH47" s="37"/>
      <c r="AI47" s="39"/>
    </row>
    <row r="48" spans="2:35">
      <c r="B48" s="18"/>
      <c r="C48" s="24"/>
      <c r="D48" s="27"/>
      <c r="E48" s="48"/>
      <c r="F48" s="36"/>
      <c r="G48" s="44"/>
      <c r="H48" s="44"/>
      <c r="I48" s="44"/>
      <c r="J48" s="44"/>
      <c r="K48" s="44"/>
      <c r="L48" s="44"/>
      <c r="M48" s="44"/>
      <c r="N48" s="44"/>
      <c r="O48" s="44"/>
      <c r="P48" s="32"/>
      <c r="Q48" s="44"/>
      <c r="R48" s="44"/>
      <c r="S48" s="44"/>
      <c r="T48" s="44"/>
      <c r="U48" s="44"/>
      <c r="V48" s="44"/>
      <c r="W48" s="44"/>
      <c r="X48" s="44"/>
      <c r="Y48" s="44"/>
      <c r="Z48" s="36"/>
      <c r="AA48" s="44"/>
      <c r="AB48" s="44"/>
      <c r="AC48" s="44"/>
      <c r="AD48" s="44"/>
      <c r="AE48" s="44"/>
      <c r="AF48" s="37"/>
      <c r="AG48" s="37"/>
      <c r="AH48" s="37"/>
      <c r="AI48" s="39"/>
    </row>
    <row r="49" spans="2:35">
      <c r="B49" s="18"/>
      <c r="C49" s="24"/>
      <c r="D49" s="27"/>
      <c r="E49" s="48"/>
      <c r="F49" s="36"/>
      <c r="G49" s="44"/>
      <c r="H49" s="44"/>
      <c r="I49" s="44"/>
      <c r="J49" s="44"/>
      <c r="K49" s="44"/>
      <c r="L49" s="44"/>
      <c r="M49" s="44"/>
      <c r="N49" s="44"/>
      <c r="O49" s="44"/>
      <c r="P49" s="32"/>
      <c r="Q49" s="44"/>
      <c r="R49" s="44"/>
      <c r="S49" s="44"/>
      <c r="T49" s="44"/>
      <c r="U49" s="44"/>
      <c r="V49" s="44"/>
      <c r="W49" s="44"/>
      <c r="X49" s="44"/>
      <c r="Y49" s="44"/>
      <c r="Z49" s="36"/>
      <c r="AA49" s="44"/>
      <c r="AB49" s="44"/>
      <c r="AC49" s="44"/>
      <c r="AD49" s="44"/>
      <c r="AE49" s="44"/>
      <c r="AF49" s="37"/>
      <c r="AG49" s="37"/>
      <c r="AH49" s="37"/>
      <c r="AI49" s="39"/>
    </row>
    <row r="50" spans="2:35">
      <c r="B50" s="57"/>
      <c r="C50" s="58"/>
      <c r="D50" s="59"/>
      <c r="E50" s="60"/>
      <c r="F50" s="61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1"/>
      <c r="AA50" s="62"/>
      <c r="AB50" s="62"/>
      <c r="AC50" s="62"/>
      <c r="AD50" s="62"/>
      <c r="AE50" s="62"/>
      <c r="AF50" s="63"/>
      <c r="AG50" s="63"/>
      <c r="AH50" s="63"/>
      <c r="AI50" s="64"/>
    </row>
    <row r="51" spans="2:35" s="2" customFormat="1"/>
    <row r="52" spans="2:35" s="2" customFormat="1">
      <c r="AH52" s="65"/>
    </row>
    <row r="53" spans="2:35" s="2" customFormat="1"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2:35" s="2" customFormat="1"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2:35" s="2" customFormat="1"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2:35" s="2" customFormat="1"/>
    <row r="57" spans="2:35" s="2" customFormat="1"/>
    <row r="58" spans="2:35" s="2" customFormat="1"/>
    <row r="59" spans="2:35" s="2" customFormat="1"/>
    <row r="60" spans="2:35" s="2" customFormat="1"/>
    <row r="61" spans="2:35" s="2" customFormat="1"/>
    <row r="62" spans="2:35" s="2" customFormat="1"/>
    <row r="63" spans="2:35" s="2" customFormat="1"/>
    <row r="64" spans="2:35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</sheetData>
  <dataConsolidate/>
  <mergeCells count="6">
    <mergeCell ref="G38:J38"/>
    <mergeCell ref="G9:V9"/>
    <mergeCell ref="G10:V10"/>
    <mergeCell ref="G16:V16"/>
    <mergeCell ref="G17:V17"/>
    <mergeCell ref="G18:V18"/>
  </mergeCells>
  <conditionalFormatting sqref="Q25:T25 D43 Q35:T35 V35:Y35 AA35:AD35 G43:J43 L43:O43 Q43:T43 V43:Y43 AA43:AD43 D25 G25:J25 L25:O25 D35">
    <cfRule type="expression" dxfId="6" priority="11">
      <formula>$D$25="not used"</formula>
    </cfRule>
  </conditionalFormatting>
  <conditionalFormatting sqref="V26:Y26">
    <cfRule type="expression" dxfId="5" priority="53">
      <formula>$E$10=1</formula>
    </cfRule>
  </conditionalFormatting>
  <conditionalFormatting sqref="V23:Y24">
    <cfRule type="expression" dxfId="4" priority="54">
      <formula>$E$10=2</formula>
    </cfRule>
  </conditionalFormatting>
  <conditionalFormatting sqref="V25:Y25">
    <cfRule type="expression" dxfId="3" priority="55">
      <formula>OR($E$9=2,$E$10=2)</formula>
    </cfRule>
  </conditionalFormatting>
  <conditionalFormatting sqref="D18 G18:V18">
    <cfRule type="expression" dxfId="2" priority="3" stopIfTrue="1">
      <formula>$D$18="Not used"</formula>
    </cfRule>
  </conditionalFormatting>
  <conditionalFormatting sqref="G9:V9">
    <cfRule type="expression" dxfId="1" priority="2" stopIfTrue="1">
      <formula>$D$18="Industrial"</formula>
    </cfRule>
  </conditionalFormatting>
  <conditionalFormatting sqref="G10:V10">
    <cfRule type="expression" dxfId="0" priority="1" stopIfTrue="1">
      <formula>$E$10=1</formula>
    </cfRule>
  </conditionalFormatting>
  <dataValidations count="1">
    <dataValidation type="custom" allowBlank="1" showInputMessage="1" showErrorMessage="1" errorTitle="Thousands of dollars" error="Numeric values are accepted" promptTitle="Thousands of dollars" sqref="AA33:AA37 U41:Y50 W33:Y39 R33:U39 Q33:Q37 G23:Y29 T47 AF33:AF38 L33:L37 H39:J39 AI45:AI50 AF45:AG50 V33:V37 AA41:AE50 AH45:AH49 AB33:AE39 AG33:AI39 AF41:AI44 G41:T46 G48:T50 K33:K39 G33:J37 M33:P39 AA23:AI29">
      <formula1>ISNUMBER(G23)</formula1>
    </dataValidation>
  </dataValidations>
  <printOptions horizontalCentered="1"/>
  <pageMargins left="0" right="0" top="0.74803149606299213" bottom="0.74803149606299213" header="0.31496062992125984" footer="0.31496062992125984"/>
  <pageSetup paperSize="8" scale="40" orientation="landscape" r:id="rId1"/>
  <ignoredErrors>
    <ignoredError sqref="AA21 Q21 V21 G39:AF39" numberStoredAsText="1"/>
    <ignoredError sqref="Q26:T26 L26:O26 G26:J26" formulaRange="1"/>
    <ignoredError sqref="D23:D25 D17 D33:E35 D40:AI40 D36:E36 U36:AI36 D44:F44 D37:E37 D38:F38 K38 P35 K37:AI37 D43:F43 D41:F41 P41 M38:P38 R38:U38 AB38:AI38 W38:Z38 P33 K41 D42:F42 K42 K43 P42 P43 AG41:AI41 Z33 U33 P34 U34 U35 Z34 Z35 AE33:AI33 AE34:AI34 AE35:AI35 U41 U42 U43 Z41 Z42 Z43 AE41 AE42:AI42 AE43:AI43" unlockedFormula="1"/>
    <ignoredError sqref="L36:T36 G44:AI44" formulaRange="1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Information request</vt:lpstr>
      <vt:lpstr>'Information request'!Print_Area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2012-04-19T22:30:43Z</dcterms:modified>
</cp:coreProperties>
</file>