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0" windowWidth="16260" windowHeight="7155" activeTab="0"/>
  </bookViews>
  <sheets>
    <sheet name="Calculations" sheetId="1" r:id="rId1"/>
    <sheet name="Revenue Path Graph" sheetId="2" r:id="rId2"/>
  </sheets>
  <externalReferences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MatInverse_In" localSheetId="0" hidden="1">'[1]#REF'!#REF!</definedName>
    <definedName name="_MatInverse_In" hidden="1">'[1]#REF'!#REF!</definedName>
    <definedName name="_MatInverse_Out" localSheetId="0" hidden="1">'[1]#REF'!#REF!</definedName>
    <definedName name="_MatInverse_Out" hidden="1">'[1]#REF'!#REF!</definedName>
    <definedName name="_MatMult_A" localSheetId="0" hidden="1">'[1]#REF'!#REF!</definedName>
    <definedName name="_MatMult_A" hidden="1">'[1]#REF'!#REF!</definedName>
    <definedName name="_MatMult_AxB" localSheetId="0" hidden="1">'[1]#REF'!#REF!</definedName>
    <definedName name="_MatMult_AxB" hidden="1">'[1]#REF'!#REF!</definedName>
    <definedName name="_MatMult_B" localSheetId="0" hidden="1">'[1]#REF'!#REF!</definedName>
    <definedName name="_MatMult_B" hidden="1">'[1]#REF'!#REF!</definedName>
    <definedName name="Cost" localSheetId="0">'Calculations'!$C$2</definedName>
    <definedName name="Cost">#REF!</definedName>
    <definedName name="dd" localSheetId="0" hidden="1">'[1]#REF'!#REF!</definedName>
    <definedName name="dd" hidden="1">'[1]#REF'!#REF!</definedName>
    <definedName name="dddd" localSheetId="0" hidden="1">'[1]#REF'!#REF!</definedName>
    <definedName name="dddd" hidden="1">'[1]#REF'!#REF!</definedName>
    <definedName name="DV" localSheetId="0">'Calculations'!$C$9</definedName>
    <definedName name="DV">#REF!</definedName>
    <definedName name="EC" localSheetId="0">'Calculations'!$H$5</definedName>
    <definedName name="EC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40449.3874074073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" localSheetId="0">'Calculations'!$C$6</definedName>
    <definedName name="K">#REF!</definedName>
    <definedName name="L" localSheetId="0">'Calculations'!$C$5</definedName>
    <definedName name="L">#REF!</definedName>
    <definedName name="Life" localSheetId="0">'Calculations'!$C$3</definedName>
    <definedName name="Life">#REF!</definedName>
    <definedName name="n" localSheetId="0" hidden="1">'[1]#REF'!#REF!</definedName>
    <definedName name="n" hidden="1">'[1]#REF'!#REF!</definedName>
    <definedName name="Name" localSheetId="0" hidden="1">'[1]#REF'!#REF!</definedName>
    <definedName name="Name" hidden="1">'[1]#REF'!#REF!</definedName>
    <definedName name="Return" localSheetId="0">'Calculations'!$C$7</definedName>
    <definedName name="Return">#REF!</definedName>
    <definedName name="Reval" localSheetId="0">'Calculations'!$C$4</definedName>
    <definedName name="Reval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ax" localSheetId="0">'Calculations'!$C$11</definedName>
  </definedNames>
  <calcPr fullCalcOnLoad="1"/>
</workbook>
</file>

<file path=xl/sharedStrings.xml><?xml version="1.0" encoding="utf-8"?>
<sst xmlns="http://schemas.openxmlformats.org/spreadsheetml/2006/main" count="58" uniqueCount="48">
  <si>
    <t>Assumptions</t>
  </si>
  <si>
    <t>Tax depreciation</t>
  </si>
  <si>
    <t>Return on capital</t>
  </si>
  <si>
    <t>Closing value</t>
  </si>
  <si>
    <t>Asset life</t>
  </si>
  <si>
    <t>Revaluation rate</t>
  </si>
  <si>
    <t>Opening asset value</t>
  </si>
  <si>
    <t>Depreciation</t>
  </si>
  <si>
    <t>Revaluation</t>
  </si>
  <si>
    <t>Revaluation income</t>
  </si>
  <si>
    <t>Allowable Revenue</t>
  </si>
  <si>
    <t>Operating cashflows</t>
  </si>
  <si>
    <t xml:space="preserve">Investment Cashflows </t>
  </si>
  <si>
    <t>Corporate tax rate</t>
  </si>
  <si>
    <t>Depreciation (accounting)</t>
  </si>
  <si>
    <t>Pre-tax target return</t>
  </si>
  <si>
    <t>CIAL post-tax WACC</t>
  </si>
  <si>
    <t>Taxable income</t>
  </si>
  <si>
    <t>Annual effective tax rate</t>
  </si>
  <si>
    <t xml:space="preserve">Opening asset cost </t>
  </si>
  <si>
    <t xml:space="preserve">IRR (Post-tax) </t>
  </si>
  <si>
    <t>Tax DV depreciation rate</t>
  </si>
  <si>
    <t>DV</t>
  </si>
  <si>
    <t xml:space="preserve"> </t>
  </si>
  <si>
    <t>Levered Tax</t>
  </si>
  <si>
    <t>Interest tax shield</t>
  </si>
  <si>
    <t>Accounting income before tax</t>
  </si>
  <si>
    <t>Leverage</t>
  </si>
  <si>
    <t>Cost of debt</t>
  </si>
  <si>
    <t xml:space="preserve">Notional deductible interest </t>
  </si>
  <si>
    <t>Accounting income before interest and tax</t>
  </si>
  <si>
    <t>Tax  Values</t>
  </si>
  <si>
    <t>RAB Values</t>
  </si>
  <si>
    <t>LEVELISED PRICE PATH</t>
  </si>
  <si>
    <t>Quantity growth rate</t>
  </si>
  <si>
    <t>Pre-tax cashflows</t>
  </si>
  <si>
    <t>Quantity</t>
  </si>
  <si>
    <t>NPV of pre-tax cashflows using pre-tax target</t>
  </si>
  <si>
    <t>Levelised Revenue (NPV-equivalent on pre-tax target return)</t>
  </si>
  <si>
    <t>Notional deductible interest</t>
  </si>
  <si>
    <t>Investment Cashflows</t>
  </si>
  <si>
    <t>Constant real levelised price</t>
  </si>
  <si>
    <t>Path Level?</t>
  </si>
  <si>
    <t>Initial price (solve by levelising)</t>
  </si>
  <si>
    <t>Tax depreciation method</t>
  </si>
  <si>
    <t xml:space="preserve">If the revaluation at C4 is set to zero and the tax depreciation method at C10 is set to "Straight line", then a pre-tax return target of 13.56% is shown by this workbook to be equivalent to buildings blocks with a 9.76% post-tax IRR. For a revaluation/inflation rate of 2.1% and a diminishing value (DV) tax depreciation rate of 10%, the equivalent post-tax IRR increases from 9.76% to 10.42%. If the building blocks revenues for the case of 2.1% revaluations and 10% DV are levelised (through the Goal Seek function) using CIAL's pre-tax discount rate of 13.56%, the post-tax return rises further to 11.02%. </t>
  </si>
  <si>
    <t>Target zero</t>
  </si>
  <si>
    <t>To Levelise price path GoalSeek for D40 to equal zero by changing D41.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</si>
</sst>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_);\(#,##0\);&quot;-  &quot;;&quot; &quot;@"/>
    <numFmt numFmtId="167" formatCode="0.0%"/>
    <numFmt numFmtId="168" formatCode="0.00%_);\-0.00%_);&quot;-  &quot;;&quot; &quot;@"/>
    <numFmt numFmtId="169" formatCode="#,##0.0000_);\(#,##0.0000\);&quot;-  &quot;;&quot; &quot;@"/>
    <numFmt numFmtId="170" formatCode="#,##0.0_);\(#,##0.0\)"/>
    <numFmt numFmtId="171" formatCode="&quot;$&quot;_(#,##0.00_);&quot;$&quot;\(#,##0.00\)"/>
    <numFmt numFmtId="172" formatCode="#,##0.0_)\x;\(#,##0.0\)\x"/>
    <numFmt numFmtId="173" formatCode="#,##0.0_)_x;\(#,##0.0\)_x"/>
    <numFmt numFmtId="174" formatCode="0.0_)\%;\(0.0\)\%"/>
    <numFmt numFmtId="175" formatCode="#,##0.0_)_%;\(#,##0.0\)_%"/>
    <numFmt numFmtId="176" formatCode="#,##0;[Red]\(#,##0\);\-"/>
    <numFmt numFmtId="177" formatCode="\ #,##0_);\(#,##0\);\ &quot;-&quot;??_-;@_)"/>
    <numFmt numFmtId="178" formatCode="&quot;Case &quot;0"/>
    <numFmt numFmtId="179" formatCode="&quot;Warning&quot;;&quot;Warning&quot;;&quot;OK&quot;"/>
    <numFmt numFmtId="180" formatCode="#,##0.000_);[Red]\(#,##0.000\)"/>
    <numFmt numFmtId="181" formatCode="_(* #,##0_);_(* \(#,##0\);_(* &quot;–&quot;??_);_(* @_)"/>
    <numFmt numFmtId="182" formatCode="_(* #,##0.0_);_(* \(#,##0.0\);_(* &quot;–&quot;???_);_(* @_)"/>
    <numFmt numFmtId="183" formatCode="_(* #,##0.00_);_(* \(#,##0.00\);_(* &quot;–&quot;???_);_(* @_)"/>
    <numFmt numFmtId="184" formatCode="_(* #,##0.0000_);_(* \(#,##0.0000\);_(* &quot;–&quot;??_);_(* @_)"/>
    <numFmt numFmtId="185" formatCode="_(* #,##0_);_(* \(#,##0\);_(* &quot;-&quot;??_);_(@_)"/>
    <numFmt numFmtId="186" formatCode="_([$-1409]d\ mmmm\ yyyy;_(@"/>
    <numFmt numFmtId="187" formatCode="[$-1409]d\ mmm\ yy;@"/>
    <numFmt numFmtId="188" formatCode="_(* [$-1409]d\ mmm\ yyyy\ h\ AM/PM_);_(* @"/>
    <numFmt numFmtId="189" formatCode="dd\ mmm\ yyyy_);;&quot;-  &quot;;&quot; &quot;@"/>
    <numFmt numFmtId="190" formatCode="dd\ mmm\ yy_);;&quot;-  &quot;;&quot; &quot;@"/>
    <numFmt numFmtId="191" formatCode="_(* #,##0_);_(* \(#,##0\);_(* &quot;&quot;\ \-\ &quot;&quot;_);_(@_)"/>
    <numFmt numFmtId="192" formatCode="_(* #,##0_);_(* \(#,##0\);_(* &quot; - &quot;_);_(@_)"/>
    <numFmt numFmtId="193" formatCode="_-[$€-2]* #,##0.00_-;\-[$€-2]* #,##0.00_-;_-[$€-2]* &quot;-&quot;??_-"/>
    <numFmt numFmtId="194" formatCode="#,##0_-;\ \(#,##0\);_-* &quot;-&quot;??;_-@_-"/>
    <numFmt numFmtId="195" formatCode="_(* #,##0.000_);_(* \(#,##0.000\);_(* &quot;-&quot;??_);_(@_)"/>
    <numFmt numFmtId="196" formatCode="mmmm&quot; &quot;"/>
    <numFmt numFmtId="197" formatCode="#,##0.0,,_);[Red]\(#,##0.0,,\)"/>
    <numFmt numFmtId="198" formatCode="mmm"/>
    <numFmt numFmtId="199" formatCode="[&lt;=99999999]000\ \-\ 000\ \-\ 000;000\ \-\ 0000\ \-\ 000"/>
    <numFmt numFmtId="200" formatCode="\ #,##0.00\x_);\(#,##0.00\x\);\ &quot;-&quot;??_-;@_)"/>
    <numFmt numFmtId="201" formatCode="#,##0\ ;\(#,##0\)"/>
    <numFmt numFmtId="202" formatCode="0.00_)"/>
    <numFmt numFmtId="203" formatCode="#,##0.00;[Red]\(#,##0.00\)"/>
    <numFmt numFmtId="204" formatCode="_(* #,##0%_);_(* \(#,##0%\);_(* &quot;–&quot;???_);_(* @_)"/>
    <numFmt numFmtId="205" formatCode="_(* #,##0.0%_);_(* \(#,##0.0%\);_(* &quot;–&quot;???_);_(* @_)"/>
    <numFmt numFmtId="206" formatCode="_(* #,##0.00%_);_(* \(#,##0.00%\);_(* &quot;–&quot;???_);_(* @_)"/>
    <numFmt numFmtId="207" formatCode="[&lt;=9999999]\(0\3\)\ \-\ 000\ \-\ 0000\ ;\(00\)\ \-\ 000\ \-\ 0000"/>
    <numFmt numFmtId="208" formatCode="0.00\ &quot;x&quot;"/>
    <numFmt numFmtId="209" formatCode="\T\G##0"/>
    <numFmt numFmtId="210" formatCode="_(@_)"/>
    <numFmt numFmtId="211" formatCode="_(* @_)"/>
    <numFmt numFmtId="212" formatCode="#,##0.0,_);[Red]\(#,##0.0,\)"/>
    <numFmt numFmtId="213" formatCode="_([$-1409]h:mm\ AM/PM;@"/>
    <numFmt numFmtId="214" formatCode="_(* 0000_);_(* \(0000\);_(* &quot;–&quot;??_);_(@_)"/>
    <numFmt numFmtId="215" formatCode="#,##0.00_);\(#,##0.00\);&quot;-  &quot;;&quot; &quot;@"/>
    <numFmt numFmtId="216" formatCode="0.0%_);\-0.0%_);&quot;-  &quot;;&quot; &quot;@"/>
    <numFmt numFmtId="217" formatCode="0%_);\-0%_);&quot;-  &quot;;&quot; &quot;@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45 Light"/>
      <family val="0"/>
    </font>
    <font>
      <sz val="10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8"/>
      <color indexed="10"/>
      <name val="Arial"/>
      <family val="2"/>
    </font>
    <font>
      <sz val="10"/>
      <color indexed="16"/>
      <name val="Arial"/>
      <family val="2"/>
    </font>
    <font>
      <sz val="8"/>
      <color indexed="17"/>
      <name val="Arial"/>
      <family val="2"/>
    </font>
    <font>
      <sz val="18"/>
      <color indexed="18"/>
      <name val="Helvetica Neue"/>
      <family val="0"/>
    </font>
    <font>
      <sz val="8"/>
      <name val="Helvetica Neue"/>
      <family val="0"/>
    </font>
    <font>
      <b/>
      <sz val="10"/>
      <name val="Microsoft Sans Serif"/>
      <family val="2"/>
    </font>
    <font>
      <b/>
      <sz val="8"/>
      <name val="Microsoft Sans Serif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name val="Arial"/>
      <family val="2"/>
    </font>
    <font>
      <sz val="10"/>
      <color indexed="8"/>
      <name val="Cambria"/>
      <family val="1"/>
    </font>
    <font>
      <sz val="10"/>
      <color indexed="8"/>
      <name val="Calibri"/>
      <family val="4"/>
    </font>
    <font>
      <sz val="8"/>
      <name val="Tahoma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49"/>
      <name val="Calibri"/>
      <family val="4"/>
    </font>
    <font>
      <b/>
      <u val="single"/>
      <sz val="8"/>
      <name val="Helvetica Neue"/>
      <family val="0"/>
    </font>
    <font>
      <b/>
      <u val="double"/>
      <sz val="9"/>
      <name val="Arial"/>
      <family val="2"/>
    </font>
    <font>
      <b/>
      <sz val="8"/>
      <color indexed="47"/>
      <name val="Microsoft Sans Serif"/>
      <family val="2"/>
    </font>
    <font>
      <b/>
      <sz val="13"/>
      <color indexed="62"/>
      <name val="Calibri"/>
      <family val="4"/>
    </font>
    <font>
      <b/>
      <sz val="10"/>
      <color indexed="36"/>
      <name val="Arial"/>
      <family val="2"/>
    </font>
    <font>
      <sz val="8"/>
      <name val="Microsoft Sans Serif"/>
      <family val="2"/>
    </font>
    <font>
      <sz val="10"/>
      <name val="Helvetica Neue"/>
      <family val="0"/>
    </font>
    <font>
      <i/>
      <sz val="8"/>
      <color indexed="8"/>
      <name val="Calibri"/>
      <family val="4"/>
    </font>
    <font>
      <sz val="10"/>
      <color indexed="23"/>
      <name val="Arial"/>
      <family val="2"/>
    </font>
    <font>
      <sz val="12"/>
      <name val="Arial MT"/>
      <family val="0"/>
    </font>
    <font>
      <sz val="9"/>
      <name val="Futura UBS Bk"/>
      <family val="2"/>
    </font>
    <font>
      <b/>
      <sz val="13"/>
      <color indexed="48"/>
      <name val="Arial"/>
      <family val="2"/>
    </font>
    <font>
      <b/>
      <sz val="12"/>
      <color indexed="8"/>
      <name val="Arial"/>
      <family val="2"/>
    </font>
    <font>
      <u val="single"/>
      <sz val="11"/>
      <name val="Arial"/>
      <family val="2"/>
    </font>
    <font>
      <b/>
      <sz val="12"/>
      <color indexed="8"/>
      <name val="Cambria"/>
      <family val="1"/>
    </font>
    <font>
      <b/>
      <sz val="8"/>
      <color indexed="8"/>
      <name val="Microsoft Sans Serif"/>
      <family val="2"/>
    </font>
    <font>
      <b/>
      <sz val="10"/>
      <color indexed="8"/>
      <name val="Cambria"/>
      <family val="1"/>
    </font>
    <font>
      <b/>
      <sz val="12"/>
      <name val="Arial"/>
      <family val="2"/>
    </font>
    <font>
      <b/>
      <sz val="8"/>
      <name val="Helvetica Neue"/>
      <family val="0"/>
    </font>
    <font>
      <b/>
      <sz val="8"/>
      <name val="Arial"/>
      <family val="2"/>
    </font>
    <font>
      <sz val="8"/>
      <color indexed="12"/>
      <name val="Microsoft Sans Serif"/>
      <family val="2"/>
    </font>
    <font>
      <b/>
      <sz val="10"/>
      <color indexed="12"/>
      <name val="Microsoft Sans Serif"/>
      <family val="2"/>
    </font>
    <font>
      <b/>
      <sz val="8"/>
      <color indexed="12"/>
      <name val="Microsoft Sans Serif"/>
      <family val="2"/>
    </font>
    <font>
      <b/>
      <sz val="15"/>
      <color indexed="9"/>
      <name val="Arial"/>
      <family val="2"/>
    </font>
    <font>
      <sz val="8"/>
      <color indexed="40"/>
      <name val="Helvetica Neue"/>
      <family val="0"/>
    </font>
    <font>
      <b/>
      <sz val="13"/>
      <color indexed="8"/>
      <name val="Cambria"/>
      <family val="1"/>
    </font>
    <font>
      <b/>
      <sz val="10"/>
      <color indexed="8"/>
      <name val="Calibri"/>
      <family val="4"/>
    </font>
    <font>
      <b/>
      <sz val="14"/>
      <name val="Times New Roman"/>
      <family val="1"/>
    </font>
    <font>
      <sz val="14"/>
      <name val="Helvetica Neue"/>
      <family val="0"/>
    </font>
    <font>
      <sz val="10"/>
      <name val="MS Sans Serif"/>
      <family val="2"/>
    </font>
    <font>
      <b/>
      <sz val="9"/>
      <name val="Arial"/>
      <family val="2"/>
    </font>
    <font>
      <b/>
      <sz val="12"/>
      <color indexed="9"/>
      <name val="Microsoft Sans Serif"/>
      <family val="2"/>
    </font>
    <font>
      <b/>
      <sz val="14"/>
      <name val="Arial"/>
      <family val="2"/>
    </font>
    <font>
      <b/>
      <u val="singleAccounting"/>
      <sz val="9"/>
      <color indexed="9"/>
      <name val="Arial"/>
      <family val="2"/>
    </font>
    <font>
      <b/>
      <sz val="12"/>
      <color indexed="63"/>
      <name val="Microsoft Sans Serif"/>
      <family val="2"/>
    </font>
    <font>
      <sz val="10"/>
      <color indexed="58"/>
      <name val="Arial"/>
      <family val="2"/>
    </font>
    <font>
      <b/>
      <sz val="10"/>
      <color indexed="10"/>
      <name val="Arial"/>
      <family val="2"/>
    </font>
    <font>
      <b/>
      <i/>
      <sz val="16"/>
      <name val="Helv"/>
      <family val="0"/>
    </font>
    <font>
      <sz val="8"/>
      <name val="MS Sans Serif"/>
      <family val="2"/>
    </font>
    <font>
      <sz val="8"/>
      <color indexed="16"/>
      <name val="Helvetica Neue"/>
      <family val="0"/>
    </font>
    <font>
      <sz val="7"/>
      <color indexed="8"/>
      <name val="Arial"/>
      <family val="2"/>
    </font>
    <font>
      <sz val="11"/>
      <name val="CG Times (WN)"/>
      <family val="0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58"/>
      <name val="Arial"/>
      <family val="2"/>
    </font>
    <font>
      <sz val="16"/>
      <color indexed="8"/>
      <name val="Arial Black"/>
      <family val="2"/>
    </font>
    <font>
      <sz val="8"/>
      <color indexed="8"/>
      <name val="Cambria"/>
      <family val="1"/>
    </font>
    <font>
      <sz val="10"/>
      <color indexed="48"/>
      <name val="Arial"/>
      <family val="2"/>
    </font>
    <font>
      <sz val="8"/>
      <color indexed="12"/>
      <name val="Arial"/>
      <family val="2"/>
    </font>
    <font>
      <b/>
      <sz val="10"/>
      <color indexed="5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9"/>
      <name val="Arial"/>
      <family val="2"/>
    </font>
    <font>
      <sz val="8"/>
      <color indexed="22"/>
      <name val="Microsoft Sans Serif"/>
      <family val="2"/>
    </font>
    <font>
      <sz val="10"/>
      <color indexed="9"/>
      <name val="Arial"/>
      <family val="2"/>
    </font>
    <font>
      <sz val="22"/>
      <color indexed="18"/>
      <name val="Abadi MT Condensed Extra Bold"/>
      <family val="2"/>
    </font>
    <font>
      <b/>
      <u val="double"/>
      <sz val="18"/>
      <name val="Arial"/>
      <family val="2"/>
    </font>
    <font>
      <b/>
      <sz val="14"/>
      <color indexed="12"/>
      <name val="Arial"/>
      <family val="2"/>
    </font>
    <font>
      <sz val="10"/>
      <color indexed="13"/>
      <name val="Arial"/>
      <family val="2"/>
    </font>
    <font>
      <sz val="8"/>
      <color indexed="8"/>
      <name val="Wingdings"/>
      <family val="0"/>
    </font>
    <font>
      <sz val="16"/>
      <name val="Helvetica Neue"/>
      <family val="0"/>
    </font>
    <font>
      <b/>
      <sz val="12"/>
      <color indexed="61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theme="1"/>
      <name val="Verdana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4"/>
    </font>
    <font>
      <sz val="10"/>
      <color theme="8"/>
      <name val="Calibri"/>
      <family val="4"/>
    </font>
    <font>
      <b/>
      <sz val="13"/>
      <color theme="4"/>
      <name val="Calibri"/>
      <family val="4"/>
    </font>
    <font>
      <i/>
      <sz val="11"/>
      <color rgb="FF7F7F7F"/>
      <name val="Calibri"/>
      <family val="2"/>
    </font>
    <font>
      <i/>
      <sz val="8"/>
      <color theme="1"/>
      <name val="Calibri"/>
      <family val="4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2"/>
      <color theme="1"/>
      <name val="Cambria"/>
      <family val="1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mbria"/>
      <family val="1"/>
    </font>
    <font>
      <sz val="11"/>
      <color rgb="FF3F3F76"/>
      <name val="Calibri"/>
      <family val="2"/>
    </font>
    <font>
      <b/>
      <sz val="13"/>
      <color theme="1"/>
      <name val="Cambria"/>
      <family val="1"/>
    </font>
    <font>
      <b/>
      <sz val="10"/>
      <color theme="1"/>
      <name val="Calibri"/>
      <family val="4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mbria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bgColor indexed="9"/>
      </patternFill>
    </fill>
    <fill>
      <patternFill patternType="solid">
        <fgColor indexed="45"/>
        <bgColor indexed="64"/>
      </patternFill>
    </fill>
    <fill>
      <patternFill patternType="lightUp">
        <fgColor indexed="14"/>
        <b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22"/>
      </patternFill>
    </fill>
    <fill>
      <patternFill patternType="solid">
        <fgColor rgb="FF72C7E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lightVertical">
        <fgColor indexed="4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thin">
        <color indexed="47"/>
      </top>
      <bottom style="thin">
        <color indexed="47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 style="thin"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5"/>
      </right>
      <top/>
      <bottom style="thin">
        <color theme="5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</border>
    <border>
      <left/>
      <right/>
      <top style="thin"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382">
    <xf numFmtId="166" fontId="0" fillId="0" borderId="0" applyFon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1" fillId="14" borderId="0" applyNumberFormat="0" applyBorder="0" applyAlignment="0" applyProtection="0"/>
    <xf numFmtId="0" fontId="112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38" fontId="6" fillId="0" borderId="0" applyNumberFormat="0" applyFill="0" applyBorder="0" applyAlignment="0" applyProtection="0"/>
    <xf numFmtId="0" fontId="7" fillId="26" borderId="1" applyNumberFormat="0" applyAlignment="0">
      <protection/>
    </xf>
    <xf numFmtId="38" fontId="8" fillId="0" borderId="0" applyNumberFormat="0" applyFill="0" applyBorder="0" applyAlignment="0" applyProtection="0"/>
    <xf numFmtId="0" fontId="113" fillId="27" borderId="0" applyNumberFormat="0" applyBorder="0" applyAlignment="0" applyProtection="0"/>
    <xf numFmtId="38" fontId="9" fillId="0" borderId="0" applyNumberFormat="0" applyFill="0" applyBorder="0" applyAlignment="0" applyProtection="0"/>
    <xf numFmtId="176" fontId="10" fillId="28" borderId="0">
      <alignment/>
      <protection/>
    </xf>
    <xf numFmtId="0" fontId="114" fillId="29" borderId="2" applyNumberFormat="0" applyAlignment="0" applyProtection="0"/>
    <xf numFmtId="177" fontId="11" fillId="30" borderId="0" applyNumberFormat="0" applyBorder="0">
      <alignment horizontal="left" vertical="center"/>
      <protection/>
    </xf>
    <xf numFmtId="177" fontId="12" fillId="30" borderId="0" applyNumberFormat="0" applyBorder="0" applyAlignment="0">
      <protection/>
    </xf>
    <xf numFmtId="178" fontId="13" fillId="31" borderId="3">
      <alignment horizontal="center"/>
      <protection/>
    </xf>
    <xf numFmtId="179" fontId="14" fillId="0" borderId="4">
      <alignment horizontal="center"/>
      <protection/>
    </xf>
    <xf numFmtId="0" fontId="115" fillId="32" borderId="5" applyNumberFormat="0" applyAlignment="0" applyProtection="0"/>
    <xf numFmtId="0" fontId="15" fillId="33" borderId="0">
      <alignment horizontal="left"/>
      <protection/>
    </xf>
    <xf numFmtId="0" fontId="16" fillId="33" borderId="0">
      <alignment horizontal="right"/>
      <protection/>
    </xf>
    <xf numFmtId="0" fontId="17" fillId="28" borderId="0">
      <alignment horizontal="center"/>
      <protection/>
    </xf>
    <xf numFmtId="0" fontId="16" fillId="33" borderId="0">
      <alignment horizontal="right"/>
      <protection/>
    </xf>
    <xf numFmtId="0" fontId="18" fillId="28" borderId="0">
      <alignment horizontal="left"/>
      <protection/>
    </xf>
    <xf numFmtId="166" fontId="0" fillId="0" borderId="0" applyFont="0" applyFill="0" applyBorder="0" applyProtection="0">
      <alignment vertical="top"/>
    </xf>
    <xf numFmtId="180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16" fillId="0" borderId="0" applyFont="0" applyFill="0" applyBorder="0" applyAlignment="0" applyProtection="0"/>
    <xf numFmtId="182" fontId="116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1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17" fillId="0" borderId="0" applyFont="0" applyFill="0" applyBorder="0" applyProtection="0">
      <alignment vertical="top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Protection="0">
      <alignment vertical="top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Protection="0">
      <alignment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5" fontId="3" fillId="0" borderId="0" applyFont="0" applyFill="0" applyBorder="0">
      <alignment/>
      <protection/>
    </xf>
    <xf numFmtId="0" fontId="117" fillId="34" borderId="6">
      <alignment horizontal="left" vertical="top" wrapText="1" indent="1"/>
      <protection locked="0"/>
    </xf>
    <xf numFmtId="0" fontId="3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25" fillId="35" borderId="0">
      <alignment vertical="center"/>
      <protection/>
    </xf>
    <xf numFmtId="0" fontId="3" fillId="0" borderId="0">
      <alignment/>
      <protection/>
    </xf>
    <xf numFmtId="0" fontId="118" fillId="34" borderId="6" applyNumberFormat="0">
      <alignment/>
      <protection locked="0"/>
    </xf>
    <xf numFmtId="0" fontId="117" fillId="36" borderId="0">
      <alignment/>
      <protection/>
    </xf>
    <xf numFmtId="176" fontId="10" fillId="37" borderId="7">
      <alignment horizontal="right"/>
      <protection/>
    </xf>
    <xf numFmtId="186" fontId="116" fillId="0" borderId="0" applyFont="0" applyFill="0" applyBorder="0" applyProtection="0">
      <alignment/>
    </xf>
    <xf numFmtId="187" fontId="116" fillId="0" borderId="0" applyFont="0" applyFill="0" applyBorder="0" applyAlignment="0" applyProtection="0"/>
    <xf numFmtId="188" fontId="116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7" fontId="27" fillId="0" borderId="0" applyFill="0" applyBorder="0" applyAlignment="0" applyProtection="0"/>
    <xf numFmtId="190" fontId="2" fillId="0" borderId="0" applyFont="0" applyFill="0" applyBorder="0" applyProtection="0">
      <alignment vertical="top"/>
    </xf>
    <xf numFmtId="191" fontId="19" fillId="38" borderId="0" applyFill="0">
      <alignment horizontal="right"/>
      <protection/>
    </xf>
    <xf numFmtId="192" fontId="28" fillId="38" borderId="0" applyFill="0">
      <alignment horizontal="right"/>
      <protection/>
    </xf>
    <xf numFmtId="0" fontId="3" fillId="39" borderId="8" applyNumberFormat="0">
      <alignment/>
      <protection/>
    </xf>
    <xf numFmtId="177" fontId="29" fillId="40" borderId="9" applyFont="0">
      <alignment/>
      <protection/>
    </xf>
    <xf numFmtId="0" fontId="119" fillId="0" borderId="6" applyFill="0">
      <alignment horizontal="center"/>
      <protection/>
    </xf>
    <xf numFmtId="186" fontId="119" fillId="0" borderId="6" applyFill="0">
      <alignment horizontal="center" vertical="center"/>
      <protection/>
    </xf>
    <xf numFmtId="0" fontId="31" fillId="41" borderId="10" applyNumberFormat="0" applyAlignment="0">
      <protection/>
    </xf>
    <xf numFmtId="177" fontId="32" fillId="42" borderId="0" applyNumberFormat="0" applyBorder="0">
      <alignment horizontal="left" vertical="center"/>
      <protection/>
    </xf>
    <xf numFmtId="177" fontId="32" fillId="30" borderId="0">
      <alignment/>
      <protection/>
    </xf>
    <xf numFmtId="193" fontId="3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49" fontId="121" fillId="0" borderId="0" applyFill="0" applyProtection="0">
      <alignment horizontal="left" indent="1"/>
    </xf>
    <xf numFmtId="169" fontId="2" fillId="0" borderId="0" applyFont="0" applyFill="0" applyBorder="0" applyProtection="0">
      <alignment vertical="top"/>
    </xf>
    <xf numFmtId="0" fontId="3" fillId="28" borderId="0" applyNumberFormat="0" applyFont="0" applyAlignment="0">
      <protection/>
    </xf>
    <xf numFmtId="194" fontId="35" fillId="43" borderId="11">
      <alignment/>
      <protection/>
    </xf>
    <xf numFmtId="0" fontId="25" fillId="44" borderId="0">
      <alignment horizontal="right" vertical="center"/>
      <protection/>
    </xf>
    <xf numFmtId="0" fontId="36" fillId="28" borderId="0">
      <alignment/>
      <protection/>
    </xf>
    <xf numFmtId="0" fontId="122" fillId="45" borderId="0" applyNumberFormat="0" applyBorder="0" applyAlignment="0" applyProtection="0"/>
    <xf numFmtId="0" fontId="3" fillId="37" borderId="4" applyNumberFormat="0" applyFont="0" applyAlignment="0">
      <protection/>
    </xf>
    <xf numFmtId="167" fontId="3" fillId="46" borderId="8" applyNumberFormat="0" applyFont="0" applyBorder="0" applyAlignment="0" applyProtection="0"/>
    <xf numFmtId="167" fontId="3" fillId="46" borderId="8" applyNumberFormat="0" applyFont="0" applyBorder="0" applyAlignment="0" applyProtection="0"/>
    <xf numFmtId="0" fontId="37" fillId="46" borderId="0" applyNumberFormat="0" applyFont="0" applyAlignment="0">
      <protection/>
    </xf>
    <xf numFmtId="0" fontId="38" fillId="0" borderId="0">
      <alignment/>
      <protection/>
    </xf>
    <xf numFmtId="0" fontId="39" fillId="0" borderId="0" applyNumberFormat="0" applyFill="0">
      <alignment/>
      <protection/>
    </xf>
    <xf numFmtId="0" fontId="40" fillId="0" borderId="0">
      <alignment/>
      <protection/>
    </xf>
    <xf numFmtId="0" fontId="123" fillId="0" borderId="12" applyNumberFormat="0" applyFill="0" applyAlignment="0" applyProtection="0"/>
    <xf numFmtId="0" fontId="124" fillId="0" borderId="0" applyNumberFormat="0" applyFill="0" applyAlignment="0">
      <protection/>
    </xf>
    <xf numFmtId="0" fontId="124" fillId="0" borderId="0" applyNumberFormat="0" applyFill="0" applyAlignment="0" applyProtection="0"/>
    <xf numFmtId="0" fontId="125" fillId="0" borderId="13" applyNumberFormat="0" applyFill="0" applyAlignment="0" applyProtection="0"/>
    <xf numFmtId="177" fontId="42" fillId="47" borderId="14" applyNumberFormat="0" applyBorder="0" applyAlignment="0">
      <protection/>
    </xf>
    <xf numFmtId="0" fontId="126" fillId="0" borderId="15" applyNumberFormat="0" applyFill="0" applyAlignment="0" applyProtection="0"/>
    <xf numFmtId="49" fontId="127" fillId="48" borderId="0" applyFill="0" applyBorder="0">
      <alignment horizontal="left"/>
      <protection/>
    </xf>
    <xf numFmtId="0" fontId="126" fillId="0" borderId="0" applyNumberFormat="0" applyFill="0" applyBorder="0" applyAlignment="0" applyProtection="0"/>
    <xf numFmtId="0" fontId="44" fillId="0" borderId="0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0" fontId="45" fillId="0" borderId="8">
      <alignment/>
      <protection/>
    </xf>
    <xf numFmtId="0" fontId="45" fillId="0" borderId="0">
      <alignment/>
      <protection/>
    </xf>
    <xf numFmtId="38" fontId="46" fillId="0" borderId="0" applyNumberFormat="0" applyFill="0" applyBorder="0" applyAlignment="0" applyProtection="0"/>
    <xf numFmtId="0" fontId="117" fillId="36" borderId="16" applyNumberFormat="0">
      <alignment horizontal="left"/>
      <protection/>
    </xf>
    <xf numFmtId="195" fontId="3" fillId="0" borderId="0">
      <alignment/>
      <protection/>
    </xf>
    <xf numFmtId="0" fontId="14" fillId="0" borderId="0" applyNumberFormat="0" applyFill="0" applyBorder="0">
      <alignment horizontal="left"/>
      <protection/>
    </xf>
    <xf numFmtId="0" fontId="128" fillId="49" borderId="2" applyNumberFormat="0" applyAlignment="0" applyProtection="0"/>
    <xf numFmtId="196" fontId="47" fillId="0" borderId="0" applyNumberFormat="0" applyBorder="0" applyAlignment="0">
      <protection locked="0"/>
    </xf>
    <xf numFmtId="177" fontId="48" fillId="0" borderId="17" applyBorder="0">
      <alignment horizontal="left" vertical="center"/>
      <protection/>
    </xf>
    <xf numFmtId="177" fontId="49" fillId="0" borderId="17" applyBorder="0">
      <alignment horizontal="left" vertical="center"/>
      <protection/>
    </xf>
    <xf numFmtId="0" fontId="50" fillId="35" borderId="0">
      <alignment/>
      <protection/>
    </xf>
    <xf numFmtId="0" fontId="3" fillId="0" borderId="8" applyNumberFormat="0">
      <alignment/>
      <protection/>
    </xf>
    <xf numFmtId="38" fontId="19" fillId="47" borderId="0" applyNumberFormat="0" applyFont="0" applyBorder="0" applyAlignment="0" applyProtection="0"/>
    <xf numFmtId="0" fontId="51" fillId="0" borderId="0">
      <alignment horizontal="center"/>
      <protection/>
    </xf>
    <xf numFmtId="49" fontId="129" fillId="0" borderId="0" applyFill="0" applyBorder="0">
      <alignment horizontal="right" indent="1"/>
      <protection/>
    </xf>
    <xf numFmtId="49" fontId="130" fillId="0" borderId="0" applyFill="0" applyBorder="0">
      <alignment horizontal="center" wrapText="1"/>
      <protection/>
    </xf>
    <xf numFmtId="0" fontId="130" fillId="0" borderId="0" applyFill="0" applyBorder="0">
      <alignment horizontal="centerContinuous" wrapText="1"/>
      <protection/>
    </xf>
    <xf numFmtId="0" fontId="130" fillId="0" borderId="0" applyFill="0" applyBorder="0">
      <alignment horizontal="center" wrapText="1"/>
      <protection/>
    </xf>
    <xf numFmtId="49" fontId="117" fillId="0" borderId="0" applyFill="0" applyBorder="0">
      <alignment horizontal="left" indent="1"/>
      <protection/>
    </xf>
    <xf numFmtId="49" fontId="117" fillId="0" borderId="0" applyFill="0" applyBorder="0">
      <alignment horizontal="left" wrapText="1" indent="2"/>
      <protection/>
    </xf>
    <xf numFmtId="0" fontId="3" fillId="0" borderId="18" applyNumberFormat="0" applyFont="0" applyFill="0" applyAlignment="0">
      <protection/>
    </xf>
    <xf numFmtId="0" fontId="15" fillId="33" borderId="0">
      <alignment horizontal="left"/>
      <protection/>
    </xf>
    <xf numFmtId="0" fontId="13" fillId="28" borderId="0">
      <alignment horizontal="left"/>
      <protection/>
    </xf>
    <xf numFmtId="0" fontId="117" fillId="36" borderId="6" applyNumberFormat="0">
      <alignment horizontal="left"/>
      <protection/>
    </xf>
    <xf numFmtId="0" fontId="131" fillId="0" borderId="19" applyNumberFormat="0" applyFill="0" applyAlignment="0" applyProtection="0"/>
    <xf numFmtId="0" fontId="25" fillId="50" borderId="0">
      <alignment horizontal="right" vertical="center"/>
      <protection/>
    </xf>
    <xf numFmtId="38" fontId="54" fillId="0" borderId="0" applyNumberFormat="0" applyFill="0" applyBorder="0" applyAlignment="0" applyProtection="0"/>
    <xf numFmtId="38" fontId="55" fillId="0" borderId="0">
      <alignment/>
      <protection/>
    </xf>
    <xf numFmtId="197" fontId="19" fillId="0" borderId="0" applyFont="0" applyFill="0" applyBorder="0" applyAlignment="0" applyProtection="0"/>
    <xf numFmtId="198" fontId="56" fillId="0" borderId="0">
      <alignment/>
      <protection/>
    </xf>
    <xf numFmtId="199" fontId="57" fillId="0" borderId="0">
      <alignment horizontal="right"/>
      <protection/>
    </xf>
    <xf numFmtId="177" fontId="58" fillId="47" borderId="20" applyNumberFormat="0" applyBorder="0">
      <alignment vertical="center"/>
      <protection/>
    </xf>
    <xf numFmtId="17" fontId="59" fillId="0" borderId="0">
      <alignment/>
      <protection/>
    </xf>
    <xf numFmtId="49" fontId="60" fillId="35" borderId="0" applyFill="0">
      <alignment horizontal="centerContinuous" vertical="center"/>
      <protection/>
    </xf>
    <xf numFmtId="200" fontId="61" fillId="47" borderId="21" applyFont="0" applyFill="0" applyBorder="0" applyAlignment="0" applyProtection="0"/>
    <xf numFmtId="0" fontId="62" fillId="46" borderId="22">
      <alignment/>
      <protection/>
    </xf>
    <xf numFmtId="38" fontId="63" fillId="0" borderId="0" applyNumberFormat="0" applyFill="0" applyBorder="0" applyAlignment="0" applyProtection="0"/>
    <xf numFmtId="0" fontId="132" fillId="51" borderId="0" applyNumberFormat="0" applyBorder="0" applyAlignment="0" applyProtection="0"/>
    <xf numFmtId="201" fontId="19" fillId="0" borderId="0">
      <alignment/>
      <protection/>
    </xf>
    <xf numFmtId="202" fontId="64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Protection="0">
      <alignment vertical="top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166" fontId="0" fillId="0" borderId="0" applyFont="0" applyFill="0" applyBorder="0" applyProtection="0">
      <alignment vertical="top"/>
    </xf>
    <xf numFmtId="0" fontId="0" fillId="52" borderId="23" applyNumberFormat="0" applyFont="0" applyAlignment="0" applyProtection="0"/>
    <xf numFmtId="0" fontId="66" fillId="0" borderId="0">
      <alignment horizontal="left"/>
      <protection/>
    </xf>
    <xf numFmtId="0" fontId="3" fillId="52" borderId="23" applyNumberFormat="0" applyFont="0" applyAlignment="0" applyProtection="0"/>
    <xf numFmtId="0" fontId="67" fillId="38" borderId="0">
      <alignment horizontal="left" vertical="top" wrapText="1"/>
      <protection/>
    </xf>
    <xf numFmtId="2" fontId="68" fillId="0" borderId="0">
      <alignment/>
      <protection/>
    </xf>
    <xf numFmtId="0" fontId="7" fillId="30" borderId="1" applyNumberFormat="0">
      <alignment/>
      <protection/>
    </xf>
    <xf numFmtId="0" fontId="134" fillId="29" borderId="24" applyNumberFormat="0" applyAlignment="0" applyProtection="0"/>
    <xf numFmtId="177" fontId="32" fillId="28" borderId="0" applyNumberFormat="0" applyBorder="0">
      <alignment vertical="center"/>
      <protection/>
    </xf>
    <xf numFmtId="203" fontId="69" fillId="28" borderId="0">
      <alignment horizontal="right"/>
      <protection/>
    </xf>
    <xf numFmtId="0" fontId="70" fillId="26" borderId="0">
      <alignment horizontal="center"/>
      <protection/>
    </xf>
    <xf numFmtId="0" fontId="46" fillId="26" borderId="0">
      <alignment horizontal="left"/>
      <protection/>
    </xf>
    <xf numFmtId="0" fontId="71" fillId="28" borderId="0" applyBorder="0">
      <alignment horizontal="centerContinuous"/>
      <protection/>
    </xf>
    <xf numFmtId="0" fontId="72" fillId="26" borderId="0" applyBorder="0">
      <alignment horizontal="centerContinuous"/>
      <protection/>
    </xf>
    <xf numFmtId="49" fontId="135" fillId="36" borderId="25">
      <alignment horizontal="right" indent="2"/>
      <protection/>
    </xf>
    <xf numFmtId="168" fontId="0" fillId="0" borderId="0" applyFont="0" applyFill="0" applyBorder="0" applyProtection="0">
      <alignment vertical="top"/>
    </xf>
    <xf numFmtId="204" fontId="116" fillId="0" borderId="0" applyFont="0" applyFill="0" applyBorder="0" applyAlignment="0" applyProtection="0"/>
    <xf numFmtId="205" fontId="116" fillId="0" borderId="0" applyFont="0" applyFill="0" applyBorder="0" applyAlignment="0" applyProtection="0"/>
    <xf numFmtId="206" fontId="1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0" fillId="0" borderId="0" applyFon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53" borderId="26">
      <alignment/>
      <protection/>
    </xf>
    <xf numFmtId="207" fontId="57" fillId="0" borderId="0">
      <alignment horizontal="right"/>
      <protection/>
    </xf>
    <xf numFmtId="0" fontId="3" fillId="0" borderId="0">
      <alignment/>
      <protection/>
    </xf>
    <xf numFmtId="38" fontId="75" fillId="0" borderId="0" applyNumberFormat="0" applyFill="0" applyBorder="0" applyAlignment="0" applyProtection="0"/>
    <xf numFmtId="201" fontId="3" fillId="0" borderId="0">
      <alignment/>
      <protection/>
    </xf>
    <xf numFmtId="201" fontId="3" fillId="0" borderId="0">
      <alignment/>
      <protection/>
    </xf>
    <xf numFmtId="0" fontId="76" fillId="46" borderId="22" applyNumberFormat="0">
      <alignment horizontal="center"/>
      <protection/>
    </xf>
    <xf numFmtId="208" fontId="3" fillId="0" borderId="0" applyFont="0" applyFill="0" applyBorder="0">
      <alignment/>
      <protection/>
    </xf>
    <xf numFmtId="0" fontId="13" fillId="48" borderId="0">
      <alignment horizontal="center"/>
      <protection/>
    </xf>
    <xf numFmtId="49" fontId="39" fillId="28" borderId="0">
      <alignment horizontal="center"/>
      <protection/>
    </xf>
    <xf numFmtId="0" fontId="16" fillId="33" borderId="0">
      <alignment horizontal="center"/>
      <protection/>
    </xf>
    <xf numFmtId="0" fontId="16" fillId="33" borderId="0">
      <alignment horizontal="centerContinuous"/>
      <protection/>
    </xf>
    <xf numFmtId="0" fontId="69" fillId="28" borderId="0">
      <alignment horizontal="left"/>
      <protection/>
    </xf>
    <xf numFmtId="49" fontId="69" fillId="28" borderId="0">
      <alignment horizontal="center"/>
      <protection/>
    </xf>
    <xf numFmtId="0" fontId="15" fillId="33" borderId="0">
      <alignment horizontal="left"/>
      <protection/>
    </xf>
    <xf numFmtId="49" fontId="69" fillId="28" borderId="0">
      <alignment horizontal="left"/>
      <protection/>
    </xf>
    <xf numFmtId="0" fontId="15" fillId="33" borderId="0">
      <alignment horizontal="centerContinuous"/>
      <protection/>
    </xf>
    <xf numFmtId="0" fontId="15" fillId="33" borderId="0">
      <alignment horizontal="right"/>
      <protection/>
    </xf>
    <xf numFmtId="49" fontId="13" fillId="28" borderId="0">
      <alignment horizontal="left"/>
      <protection/>
    </xf>
    <xf numFmtId="0" fontId="16" fillId="33" borderId="0">
      <alignment horizontal="right"/>
      <protection/>
    </xf>
    <xf numFmtId="0" fontId="69" fillId="54" borderId="0">
      <alignment horizontal="center"/>
      <protection/>
    </xf>
    <xf numFmtId="0" fontId="75" fillId="54" borderId="0">
      <alignment horizontal="center"/>
      <protection/>
    </xf>
    <xf numFmtId="0" fontId="77" fillId="35" borderId="0">
      <alignment/>
      <protection/>
    </xf>
    <xf numFmtId="0" fontId="78" fillId="35" borderId="0">
      <alignment/>
      <protection/>
    </xf>
    <xf numFmtId="0" fontId="79" fillId="35" borderId="0">
      <alignment/>
      <protection/>
    </xf>
    <xf numFmtId="192" fontId="80" fillId="38" borderId="0" applyFill="0">
      <alignment horizontal="right"/>
      <protection/>
    </xf>
    <xf numFmtId="0" fontId="25" fillId="35" borderId="0">
      <alignment horizontal="right" vertical="center"/>
      <protection/>
    </xf>
    <xf numFmtId="0" fontId="3" fillId="0" borderId="0">
      <alignment/>
      <protection/>
    </xf>
    <xf numFmtId="38" fontId="45" fillId="0" borderId="0">
      <alignment horizontal="left"/>
      <protection/>
    </xf>
    <xf numFmtId="0" fontId="117" fillId="36" borderId="27" applyNumberFormat="0">
      <alignment horizontal="left"/>
      <protection/>
    </xf>
    <xf numFmtId="177" fontId="81" fillId="30" borderId="0" applyNumberFormat="0" applyAlignment="0">
      <protection locked="0"/>
    </xf>
    <xf numFmtId="0" fontId="82" fillId="35" borderId="8" applyNumberFormat="0">
      <alignment horizontal="center" vertical="center"/>
      <protection/>
    </xf>
    <xf numFmtId="0" fontId="14" fillId="30" borderId="4" applyNumberFormat="0">
      <alignment horizontal="right"/>
      <protection/>
    </xf>
    <xf numFmtId="209" fontId="24" fillId="0" borderId="8">
      <alignment horizontal="center"/>
      <protection/>
    </xf>
    <xf numFmtId="210" fontId="116" fillId="0" borderId="0" applyFont="0" applyFill="0" applyBorder="0" applyAlignment="0" applyProtection="0"/>
    <xf numFmtId="0" fontId="46" fillId="38" borderId="0" applyFill="0">
      <alignment/>
      <protection/>
    </xf>
    <xf numFmtId="0" fontId="19" fillId="38" borderId="0" applyFill="0">
      <alignment horizontal="left"/>
      <protection/>
    </xf>
    <xf numFmtId="0" fontId="19" fillId="38" borderId="0" applyFill="0">
      <alignment horizontal="left" indent="1"/>
      <protection/>
    </xf>
    <xf numFmtId="0" fontId="19" fillId="38" borderId="0" applyFill="0">
      <alignment horizontal="left" vertical="center" indent="2"/>
      <protection/>
    </xf>
    <xf numFmtId="211" fontId="116" fillId="0" borderId="0" applyFont="0" applyFill="0" applyBorder="0">
      <alignment horizontal="left"/>
      <protection locked="0"/>
    </xf>
    <xf numFmtId="212" fontId="19" fillId="0" borderId="0" applyFont="0" applyFill="0" applyBorder="0" applyAlignment="0" applyProtection="0"/>
    <xf numFmtId="213" fontId="116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83" fillId="30" borderId="28" applyNumberFormat="0">
      <alignment horizontal="left"/>
      <protection/>
    </xf>
    <xf numFmtId="38" fontId="84" fillId="0" borderId="0">
      <alignment/>
      <protection/>
    </xf>
    <xf numFmtId="38" fontId="85" fillId="0" borderId="0">
      <alignment/>
      <protection locked="0"/>
    </xf>
    <xf numFmtId="0" fontId="116" fillId="50" borderId="0">
      <alignment/>
      <protection/>
    </xf>
    <xf numFmtId="0" fontId="137" fillId="0" borderId="2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>
      <alignment/>
      <protection/>
    </xf>
    <xf numFmtId="38" fontId="75" fillId="0" borderId="0" applyNumberFormat="0" applyFill="0" applyBorder="0" applyAlignment="0" applyProtection="0"/>
    <xf numFmtId="0" fontId="86" fillId="55" borderId="0">
      <alignment/>
      <protection/>
    </xf>
    <xf numFmtId="0" fontId="87" fillId="28" borderId="0">
      <alignment horizontal="center"/>
      <protection/>
    </xf>
    <xf numFmtId="0" fontId="138" fillId="0" borderId="0" applyNumberFormat="0" applyFill="0" applyBorder="0" applyAlignment="0" applyProtection="0"/>
    <xf numFmtId="0" fontId="63" fillId="56" borderId="26">
      <alignment horizontal="center"/>
      <protection/>
    </xf>
    <xf numFmtId="38" fontId="88" fillId="30" borderId="17" applyBorder="0">
      <alignment/>
      <protection/>
    </xf>
    <xf numFmtId="0" fontId="89" fillId="57" borderId="0">
      <alignment/>
      <protection/>
    </xf>
    <xf numFmtId="214" fontId="116" fillId="0" borderId="0" applyFont="0" applyFill="0" applyBorder="0" applyAlignment="0" applyProtection="0"/>
  </cellStyleXfs>
  <cellXfs count="74">
    <xf numFmtId="166" fontId="0" fillId="0" borderId="0" xfId="0" applyFont="1" applyAlignment="1">
      <alignment vertical="top"/>
    </xf>
    <xf numFmtId="166" fontId="0" fillId="0" borderId="0" xfId="0" applyAlignment="1">
      <alignment vertical="top"/>
    </xf>
    <xf numFmtId="166" fontId="0" fillId="0" borderId="0" xfId="0" applyBorder="1" applyAlignment="1">
      <alignment vertical="top"/>
    </xf>
    <xf numFmtId="166" fontId="139" fillId="0" borderId="30" xfId="0" applyFont="1" applyBorder="1" applyAlignment="1">
      <alignment vertical="top"/>
    </xf>
    <xf numFmtId="215" fontId="139" fillId="0" borderId="0" xfId="0" applyNumberFormat="1" applyFont="1" applyBorder="1" applyAlignment="1">
      <alignment vertical="top"/>
    </xf>
    <xf numFmtId="215" fontId="139" fillId="0" borderId="31" xfId="0" applyNumberFormat="1" applyFont="1" applyBorder="1" applyAlignment="1">
      <alignment vertical="top"/>
    </xf>
    <xf numFmtId="166" fontId="139" fillId="0" borderId="0" xfId="0" applyFont="1" applyFill="1" applyBorder="1" applyAlignment="1">
      <alignment vertical="top"/>
    </xf>
    <xf numFmtId="166" fontId="139" fillId="58" borderId="0" xfId="0" applyFont="1" applyFill="1" applyBorder="1" applyAlignment="1">
      <alignment vertical="top"/>
    </xf>
    <xf numFmtId="166" fontId="0" fillId="58" borderId="0" xfId="0" applyFill="1" applyBorder="1" applyAlignment="1">
      <alignment vertical="top"/>
    </xf>
    <xf numFmtId="215" fontId="139" fillId="0" borderId="0" xfId="71" applyNumberFormat="1" applyFont="1" applyBorder="1">
      <alignment vertical="top"/>
    </xf>
    <xf numFmtId="215" fontId="139" fillId="0" borderId="31" xfId="71" applyNumberFormat="1" applyFont="1" applyBorder="1">
      <alignment vertical="top"/>
    </xf>
    <xf numFmtId="215" fontId="139" fillId="58" borderId="0" xfId="71" applyNumberFormat="1" applyFont="1" applyFill="1" applyBorder="1">
      <alignment vertical="top"/>
    </xf>
    <xf numFmtId="215" fontId="139" fillId="58" borderId="31" xfId="71" applyNumberFormat="1" applyFont="1" applyFill="1" applyBorder="1">
      <alignment vertical="top"/>
    </xf>
    <xf numFmtId="215" fontId="139" fillId="0" borderId="0" xfId="71" applyNumberFormat="1" applyFont="1" applyFill="1" applyBorder="1">
      <alignment vertical="top"/>
    </xf>
    <xf numFmtId="215" fontId="139" fillId="0" borderId="31" xfId="71" applyNumberFormat="1" applyFont="1" applyFill="1" applyBorder="1">
      <alignment vertical="top"/>
    </xf>
    <xf numFmtId="166" fontId="139" fillId="0" borderId="14" xfId="0" applyFont="1" applyBorder="1" applyAlignment="1">
      <alignment horizontal="center" vertical="top"/>
    </xf>
    <xf numFmtId="215" fontId="139" fillId="0" borderId="0" xfId="0" applyNumberFormat="1" applyFont="1" applyFill="1" applyBorder="1" applyAlignment="1">
      <alignment vertical="top"/>
    </xf>
    <xf numFmtId="215" fontId="139" fillId="0" borderId="31" xfId="0" applyNumberFormat="1" applyFont="1" applyFill="1" applyBorder="1" applyAlignment="1">
      <alignment vertical="top"/>
    </xf>
    <xf numFmtId="166" fontId="139" fillId="0" borderId="30" xfId="0" applyFont="1" applyFill="1" applyBorder="1" applyAlignment="1">
      <alignment vertical="top"/>
    </xf>
    <xf numFmtId="168" fontId="139" fillId="0" borderId="14" xfId="289" applyFont="1" applyBorder="1">
      <alignment vertical="top"/>
    </xf>
    <xf numFmtId="168" fontId="139" fillId="0" borderId="32" xfId="289" applyFont="1" applyBorder="1">
      <alignment vertical="top"/>
    </xf>
    <xf numFmtId="166" fontId="140" fillId="0" borderId="0" xfId="0" applyFont="1" applyBorder="1" applyAlignment="1">
      <alignment vertical="top"/>
    </xf>
    <xf numFmtId="168" fontId="139" fillId="0" borderId="30" xfId="289" applyFont="1" applyBorder="1">
      <alignment vertical="top"/>
    </xf>
    <xf numFmtId="166" fontId="139" fillId="58" borderId="30" xfId="0" applyFont="1" applyFill="1" applyBorder="1" applyAlignment="1">
      <alignment vertical="top"/>
    </xf>
    <xf numFmtId="166" fontId="139" fillId="0" borderId="30" xfId="0" applyFont="1" applyBorder="1" applyAlignment="1">
      <alignment horizontal="center" vertical="top"/>
    </xf>
    <xf numFmtId="166" fontId="139" fillId="0" borderId="20" xfId="0" applyFont="1" applyBorder="1" applyAlignment="1">
      <alignment horizontal="left" vertical="top"/>
    </xf>
    <xf numFmtId="168" fontId="139" fillId="59" borderId="33" xfId="289" applyNumberFormat="1" applyFont="1" applyFill="1" applyBorder="1">
      <alignment vertical="top"/>
    </xf>
    <xf numFmtId="166" fontId="0" fillId="0" borderId="0" xfId="0" applyFill="1" applyBorder="1" applyAlignment="1">
      <alignment vertical="top"/>
    </xf>
    <xf numFmtId="215" fontId="139" fillId="58" borderId="31" xfId="0" applyNumberFormat="1" applyFont="1" applyFill="1" applyBorder="1" applyAlignment="1">
      <alignment vertical="top"/>
    </xf>
    <xf numFmtId="166" fontId="141" fillId="60" borderId="34" xfId="0" applyFont="1" applyFill="1" applyBorder="1" applyAlignment="1">
      <alignment vertical="top"/>
    </xf>
    <xf numFmtId="166" fontId="139" fillId="58" borderId="35" xfId="0" applyFont="1" applyFill="1" applyBorder="1" applyAlignment="1">
      <alignment vertical="top"/>
    </xf>
    <xf numFmtId="166" fontId="139" fillId="58" borderId="36" xfId="0" applyFont="1" applyFill="1" applyBorder="1" applyAlignment="1">
      <alignment vertical="top"/>
    </xf>
    <xf numFmtId="166" fontId="139" fillId="58" borderId="37" xfId="0" applyFont="1" applyFill="1" applyBorder="1" applyAlignment="1">
      <alignment vertical="top"/>
    </xf>
    <xf numFmtId="166" fontId="139" fillId="0" borderId="0" xfId="0" applyFont="1" applyBorder="1" applyAlignment="1">
      <alignment vertical="top"/>
    </xf>
    <xf numFmtId="166" fontId="0" fillId="0" borderId="30" xfId="0" applyBorder="1" applyAlignment="1">
      <alignment vertical="top"/>
    </xf>
    <xf numFmtId="166" fontId="0" fillId="0" borderId="31" xfId="0" applyBorder="1" applyAlignment="1">
      <alignment vertical="top"/>
    </xf>
    <xf numFmtId="166" fontId="139" fillId="0" borderId="31" xfId="0" applyFont="1" applyBorder="1" applyAlignment="1">
      <alignment vertical="top"/>
    </xf>
    <xf numFmtId="166" fontId="141" fillId="0" borderId="30" xfId="0" applyFont="1" applyBorder="1" applyAlignment="1">
      <alignment vertical="top"/>
    </xf>
    <xf numFmtId="166" fontId="140" fillId="58" borderId="30" xfId="0" applyFont="1" applyFill="1" applyBorder="1" applyAlignment="1">
      <alignment vertical="top"/>
    </xf>
    <xf numFmtId="215" fontId="139" fillId="58" borderId="0" xfId="0" applyNumberFormat="1" applyFont="1" applyFill="1" applyBorder="1" applyAlignment="1">
      <alignment vertical="top"/>
    </xf>
    <xf numFmtId="166" fontId="139" fillId="0" borderId="36" xfId="0" applyFont="1" applyBorder="1" applyAlignment="1">
      <alignment horizontal="center" vertical="top"/>
    </xf>
    <xf numFmtId="166" fontId="139" fillId="0" borderId="20" xfId="0" applyFont="1" applyBorder="1" applyAlignment="1">
      <alignment vertical="top"/>
    </xf>
    <xf numFmtId="166" fontId="139" fillId="0" borderId="14" xfId="0" applyFont="1" applyBorder="1" applyAlignment="1">
      <alignment vertical="top"/>
    </xf>
    <xf numFmtId="166" fontId="139" fillId="0" borderId="32" xfId="0" applyFont="1" applyBorder="1" applyAlignment="1">
      <alignment vertical="top"/>
    </xf>
    <xf numFmtId="1" fontId="141" fillId="60" borderId="38" xfId="71" applyNumberFormat="1" applyFont="1" applyFill="1" applyBorder="1" applyAlignment="1">
      <alignment horizontal="center" vertical="top"/>
    </xf>
    <xf numFmtId="166" fontId="140" fillId="60" borderId="38" xfId="0" applyFont="1" applyFill="1" applyBorder="1" applyAlignment="1">
      <alignment horizontal="center" vertical="top"/>
    </xf>
    <xf numFmtId="166" fontId="140" fillId="60" borderId="39" xfId="0" applyFont="1" applyFill="1" applyBorder="1" applyAlignment="1">
      <alignment horizontal="center" vertical="top"/>
    </xf>
    <xf numFmtId="166" fontId="139" fillId="61" borderId="39" xfId="0" applyFont="1" applyFill="1" applyBorder="1" applyAlignment="1" applyProtection="1">
      <alignment vertical="top"/>
      <protection locked="0"/>
    </xf>
    <xf numFmtId="166" fontId="139" fillId="61" borderId="31" xfId="0" applyFont="1" applyFill="1" applyBorder="1" applyAlignment="1" applyProtection="1">
      <alignment vertical="top"/>
      <protection locked="0"/>
    </xf>
    <xf numFmtId="216" fontId="139" fillId="61" borderId="31" xfId="289" applyNumberFormat="1" applyFont="1" applyFill="1" applyBorder="1" applyProtection="1">
      <alignment vertical="top"/>
      <protection locked="0"/>
    </xf>
    <xf numFmtId="216" fontId="139" fillId="61" borderId="31" xfId="289" applyNumberFormat="1" applyFont="1" applyFill="1" applyBorder="1" applyAlignment="1" applyProtection="1">
      <alignment horizontal="right" vertical="center"/>
      <protection locked="0"/>
    </xf>
    <xf numFmtId="168" fontId="139" fillId="61" borderId="31" xfId="289" applyFont="1" applyFill="1" applyBorder="1" applyProtection="1">
      <alignment vertical="top"/>
      <protection locked="0"/>
    </xf>
    <xf numFmtId="217" fontId="139" fillId="61" borderId="40" xfId="289" applyNumberFormat="1" applyFont="1" applyFill="1" applyBorder="1" applyProtection="1">
      <alignment vertical="top"/>
      <protection locked="0"/>
    </xf>
    <xf numFmtId="216" fontId="139" fillId="16" borderId="41" xfId="289" applyNumberFormat="1" applyFont="1" applyFill="1" applyBorder="1" applyAlignment="1" applyProtection="1">
      <alignment horizontal="center" vertical="top"/>
      <protection locked="0"/>
    </xf>
    <xf numFmtId="166" fontId="141" fillId="60" borderId="30" xfId="0" applyFont="1" applyFill="1" applyBorder="1" applyAlignment="1">
      <alignment horizontal="left" vertical="top"/>
    </xf>
    <xf numFmtId="166" fontId="141" fillId="60" borderId="0" xfId="0" applyFont="1" applyFill="1" applyBorder="1" applyAlignment="1">
      <alignment horizontal="left" vertical="top"/>
    </xf>
    <xf numFmtId="166" fontId="141" fillId="60" borderId="31" xfId="0" applyFont="1" applyFill="1" applyBorder="1" applyAlignment="1">
      <alignment horizontal="left" vertical="top"/>
    </xf>
    <xf numFmtId="0" fontId="142" fillId="0" borderId="34" xfId="0" applyNumberFormat="1" applyFont="1" applyBorder="1" applyAlignment="1">
      <alignment horizontal="left" vertical="top" wrapText="1"/>
    </xf>
    <xf numFmtId="0" fontId="142" fillId="0" borderId="38" xfId="0" applyNumberFormat="1" applyFont="1" applyBorder="1" applyAlignment="1">
      <alignment horizontal="left" vertical="top" wrapText="1"/>
    </xf>
    <xf numFmtId="0" fontId="142" fillId="0" borderId="39" xfId="0" applyNumberFormat="1" applyFont="1" applyBorder="1" applyAlignment="1">
      <alignment horizontal="left" vertical="top" wrapText="1"/>
    </xf>
    <xf numFmtId="0" fontId="142" fillId="0" borderId="30" xfId="0" applyNumberFormat="1" applyFont="1" applyBorder="1" applyAlignment="1">
      <alignment horizontal="left" vertical="top" wrapText="1"/>
    </xf>
    <xf numFmtId="0" fontId="142" fillId="0" borderId="0" xfId="0" applyNumberFormat="1" applyFont="1" applyBorder="1" applyAlignment="1">
      <alignment horizontal="left" vertical="top" wrapText="1"/>
    </xf>
    <xf numFmtId="0" fontId="142" fillId="0" borderId="31" xfId="0" applyNumberFormat="1" applyFont="1" applyBorder="1" applyAlignment="1">
      <alignment horizontal="left" vertical="top" wrapText="1"/>
    </xf>
    <xf numFmtId="0" fontId="142" fillId="0" borderId="20" xfId="0" applyNumberFormat="1" applyFont="1" applyBorder="1" applyAlignment="1">
      <alignment horizontal="left" vertical="top" wrapText="1"/>
    </xf>
    <xf numFmtId="0" fontId="142" fillId="0" borderId="14" xfId="0" applyNumberFormat="1" applyFont="1" applyBorder="1" applyAlignment="1">
      <alignment horizontal="left" vertical="top" wrapText="1"/>
    </xf>
    <xf numFmtId="0" fontId="142" fillId="0" borderId="32" xfId="0" applyNumberFormat="1" applyFont="1" applyBorder="1" applyAlignment="1">
      <alignment horizontal="left" vertical="top" wrapText="1"/>
    </xf>
    <xf numFmtId="166" fontId="140" fillId="0" borderId="0" xfId="0" applyFont="1" applyBorder="1" applyAlignment="1">
      <alignment vertical="top"/>
    </xf>
    <xf numFmtId="168" fontId="139" fillId="61" borderId="8" xfId="289" applyFont="1" applyFill="1" applyBorder="1" applyProtection="1">
      <alignment vertical="top"/>
      <protection locked="0"/>
    </xf>
    <xf numFmtId="166" fontId="140" fillId="62" borderId="17" xfId="0" applyFont="1" applyFill="1" applyBorder="1" applyAlignment="1">
      <alignment horizontal="center" vertical="top"/>
    </xf>
    <xf numFmtId="166" fontId="139" fillId="0" borderId="17" xfId="0" applyFont="1" applyBorder="1" applyAlignment="1">
      <alignment horizontal="center" vertical="top"/>
    </xf>
    <xf numFmtId="166" fontId="139" fillId="0" borderId="42" xfId="0" applyFont="1" applyBorder="1" applyAlignment="1">
      <alignment vertical="top"/>
    </xf>
    <xf numFmtId="215" fontId="139" fillId="0" borderId="40" xfId="0" applyNumberFormat="1" applyFont="1" applyFill="1" applyBorder="1" applyAlignment="1" applyProtection="1">
      <alignment vertical="top"/>
      <protection locked="0"/>
    </xf>
    <xf numFmtId="166" fontId="140" fillId="62" borderId="0" xfId="0" applyFont="1" applyFill="1" applyBorder="1" applyAlignment="1">
      <alignment vertical="top"/>
    </xf>
    <xf numFmtId="166" fontId="139" fillId="62" borderId="0" xfId="0" applyFont="1" applyFill="1" applyBorder="1" applyAlignment="1">
      <alignment vertical="top"/>
    </xf>
  </cellXfs>
  <cellStyles count="368">
    <cellStyle name="Normal" xfId="0"/>
    <cellStyle name=" 1" xfId="15"/>
    <cellStyle name="%" xfId="16"/>
    <cellStyle name="_Comma" xfId="17"/>
    <cellStyle name="_Currency" xfId="18"/>
    <cellStyle name="_CurrencySpace" xfId="19"/>
    <cellStyle name="_Multiple" xfId="20"/>
    <cellStyle name="_MultipleSpace" xfId="21"/>
    <cellStyle name="_Percent" xfId="22"/>
    <cellStyle name="_PercentSpace" xfId="23"/>
    <cellStyle name="_PFM Model_v4" xfId="24"/>
    <cellStyle name="=C:\WINNT35\SYSTEM32\COMMAND.COM" xfId="25"/>
    <cellStyle name="20% - Accent1" xfId="26"/>
    <cellStyle name="20% - Accent1 2" xfId="27"/>
    <cellStyle name="20% - Accent1 2 2" xfId="28"/>
    <cellStyle name="20% - Accent1 3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1 2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ctuals" xfId="54"/>
    <cellStyle name="Assumption" xfId="55"/>
    <cellStyle name="Assumptions" xfId="56"/>
    <cellStyle name="Bad" xfId="57"/>
    <cellStyle name="BigHead" xfId="58"/>
    <cellStyle name="Calc_Amt" xfId="59"/>
    <cellStyle name="Calculation" xfId="60"/>
    <cellStyle name="Calculation Heading 1" xfId="61"/>
    <cellStyle name="Calculation Heading 2" xfId="62"/>
    <cellStyle name="Case_Selector" xfId="63"/>
    <cellStyle name="Check" xfId="64"/>
    <cellStyle name="Check Cell" xfId="65"/>
    <cellStyle name="ColumnAttributeAbovePrompt" xfId="66"/>
    <cellStyle name="ColumnAttributePrompt" xfId="67"/>
    <cellStyle name="ColumnAttributeValue" xfId="68"/>
    <cellStyle name="ColumnHeadingPrompt" xfId="69"/>
    <cellStyle name="ColumnHeadingValue" xfId="70"/>
    <cellStyle name="Comma" xfId="71"/>
    <cellStyle name="Comma (3)" xfId="72"/>
    <cellStyle name="Comma [0]" xfId="73"/>
    <cellStyle name="Comma [0] 2" xfId="74"/>
    <cellStyle name="Comma [1]" xfId="75"/>
    <cellStyle name="Comma [2]" xfId="76"/>
    <cellStyle name="Comma [4]" xfId="77"/>
    <cellStyle name="Comma 10" xfId="78"/>
    <cellStyle name="Comma 10 2" xfId="79"/>
    <cellStyle name="Comma 11" xfId="80"/>
    <cellStyle name="Comma 11 2" xfId="81"/>
    <cellStyle name="Comma 12" xfId="82"/>
    <cellStyle name="Comma 12 2" xfId="83"/>
    <cellStyle name="Comma 13" xfId="84"/>
    <cellStyle name="Comma 13 2" xfId="85"/>
    <cellStyle name="Comma 14" xfId="86"/>
    <cellStyle name="Comma 14 2" xfId="87"/>
    <cellStyle name="Comma 15" xfId="88"/>
    <cellStyle name="Comma 15 2" xfId="89"/>
    <cellStyle name="Comma 16" xfId="90"/>
    <cellStyle name="Comma 16 2" xfId="91"/>
    <cellStyle name="Comma 17" xfId="92"/>
    <cellStyle name="Comma 17 2" xfId="93"/>
    <cellStyle name="Comma 18" xfId="94"/>
    <cellStyle name="Comma 18 2" xfId="95"/>
    <cellStyle name="Comma 19" xfId="96"/>
    <cellStyle name="Comma 19 2" xfId="97"/>
    <cellStyle name="Comma 2" xfId="98"/>
    <cellStyle name="Comma 2 2" xfId="99"/>
    <cellStyle name="Comma 2 2 2" xfId="100"/>
    <cellStyle name="Comma 2 2 2 2" xfId="101"/>
    <cellStyle name="Comma 2 2 3" xfId="102"/>
    <cellStyle name="Comma 2 3" xfId="103"/>
    <cellStyle name="Comma 2 3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9" xfId="122"/>
    <cellStyle name="Comma 29 2" xfId="123"/>
    <cellStyle name="Comma 3" xfId="124"/>
    <cellStyle name="Comma 3 2" xfId="125"/>
    <cellStyle name="Comma 3 2 2" xfId="126"/>
    <cellStyle name="Comma 3 2 3" xfId="127"/>
    <cellStyle name="Comma 3 3" xfId="128"/>
    <cellStyle name="Comma 3 4" xfId="129"/>
    <cellStyle name="Comma 4" xfId="130"/>
    <cellStyle name="Comma 4 2" xfId="131"/>
    <cellStyle name="Comma 4 2 2" xfId="132"/>
    <cellStyle name="Comma 4 3" xfId="133"/>
    <cellStyle name="Comma 5" xfId="134"/>
    <cellStyle name="Comma 6" xfId="135"/>
    <cellStyle name="Comma 6 2" xfId="136"/>
    <cellStyle name="Comma 6 2 2" xfId="137"/>
    <cellStyle name="Comma 6 3" xfId="138"/>
    <cellStyle name="Comma 7" xfId="139"/>
    <cellStyle name="Comma 7 2" xfId="140"/>
    <cellStyle name="Comma 7 2 2" xfId="141"/>
    <cellStyle name="Comma 7 3" xfId="142"/>
    <cellStyle name="Comma 8" xfId="143"/>
    <cellStyle name="Comma 8 2" xfId="144"/>
    <cellStyle name="Comma 9" xfId="145"/>
    <cellStyle name="Comma 9 2" xfId="146"/>
    <cellStyle name="Comma0" xfId="147"/>
    <cellStyle name="Comment Box" xfId="148"/>
    <cellStyle name="Cop" xfId="149"/>
    <cellStyle name="cTextB" xfId="150"/>
    <cellStyle name="Currency" xfId="151"/>
    <cellStyle name="Currency [0]" xfId="152"/>
    <cellStyle name="Currency 2" xfId="153"/>
    <cellStyle name="Currency 2 2" xfId="154"/>
    <cellStyle name="Currency 2 2 2" xfId="155"/>
    <cellStyle name="Currency 2 3" xfId="156"/>
    <cellStyle name="Currency 2 4" xfId="157"/>
    <cellStyle name="Currency 3" xfId="158"/>
    <cellStyle name="Currency 3 2" xfId="159"/>
    <cellStyle name="Currency 3 3" xfId="160"/>
    <cellStyle name="Currency 4" xfId="161"/>
    <cellStyle name="Currency 4 2" xfId="162"/>
    <cellStyle name="Currency-Denomination" xfId="163"/>
    <cellStyle name="Cvom" xfId="164"/>
    <cellStyle name="Data Input" xfId="165"/>
    <cellStyle name="Data Rows" xfId="166"/>
    <cellStyle name="Data_Amt" xfId="167"/>
    <cellStyle name="Date" xfId="168"/>
    <cellStyle name="Date (short)" xfId="169"/>
    <cellStyle name="Date and Time" xfId="170"/>
    <cellStyle name="DateLong" xfId="171"/>
    <cellStyle name="Dates" xfId="172"/>
    <cellStyle name="DateShort" xfId="173"/>
    <cellStyle name="Decimal_0dp" xfId="174"/>
    <cellStyle name="Double" xfId="175"/>
    <cellStyle name="Empty_Cell" xfId="176"/>
    <cellStyle name="End of Sheet" xfId="177"/>
    <cellStyle name="Entry 1A" xfId="178"/>
    <cellStyle name="Entry 1B" xfId="179"/>
    <cellStyle name="Error" xfId="180"/>
    <cellStyle name="Error Check" xfId="181"/>
    <cellStyle name="ErrorCell" xfId="182"/>
    <cellStyle name="Euro" xfId="183"/>
    <cellStyle name="Explanatory Text" xfId="184"/>
    <cellStyle name="Explanatory Text 2" xfId="185"/>
    <cellStyle name="Factor" xfId="186"/>
    <cellStyle name="Fill" xfId="187"/>
    <cellStyle name="Flag" xfId="188"/>
    <cellStyle name="Forecast Cell Column Heading" xfId="189"/>
    <cellStyle name="globaldir" xfId="190"/>
    <cellStyle name="Good" xfId="191"/>
    <cellStyle name="Grid" xfId="192"/>
    <cellStyle name="hard no" xfId="193"/>
    <cellStyle name="hard no 2" xfId="194"/>
    <cellStyle name="hardno" xfId="195"/>
    <cellStyle name="Header1" xfId="196"/>
    <cellStyle name="Header2" xfId="197"/>
    <cellStyle name="Header3" xfId="198"/>
    <cellStyle name="Heading 1" xfId="199"/>
    <cellStyle name="Heading 1 2" xfId="200"/>
    <cellStyle name="Heading 1-noindex" xfId="201"/>
    <cellStyle name="Heading 2" xfId="202"/>
    <cellStyle name="Heading 2 2" xfId="203"/>
    <cellStyle name="Heading 3" xfId="204"/>
    <cellStyle name="Heading 3 2" xfId="205"/>
    <cellStyle name="Heading 4" xfId="206"/>
    <cellStyle name="Heading Section 2" xfId="207"/>
    <cellStyle name="Heading Section 3" xfId="208"/>
    <cellStyle name="Heading1" xfId="209"/>
    <cellStyle name="Heading2" xfId="210"/>
    <cellStyle name="Headings" xfId="211"/>
    <cellStyle name="Heavy Box" xfId="212"/>
    <cellStyle name="Index" xfId="213"/>
    <cellStyle name="Info" xfId="214"/>
    <cellStyle name="Input" xfId="215"/>
    <cellStyle name="Input 2" xfId="216"/>
    <cellStyle name="Input Heading 1" xfId="217"/>
    <cellStyle name="Input Heading 2" xfId="218"/>
    <cellStyle name="Inputs_Divider" xfId="219"/>
    <cellStyle name="InSheet" xfId="220"/>
    <cellStyle name="Interstitial" xfId="221"/>
    <cellStyle name="Label" xfId="222"/>
    <cellStyle name="Label 1" xfId="223"/>
    <cellStyle name="Label 2a" xfId="224"/>
    <cellStyle name="Label 2a centre" xfId="225"/>
    <cellStyle name="Label 2a merge" xfId="226"/>
    <cellStyle name="Label 2b" xfId="227"/>
    <cellStyle name="Label 2b merged" xfId="228"/>
    <cellStyle name="Line_ClosingBal" xfId="229"/>
    <cellStyle name="LineItemPrompt" xfId="230"/>
    <cellStyle name="LineItemValue" xfId="231"/>
    <cellStyle name="Link" xfId="232"/>
    <cellStyle name="Linked Cell" xfId="233"/>
    <cellStyle name="LTM Cell Column Heading" xfId="234"/>
    <cellStyle name="MainHead" xfId="235"/>
    <cellStyle name="MainHeading" xfId="236"/>
    <cellStyle name="Millions" xfId="237"/>
    <cellStyle name="mmm" xfId="238"/>
    <cellStyle name="MobilePhone" xfId="239"/>
    <cellStyle name="Model Title" xfId="240"/>
    <cellStyle name="Month" xfId="241"/>
    <cellStyle name="Multiple Cell Column Heading" xfId="242"/>
    <cellStyle name="Multiplier" xfId="243"/>
    <cellStyle name="Name_Input" xfId="244"/>
    <cellStyle name="Names" xfId="245"/>
    <cellStyle name="Neutral" xfId="246"/>
    <cellStyle name="Nick's Standard" xfId="247"/>
    <cellStyle name="Normal - Style1" xfId="248"/>
    <cellStyle name="Normal 10" xfId="249"/>
    <cellStyle name="Normal 10 2" xfId="250"/>
    <cellStyle name="Normal 11" xfId="251"/>
    <cellStyle name="Normal 11 2" xfId="252"/>
    <cellStyle name="Normal 12" xfId="253"/>
    <cellStyle name="Normal 13" xfId="254"/>
    <cellStyle name="Normal 14" xfId="255"/>
    <cellStyle name="Normal 2" xfId="256"/>
    <cellStyle name="Normal 2 2" xfId="257"/>
    <cellStyle name="Normal 2 2 2" xfId="258"/>
    <cellStyle name="Normal 2 3" xfId="259"/>
    <cellStyle name="Normal 2 4" xfId="260"/>
    <cellStyle name="Normal 3" xfId="261"/>
    <cellStyle name="Normal 3 2" xfId="262"/>
    <cellStyle name="Normal 3 3" xfId="263"/>
    <cellStyle name="Normal 3 4" xfId="264"/>
    <cellStyle name="Normal 4" xfId="265"/>
    <cellStyle name="Normal 4 2" xfId="266"/>
    <cellStyle name="Normal 5" xfId="267"/>
    <cellStyle name="Normal 5 2" xfId="268"/>
    <cellStyle name="Normal 6" xfId="269"/>
    <cellStyle name="Normal 6 2" xfId="270"/>
    <cellStyle name="Normal 7" xfId="271"/>
    <cellStyle name="Normal 7 2" xfId="272"/>
    <cellStyle name="Normal 8" xfId="273"/>
    <cellStyle name="Normal 9" xfId="274"/>
    <cellStyle name="Note" xfId="275"/>
    <cellStyle name="Note 2" xfId="276"/>
    <cellStyle name="Note 3" xfId="277"/>
    <cellStyle name="Notes_multi" xfId="278"/>
    <cellStyle name="number" xfId="279"/>
    <cellStyle name="OffSheet" xfId="280"/>
    <cellStyle name="Output" xfId="281"/>
    <cellStyle name="Output 2" xfId="282"/>
    <cellStyle name="OUTPUT AMOUNTS" xfId="283"/>
    <cellStyle name="OUTPUT COLUMN HEADINGS" xfId="284"/>
    <cellStyle name="OUTPUT LINE ITEMS" xfId="285"/>
    <cellStyle name="OUTPUT REPORT HEADING" xfId="286"/>
    <cellStyle name="OUTPUT REPORT TITLE" xfId="287"/>
    <cellStyle name="Page Number" xfId="288"/>
    <cellStyle name="Percent" xfId="289"/>
    <cellStyle name="Percent [0]" xfId="290"/>
    <cellStyle name="Percent [1]" xfId="291"/>
    <cellStyle name="Percent [2]" xfId="292"/>
    <cellStyle name="Percent 10" xfId="293"/>
    <cellStyle name="Percent 11" xfId="294"/>
    <cellStyle name="Percent 12" xfId="295"/>
    <cellStyle name="Percent 13" xfId="296"/>
    <cellStyle name="Percent 14" xfId="297"/>
    <cellStyle name="Percent 15" xfId="298"/>
    <cellStyle name="Percent 16" xfId="299"/>
    <cellStyle name="Percent 17" xfId="300"/>
    <cellStyle name="Percent 18" xfId="301"/>
    <cellStyle name="Percent 19" xfId="302"/>
    <cellStyle name="Percent 2" xfId="303"/>
    <cellStyle name="Percent 2 2" xfId="304"/>
    <cellStyle name="Percent 20" xfId="305"/>
    <cellStyle name="Percent 21" xfId="306"/>
    <cellStyle name="Percent 22" xfId="307"/>
    <cellStyle name="Percent 23" xfId="308"/>
    <cellStyle name="Percent 24" xfId="309"/>
    <cellStyle name="Percent 25" xfId="310"/>
    <cellStyle name="Percent 26" xfId="311"/>
    <cellStyle name="Percent 27" xfId="312"/>
    <cellStyle name="Percent 3" xfId="313"/>
    <cellStyle name="Percent 3 2" xfId="314"/>
    <cellStyle name="Percent 3 3" xfId="315"/>
    <cellStyle name="Percent 4" xfId="316"/>
    <cellStyle name="Percent 4 2" xfId="317"/>
    <cellStyle name="Percent 5" xfId="318"/>
    <cellStyle name="Percent 6" xfId="319"/>
    <cellStyle name="Percent 7" xfId="320"/>
    <cellStyle name="Percent 8" xfId="321"/>
    <cellStyle name="Percent 9" xfId="322"/>
    <cellStyle name="Perf" xfId="323"/>
    <cellStyle name="PhoneFax" xfId="324"/>
    <cellStyle name="Po" xfId="325"/>
    <cellStyle name="Processing" xfId="326"/>
    <cellStyle name="PwC Normal" xfId="327"/>
    <cellStyle name="PwC Normal 2" xfId="328"/>
    <cellStyle name="Query" xfId="329"/>
    <cellStyle name="Ratio" xfId="330"/>
    <cellStyle name="ReportTitlePrompt" xfId="331"/>
    <cellStyle name="ReportTitleValue" xfId="332"/>
    <cellStyle name="RowAcctAbovePrompt" xfId="333"/>
    <cellStyle name="RowAcctSOBAbovePrompt" xfId="334"/>
    <cellStyle name="RowAcctSOBValue" xfId="335"/>
    <cellStyle name="RowAcctValue" xfId="336"/>
    <cellStyle name="RowAttrAbovePrompt" xfId="337"/>
    <cellStyle name="RowAttrValue" xfId="338"/>
    <cellStyle name="RowColSetAbovePrompt" xfId="339"/>
    <cellStyle name="RowColSetLeftPrompt" xfId="340"/>
    <cellStyle name="RowColSetValue" xfId="341"/>
    <cellStyle name="RowLeftPrompt" xfId="342"/>
    <cellStyle name="SampleUsingFormatMask" xfId="343"/>
    <cellStyle name="SampleWithNoFormatMask" xfId="344"/>
    <cellStyle name="SheetHeader1" xfId="345"/>
    <cellStyle name="SheetHeader2" xfId="346"/>
    <cellStyle name="SheetHeader3" xfId="347"/>
    <cellStyle name="single" xfId="348"/>
    <cellStyle name="Single Cell Column Heading" xfId="349"/>
    <cellStyle name="Style 1" xfId="350"/>
    <cellStyle name="SubHeading" xfId="351"/>
    <cellStyle name="Sum" xfId="352"/>
    <cellStyle name="Switch Output" xfId="353"/>
    <cellStyle name="Table_Heading" xfId="354"/>
    <cellStyle name="Technical_Input" xfId="355"/>
    <cellStyle name="TenderLocation" xfId="356"/>
    <cellStyle name="Text" xfId="357"/>
    <cellStyle name="Text Level 1" xfId="358"/>
    <cellStyle name="Text Level 2" xfId="359"/>
    <cellStyle name="Text Level 3" xfId="360"/>
    <cellStyle name="Text Level 4" xfId="361"/>
    <cellStyle name="Text rjustify" xfId="362"/>
    <cellStyle name="Thousands" xfId="363"/>
    <cellStyle name="Time" xfId="364"/>
    <cellStyle name="Title" xfId="365"/>
    <cellStyle name="Title 2" xfId="366"/>
    <cellStyle name="Title1" xfId="367"/>
    <cellStyle name="Title2" xfId="368"/>
    <cellStyle name="Top rows" xfId="369"/>
    <cellStyle name="Total" xfId="370"/>
    <cellStyle name="uint" xfId="371"/>
    <cellStyle name="uit" xfId="372"/>
    <cellStyle name="unit" xfId="373"/>
    <cellStyle name="Unprotect" xfId="374"/>
    <cellStyle name="update" xfId="375"/>
    <cellStyle name="UploadThisRowValue" xfId="376"/>
    <cellStyle name="Warning Text" xfId="377"/>
    <cellStyle name="WIP" xfId="378"/>
    <cellStyle name="WorksheetTitle" xfId="379"/>
    <cellStyle name="xTitle B&amp;W" xfId="380"/>
    <cellStyle name="Year" xfId="381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0425"/>
          <c:w val="0.7615"/>
          <c:h val="0.9475"/>
        </c:manualLayout>
      </c:layout>
      <c:lineChart>
        <c:grouping val="standard"/>
        <c:varyColors val="0"/>
        <c:ser>
          <c:idx val="0"/>
          <c:order val="0"/>
          <c:tx>
            <c:v>Building Block Revenue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Calculations!$D$25:$W$25</c:f>
              <c:numCache>
                <c:ptCount val="20"/>
                <c:pt idx="0">
                  <c:v>16.455555555555556</c:v>
                </c:pt>
                <c:pt idx="1">
                  <c:v>16.233870760233916</c:v>
                </c:pt>
                <c:pt idx="2">
                  <c:v>15.995305145614038</c:v>
                </c:pt>
                <c:pt idx="3">
                  <c:v>15.739243078531468</c:v>
                </c:pt>
                <c:pt idx="4">
                  <c:v>15.465053502587237</c:v>
                </c:pt>
                <c:pt idx="5">
                  <c:v>15.172090943719432</c:v>
                </c:pt>
                <c:pt idx="6">
                  <c:v>14.859697188087528</c:v>
                </c:pt>
                <c:pt idx="7">
                  <c:v>14.527203988341114</c:v>
                </c:pt>
                <c:pt idx="8">
                  <c:v>14.173937377655204</c:v>
                </c:pt>
                <c:pt idx="9">
                  <c:v>13.799224564671908</c:v>
                </c:pt>
                <c:pt idx="10">
                  <c:v>13.402405105567901</c:v>
                </c:pt>
                <c:pt idx="11">
                  <c:v>12.982849442063772</c:v>
                </c:pt>
                <c:pt idx="12">
                  <c:v>12.539990732467086</c:v>
                </c:pt>
                <c:pt idx="13">
                  <c:v>12.073382097716882</c:v>
                </c:pt>
                <c:pt idx="14">
                  <c:v>11.58280612067946</c:v>
                </c:pt>
                <c:pt idx="15">
                  <c:v>11.068502375760625</c:v>
                </c:pt>
                <c:pt idx="16">
                  <c:v>10.531697604411434</c:v>
                </c:pt>
                <c:pt idx="17">
                  <c:v>9.976066295778084</c:v>
                </c:pt>
                <c:pt idx="18">
                  <c:v>9.413002199029185</c:v>
                </c:pt>
                <c:pt idx="19">
                  <c:v>9.061771789729665</c:v>
                </c:pt>
              </c:numCache>
            </c:numRef>
          </c:val>
          <c:smooth val="0"/>
        </c:ser>
        <c:ser>
          <c:idx val="1"/>
          <c:order val="1"/>
          <c:tx>
            <c:v>Levelised Price Revenue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Calculations!$D$46:$W$46</c:f>
              <c:numCache>
                <c:ptCount val="20"/>
                <c:pt idx="0">
                  <c:v>11.440237454075401</c:v>
                </c:pt>
                <c:pt idx="1">
                  <c:v>11.914092089423203</c:v>
                </c:pt>
                <c:pt idx="2">
                  <c:v>12.407573783767111</c:v>
                </c:pt>
                <c:pt idx="3">
                  <c:v>12.921495489890743</c:v>
                </c:pt>
                <c:pt idx="4">
                  <c:v>13.456703833082017</c:v>
                </c:pt>
                <c:pt idx="5">
                  <c:v>14.014080505848273</c:v>
                </c:pt>
                <c:pt idx="6">
                  <c:v>14.594543720400507</c:v>
                </c:pt>
                <c:pt idx="7">
                  <c:v>15.199049721299495</c:v>
                </c:pt>
                <c:pt idx="8">
                  <c:v>15.828594360755721</c:v>
                </c:pt>
                <c:pt idx="9">
                  <c:v>16.48421473917822</c:v>
                </c:pt>
                <c:pt idx="10">
                  <c:v>17.166990913674983</c:v>
                </c:pt>
                <c:pt idx="11">
                  <c:v>17.878047677319397</c:v>
                </c:pt>
                <c:pt idx="12">
                  <c:v>18.618556412113964</c:v>
                </c:pt>
                <c:pt idx="13">
                  <c:v>19.389737018703723</c:v>
                </c:pt>
                <c:pt idx="14">
                  <c:v>20.192859926018432</c:v>
                </c:pt>
                <c:pt idx="15">
                  <c:v>21.029248184154113</c:v>
                </c:pt>
                <c:pt idx="16">
                  <c:v>21.900279643941776</c:v>
                </c:pt>
                <c:pt idx="17">
                  <c:v>22.807389226793845</c:v>
                </c:pt>
                <c:pt idx="18">
                  <c:v>23.752071288567645</c:v>
                </c:pt>
                <c:pt idx="19">
                  <c:v>24.735882081340115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Revenue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4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4635"/>
          <c:w val="0.174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0.288</cdr:y>
    </cdr:from>
    <cdr:to>
      <cdr:x>0.691</cdr:x>
      <cdr:y>0.439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53075" y="17621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IAL%20Cash%20Flow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AL Cash Flow Analysis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A57"/>
  <sheetViews>
    <sheetView tabSelected="1" zoomScale="70" zoomScaleNormal="70" zoomScalePageLayoutView="0" workbookViewId="0" topLeftCell="A1">
      <selection activeCell="N42" sqref="N42"/>
    </sheetView>
  </sheetViews>
  <sheetFormatPr defaultColWidth="0" defaultRowHeight="15"/>
  <cols>
    <col min="1" max="1" width="1.28515625" style="1" customWidth="1"/>
    <col min="2" max="2" width="52.421875" style="1" customWidth="1"/>
    <col min="3" max="3" width="17.140625" style="1" customWidth="1"/>
    <col min="4" max="4" width="13.57421875" style="1" bestFit="1" customWidth="1"/>
    <col min="5" max="5" width="11.00390625" style="1" bestFit="1" customWidth="1"/>
    <col min="6" max="6" width="12.57421875" style="1" customWidth="1"/>
    <col min="7" max="7" width="12.140625" style="1" bestFit="1" customWidth="1"/>
    <col min="8" max="8" width="13.57421875" style="2" customWidth="1"/>
    <col min="9" max="12" width="11.421875" style="1" customWidth="1"/>
    <col min="13" max="13" width="11.421875" style="2" customWidth="1"/>
    <col min="14" max="22" width="11.421875" style="1" customWidth="1"/>
    <col min="23" max="23" width="13.421875" style="1" customWidth="1"/>
    <col min="24" max="27" width="8.8515625" style="1" customWidth="1"/>
    <col min="28" max="47" width="0" style="1" hidden="1" customWidth="1"/>
    <col min="48" max="16384" width="8.8515625" style="1" hidden="1" customWidth="1"/>
  </cols>
  <sheetData>
    <row r="1" spans="2:9" ht="19.5" thickBot="1">
      <c r="B1" s="21" t="s">
        <v>0</v>
      </c>
      <c r="C1" s="21"/>
      <c r="D1" s="21"/>
      <c r="I1" s="27"/>
    </row>
    <row r="2" spans="2:23" ht="18.75">
      <c r="B2" s="30" t="s">
        <v>19</v>
      </c>
      <c r="C2" s="47">
        <v>100</v>
      </c>
      <c r="D2" s="57" t="s">
        <v>45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</row>
    <row r="3" spans="2:23" ht="18.75">
      <c r="B3" s="31" t="s">
        <v>4</v>
      </c>
      <c r="C3" s="48">
        <v>20</v>
      </c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</row>
    <row r="4" spans="2:23" ht="18.75">
      <c r="B4" s="31" t="s">
        <v>5</v>
      </c>
      <c r="C4" s="49">
        <v>0.021</v>
      </c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</row>
    <row r="5" spans="2:23" ht="18.75">
      <c r="B5" s="31" t="s">
        <v>27</v>
      </c>
      <c r="C5" s="50">
        <v>0.17</v>
      </c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</row>
    <row r="6" spans="2:23" ht="18.75">
      <c r="B6" s="31" t="s">
        <v>28</v>
      </c>
      <c r="C6" s="50">
        <v>0.059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</row>
    <row r="7" spans="2:27" ht="18.75">
      <c r="B7" s="31" t="s">
        <v>15</v>
      </c>
      <c r="C7" s="51">
        <f>C8/(1-tax)</f>
        <v>0.13555555555555557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  <c r="X7" s="2"/>
      <c r="Y7" s="2"/>
      <c r="Z7" s="2"/>
      <c r="AA7" s="2"/>
    </row>
    <row r="8" spans="2:27" ht="18.75">
      <c r="B8" s="31" t="s">
        <v>16</v>
      </c>
      <c r="C8" s="51">
        <v>0.0976</v>
      </c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2"/>
      <c r="Y8" s="2"/>
      <c r="Z8" s="2"/>
      <c r="AA8" s="2"/>
    </row>
    <row r="9" spans="2:27" ht="18.75">
      <c r="B9" s="31" t="s">
        <v>21</v>
      </c>
      <c r="C9" s="49">
        <f>2/Life</f>
        <v>0.1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2"/>
      <c r="Y9" s="2"/>
      <c r="Z9" s="2"/>
      <c r="AA9" s="2"/>
    </row>
    <row r="10" spans="2:27" ht="24" customHeight="1">
      <c r="B10" s="31" t="s">
        <v>44</v>
      </c>
      <c r="C10" s="53" t="s">
        <v>22</v>
      </c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  <c r="X10" s="2"/>
      <c r="Y10" s="2"/>
      <c r="Z10" s="2"/>
      <c r="AA10" s="2"/>
    </row>
    <row r="11" spans="2:27" ht="19.5" thickBot="1">
      <c r="B11" s="32" t="s">
        <v>13</v>
      </c>
      <c r="C11" s="52">
        <v>0.28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5"/>
      <c r="X11" s="2"/>
      <c r="Y11" s="2"/>
      <c r="Z11" s="2"/>
      <c r="AA11" s="2"/>
    </row>
    <row r="12" spans="2:27" ht="21">
      <c r="B12" s="29" t="s">
        <v>32</v>
      </c>
      <c r="C12" s="44">
        <v>0</v>
      </c>
      <c r="D12" s="45">
        <v>1</v>
      </c>
      <c r="E12" s="45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45">
        <v>9</v>
      </c>
      <c r="M12" s="45">
        <v>10</v>
      </c>
      <c r="N12" s="45">
        <v>11</v>
      </c>
      <c r="O12" s="45">
        <v>12</v>
      </c>
      <c r="P12" s="45">
        <v>13</v>
      </c>
      <c r="Q12" s="45">
        <v>14</v>
      </c>
      <c r="R12" s="45">
        <v>15</v>
      </c>
      <c r="S12" s="45">
        <v>16</v>
      </c>
      <c r="T12" s="45">
        <v>17</v>
      </c>
      <c r="U12" s="45">
        <v>18</v>
      </c>
      <c r="V12" s="45">
        <v>19</v>
      </c>
      <c r="W12" s="46">
        <v>20</v>
      </c>
      <c r="X12" s="2"/>
      <c r="Y12" s="2"/>
      <c r="Z12" s="2"/>
      <c r="AA12" s="2"/>
    </row>
    <row r="13" spans="2:27" ht="18.75">
      <c r="B13" s="3" t="s">
        <v>6</v>
      </c>
      <c r="C13" s="2"/>
      <c r="D13" s="16">
        <v>100</v>
      </c>
      <c r="E13" s="4">
        <f>D16</f>
        <v>97.1</v>
      </c>
      <c r="F13" s="4">
        <f>E16</f>
        <v>94.02857368421053</v>
      </c>
      <c r="G13" s="4">
        <f>F16</f>
        <v>90.77936408245614</v>
      </c>
      <c r="H13" s="4">
        <f>G16</f>
        <v>87.34576813510206</v>
      </c>
      <c r="I13" s="4">
        <f aca="true" t="shared" si="0" ref="I13:W13">H16</f>
        <v>83.72091875749533</v>
      </c>
      <c r="J13" s="4">
        <f t="shared" si="0"/>
        <v>79.89766346756971</v>
      </c>
      <c r="K13" s="4">
        <f t="shared" si="0"/>
        <v>75.86853843841942</v>
      </c>
      <c r="L13" s="4">
        <f t="shared" si="0"/>
        <v>71.62573632728626</v>
      </c>
      <c r="M13" s="4">
        <f t="shared" si="0"/>
        <v>67.16106542955208</v>
      </c>
      <c r="N13" s="4">
        <f t="shared" si="0"/>
        <v>62.46589640088612</v>
      </c>
      <c r="O13" s="4">
        <f t="shared" si="0"/>
        <v>57.53109058521612</v>
      </c>
      <c r="P13" s="4">
        <f t="shared" si="0"/>
        <v>52.34690008914831</v>
      </c>
      <c r="Q13" s="4">
        <f t="shared" si="0"/>
        <v>46.90282247987689</v>
      </c>
      <c r="R13" s="4">
        <f t="shared" si="0"/>
        <v>41.18737854054332</v>
      </c>
      <c r="S13" s="4">
        <f t="shared" si="0"/>
        <v>35.18775039980417</v>
      </c>
      <c r="T13" s="4">
        <f t="shared" si="0"/>
        <v>28.889143078239226</v>
      </c>
      <c r="U13" s="4">
        <f t="shared" si="0"/>
        <v>22.27352931332244</v>
      </c>
      <c r="V13" s="4">
        <f t="shared" si="0"/>
        <v>15.316763657794732</v>
      </c>
      <c r="W13" s="5">
        <f t="shared" si="0"/>
        <v>7.980033865711055</v>
      </c>
      <c r="X13" s="2"/>
      <c r="Y13" s="2"/>
      <c r="Z13" s="2"/>
      <c r="AA13" s="2"/>
    </row>
    <row r="14" spans="2:27" ht="18.75">
      <c r="B14" s="3" t="s">
        <v>7</v>
      </c>
      <c r="C14" s="2"/>
      <c r="D14" s="4">
        <f aca="true" t="shared" si="1" ref="D14:W14">IF(Life-D12&lt;=0,D13,D13/(Life-C12))</f>
        <v>5</v>
      </c>
      <c r="E14" s="4">
        <f t="shared" si="1"/>
        <v>5.110526315789474</v>
      </c>
      <c r="F14" s="4">
        <f t="shared" si="1"/>
        <v>5.223809649122807</v>
      </c>
      <c r="G14" s="4">
        <f t="shared" si="1"/>
        <v>5.339962593085655</v>
      </c>
      <c r="H14" s="4">
        <f t="shared" si="1"/>
        <v>5.459110508443879</v>
      </c>
      <c r="I14" s="4">
        <f t="shared" si="1"/>
        <v>5.5813945838330214</v>
      </c>
      <c r="J14" s="4">
        <f t="shared" si="1"/>
        <v>5.706975961969265</v>
      </c>
      <c r="K14" s="4">
        <f t="shared" si="1"/>
        <v>5.836041418339955</v>
      </c>
      <c r="L14" s="4">
        <f t="shared" si="1"/>
        <v>5.968811360607188</v>
      </c>
      <c r="M14" s="4">
        <f t="shared" si="1"/>
        <v>6.105551402686553</v>
      </c>
      <c r="N14" s="4">
        <f t="shared" si="1"/>
        <v>6.2465896400886125</v>
      </c>
      <c r="O14" s="4">
        <f t="shared" si="1"/>
        <v>6.3923433983573466</v>
      </c>
      <c r="P14" s="4">
        <f t="shared" si="1"/>
        <v>6.543362511143539</v>
      </c>
      <c r="Q14" s="4">
        <f t="shared" si="1"/>
        <v>6.700403211410984</v>
      </c>
      <c r="R14" s="4">
        <f t="shared" si="1"/>
        <v>6.864563090090553</v>
      </c>
      <c r="S14" s="4">
        <f t="shared" si="1"/>
        <v>7.037550079960835</v>
      </c>
      <c r="T14" s="4">
        <f t="shared" si="1"/>
        <v>7.222285769559806</v>
      </c>
      <c r="U14" s="4">
        <f t="shared" si="1"/>
        <v>7.424509771107481</v>
      </c>
      <c r="V14" s="4">
        <f t="shared" si="1"/>
        <v>7.658381828897366</v>
      </c>
      <c r="W14" s="5">
        <f t="shared" si="1"/>
        <v>7.980033865711055</v>
      </c>
      <c r="X14" s="2"/>
      <c r="Y14" s="2"/>
      <c r="Z14" s="2"/>
      <c r="AA14" s="2"/>
    </row>
    <row r="15" spans="2:27" ht="22.5" customHeight="1">
      <c r="B15" s="3" t="s">
        <v>8</v>
      </c>
      <c r="C15" s="2"/>
      <c r="D15" s="9">
        <f aca="true" t="shared" si="2" ref="D15:W15">IF(Life-D12&lt;=0,0,D13*Reval)</f>
        <v>2.1</v>
      </c>
      <c r="E15" s="9">
        <f t="shared" si="2"/>
        <v>2.0391</v>
      </c>
      <c r="F15" s="9">
        <f t="shared" si="2"/>
        <v>1.9746000473684213</v>
      </c>
      <c r="G15" s="9">
        <f t="shared" si="2"/>
        <v>1.906366645731579</v>
      </c>
      <c r="H15" s="9">
        <f t="shared" si="2"/>
        <v>1.8342611308371435</v>
      </c>
      <c r="I15" s="9">
        <f t="shared" si="2"/>
        <v>1.7581392939074019</v>
      </c>
      <c r="J15" s="9">
        <f t="shared" si="2"/>
        <v>1.6778509328189641</v>
      </c>
      <c r="K15" s="9">
        <f t="shared" si="2"/>
        <v>1.5932393072068078</v>
      </c>
      <c r="L15" s="9">
        <f t="shared" si="2"/>
        <v>1.5041404628730115</v>
      </c>
      <c r="M15" s="9">
        <f t="shared" si="2"/>
        <v>1.4103823740205939</v>
      </c>
      <c r="N15" s="9">
        <f t="shared" si="2"/>
        <v>1.3117838244186086</v>
      </c>
      <c r="O15" s="9">
        <f t="shared" si="2"/>
        <v>1.2081529022895385</v>
      </c>
      <c r="P15" s="9">
        <f t="shared" si="2"/>
        <v>1.0992849018721147</v>
      </c>
      <c r="Q15" s="9">
        <f t="shared" si="2"/>
        <v>0.9849592720774147</v>
      </c>
      <c r="R15" s="9">
        <f t="shared" si="2"/>
        <v>0.8649349493514098</v>
      </c>
      <c r="S15" s="9">
        <f t="shared" si="2"/>
        <v>0.7389427583958876</v>
      </c>
      <c r="T15" s="9">
        <f t="shared" si="2"/>
        <v>0.6066720046430237</v>
      </c>
      <c r="U15" s="9">
        <f t="shared" si="2"/>
        <v>0.4677441155797713</v>
      </c>
      <c r="V15" s="9">
        <f t="shared" si="2"/>
        <v>0.3216520368136894</v>
      </c>
      <c r="W15" s="10">
        <f t="shared" si="2"/>
        <v>0</v>
      </c>
      <c r="X15" s="2"/>
      <c r="Y15" s="2"/>
      <c r="Z15" s="2"/>
      <c r="AA15" s="2"/>
    </row>
    <row r="16" spans="2:27" ht="18.75">
      <c r="B16" s="3" t="s">
        <v>3</v>
      </c>
      <c r="C16" s="2"/>
      <c r="D16" s="9">
        <f>D13-D14+D15</f>
        <v>97.1</v>
      </c>
      <c r="E16" s="9">
        <f>E13-E14+E15</f>
        <v>94.02857368421053</v>
      </c>
      <c r="F16" s="9">
        <f>F13-F14+F15</f>
        <v>90.77936408245614</v>
      </c>
      <c r="G16" s="9">
        <f>G13-G14+G15</f>
        <v>87.34576813510206</v>
      </c>
      <c r="H16" s="9">
        <f aca="true" t="shared" si="3" ref="H16:V16">H13-H14+H15</f>
        <v>83.72091875749533</v>
      </c>
      <c r="I16" s="9">
        <f t="shared" si="3"/>
        <v>79.89766346756971</v>
      </c>
      <c r="J16" s="9">
        <f t="shared" si="3"/>
        <v>75.86853843841942</v>
      </c>
      <c r="K16" s="9">
        <f t="shared" si="3"/>
        <v>71.62573632728626</v>
      </c>
      <c r="L16" s="9">
        <f t="shared" si="3"/>
        <v>67.16106542955208</v>
      </c>
      <c r="M16" s="9">
        <f t="shared" si="3"/>
        <v>62.46589640088612</v>
      </c>
      <c r="N16" s="9">
        <f t="shared" si="3"/>
        <v>57.53109058521612</v>
      </c>
      <c r="O16" s="9">
        <f t="shared" si="3"/>
        <v>52.34690008914831</v>
      </c>
      <c r="P16" s="9">
        <f t="shared" si="3"/>
        <v>46.90282247987689</v>
      </c>
      <c r="Q16" s="9">
        <f t="shared" si="3"/>
        <v>41.18737854054332</v>
      </c>
      <c r="R16" s="9">
        <f t="shared" si="3"/>
        <v>35.18775039980417</v>
      </c>
      <c r="S16" s="9">
        <f t="shared" si="3"/>
        <v>28.889143078239226</v>
      </c>
      <c r="T16" s="9">
        <f t="shared" si="3"/>
        <v>22.27352931332244</v>
      </c>
      <c r="U16" s="9">
        <f t="shared" si="3"/>
        <v>15.316763657794732</v>
      </c>
      <c r="V16" s="9">
        <f t="shared" si="3"/>
        <v>7.980033865711055</v>
      </c>
      <c r="W16" s="10">
        <f>W13-W14</f>
        <v>0</v>
      </c>
      <c r="X16" s="2"/>
      <c r="Y16" s="2"/>
      <c r="Z16" s="2"/>
      <c r="AA16" s="2"/>
    </row>
    <row r="17" spans="2:27" ht="18.75" customHeight="1">
      <c r="B17" s="54" t="s">
        <v>31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2"/>
      <c r="Y17" s="2"/>
      <c r="Z17" s="2"/>
      <c r="AA17" s="2"/>
    </row>
    <row r="18" spans="2:27" ht="18.75">
      <c r="B18" s="3" t="s">
        <v>6</v>
      </c>
      <c r="C18" s="2" t="s">
        <v>23</v>
      </c>
      <c r="D18" s="16">
        <f>D13</f>
        <v>100</v>
      </c>
      <c r="E18" s="16">
        <f>D20</f>
        <v>90</v>
      </c>
      <c r="F18" s="16">
        <f aca="true" t="shared" si="4" ref="F18:W18">E20</f>
        <v>81</v>
      </c>
      <c r="G18" s="16">
        <f t="shared" si="4"/>
        <v>72.9</v>
      </c>
      <c r="H18" s="16">
        <f t="shared" si="4"/>
        <v>65.61</v>
      </c>
      <c r="I18" s="16">
        <f t="shared" si="4"/>
        <v>59.049</v>
      </c>
      <c r="J18" s="16">
        <f t="shared" si="4"/>
        <v>53.1441</v>
      </c>
      <c r="K18" s="16">
        <f t="shared" si="4"/>
        <v>47.82969</v>
      </c>
      <c r="L18" s="16">
        <f t="shared" si="4"/>
        <v>43.046721</v>
      </c>
      <c r="M18" s="16">
        <f t="shared" si="4"/>
        <v>38.7420489</v>
      </c>
      <c r="N18" s="16">
        <f t="shared" si="4"/>
        <v>34.86784401</v>
      </c>
      <c r="O18" s="16">
        <f t="shared" si="4"/>
        <v>31.381059608999998</v>
      </c>
      <c r="P18" s="16">
        <f t="shared" si="4"/>
        <v>28.2429536481</v>
      </c>
      <c r="Q18" s="16">
        <f t="shared" si="4"/>
        <v>25.41865828329</v>
      </c>
      <c r="R18" s="16">
        <f t="shared" si="4"/>
        <v>22.876792454961</v>
      </c>
      <c r="S18" s="16">
        <f t="shared" si="4"/>
        <v>20.589113209464898</v>
      </c>
      <c r="T18" s="16">
        <f t="shared" si="4"/>
        <v>18.53020188851841</v>
      </c>
      <c r="U18" s="16">
        <f t="shared" si="4"/>
        <v>16.67718169966657</v>
      </c>
      <c r="V18" s="16">
        <f t="shared" si="4"/>
        <v>15.009463529699913</v>
      </c>
      <c r="W18" s="17">
        <f t="shared" si="4"/>
        <v>13.50851717672992</v>
      </c>
      <c r="X18" s="2"/>
      <c r="Y18" s="2"/>
      <c r="Z18" s="2"/>
      <c r="AA18" s="2"/>
    </row>
    <row r="19" spans="2:27" ht="18.75">
      <c r="B19" s="3" t="s">
        <v>1</v>
      </c>
      <c r="C19" s="2"/>
      <c r="D19" s="9">
        <f aca="true" t="shared" si="5" ref="D19:W19">IF(Life-D12&lt;=0,D18,IF($C10="DV",D18*DV,Cost/Life))</f>
        <v>10</v>
      </c>
      <c r="E19" s="9">
        <f t="shared" si="5"/>
        <v>9</v>
      </c>
      <c r="F19" s="9">
        <f t="shared" si="5"/>
        <v>8.1</v>
      </c>
      <c r="G19" s="9">
        <f t="shared" si="5"/>
        <v>7.290000000000001</v>
      </c>
      <c r="H19" s="9">
        <f t="shared" si="5"/>
        <v>6.561</v>
      </c>
      <c r="I19" s="9">
        <f t="shared" si="5"/>
        <v>5.9049000000000005</v>
      </c>
      <c r="J19" s="9">
        <f t="shared" si="5"/>
        <v>5.3144100000000005</v>
      </c>
      <c r="K19" s="9">
        <f t="shared" si="5"/>
        <v>4.7829690000000005</v>
      </c>
      <c r="L19" s="9">
        <f t="shared" si="5"/>
        <v>4.3046721</v>
      </c>
      <c r="M19" s="9">
        <f t="shared" si="5"/>
        <v>3.87420489</v>
      </c>
      <c r="N19" s="9">
        <f t="shared" si="5"/>
        <v>3.486784401</v>
      </c>
      <c r="O19" s="9">
        <f t="shared" si="5"/>
        <v>3.1381059609</v>
      </c>
      <c r="P19" s="9">
        <f t="shared" si="5"/>
        <v>2.82429536481</v>
      </c>
      <c r="Q19" s="9">
        <f t="shared" si="5"/>
        <v>2.541865828329</v>
      </c>
      <c r="R19" s="9">
        <f t="shared" si="5"/>
        <v>2.2876792454961</v>
      </c>
      <c r="S19" s="9">
        <f t="shared" si="5"/>
        <v>2.05891132094649</v>
      </c>
      <c r="T19" s="9">
        <f t="shared" si="5"/>
        <v>1.853020188851841</v>
      </c>
      <c r="U19" s="9">
        <f t="shared" si="5"/>
        <v>1.667718169966657</v>
      </c>
      <c r="V19" s="9">
        <f t="shared" si="5"/>
        <v>1.5009463529699913</v>
      </c>
      <c r="W19" s="10">
        <f t="shared" si="5"/>
        <v>13.50851717672992</v>
      </c>
      <c r="X19" s="2"/>
      <c r="Y19" s="2"/>
      <c r="Z19" s="2"/>
      <c r="AA19" s="2"/>
    </row>
    <row r="20" spans="2:27" ht="18.75">
      <c r="B20" s="3" t="s">
        <v>3</v>
      </c>
      <c r="C20" s="2"/>
      <c r="D20" s="9">
        <f>D18-D19</f>
        <v>90</v>
      </c>
      <c r="E20" s="9">
        <f aca="true" t="shared" si="6" ref="E20:W20">E18-E19</f>
        <v>81</v>
      </c>
      <c r="F20" s="9">
        <f t="shared" si="6"/>
        <v>72.9</v>
      </c>
      <c r="G20" s="9">
        <f t="shared" si="6"/>
        <v>65.61</v>
      </c>
      <c r="H20" s="9">
        <f t="shared" si="6"/>
        <v>59.049</v>
      </c>
      <c r="I20" s="9">
        <f t="shared" si="6"/>
        <v>53.1441</v>
      </c>
      <c r="J20" s="9">
        <f t="shared" si="6"/>
        <v>47.82969</v>
      </c>
      <c r="K20" s="9">
        <f t="shared" si="6"/>
        <v>43.046721</v>
      </c>
      <c r="L20" s="9">
        <f t="shared" si="6"/>
        <v>38.7420489</v>
      </c>
      <c r="M20" s="9">
        <f t="shared" si="6"/>
        <v>34.86784401</v>
      </c>
      <c r="N20" s="9">
        <f t="shared" si="6"/>
        <v>31.381059608999998</v>
      </c>
      <c r="O20" s="9">
        <f t="shared" si="6"/>
        <v>28.2429536481</v>
      </c>
      <c r="P20" s="9">
        <f t="shared" si="6"/>
        <v>25.41865828329</v>
      </c>
      <c r="Q20" s="9">
        <f t="shared" si="6"/>
        <v>22.876792454961</v>
      </c>
      <c r="R20" s="9">
        <f t="shared" si="6"/>
        <v>20.589113209464898</v>
      </c>
      <c r="S20" s="9">
        <f t="shared" si="6"/>
        <v>18.53020188851841</v>
      </c>
      <c r="T20" s="9">
        <f t="shared" si="6"/>
        <v>16.67718169966657</v>
      </c>
      <c r="U20" s="9">
        <f t="shared" si="6"/>
        <v>15.009463529699913</v>
      </c>
      <c r="V20" s="9">
        <f t="shared" si="6"/>
        <v>13.50851717672992</v>
      </c>
      <c r="W20" s="10">
        <f t="shared" si="6"/>
        <v>0</v>
      </c>
      <c r="X20" s="2"/>
      <c r="Y20" s="2"/>
      <c r="Z20" s="2"/>
      <c r="AA20" s="2"/>
    </row>
    <row r="21" spans="2:27" ht="21">
      <c r="B21" s="54" t="s">
        <v>10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2"/>
      <c r="Y21" s="2"/>
      <c r="Z21" s="2"/>
      <c r="AA21" s="2"/>
    </row>
    <row r="22" spans="2:27" ht="18.75">
      <c r="B22" s="18" t="s">
        <v>2</v>
      </c>
      <c r="C22" s="2"/>
      <c r="D22" s="9">
        <f aca="true" t="shared" si="7" ref="D22:W22">D13*Return</f>
        <v>13.555555555555557</v>
      </c>
      <c r="E22" s="9">
        <f t="shared" si="7"/>
        <v>13.162444444444445</v>
      </c>
      <c r="F22" s="9">
        <f t="shared" si="7"/>
        <v>12.746095543859651</v>
      </c>
      <c r="G22" s="9">
        <f t="shared" si="7"/>
        <v>12.30564713117739</v>
      </c>
      <c r="H22" s="9">
        <f t="shared" si="7"/>
        <v>11.840204124980502</v>
      </c>
      <c r="I22" s="9">
        <f t="shared" si="7"/>
        <v>11.348835653793811</v>
      </c>
      <c r="J22" s="9">
        <f t="shared" si="7"/>
        <v>10.83057215893723</v>
      </c>
      <c r="K22" s="9">
        <f t="shared" si="7"/>
        <v>10.284401877207968</v>
      </c>
      <c r="L22" s="9">
        <f t="shared" si="7"/>
        <v>9.709266479921027</v>
      </c>
      <c r="M22" s="9">
        <f t="shared" si="7"/>
        <v>9.10405553600595</v>
      </c>
      <c r="N22" s="9">
        <f t="shared" si="7"/>
        <v>8.467599289897898</v>
      </c>
      <c r="O22" s="9">
        <f t="shared" si="7"/>
        <v>7.798658945995964</v>
      </c>
      <c r="P22" s="9">
        <f t="shared" si="7"/>
        <v>7.095913123195661</v>
      </c>
      <c r="Q22" s="9">
        <f t="shared" si="7"/>
        <v>6.3579381583833126</v>
      </c>
      <c r="R22" s="9">
        <f t="shared" si="7"/>
        <v>5.583177979940317</v>
      </c>
      <c r="S22" s="9">
        <f t="shared" si="7"/>
        <v>4.769895054195677</v>
      </c>
      <c r="T22" s="9">
        <f t="shared" si="7"/>
        <v>3.916083839494651</v>
      </c>
      <c r="U22" s="9">
        <f t="shared" si="7"/>
        <v>3.0193006402503757</v>
      </c>
      <c r="V22" s="9">
        <f t="shared" si="7"/>
        <v>2.0762724069455083</v>
      </c>
      <c r="W22" s="10">
        <f t="shared" si="7"/>
        <v>1.0817379240186098</v>
      </c>
      <c r="X22" s="2"/>
      <c r="Y22" s="2"/>
      <c r="Z22" s="2"/>
      <c r="AA22" s="2"/>
    </row>
    <row r="23" spans="2:27" ht="18.75">
      <c r="B23" s="22" t="s">
        <v>14</v>
      </c>
      <c r="C23" s="2"/>
      <c r="D23" s="9">
        <f>D14</f>
        <v>5</v>
      </c>
      <c r="E23" s="9">
        <f>E14</f>
        <v>5.110526315789474</v>
      </c>
      <c r="F23" s="9">
        <f>F14</f>
        <v>5.223809649122807</v>
      </c>
      <c r="G23" s="9">
        <f>G14</f>
        <v>5.339962593085655</v>
      </c>
      <c r="H23" s="9">
        <f>H14</f>
        <v>5.459110508443879</v>
      </c>
      <c r="I23" s="9">
        <f aca="true" t="shared" si="8" ref="I23:W23">I14</f>
        <v>5.5813945838330214</v>
      </c>
      <c r="J23" s="9">
        <f t="shared" si="8"/>
        <v>5.706975961969265</v>
      </c>
      <c r="K23" s="9">
        <f t="shared" si="8"/>
        <v>5.836041418339955</v>
      </c>
      <c r="L23" s="9">
        <f t="shared" si="8"/>
        <v>5.968811360607188</v>
      </c>
      <c r="M23" s="9">
        <f t="shared" si="8"/>
        <v>6.105551402686553</v>
      </c>
      <c r="N23" s="9">
        <f t="shared" si="8"/>
        <v>6.2465896400886125</v>
      </c>
      <c r="O23" s="9">
        <f t="shared" si="8"/>
        <v>6.3923433983573466</v>
      </c>
      <c r="P23" s="9">
        <f t="shared" si="8"/>
        <v>6.543362511143539</v>
      </c>
      <c r="Q23" s="9">
        <f t="shared" si="8"/>
        <v>6.700403211410984</v>
      </c>
      <c r="R23" s="9">
        <f t="shared" si="8"/>
        <v>6.864563090090553</v>
      </c>
      <c r="S23" s="9">
        <f t="shared" si="8"/>
        <v>7.037550079960835</v>
      </c>
      <c r="T23" s="9">
        <f t="shared" si="8"/>
        <v>7.222285769559806</v>
      </c>
      <c r="U23" s="9">
        <f t="shared" si="8"/>
        <v>7.424509771107481</v>
      </c>
      <c r="V23" s="9">
        <f t="shared" si="8"/>
        <v>7.658381828897366</v>
      </c>
      <c r="W23" s="10">
        <f t="shared" si="8"/>
        <v>7.980033865711055</v>
      </c>
      <c r="X23" s="2"/>
      <c r="Y23" s="2"/>
      <c r="Z23" s="2"/>
      <c r="AA23" s="2"/>
    </row>
    <row r="24" spans="2:27" ht="18.75">
      <c r="B24" s="3" t="s">
        <v>9</v>
      </c>
      <c r="C24" s="2"/>
      <c r="D24" s="9">
        <f>-D15</f>
        <v>-2.1</v>
      </c>
      <c r="E24" s="9">
        <f aca="true" t="shared" si="9" ref="E24:W24">-E15</f>
        <v>-2.0391</v>
      </c>
      <c r="F24" s="9">
        <f t="shared" si="9"/>
        <v>-1.9746000473684213</v>
      </c>
      <c r="G24" s="9">
        <f t="shared" si="9"/>
        <v>-1.906366645731579</v>
      </c>
      <c r="H24" s="9">
        <f t="shared" si="9"/>
        <v>-1.8342611308371435</v>
      </c>
      <c r="I24" s="9">
        <f t="shared" si="9"/>
        <v>-1.7581392939074019</v>
      </c>
      <c r="J24" s="9">
        <f t="shared" si="9"/>
        <v>-1.6778509328189641</v>
      </c>
      <c r="K24" s="9">
        <f t="shared" si="9"/>
        <v>-1.5932393072068078</v>
      </c>
      <c r="L24" s="9">
        <f t="shared" si="9"/>
        <v>-1.5041404628730115</v>
      </c>
      <c r="M24" s="9">
        <f t="shared" si="9"/>
        <v>-1.4103823740205939</v>
      </c>
      <c r="N24" s="9">
        <f t="shared" si="9"/>
        <v>-1.3117838244186086</v>
      </c>
      <c r="O24" s="9">
        <f t="shared" si="9"/>
        <v>-1.2081529022895385</v>
      </c>
      <c r="P24" s="9">
        <f t="shared" si="9"/>
        <v>-1.0992849018721147</v>
      </c>
      <c r="Q24" s="9">
        <f t="shared" si="9"/>
        <v>-0.9849592720774147</v>
      </c>
      <c r="R24" s="9">
        <f t="shared" si="9"/>
        <v>-0.8649349493514098</v>
      </c>
      <c r="S24" s="9">
        <f t="shared" si="9"/>
        <v>-0.7389427583958876</v>
      </c>
      <c r="T24" s="9">
        <f t="shared" si="9"/>
        <v>-0.6066720046430237</v>
      </c>
      <c r="U24" s="9">
        <f t="shared" si="9"/>
        <v>-0.4677441155797713</v>
      </c>
      <c r="V24" s="9">
        <f t="shared" si="9"/>
        <v>-0.3216520368136894</v>
      </c>
      <c r="W24" s="10">
        <f t="shared" si="9"/>
        <v>0</v>
      </c>
      <c r="X24" s="2"/>
      <c r="Y24" s="2"/>
      <c r="Z24" s="2"/>
      <c r="AA24" s="2"/>
    </row>
    <row r="25" spans="2:27" ht="18.75">
      <c r="B25" s="23" t="s">
        <v>10</v>
      </c>
      <c r="C25" s="8"/>
      <c r="D25" s="11">
        <f>D22+D23+D24</f>
        <v>16.455555555555556</v>
      </c>
      <c r="E25" s="11">
        <f aca="true" t="shared" si="10" ref="E25:W25">E22+E23+E24</f>
        <v>16.233870760233916</v>
      </c>
      <c r="F25" s="11">
        <f t="shared" si="10"/>
        <v>15.995305145614038</v>
      </c>
      <c r="G25" s="11">
        <f t="shared" si="10"/>
        <v>15.739243078531468</v>
      </c>
      <c r="H25" s="11">
        <f t="shared" si="10"/>
        <v>15.465053502587237</v>
      </c>
      <c r="I25" s="11">
        <f t="shared" si="10"/>
        <v>15.172090943719432</v>
      </c>
      <c r="J25" s="11">
        <f t="shared" si="10"/>
        <v>14.859697188087528</v>
      </c>
      <c r="K25" s="11">
        <f t="shared" si="10"/>
        <v>14.527203988341114</v>
      </c>
      <c r="L25" s="11">
        <f t="shared" si="10"/>
        <v>14.173937377655204</v>
      </c>
      <c r="M25" s="11">
        <f t="shared" si="10"/>
        <v>13.799224564671908</v>
      </c>
      <c r="N25" s="11">
        <f t="shared" si="10"/>
        <v>13.402405105567901</v>
      </c>
      <c r="O25" s="11">
        <f t="shared" si="10"/>
        <v>12.982849442063772</v>
      </c>
      <c r="P25" s="11">
        <f t="shared" si="10"/>
        <v>12.539990732467086</v>
      </c>
      <c r="Q25" s="11">
        <f t="shared" si="10"/>
        <v>12.073382097716882</v>
      </c>
      <c r="R25" s="11">
        <f t="shared" si="10"/>
        <v>11.58280612067946</v>
      </c>
      <c r="S25" s="11">
        <f t="shared" si="10"/>
        <v>11.068502375760625</v>
      </c>
      <c r="T25" s="11">
        <f t="shared" si="10"/>
        <v>10.531697604411434</v>
      </c>
      <c r="U25" s="11">
        <f t="shared" si="10"/>
        <v>9.976066295778084</v>
      </c>
      <c r="V25" s="11">
        <f t="shared" si="10"/>
        <v>9.413002199029185</v>
      </c>
      <c r="W25" s="12">
        <f t="shared" si="10"/>
        <v>9.061771789729665</v>
      </c>
      <c r="X25" s="2"/>
      <c r="Y25" s="2"/>
      <c r="Z25" s="2"/>
      <c r="AA25" s="2"/>
    </row>
    <row r="26" spans="2:27" ht="18.75">
      <c r="B26" s="3" t="s">
        <v>30</v>
      </c>
      <c r="C26" s="2"/>
      <c r="D26" s="9">
        <f>D25-D23</f>
        <v>11.455555555555556</v>
      </c>
      <c r="E26" s="9">
        <f aca="true" t="shared" si="11" ref="E26:W26">E25-E23</f>
        <v>11.123344444444442</v>
      </c>
      <c r="F26" s="9">
        <f t="shared" si="11"/>
        <v>10.77149549649123</v>
      </c>
      <c r="G26" s="9">
        <f t="shared" si="11"/>
        <v>10.399280485445813</v>
      </c>
      <c r="H26" s="9">
        <f t="shared" si="11"/>
        <v>10.005942994143357</v>
      </c>
      <c r="I26" s="9">
        <f t="shared" si="11"/>
        <v>9.590696359886412</v>
      </c>
      <c r="J26" s="9">
        <f t="shared" si="11"/>
        <v>9.152721226118263</v>
      </c>
      <c r="K26" s="9">
        <f t="shared" si="11"/>
        <v>8.691162570001158</v>
      </c>
      <c r="L26" s="9">
        <f t="shared" si="11"/>
        <v>8.205126017048016</v>
      </c>
      <c r="M26" s="9">
        <f t="shared" si="11"/>
        <v>7.693673161985355</v>
      </c>
      <c r="N26" s="9">
        <f t="shared" si="11"/>
        <v>7.1558154654792885</v>
      </c>
      <c r="O26" s="9">
        <f t="shared" si="11"/>
        <v>6.590506043706426</v>
      </c>
      <c r="P26" s="9">
        <f t="shared" si="11"/>
        <v>5.9966282213235464</v>
      </c>
      <c r="Q26" s="9">
        <f t="shared" si="11"/>
        <v>5.372978886305898</v>
      </c>
      <c r="R26" s="9">
        <f t="shared" si="11"/>
        <v>4.718243030588908</v>
      </c>
      <c r="S26" s="9">
        <f t="shared" si="11"/>
        <v>4.03095229579979</v>
      </c>
      <c r="T26" s="9">
        <f t="shared" si="11"/>
        <v>3.3094118348516277</v>
      </c>
      <c r="U26" s="9">
        <f t="shared" si="11"/>
        <v>2.5515565246706036</v>
      </c>
      <c r="V26" s="9">
        <f t="shared" si="11"/>
        <v>1.7546203701318186</v>
      </c>
      <c r="W26" s="10">
        <f t="shared" si="11"/>
        <v>1.0817379240186096</v>
      </c>
      <c r="X26" s="2"/>
      <c r="Y26" s="2"/>
      <c r="Z26" s="2"/>
      <c r="AA26" s="2"/>
    </row>
    <row r="27" spans="2:27" ht="18.75">
      <c r="B27" s="3" t="s">
        <v>29</v>
      </c>
      <c r="C27" s="2"/>
      <c r="D27" s="9">
        <f aca="true" t="shared" si="12" ref="D27:W27">D13*L*K</f>
        <v>1.003</v>
      </c>
      <c r="E27" s="9">
        <f t="shared" si="12"/>
        <v>0.973913</v>
      </c>
      <c r="F27" s="9">
        <f t="shared" si="12"/>
        <v>0.9431065940526316</v>
      </c>
      <c r="G27" s="9">
        <f t="shared" si="12"/>
        <v>0.9105170217470351</v>
      </c>
      <c r="H27" s="9">
        <f t="shared" si="12"/>
        <v>0.8760780543950737</v>
      </c>
      <c r="I27" s="9">
        <f t="shared" si="12"/>
        <v>0.839720815137678</v>
      </c>
      <c r="J27" s="9">
        <f t="shared" si="12"/>
        <v>0.8013735645797242</v>
      </c>
      <c r="K27" s="9">
        <f t="shared" si="12"/>
        <v>0.7609614405373468</v>
      </c>
      <c r="L27" s="9">
        <f t="shared" si="12"/>
        <v>0.7184061353626812</v>
      </c>
      <c r="M27" s="9">
        <f t="shared" si="12"/>
        <v>0.6736254862584075</v>
      </c>
      <c r="N27" s="9">
        <f t="shared" si="12"/>
        <v>0.6265329409008878</v>
      </c>
      <c r="O27" s="9">
        <f t="shared" si="12"/>
        <v>0.5770368385697178</v>
      </c>
      <c r="P27" s="9">
        <f t="shared" si="12"/>
        <v>0.5250394078941576</v>
      </c>
      <c r="Q27" s="9">
        <f t="shared" si="12"/>
        <v>0.4704353094731652</v>
      </c>
      <c r="R27" s="9">
        <f t="shared" si="12"/>
        <v>0.4131094067616495</v>
      </c>
      <c r="S27" s="9">
        <f t="shared" si="12"/>
        <v>0.3529331365100359</v>
      </c>
      <c r="T27" s="9">
        <f t="shared" si="12"/>
        <v>0.2897581050747394</v>
      </c>
      <c r="U27" s="9">
        <f t="shared" si="12"/>
        <v>0.2234034990126241</v>
      </c>
      <c r="V27" s="9">
        <f t="shared" si="12"/>
        <v>0.15362713948768117</v>
      </c>
      <c r="W27" s="10">
        <f t="shared" si="12"/>
        <v>0.0800397396730819</v>
      </c>
      <c r="X27" s="2"/>
      <c r="Y27" s="2"/>
      <c r="Z27" s="2"/>
      <c r="AA27" s="2"/>
    </row>
    <row r="28" spans="2:27" ht="18.75">
      <c r="B28" s="3" t="s">
        <v>26</v>
      </c>
      <c r="C28" s="2"/>
      <c r="D28" s="9">
        <f>D26-D27</f>
        <v>10.452555555555556</v>
      </c>
      <c r="E28" s="9">
        <f aca="true" t="shared" si="13" ref="E28:W28">E26-E27</f>
        <v>10.149431444444442</v>
      </c>
      <c r="F28" s="9">
        <f t="shared" si="13"/>
        <v>9.828388902438599</v>
      </c>
      <c r="G28" s="9">
        <f t="shared" si="13"/>
        <v>9.488763463698778</v>
      </c>
      <c r="H28" s="9">
        <f t="shared" si="13"/>
        <v>9.129864939748284</v>
      </c>
      <c r="I28" s="9">
        <f t="shared" si="13"/>
        <v>8.750975544748734</v>
      </c>
      <c r="J28" s="9">
        <f t="shared" si="13"/>
        <v>8.35134766153854</v>
      </c>
      <c r="K28" s="9">
        <f t="shared" si="13"/>
        <v>7.930201129463811</v>
      </c>
      <c r="L28" s="9">
        <f t="shared" si="13"/>
        <v>7.486719881685335</v>
      </c>
      <c r="M28" s="9">
        <f t="shared" si="13"/>
        <v>7.020047675726948</v>
      </c>
      <c r="N28" s="9">
        <f t="shared" si="13"/>
        <v>6.5292825245784005</v>
      </c>
      <c r="O28" s="9">
        <f t="shared" si="13"/>
        <v>6.013469205136708</v>
      </c>
      <c r="P28" s="9">
        <f t="shared" si="13"/>
        <v>5.471588813429388</v>
      </c>
      <c r="Q28" s="9">
        <f t="shared" si="13"/>
        <v>4.902543576832732</v>
      </c>
      <c r="R28" s="9">
        <f t="shared" si="13"/>
        <v>4.305133623827258</v>
      </c>
      <c r="S28" s="9">
        <f t="shared" si="13"/>
        <v>3.678019159289754</v>
      </c>
      <c r="T28" s="9">
        <f t="shared" si="13"/>
        <v>3.019653729776888</v>
      </c>
      <c r="U28" s="9">
        <f t="shared" si="13"/>
        <v>2.3281530256579797</v>
      </c>
      <c r="V28" s="9">
        <f t="shared" si="13"/>
        <v>1.6009932306441375</v>
      </c>
      <c r="W28" s="10">
        <f t="shared" si="13"/>
        <v>1.0016981843455277</v>
      </c>
      <c r="X28" s="2"/>
      <c r="Y28" s="2"/>
      <c r="Z28" s="2"/>
      <c r="AA28" s="2"/>
    </row>
    <row r="29" spans="2:27" ht="18.75">
      <c r="B29" s="3" t="s">
        <v>17</v>
      </c>
      <c r="C29" s="2"/>
      <c r="D29" s="9">
        <f>D25-D19-D27</f>
        <v>5.452555555555556</v>
      </c>
      <c r="E29" s="9">
        <f aca="true" t="shared" si="14" ref="E29:W29">E25-E19-E27</f>
        <v>6.259957760233917</v>
      </c>
      <c r="F29" s="9">
        <f t="shared" si="14"/>
        <v>6.952198551561407</v>
      </c>
      <c r="G29" s="9">
        <f t="shared" si="14"/>
        <v>7.538726056784432</v>
      </c>
      <c r="H29" s="9">
        <f t="shared" si="14"/>
        <v>8.027975448192164</v>
      </c>
      <c r="I29" s="9">
        <f t="shared" si="14"/>
        <v>8.427470128581753</v>
      </c>
      <c r="J29" s="9">
        <f t="shared" si="14"/>
        <v>8.743913623507805</v>
      </c>
      <c r="K29" s="9">
        <f t="shared" si="14"/>
        <v>8.983273547803766</v>
      </c>
      <c r="L29" s="9">
        <f t="shared" si="14"/>
        <v>9.150859142292521</v>
      </c>
      <c r="M29" s="9">
        <f t="shared" si="14"/>
        <v>9.251394188413501</v>
      </c>
      <c r="N29" s="9">
        <f t="shared" si="14"/>
        <v>9.289087763667014</v>
      </c>
      <c r="O29" s="9">
        <f t="shared" si="14"/>
        <v>9.267706642594053</v>
      </c>
      <c r="P29" s="9">
        <f t="shared" si="14"/>
        <v>9.190655959762928</v>
      </c>
      <c r="Q29" s="9">
        <f t="shared" si="14"/>
        <v>9.061080959914717</v>
      </c>
      <c r="R29" s="9">
        <f t="shared" si="14"/>
        <v>8.882017468421711</v>
      </c>
      <c r="S29" s="9">
        <f t="shared" si="14"/>
        <v>8.656657918304099</v>
      </c>
      <c r="T29" s="9">
        <f t="shared" si="14"/>
        <v>8.388919310484853</v>
      </c>
      <c r="U29" s="9">
        <f t="shared" si="14"/>
        <v>8.084944626798803</v>
      </c>
      <c r="V29" s="9">
        <f t="shared" si="14"/>
        <v>7.758428706571512</v>
      </c>
      <c r="W29" s="10">
        <f t="shared" si="14"/>
        <v>-4.526785126673338</v>
      </c>
      <c r="X29" s="2"/>
      <c r="Y29" s="2"/>
      <c r="Z29" s="2"/>
      <c r="AA29" s="2"/>
    </row>
    <row r="30" spans="2:27" ht="18.75">
      <c r="B30" s="3" t="s">
        <v>24</v>
      </c>
      <c r="C30" s="2"/>
      <c r="D30" s="9">
        <f aca="true" t="shared" si="15" ref="D30:W30">D29*tax</f>
        <v>1.5267155555555556</v>
      </c>
      <c r="E30" s="9">
        <f t="shared" si="15"/>
        <v>1.7527881728654968</v>
      </c>
      <c r="F30" s="9">
        <f t="shared" si="15"/>
        <v>1.9466155944371943</v>
      </c>
      <c r="G30" s="9">
        <f t="shared" si="15"/>
        <v>2.1108432958996413</v>
      </c>
      <c r="H30" s="9">
        <f t="shared" si="15"/>
        <v>2.247833125493806</v>
      </c>
      <c r="I30" s="9">
        <f t="shared" si="15"/>
        <v>2.359691636002891</v>
      </c>
      <c r="J30" s="9">
        <f t="shared" si="15"/>
        <v>2.4482958145821856</v>
      </c>
      <c r="K30" s="9">
        <f t="shared" si="15"/>
        <v>2.5153165933850548</v>
      </c>
      <c r="L30" s="9">
        <f t="shared" si="15"/>
        <v>2.5622405598419062</v>
      </c>
      <c r="M30" s="9">
        <f t="shared" si="15"/>
        <v>2.5903903727557807</v>
      </c>
      <c r="N30" s="9">
        <f t="shared" si="15"/>
        <v>2.6009445738267645</v>
      </c>
      <c r="O30" s="9">
        <f t="shared" si="15"/>
        <v>2.594957859926335</v>
      </c>
      <c r="P30" s="9">
        <f t="shared" si="15"/>
        <v>2.5733836687336202</v>
      </c>
      <c r="Q30" s="9">
        <f t="shared" si="15"/>
        <v>2.537102668776121</v>
      </c>
      <c r="R30" s="9">
        <f t="shared" si="15"/>
        <v>2.4869648911580793</v>
      </c>
      <c r="S30" s="9">
        <f t="shared" si="15"/>
        <v>2.4238642171251477</v>
      </c>
      <c r="T30" s="9">
        <f t="shared" si="15"/>
        <v>2.3488974069357593</v>
      </c>
      <c r="U30" s="9">
        <f t="shared" si="15"/>
        <v>2.263784495503665</v>
      </c>
      <c r="V30" s="9">
        <f t="shared" si="15"/>
        <v>2.1723600378400234</v>
      </c>
      <c r="W30" s="10">
        <f t="shared" si="15"/>
        <v>-1.2674998354685347</v>
      </c>
      <c r="X30" s="2"/>
      <c r="Y30" s="2"/>
      <c r="Z30" s="2"/>
      <c r="AA30" s="2"/>
    </row>
    <row r="31" spans="2:27" ht="18.75">
      <c r="B31" s="18" t="s">
        <v>11</v>
      </c>
      <c r="C31" s="6"/>
      <c r="D31" s="13">
        <f aca="true" t="shared" si="16" ref="D31:W31">D25-D30</f>
        <v>14.928840000000001</v>
      </c>
      <c r="E31" s="13">
        <f t="shared" si="16"/>
        <v>14.48108258736842</v>
      </c>
      <c r="F31" s="13">
        <f t="shared" si="16"/>
        <v>14.048689551176844</v>
      </c>
      <c r="G31" s="13">
        <f t="shared" si="16"/>
        <v>13.628399782631826</v>
      </c>
      <c r="H31" s="13">
        <f t="shared" si="16"/>
        <v>13.217220377093431</v>
      </c>
      <c r="I31" s="13">
        <f t="shared" si="16"/>
        <v>12.812399307716541</v>
      </c>
      <c r="J31" s="13">
        <f t="shared" si="16"/>
        <v>12.411401373505342</v>
      </c>
      <c r="K31" s="13">
        <f t="shared" si="16"/>
        <v>12.011887394956059</v>
      </c>
      <c r="L31" s="13">
        <f t="shared" si="16"/>
        <v>11.611696817813296</v>
      </c>
      <c r="M31" s="13">
        <f t="shared" si="16"/>
        <v>11.208834191916127</v>
      </c>
      <c r="N31" s="13">
        <f t="shared" si="16"/>
        <v>10.801460531741137</v>
      </c>
      <c r="O31" s="13">
        <f t="shared" si="16"/>
        <v>10.387891582137437</v>
      </c>
      <c r="P31" s="13">
        <f t="shared" si="16"/>
        <v>9.966607063733466</v>
      </c>
      <c r="Q31" s="13">
        <f t="shared" si="16"/>
        <v>9.53627942894076</v>
      </c>
      <c r="R31" s="13">
        <f t="shared" si="16"/>
        <v>9.095841229521382</v>
      </c>
      <c r="S31" s="13">
        <f t="shared" si="16"/>
        <v>8.644638158635477</v>
      </c>
      <c r="T31" s="13">
        <f t="shared" si="16"/>
        <v>8.182800197475675</v>
      </c>
      <c r="U31" s="13">
        <f t="shared" si="16"/>
        <v>7.712281800274419</v>
      </c>
      <c r="V31" s="13">
        <f t="shared" si="16"/>
        <v>7.240642161189161</v>
      </c>
      <c r="W31" s="14">
        <f t="shared" si="16"/>
        <v>10.3292716251982</v>
      </c>
      <c r="X31" s="2"/>
      <c r="Y31" s="2"/>
      <c r="Z31" s="2"/>
      <c r="AA31" s="2"/>
    </row>
    <row r="32" spans="2:27" ht="18.75">
      <c r="B32" s="18" t="s">
        <v>25</v>
      </c>
      <c r="C32" s="6"/>
      <c r="D32" s="13">
        <f aca="true" t="shared" si="17" ref="D32:W32">D27*tax</f>
        <v>0.28084</v>
      </c>
      <c r="E32" s="13">
        <f t="shared" si="17"/>
        <v>0.27269564</v>
      </c>
      <c r="F32" s="13">
        <f t="shared" si="17"/>
        <v>0.2640698463347369</v>
      </c>
      <c r="G32" s="13">
        <f t="shared" si="17"/>
        <v>0.2549447660891698</v>
      </c>
      <c r="H32" s="13">
        <f t="shared" si="17"/>
        <v>0.24530185523062065</v>
      </c>
      <c r="I32" s="13">
        <f t="shared" si="17"/>
        <v>0.23512182823854988</v>
      </c>
      <c r="J32" s="13">
        <f t="shared" si="17"/>
        <v>0.2243845980823228</v>
      </c>
      <c r="K32" s="13">
        <f t="shared" si="17"/>
        <v>0.21306920335045712</v>
      </c>
      <c r="L32" s="13">
        <f t="shared" si="17"/>
        <v>0.20115371790155073</v>
      </c>
      <c r="M32" s="13">
        <f t="shared" si="17"/>
        <v>0.18861513615235412</v>
      </c>
      <c r="N32" s="13">
        <f t="shared" si="17"/>
        <v>0.17542922345224862</v>
      </c>
      <c r="O32" s="13">
        <f t="shared" si="17"/>
        <v>0.161570314799521</v>
      </c>
      <c r="P32" s="13">
        <f t="shared" si="17"/>
        <v>0.14701103421036413</v>
      </c>
      <c r="Q32" s="13">
        <f t="shared" si="17"/>
        <v>0.13172188665248627</v>
      </c>
      <c r="R32" s="13">
        <f t="shared" si="17"/>
        <v>0.11567063389326186</v>
      </c>
      <c r="S32" s="13">
        <f t="shared" si="17"/>
        <v>0.09882127822281006</v>
      </c>
      <c r="T32" s="13">
        <f t="shared" si="17"/>
        <v>0.08113226942092705</v>
      </c>
      <c r="U32" s="13">
        <f t="shared" si="17"/>
        <v>0.06255297972353475</v>
      </c>
      <c r="V32" s="13">
        <f t="shared" si="17"/>
        <v>0.04301559905655073</v>
      </c>
      <c r="W32" s="14">
        <f t="shared" si="17"/>
        <v>0.022411127108462933</v>
      </c>
      <c r="X32" s="2"/>
      <c r="Y32" s="2"/>
      <c r="Z32" s="2"/>
      <c r="AA32" s="2"/>
    </row>
    <row r="33" spans="2:27" ht="19.5" thickBot="1">
      <c r="B33" s="23" t="s">
        <v>12</v>
      </c>
      <c r="C33" s="7">
        <f>-D13</f>
        <v>-100</v>
      </c>
      <c r="D33" s="11">
        <f>D31-D32</f>
        <v>14.648000000000001</v>
      </c>
      <c r="E33" s="11">
        <f aca="true" t="shared" si="18" ref="E33:W33">E31-E32</f>
        <v>14.20838694736842</v>
      </c>
      <c r="F33" s="11">
        <f t="shared" si="18"/>
        <v>13.784619704842108</v>
      </c>
      <c r="G33" s="11">
        <f t="shared" si="18"/>
        <v>13.373455016542657</v>
      </c>
      <c r="H33" s="11">
        <f t="shared" si="18"/>
        <v>12.971918521862811</v>
      </c>
      <c r="I33" s="11">
        <f t="shared" si="18"/>
        <v>12.577277479477992</v>
      </c>
      <c r="J33" s="11">
        <f t="shared" si="18"/>
        <v>12.18701677542302</v>
      </c>
      <c r="K33" s="11">
        <f t="shared" si="18"/>
        <v>11.798818191605601</v>
      </c>
      <c r="L33" s="11">
        <f t="shared" si="18"/>
        <v>11.410543099911745</v>
      </c>
      <c r="M33" s="11">
        <f t="shared" si="18"/>
        <v>11.020219055763773</v>
      </c>
      <c r="N33" s="11">
        <f t="shared" si="18"/>
        <v>10.626031308288889</v>
      </c>
      <c r="O33" s="11">
        <f t="shared" si="18"/>
        <v>10.226321267337916</v>
      </c>
      <c r="P33" s="11">
        <f t="shared" si="18"/>
        <v>9.819596029523103</v>
      </c>
      <c r="Q33" s="11">
        <f t="shared" si="18"/>
        <v>9.404557542288275</v>
      </c>
      <c r="R33" s="11">
        <f t="shared" si="18"/>
        <v>8.98017059562812</v>
      </c>
      <c r="S33" s="11">
        <f t="shared" si="18"/>
        <v>8.545816880412668</v>
      </c>
      <c r="T33" s="11">
        <f t="shared" si="18"/>
        <v>8.101667928054749</v>
      </c>
      <c r="U33" s="11">
        <f t="shared" si="18"/>
        <v>7.649728820550885</v>
      </c>
      <c r="V33" s="11">
        <f t="shared" si="18"/>
        <v>7.19762656213261</v>
      </c>
      <c r="W33" s="12">
        <f t="shared" si="18"/>
        <v>10.306860498089737</v>
      </c>
      <c r="X33" s="2"/>
      <c r="Y33" s="2"/>
      <c r="Z33" s="2"/>
      <c r="AA33" s="2"/>
    </row>
    <row r="34" spans="2:27" ht="19.5" thickBot="1">
      <c r="B34" s="24" t="s">
        <v>20</v>
      </c>
      <c r="C34" s="26">
        <f>IRR(C33:W33)</f>
        <v>0.10421694069800069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  <c r="X34" s="2"/>
      <c r="Y34" s="2"/>
      <c r="Z34" s="2"/>
      <c r="AA34" s="2"/>
    </row>
    <row r="35" spans="2:27" ht="19.5" thickBot="1">
      <c r="B35" s="25" t="s">
        <v>18</v>
      </c>
      <c r="C35" s="15"/>
      <c r="D35" s="19">
        <f>D30/D28</f>
        <v>0.14606146290646627</v>
      </c>
      <c r="E35" s="19">
        <f aca="true" t="shared" si="19" ref="E35:W35">E30/E28</f>
        <v>0.17269816368136873</v>
      </c>
      <c r="F35" s="19">
        <f t="shared" si="19"/>
        <v>0.19806049737757164</v>
      </c>
      <c r="G35" s="19">
        <f t="shared" si="19"/>
        <v>0.22245715197508167</v>
      </c>
      <c r="H35" s="19">
        <f t="shared" si="19"/>
        <v>0.24620661316768397</v>
      </c>
      <c r="I35" s="19">
        <f t="shared" si="19"/>
        <v>0.2696489807263705</v>
      </c>
      <c r="J35" s="19">
        <f t="shared" si="19"/>
        <v>0.29316176428118484</v>
      </c>
      <c r="K35" s="19">
        <f t="shared" si="19"/>
        <v>0.3171819418349512</v>
      </c>
      <c r="L35" s="19">
        <f t="shared" si="19"/>
        <v>0.34223806958637276</v>
      </c>
      <c r="M35" s="19">
        <f t="shared" si="19"/>
        <v>0.36899897157572187</v>
      </c>
      <c r="N35" s="19">
        <f t="shared" si="19"/>
        <v>0.3983507474268329</v>
      </c>
      <c r="O35" s="19">
        <f t="shared" si="19"/>
        <v>0.4315242618536602</v>
      </c>
      <c r="P35" s="19">
        <f t="shared" si="19"/>
        <v>0.4703174446181966</v>
      </c>
      <c r="Q35" s="19">
        <f t="shared" si="19"/>
        <v>0.5175074181421566</v>
      </c>
      <c r="R35" s="19">
        <f t="shared" si="19"/>
        <v>0.577674262511548</v>
      </c>
      <c r="S35" s="19">
        <f t="shared" si="19"/>
        <v>0.6590134831144298</v>
      </c>
      <c r="T35" s="19">
        <f t="shared" si="19"/>
        <v>0.777869788106238</v>
      </c>
      <c r="U35" s="19">
        <f t="shared" si="19"/>
        <v>0.9723521051043786</v>
      </c>
      <c r="V35" s="19">
        <f t="shared" si="19"/>
        <v>1.356882712718282</v>
      </c>
      <c r="W35" s="20">
        <f t="shared" si="19"/>
        <v>-1.2653510361473521</v>
      </c>
      <c r="X35" s="2"/>
      <c r="Y35" s="2"/>
      <c r="Z35" s="2"/>
      <c r="AA35" s="2"/>
    </row>
    <row r="36" spans="2:23" ht="15">
      <c r="B36" s="34"/>
      <c r="C36" s="2"/>
      <c r="D36" s="2"/>
      <c r="E36" s="2"/>
      <c r="F36" s="2"/>
      <c r="G36" s="2"/>
      <c r="I36" s="2"/>
      <c r="J36" s="2"/>
      <c r="K36" s="2"/>
      <c r="L36" s="2"/>
      <c r="N36" s="2"/>
      <c r="O36" s="2"/>
      <c r="P36" s="2"/>
      <c r="Q36" s="2"/>
      <c r="R36" s="2"/>
      <c r="S36" s="2"/>
      <c r="T36" s="2"/>
      <c r="U36" s="2"/>
      <c r="V36" s="2"/>
      <c r="W36" s="35"/>
    </row>
    <row r="37" spans="2:23" ht="18.75">
      <c r="B37" s="3" t="s">
        <v>35</v>
      </c>
      <c r="C37" s="33"/>
      <c r="D37" s="4">
        <f aca="true" t="shared" si="20" ref="D37:W37">D25</f>
        <v>16.455555555555556</v>
      </c>
      <c r="E37" s="4">
        <f t="shared" si="20"/>
        <v>16.233870760233916</v>
      </c>
      <c r="F37" s="4">
        <f t="shared" si="20"/>
        <v>15.995305145614038</v>
      </c>
      <c r="G37" s="4">
        <f t="shared" si="20"/>
        <v>15.739243078531468</v>
      </c>
      <c r="H37" s="4">
        <f t="shared" si="20"/>
        <v>15.465053502587237</v>
      </c>
      <c r="I37" s="4">
        <f t="shared" si="20"/>
        <v>15.172090943719432</v>
      </c>
      <c r="J37" s="4">
        <f t="shared" si="20"/>
        <v>14.859697188087528</v>
      </c>
      <c r="K37" s="4">
        <f t="shared" si="20"/>
        <v>14.527203988341114</v>
      </c>
      <c r="L37" s="4">
        <f t="shared" si="20"/>
        <v>14.173937377655204</v>
      </c>
      <c r="M37" s="4">
        <f t="shared" si="20"/>
        <v>13.799224564671908</v>
      </c>
      <c r="N37" s="4">
        <f t="shared" si="20"/>
        <v>13.402405105567901</v>
      </c>
      <c r="O37" s="4">
        <f t="shared" si="20"/>
        <v>12.982849442063772</v>
      </c>
      <c r="P37" s="4">
        <f t="shared" si="20"/>
        <v>12.539990732467086</v>
      </c>
      <c r="Q37" s="4">
        <f t="shared" si="20"/>
        <v>12.073382097716882</v>
      </c>
      <c r="R37" s="4">
        <f t="shared" si="20"/>
        <v>11.58280612067946</v>
      </c>
      <c r="S37" s="4">
        <f t="shared" si="20"/>
        <v>11.068502375760625</v>
      </c>
      <c r="T37" s="4">
        <f t="shared" si="20"/>
        <v>10.531697604411434</v>
      </c>
      <c r="U37" s="4">
        <f t="shared" si="20"/>
        <v>9.976066295778084</v>
      </c>
      <c r="V37" s="4">
        <f t="shared" si="20"/>
        <v>9.413002199029185</v>
      </c>
      <c r="W37" s="5">
        <f t="shared" si="20"/>
        <v>9.061771789729665</v>
      </c>
    </row>
    <row r="38" spans="2:23" ht="18.75">
      <c r="B38" s="3" t="s">
        <v>37</v>
      </c>
      <c r="C38" s="33">
        <f>NPV(Return,D37:W37)</f>
        <v>99.99999999999997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6"/>
    </row>
    <row r="39" spans="2:23" ht="19.5" thickBot="1">
      <c r="B39" s="3"/>
      <c r="C39" s="33"/>
      <c r="D39" s="66" t="s">
        <v>46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6"/>
    </row>
    <row r="40" spans="2:23" ht="21">
      <c r="B40" s="37" t="s">
        <v>33</v>
      </c>
      <c r="C40" s="68" t="s">
        <v>42</v>
      </c>
      <c r="D40" s="70">
        <f>C47-Cost</f>
        <v>0</v>
      </c>
      <c r="E40" s="72" t="s">
        <v>47</v>
      </c>
      <c r="F40" s="73"/>
      <c r="G40" s="73"/>
      <c r="H40" s="73"/>
      <c r="I40" s="73"/>
      <c r="J40" s="73"/>
      <c r="K40" s="7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6"/>
    </row>
    <row r="41" spans="2:23" ht="19.5" thickBot="1">
      <c r="B41" s="34"/>
      <c r="C41" s="69" t="str">
        <f>IF(ABS(C47-C38)&lt;0.001,"YES","NO")</f>
        <v>YES</v>
      </c>
      <c r="D41" s="71">
        <v>11.440237454075401</v>
      </c>
      <c r="E41" s="33" t="s">
        <v>43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6"/>
    </row>
    <row r="42" spans="2:23" ht="18.75">
      <c r="B42" s="3" t="s">
        <v>34</v>
      </c>
      <c r="C42" s="67">
        <v>0.02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6"/>
    </row>
    <row r="43" spans="2:23" ht="18.75">
      <c r="B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6"/>
    </row>
    <row r="44" spans="2:23" ht="18.75">
      <c r="B44" s="3" t="s">
        <v>41</v>
      </c>
      <c r="C44" s="2"/>
      <c r="D44" s="4">
        <f>D41</f>
        <v>11.440237454075401</v>
      </c>
      <c r="E44" s="4">
        <f aca="true" t="shared" si="21" ref="E44:W44">IF(E25=0,0,D44*(1+Reval))</f>
        <v>11.680482440610984</v>
      </c>
      <c r="F44" s="4">
        <f t="shared" si="21"/>
        <v>11.925772571863813</v>
      </c>
      <c r="G44" s="4">
        <f t="shared" si="21"/>
        <v>12.176213795872952</v>
      </c>
      <c r="H44" s="4">
        <f t="shared" si="21"/>
        <v>12.431914285586283</v>
      </c>
      <c r="I44" s="4">
        <f t="shared" si="21"/>
        <v>12.692984485583594</v>
      </c>
      <c r="J44" s="4">
        <f t="shared" si="21"/>
        <v>12.959537159780847</v>
      </c>
      <c r="K44" s="4">
        <f t="shared" si="21"/>
        <v>13.231687440136245</v>
      </c>
      <c r="L44" s="4">
        <f t="shared" si="21"/>
        <v>13.509552876379106</v>
      </c>
      <c r="M44" s="4">
        <f t="shared" si="21"/>
        <v>13.793253486783065</v>
      </c>
      <c r="N44" s="4">
        <f t="shared" si="21"/>
        <v>14.082911810005509</v>
      </c>
      <c r="O44" s="4">
        <f t="shared" si="21"/>
        <v>14.378652958015623</v>
      </c>
      <c r="P44" s="4">
        <f t="shared" si="21"/>
        <v>14.680604670133949</v>
      </c>
      <c r="Q44" s="4">
        <f t="shared" si="21"/>
        <v>14.98889736820676</v>
      </c>
      <c r="R44" s="4">
        <f t="shared" si="21"/>
        <v>15.3036642129391</v>
      </c>
      <c r="S44" s="4">
        <f t="shared" si="21"/>
        <v>15.62504116141082</v>
      </c>
      <c r="T44" s="4">
        <f t="shared" si="21"/>
        <v>15.953167025800447</v>
      </c>
      <c r="U44" s="4">
        <f t="shared" si="21"/>
        <v>16.288183533342256</v>
      </c>
      <c r="V44" s="4">
        <f t="shared" si="21"/>
        <v>16.63023538754244</v>
      </c>
      <c r="W44" s="4">
        <f t="shared" si="21"/>
        <v>16.979470330680833</v>
      </c>
    </row>
    <row r="45" spans="2:23" ht="18.75">
      <c r="B45" s="3" t="s">
        <v>36</v>
      </c>
      <c r="C45" s="33"/>
      <c r="D45" s="4">
        <v>1</v>
      </c>
      <c r="E45" s="4">
        <f>IF(E25=0,0,D45*(1+$C$42))</f>
        <v>1.02</v>
      </c>
      <c r="F45" s="4">
        <f aca="true" t="shared" si="22" ref="F45:W45">IF(F25=0,0,E45*(1+$C$42))</f>
        <v>1.0404</v>
      </c>
      <c r="G45" s="4">
        <f t="shared" si="22"/>
        <v>1.061208</v>
      </c>
      <c r="H45" s="4">
        <f t="shared" si="22"/>
        <v>1.08243216</v>
      </c>
      <c r="I45" s="4">
        <f t="shared" si="22"/>
        <v>1.1040808032</v>
      </c>
      <c r="J45" s="4">
        <f t="shared" si="22"/>
        <v>1.126162419264</v>
      </c>
      <c r="K45" s="4">
        <f t="shared" si="22"/>
        <v>1.14868566764928</v>
      </c>
      <c r="L45" s="4">
        <f t="shared" si="22"/>
        <v>1.1716593810022657</v>
      </c>
      <c r="M45" s="4">
        <f t="shared" si="22"/>
        <v>1.195092568622311</v>
      </c>
      <c r="N45" s="4">
        <f t="shared" si="22"/>
        <v>1.2189944199947573</v>
      </c>
      <c r="O45" s="4">
        <f t="shared" si="22"/>
        <v>1.2433743083946525</v>
      </c>
      <c r="P45" s="4">
        <f t="shared" si="22"/>
        <v>1.2682417945625455</v>
      </c>
      <c r="Q45" s="4">
        <f t="shared" si="22"/>
        <v>1.2936066304537963</v>
      </c>
      <c r="R45" s="4">
        <f t="shared" si="22"/>
        <v>1.3194787630628724</v>
      </c>
      <c r="S45" s="4">
        <f t="shared" si="22"/>
        <v>1.3458683383241299</v>
      </c>
      <c r="T45" s="4">
        <f t="shared" si="22"/>
        <v>1.3727857050906125</v>
      </c>
      <c r="U45" s="4">
        <f t="shared" si="22"/>
        <v>1.4002414191924248</v>
      </c>
      <c r="V45" s="4">
        <f t="shared" si="22"/>
        <v>1.4282462475762734</v>
      </c>
      <c r="W45" s="4">
        <f t="shared" si="22"/>
        <v>1.4568111725277988</v>
      </c>
    </row>
    <row r="46" spans="2:23" ht="18.75">
      <c r="B46" s="38" t="s">
        <v>38</v>
      </c>
      <c r="C46" s="8"/>
      <c r="D46" s="39">
        <f>D45*D44</f>
        <v>11.440237454075401</v>
      </c>
      <c r="E46" s="39">
        <f aca="true" t="shared" si="23" ref="E46:W46">E45*E44</f>
        <v>11.914092089423203</v>
      </c>
      <c r="F46" s="39">
        <f t="shared" si="23"/>
        <v>12.407573783767111</v>
      </c>
      <c r="G46" s="39">
        <f t="shared" si="23"/>
        <v>12.921495489890743</v>
      </c>
      <c r="H46" s="39">
        <f t="shared" si="23"/>
        <v>13.456703833082017</v>
      </c>
      <c r="I46" s="39">
        <f t="shared" si="23"/>
        <v>14.014080505848273</v>
      </c>
      <c r="J46" s="39">
        <f t="shared" si="23"/>
        <v>14.594543720400507</v>
      </c>
      <c r="K46" s="39">
        <f t="shared" si="23"/>
        <v>15.199049721299495</v>
      </c>
      <c r="L46" s="39">
        <f t="shared" si="23"/>
        <v>15.828594360755721</v>
      </c>
      <c r="M46" s="39">
        <f t="shared" si="23"/>
        <v>16.48421473917822</v>
      </c>
      <c r="N46" s="39">
        <f t="shared" si="23"/>
        <v>17.166990913674983</v>
      </c>
      <c r="O46" s="39">
        <f t="shared" si="23"/>
        <v>17.878047677319397</v>
      </c>
      <c r="P46" s="39">
        <f t="shared" si="23"/>
        <v>18.618556412113964</v>
      </c>
      <c r="Q46" s="39">
        <f t="shared" si="23"/>
        <v>19.389737018703723</v>
      </c>
      <c r="R46" s="39">
        <f t="shared" si="23"/>
        <v>20.192859926018432</v>
      </c>
      <c r="S46" s="39">
        <f t="shared" si="23"/>
        <v>21.029248184154113</v>
      </c>
      <c r="T46" s="39">
        <f t="shared" si="23"/>
        <v>21.900279643941776</v>
      </c>
      <c r="U46" s="39">
        <f t="shared" si="23"/>
        <v>22.807389226793845</v>
      </c>
      <c r="V46" s="39">
        <f t="shared" si="23"/>
        <v>23.752071288567645</v>
      </c>
      <c r="W46" s="28">
        <f t="shared" si="23"/>
        <v>24.735882081340115</v>
      </c>
    </row>
    <row r="47" spans="2:23" ht="18.75">
      <c r="B47" s="3" t="s">
        <v>37</v>
      </c>
      <c r="C47" s="33">
        <f>NPV(Return,D46:W46)</f>
        <v>100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6"/>
    </row>
    <row r="48" spans="2:23" ht="18.75">
      <c r="B48" s="3" t="s">
        <v>1</v>
      </c>
      <c r="C48" s="2"/>
      <c r="D48" s="4">
        <f aca="true" t="shared" si="24" ref="D48:W48">D19</f>
        <v>10</v>
      </c>
      <c r="E48" s="4">
        <f t="shared" si="24"/>
        <v>9</v>
      </c>
      <c r="F48" s="4">
        <f t="shared" si="24"/>
        <v>8.1</v>
      </c>
      <c r="G48" s="4">
        <f t="shared" si="24"/>
        <v>7.290000000000001</v>
      </c>
      <c r="H48" s="4">
        <f t="shared" si="24"/>
        <v>6.561</v>
      </c>
      <c r="I48" s="4">
        <f t="shared" si="24"/>
        <v>5.9049000000000005</v>
      </c>
      <c r="J48" s="4">
        <f t="shared" si="24"/>
        <v>5.3144100000000005</v>
      </c>
      <c r="K48" s="4">
        <f t="shared" si="24"/>
        <v>4.7829690000000005</v>
      </c>
      <c r="L48" s="4">
        <f t="shared" si="24"/>
        <v>4.3046721</v>
      </c>
      <c r="M48" s="4">
        <f t="shared" si="24"/>
        <v>3.87420489</v>
      </c>
      <c r="N48" s="4">
        <f t="shared" si="24"/>
        <v>3.486784401</v>
      </c>
      <c r="O48" s="4">
        <f t="shared" si="24"/>
        <v>3.1381059609</v>
      </c>
      <c r="P48" s="4">
        <f t="shared" si="24"/>
        <v>2.82429536481</v>
      </c>
      <c r="Q48" s="4">
        <f t="shared" si="24"/>
        <v>2.541865828329</v>
      </c>
      <c r="R48" s="4">
        <f t="shared" si="24"/>
        <v>2.2876792454961</v>
      </c>
      <c r="S48" s="4">
        <f t="shared" si="24"/>
        <v>2.05891132094649</v>
      </c>
      <c r="T48" s="4">
        <f t="shared" si="24"/>
        <v>1.853020188851841</v>
      </c>
      <c r="U48" s="4">
        <f t="shared" si="24"/>
        <v>1.667718169966657</v>
      </c>
      <c r="V48" s="4">
        <f t="shared" si="24"/>
        <v>1.5009463529699913</v>
      </c>
      <c r="W48" s="5">
        <f t="shared" si="24"/>
        <v>13.50851717672992</v>
      </c>
    </row>
    <row r="49" spans="2:23" ht="18.75">
      <c r="B49" s="3" t="s">
        <v>39</v>
      </c>
      <c r="C49" s="33"/>
      <c r="D49" s="4">
        <f aca="true" t="shared" si="25" ref="D49:W49">D27</f>
        <v>1.003</v>
      </c>
      <c r="E49" s="4">
        <f t="shared" si="25"/>
        <v>0.973913</v>
      </c>
      <c r="F49" s="4">
        <f t="shared" si="25"/>
        <v>0.9431065940526316</v>
      </c>
      <c r="G49" s="4">
        <f t="shared" si="25"/>
        <v>0.9105170217470351</v>
      </c>
      <c r="H49" s="4">
        <f t="shared" si="25"/>
        <v>0.8760780543950737</v>
      </c>
      <c r="I49" s="4">
        <f t="shared" si="25"/>
        <v>0.839720815137678</v>
      </c>
      <c r="J49" s="4">
        <f t="shared" si="25"/>
        <v>0.8013735645797242</v>
      </c>
      <c r="K49" s="4">
        <f t="shared" si="25"/>
        <v>0.7609614405373468</v>
      </c>
      <c r="L49" s="4">
        <f t="shared" si="25"/>
        <v>0.7184061353626812</v>
      </c>
      <c r="M49" s="4">
        <f t="shared" si="25"/>
        <v>0.6736254862584075</v>
      </c>
      <c r="N49" s="4">
        <f t="shared" si="25"/>
        <v>0.6265329409008878</v>
      </c>
      <c r="O49" s="4">
        <f t="shared" si="25"/>
        <v>0.5770368385697178</v>
      </c>
      <c r="P49" s="4">
        <f t="shared" si="25"/>
        <v>0.5250394078941576</v>
      </c>
      <c r="Q49" s="4">
        <f t="shared" si="25"/>
        <v>0.4704353094731652</v>
      </c>
      <c r="R49" s="4">
        <f t="shared" si="25"/>
        <v>0.4131094067616495</v>
      </c>
      <c r="S49" s="4">
        <f t="shared" si="25"/>
        <v>0.3529331365100359</v>
      </c>
      <c r="T49" s="4">
        <f t="shared" si="25"/>
        <v>0.2897581050747394</v>
      </c>
      <c r="U49" s="4">
        <f t="shared" si="25"/>
        <v>0.2234034990126241</v>
      </c>
      <c r="V49" s="4">
        <f t="shared" si="25"/>
        <v>0.15362713948768117</v>
      </c>
      <c r="W49" s="5">
        <f t="shared" si="25"/>
        <v>0.0800397396730819</v>
      </c>
    </row>
    <row r="50" spans="2:23" ht="18.75">
      <c r="B50" s="3" t="s">
        <v>17</v>
      </c>
      <c r="C50" s="33"/>
      <c r="D50" s="4">
        <f>D46-D48-D49</f>
        <v>0.43723745407540116</v>
      </c>
      <c r="E50" s="4">
        <f aca="true" t="shared" si="26" ref="E50:W50">E46-E48-E49</f>
        <v>1.9401790894232032</v>
      </c>
      <c r="F50" s="4">
        <f t="shared" si="26"/>
        <v>3.3644671897144796</v>
      </c>
      <c r="G50" s="4">
        <f t="shared" si="26"/>
        <v>4.7209784681437075</v>
      </c>
      <c r="H50" s="4">
        <f t="shared" si="26"/>
        <v>6.019625778686943</v>
      </c>
      <c r="I50" s="4">
        <f t="shared" si="26"/>
        <v>7.269459690710594</v>
      </c>
      <c r="J50" s="4">
        <f t="shared" si="26"/>
        <v>8.478760155820783</v>
      </c>
      <c r="K50" s="4">
        <f t="shared" si="26"/>
        <v>9.655119280762147</v>
      </c>
      <c r="L50" s="4">
        <f t="shared" si="26"/>
        <v>10.80551612539304</v>
      </c>
      <c r="M50" s="4">
        <f t="shared" si="26"/>
        <v>11.936384362919814</v>
      </c>
      <c r="N50" s="4">
        <f t="shared" si="26"/>
        <v>13.053673571774096</v>
      </c>
      <c r="O50" s="4">
        <f t="shared" si="26"/>
        <v>14.16290487784968</v>
      </c>
      <c r="P50" s="4">
        <f t="shared" si="26"/>
        <v>15.269221639409807</v>
      </c>
      <c r="Q50" s="4">
        <f t="shared" si="26"/>
        <v>16.377435880901558</v>
      </c>
      <c r="R50" s="4">
        <f t="shared" si="26"/>
        <v>17.492071273760683</v>
      </c>
      <c r="S50" s="4">
        <f t="shared" si="26"/>
        <v>18.61740372669759</v>
      </c>
      <c r="T50" s="4">
        <f t="shared" si="26"/>
        <v>19.757501350015197</v>
      </c>
      <c r="U50" s="4">
        <f t="shared" si="26"/>
        <v>20.916267557814564</v>
      </c>
      <c r="V50" s="4">
        <f t="shared" si="26"/>
        <v>22.097497796109973</v>
      </c>
      <c r="W50" s="5">
        <f t="shared" si="26"/>
        <v>11.147325164937113</v>
      </c>
    </row>
    <row r="51" spans="2:23" ht="18.75">
      <c r="B51" s="3" t="s">
        <v>24</v>
      </c>
      <c r="C51" s="33"/>
      <c r="D51" s="4">
        <f aca="true" t="shared" si="27" ref="D51:W51">D50*tax</f>
        <v>0.12242648714111233</v>
      </c>
      <c r="E51" s="4">
        <f t="shared" si="27"/>
        <v>0.5432501450384969</v>
      </c>
      <c r="F51" s="4">
        <f t="shared" si="27"/>
        <v>0.9420508131200543</v>
      </c>
      <c r="G51" s="4">
        <f t="shared" si="27"/>
        <v>1.3218739710802383</v>
      </c>
      <c r="H51" s="4">
        <f t="shared" si="27"/>
        <v>1.6854952180323441</v>
      </c>
      <c r="I51" s="4">
        <f t="shared" si="27"/>
        <v>2.0354487133989667</v>
      </c>
      <c r="J51" s="4">
        <f t="shared" si="27"/>
        <v>2.3740528436298196</v>
      </c>
      <c r="K51" s="4">
        <f t="shared" si="27"/>
        <v>2.7034333986134014</v>
      </c>
      <c r="L51" s="4">
        <f t="shared" si="27"/>
        <v>3.0255445151100515</v>
      </c>
      <c r="M51" s="4">
        <f t="shared" si="27"/>
        <v>3.342187621617548</v>
      </c>
      <c r="N51" s="4">
        <f t="shared" si="27"/>
        <v>3.655028600096747</v>
      </c>
      <c r="O51" s="4">
        <f t="shared" si="27"/>
        <v>3.965613365797911</v>
      </c>
      <c r="P51" s="4">
        <f t="shared" si="27"/>
        <v>4.275382059034746</v>
      </c>
      <c r="Q51" s="4">
        <f t="shared" si="27"/>
        <v>4.585682046652437</v>
      </c>
      <c r="R51" s="4">
        <f t="shared" si="27"/>
        <v>4.897779956652991</v>
      </c>
      <c r="S51" s="4">
        <f t="shared" si="27"/>
        <v>5.212873043475326</v>
      </c>
      <c r="T51" s="4">
        <f t="shared" si="27"/>
        <v>5.532100378004255</v>
      </c>
      <c r="U51" s="4">
        <f t="shared" si="27"/>
        <v>5.856554916188078</v>
      </c>
      <c r="V51" s="4">
        <f t="shared" si="27"/>
        <v>6.187299382910793</v>
      </c>
      <c r="W51" s="5">
        <f t="shared" si="27"/>
        <v>3.121251046182392</v>
      </c>
    </row>
    <row r="52" spans="2:23" ht="18.75">
      <c r="B52" s="3" t="s">
        <v>11</v>
      </c>
      <c r="C52" s="33"/>
      <c r="D52" s="4">
        <f>D46-D51</f>
        <v>11.317810966934289</v>
      </c>
      <c r="E52" s="4">
        <f aca="true" t="shared" si="28" ref="E52:W52">E46-E51</f>
        <v>11.370841944384706</v>
      </c>
      <c r="F52" s="4">
        <f t="shared" si="28"/>
        <v>11.465522970647056</v>
      </c>
      <c r="G52" s="4">
        <f t="shared" si="28"/>
        <v>11.599621518810505</v>
      </c>
      <c r="H52" s="4">
        <f t="shared" si="28"/>
        <v>11.771208615049673</v>
      </c>
      <c r="I52" s="4">
        <f t="shared" si="28"/>
        <v>11.978631792449306</v>
      </c>
      <c r="J52" s="4">
        <f t="shared" si="28"/>
        <v>12.220490876770688</v>
      </c>
      <c r="K52" s="4">
        <f t="shared" si="28"/>
        <v>12.495616322686093</v>
      </c>
      <c r="L52" s="4">
        <f t="shared" si="28"/>
        <v>12.80304984564567</v>
      </c>
      <c r="M52" s="4">
        <f t="shared" si="28"/>
        <v>13.142027117560673</v>
      </c>
      <c r="N52" s="4">
        <f t="shared" si="28"/>
        <v>13.511962313578236</v>
      </c>
      <c r="O52" s="4">
        <f t="shared" si="28"/>
        <v>13.912434311521487</v>
      </c>
      <c r="P52" s="4">
        <f t="shared" si="28"/>
        <v>14.343174353079217</v>
      </c>
      <c r="Q52" s="4">
        <f t="shared" si="28"/>
        <v>14.804054972051286</v>
      </c>
      <c r="R52" s="4">
        <f t="shared" si="28"/>
        <v>15.29507996936544</v>
      </c>
      <c r="S52" s="4">
        <f t="shared" si="28"/>
        <v>15.816375140678787</v>
      </c>
      <c r="T52" s="4">
        <f t="shared" si="28"/>
        <v>16.36817926593752</v>
      </c>
      <c r="U52" s="4">
        <f t="shared" si="28"/>
        <v>16.950834310605767</v>
      </c>
      <c r="V52" s="4">
        <f t="shared" si="28"/>
        <v>17.56477190565685</v>
      </c>
      <c r="W52" s="5">
        <f t="shared" si="28"/>
        <v>21.61463103515772</v>
      </c>
    </row>
    <row r="53" spans="2:23" ht="18.75">
      <c r="B53" s="3" t="s">
        <v>25</v>
      </c>
      <c r="C53" s="33"/>
      <c r="D53" s="4">
        <f aca="true" t="shared" si="29" ref="D53:W53">D49*tax</f>
        <v>0.28084</v>
      </c>
      <c r="E53" s="4">
        <f t="shared" si="29"/>
        <v>0.27269564</v>
      </c>
      <c r="F53" s="4">
        <f t="shared" si="29"/>
        <v>0.2640698463347369</v>
      </c>
      <c r="G53" s="4">
        <f t="shared" si="29"/>
        <v>0.2549447660891698</v>
      </c>
      <c r="H53" s="4">
        <f t="shared" si="29"/>
        <v>0.24530185523062065</v>
      </c>
      <c r="I53" s="4">
        <f t="shared" si="29"/>
        <v>0.23512182823854988</v>
      </c>
      <c r="J53" s="4">
        <f t="shared" si="29"/>
        <v>0.2243845980823228</v>
      </c>
      <c r="K53" s="4">
        <f t="shared" si="29"/>
        <v>0.21306920335045712</v>
      </c>
      <c r="L53" s="4">
        <f t="shared" si="29"/>
        <v>0.20115371790155073</v>
      </c>
      <c r="M53" s="4">
        <f t="shared" si="29"/>
        <v>0.18861513615235412</v>
      </c>
      <c r="N53" s="4">
        <f t="shared" si="29"/>
        <v>0.17542922345224862</v>
      </c>
      <c r="O53" s="4">
        <f t="shared" si="29"/>
        <v>0.161570314799521</v>
      </c>
      <c r="P53" s="4">
        <f t="shared" si="29"/>
        <v>0.14701103421036413</v>
      </c>
      <c r="Q53" s="4">
        <f t="shared" si="29"/>
        <v>0.13172188665248627</v>
      </c>
      <c r="R53" s="4">
        <f t="shared" si="29"/>
        <v>0.11567063389326186</v>
      </c>
      <c r="S53" s="4">
        <f t="shared" si="29"/>
        <v>0.09882127822281006</v>
      </c>
      <c r="T53" s="4">
        <f t="shared" si="29"/>
        <v>0.08113226942092705</v>
      </c>
      <c r="U53" s="4">
        <f t="shared" si="29"/>
        <v>0.06255297972353475</v>
      </c>
      <c r="V53" s="4">
        <f t="shared" si="29"/>
        <v>0.04301559905655073</v>
      </c>
      <c r="W53" s="5">
        <f t="shared" si="29"/>
        <v>0.022411127108462933</v>
      </c>
    </row>
    <row r="54" spans="2:23" ht="19.5" thickBot="1">
      <c r="B54" s="23" t="s">
        <v>40</v>
      </c>
      <c r="C54" s="7">
        <f>C33</f>
        <v>-100</v>
      </c>
      <c r="D54" s="39">
        <f>D52-D53</f>
        <v>11.03697096693429</v>
      </c>
      <c r="E54" s="39">
        <f aca="true" t="shared" si="30" ref="E54:W54">E52-E53</f>
        <v>11.098146304384706</v>
      </c>
      <c r="F54" s="39">
        <f t="shared" si="30"/>
        <v>11.20145312431232</v>
      </c>
      <c r="G54" s="39">
        <f t="shared" si="30"/>
        <v>11.344676752721336</v>
      </c>
      <c r="H54" s="39">
        <f t="shared" si="30"/>
        <v>11.525906759819053</v>
      </c>
      <c r="I54" s="39">
        <f t="shared" si="30"/>
        <v>11.743509964210757</v>
      </c>
      <c r="J54" s="39">
        <f t="shared" si="30"/>
        <v>11.996106278688366</v>
      </c>
      <c r="K54" s="39">
        <f t="shared" si="30"/>
        <v>12.282547119335636</v>
      </c>
      <c r="L54" s="39">
        <f t="shared" si="30"/>
        <v>12.60189612774412</v>
      </c>
      <c r="M54" s="39">
        <f t="shared" si="30"/>
        <v>12.953411981408319</v>
      </c>
      <c r="N54" s="39">
        <f t="shared" si="30"/>
        <v>13.336533090125988</v>
      </c>
      <c r="O54" s="39">
        <f t="shared" si="30"/>
        <v>13.750863996721966</v>
      </c>
      <c r="P54" s="39">
        <f t="shared" si="30"/>
        <v>14.196163318868853</v>
      </c>
      <c r="Q54" s="39">
        <f t="shared" si="30"/>
        <v>14.672333085398801</v>
      </c>
      <c r="R54" s="39">
        <f t="shared" si="30"/>
        <v>15.17940933547218</v>
      </c>
      <c r="S54" s="39">
        <f t="shared" si="30"/>
        <v>15.717553862455977</v>
      </c>
      <c r="T54" s="39">
        <f t="shared" si="30"/>
        <v>16.287046996516594</v>
      </c>
      <c r="U54" s="39">
        <f t="shared" si="30"/>
        <v>16.888281330882233</v>
      </c>
      <c r="V54" s="39">
        <f t="shared" si="30"/>
        <v>17.5217563066003</v>
      </c>
      <c r="W54" s="28">
        <f t="shared" si="30"/>
        <v>21.59221990804926</v>
      </c>
    </row>
    <row r="55" spans="2:23" ht="19.5" thickBot="1">
      <c r="B55" s="40" t="s">
        <v>20</v>
      </c>
      <c r="C55" s="26">
        <f>IRR(C54:W54)</f>
        <v>0.11016155447625087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6"/>
    </row>
    <row r="56" spans="2:23" ht="18.75">
      <c r="B56" s="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6"/>
    </row>
    <row r="57" spans="2:23" ht="19.5" thickBo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</row>
  </sheetData>
  <sheetProtection/>
  <mergeCells count="3">
    <mergeCell ref="B17:W17"/>
    <mergeCell ref="B21:W21"/>
    <mergeCell ref="D2:W11"/>
  </mergeCells>
  <conditionalFormatting sqref="C41">
    <cfRule type="cellIs" priority="1" dxfId="1" operator="equal" stopIfTrue="1">
      <formula>"YES"</formula>
    </cfRule>
    <cfRule type="cellIs" priority="2" dxfId="0" operator="equal">
      <formula>"NO"</formula>
    </cfRule>
  </conditionalFormatting>
  <dataValidations count="1">
    <dataValidation type="list" allowBlank="1" showInputMessage="1" showErrorMessage="1" sqref="C10">
      <formula1>"DV,Straight line"</formula1>
    </dataValidation>
  </dataValidations>
  <printOptions horizont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Castalia Strategic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Hsieh</dc:creator>
  <cp:keywords/>
  <dc:description/>
  <cp:lastModifiedBy>pxr1</cp:lastModifiedBy>
  <cp:lastPrinted>2013-10-07T22:54:11Z</cp:lastPrinted>
  <dcterms:created xsi:type="dcterms:W3CDTF">2013-02-24T05:54:26Z</dcterms:created>
  <dcterms:modified xsi:type="dcterms:W3CDTF">2013-10-14T02:24:57Z</dcterms:modified>
  <cp:category/>
  <cp:version/>
  <cp:contentType/>
  <cp:contentStatus/>
</cp:coreProperties>
</file>