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codeName="ThisWorkbook"/>
  <xr:revisionPtr revIDLastSave="0" documentId="13_ncr:1_{C0FBD76B-0B4A-44F6-8D92-C5D8C99BD464}" xr6:coauthVersionLast="43" xr6:coauthVersionMax="43" xr10:uidLastSave="{00000000-0000-0000-0000-000000000000}"/>
  <bookViews>
    <workbookView xWindow="-28920" yWindow="-30" windowWidth="29040" windowHeight="15840" tabRatio="909" xr2:uid="{00000000-000D-0000-FFFF-FFFF00000000}"/>
  </bookViews>
  <sheets>
    <sheet name="CoverSheet" sheetId="9" r:id="rId1"/>
    <sheet name="Description" sheetId="10" r:id="rId2"/>
    <sheet name="Table of Contents" sheetId="11" r:id="rId3"/>
    <sheet name="Inputs" sheetId="53" r:id="rId4"/>
    <sheet name="Cost of capital" sheetId="55" r:id="rId5"/>
    <sheet name="Timing" sheetId="37" r:id="rId6"/>
    <sheet name="Tax" sheetId="58" r:id="rId7"/>
    <sheet name="Financial loss asset" sheetId="38" r:id="rId8"/>
    <sheet name="Summary" sheetId="57" r:id="rId9"/>
    <sheet name="Adj. WACC method &gt;&gt;" sheetId="77" r:id="rId10"/>
    <sheet name="A1 Tax" sheetId="81" r:id="rId11"/>
    <sheet name="A1 Financial loss asset" sheetId="61" r:id="rId12"/>
    <sheet name="Stand-alone av fin cost &gt;&gt;" sheetId="78" r:id="rId13"/>
    <sheet name="A2 Tax" sheetId="82" r:id="rId14"/>
    <sheet name="A2 Financial loss asset" sheetId="60" r:id="rId15"/>
  </sheets>
  <externalReferences>
    <externalReference r:id="rId16"/>
  </externalReferences>
  <definedNames>
    <definedName name="_xlnm.Print_Area" localSheetId="0">CoverSheet!$A$1:$D$22</definedName>
    <definedName name="_xlnm.Print_Area" localSheetId="1">Description!$A$1:$F$55</definedName>
    <definedName name="_xlnm.Print_Area" localSheetId="2">'Table of Contents'!$A$1:$D$21</definedName>
    <definedName name="WACC">'[1]EDB data'!$B$9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6" i="60" l="1"/>
  <c r="E76" i="60"/>
  <c r="F76" i="60"/>
  <c r="G76" i="60"/>
  <c r="H76" i="60"/>
  <c r="I76" i="60"/>
  <c r="J76" i="60"/>
  <c r="K76" i="60"/>
  <c r="L76" i="60"/>
  <c r="M76" i="60"/>
  <c r="C76" i="60"/>
  <c r="D25" i="60"/>
  <c r="E25" i="60"/>
  <c r="F25" i="60"/>
  <c r="G25" i="60"/>
  <c r="H25" i="60"/>
  <c r="I25" i="60"/>
  <c r="J25" i="60"/>
  <c r="K25" i="60"/>
  <c r="L25" i="60"/>
  <c r="M25" i="60"/>
  <c r="C25" i="60"/>
  <c r="D26" i="38"/>
  <c r="E26" i="38"/>
  <c r="F26" i="38"/>
  <c r="G26" i="38"/>
  <c r="H26" i="38"/>
  <c r="I26" i="38"/>
  <c r="J26" i="38"/>
  <c r="K26" i="38"/>
  <c r="L26" i="38"/>
  <c r="M26" i="38"/>
  <c r="C26" i="38"/>
  <c r="L34" i="60" l="1"/>
  <c r="K34" i="60"/>
  <c r="J34" i="60"/>
  <c r="I34" i="60"/>
  <c r="H34" i="60"/>
  <c r="G34" i="60"/>
  <c r="F34" i="60"/>
  <c r="E34" i="60"/>
  <c r="D34" i="60"/>
  <c r="C34" i="60"/>
  <c r="M33" i="60"/>
  <c r="M34" i="60" s="1"/>
  <c r="L33" i="82"/>
  <c r="K33" i="82"/>
  <c r="J33" i="82"/>
  <c r="I33" i="82"/>
  <c r="H33" i="82"/>
  <c r="G33" i="82"/>
  <c r="F33" i="82"/>
  <c r="E33" i="82"/>
  <c r="D33" i="82"/>
  <c r="C33" i="82"/>
  <c r="M32" i="82"/>
  <c r="M33" i="82" s="1"/>
  <c r="M35" i="61"/>
  <c r="L35" i="61"/>
  <c r="K35" i="61"/>
  <c r="J35" i="61"/>
  <c r="I35" i="61"/>
  <c r="H35" i="61"/>
  <c r="G35" i="61"/>
  <c r="F35" i="61"/>
  <c r="E35" i="61"/>
  <c r="D35" i="61"/>
  <c r="C35" i="61"/>
  <c r="M34" i="61"/>
  <c r="C33" i="81"/>
  <c r="D33" i="81"/>
  <c r="E33" i="81"/>
  <c r="F33" i="81"/>
  <c r="G33" i="81"/>
  <c r="H33" i="81"/>
  <c r="I33" i="81"/>
  <c r="J33" i="81"/>
  <c r="K33" i="81"/>
  <c r="M33" i="81"/>
  <c r="L33" i="81"/>
  <c r="M32" i="81"/>
  <c r="D15" i="60"/>
  <c r="E15" i="60"/>
  <c r="F15" i="60"/>
  <c r="G15" i="60"/>
  <c r="H15" i="60"/>
  <c r="I15" i="60"/>
  <c r="J15" i="60"/>
  <c r="K15" i="60"/>
  <c r="L15" i="60"/>
  <c r="M15" i="60"/>
  <c r="D10" i="82"/>
  <c r="E10" i="82"/>
  <c r="F10" i="82"/>
  <c r="G10" i="82"/>
  <c r="H10" i="82"/>
  <c r="I10" i="82"/>
  <c r="J10" i="82"/>
  <c r="K10" i="82"/>
  <c r="L10" i="82"/>
  <c r="M10" i="82"/>
  <c r="D12" i="82"/>
  <c r="E12" i="82"/>
  <c r="F12" i="82"/>
  <c r="G12" i="82"/>
  <c r="H12" i="82"/>
  <c r="I12" i="82"/>
  <c r="J12" i="82"/>
  <c r="K12" i="82"/>
  <c r="L12" i="82"/>
  <c r="M12" i="82"/>
  <c r="C10" i="82"/>
  <c r="D15" i="61"/>
  <c r="E15" i="61"/>
  <c r="F15" i="61"/>
  <c r="G15" i="61"/>
  <c r="H15" i="61"/>
  <c r="I15" i="61"/>
  <c r="J15" i="61"/>
  <c r="K15" i="61"/>
  <c r="L15" i="61"/>
  <c r="M15" i="61"/>
  <c r="D6" i="81"/>
  <c r="E6" i="81"/>
  <c r="F6" i="81"/>
  <c r="G6" i="81"/>
  <c r="H6" i="81"/>
  <c r="I6" i="81"/>
  <c r="J6" i="81"/>
  <c r="K6" i="81"/>
  <c r="L6" i="81"/>
  <c r="M6" i="81"/>
  <c r="D8" i="81"/>
  <c r="E8" i="81"/>
  <c r="F8" i="81"/>
  <c r="G8" i="81"/>
  <c r="H8" i="81"/>
  <c r="I8" i="81"/>
  <c r="J8" i="81"/>
  <c r="K8" i="81"/>
  <c r="L8" i="81"/>
  <c r="M8" i="81"/>
  <c r="C6" i="81"/>
  <c r="M28" i="58"/>
  <c r="M29" i="58" s="1"/>
  <c r="M34" i="38"/>
  <c r="L29" i="58"/>
  <c r="K29" i="58"/>
  <c r="J29" i="58"/>
  <c r="I29" i="58"/>
  <c r="H29" i="58"/>
  <c r="G29" i="58"/>
  <c r="F29" i="58"/>
  <c r="E29" i="58"/>
  <c r="D29" i="58"/>
  <c r="C29" i="58"/>
  <c r="D6" i="58"/>
  <c r="E6" i="58"/>
  <c r="F6" i="58"/>
  <c r="G6" i="58"/>
  <c r="H6" i="58"/>
  <c r="I6" i="58"/>
  <c r="J6" i="58"/>
  <c r="K6" i="58"/>
  <c r="L6" i="58"/>
  <c r="M6" i="58"/>
  <c r="C6" i="58"/>
  <c r="D8" i="58"/>
  <c r="E8" i="58"/>
  <c r="F8" i="58"/>
  <c r="G8" i="58"/>
  <c r="H8" i="58"/>
  <c r="I8" i="58"/>
  <c r="J8" i="58"/>
  <c r="K8" i="58"/>
  <c r="L8" i="58"/>
  <c r="M8" i="58"/>
  <c r="D9" i="37"/>
  <c r="D16" i="37" s="1"/>
  <c r="D10" i="37"/>
  <c r="M10" i="37"/>
  <c r="C10" i="37"/>
  <c r="D8" i="37"/>
  <c r="C60" i="38" l="1"/>
  <c r="C49" i="38"/>
  <c r="D35" i="38"/>
  <c r="E35" i="38"/>
  <c r="F35" i="38"/>
  <c r="G35" i="38"/>
  <c r="H35" i="38"/>
  <c r="I35" i="38"/>
  <c r="J35" i="38"/>
  <c r="K35" i="38"/>
  <c r="L35" i="38"/>
  <c r="C35" i="38"/>
  <c r="D14" i="38"/>
  <c r="E14" i="38"/>
  <c r="F14" i="38"/>
  <c r="G14" i="38"/>
  <c r="H14" i="38"/>
  <c r="I14" i="38"/>
  <c r="J14" i="38"/>
  <c r="K14" i="38"/>
  <c r="L14" i="38"/>
  <c r="M14" i="38"/>
  <c r="D29" i="55" l="1"/>
  <c r="D57" i="55" s="1"/>
  <c r="E29" i="55"/>
  <c r="E49" i="55" s="1"/>
  <c r="F29" i="55"/>
  <c r="F49" i="55" s="1"/>
  <c r="G29" i="55"/>
  <c r="G49" i="55" s="1"/>
  <c r="H29" i="55"/>
  <c r="H57" i="55" s="1"/>
  <c r="I29" i="55"/>
  <c r="I49" i="55" s="1"/>
  <c r="J29" i="55"/>
  <c r="J49" i="55" s="1"/>
  <c r="K29" i="55"/>
  <c r="K49" i="55" s="1"/>
  <c r="L29" i="55"/>
  <c r="L57" i="55" s="1"/>
  <c r="M29" i="55"/>
  <c r="M57" i="55" s="1"/>
  <c r="C29" i="55"/>
  <c r="C57" i="55" s="1"/>
  <c r="C23" i="55"/>
  <c r="D23" i="55"/>
  <c r="E23" i="55"/>
  <c r="F23" i="55"/>
  <c r="G23" i="55"/>
  <c r="H23" i="55"/>
  <c r="I23" i="55"/>
  <c r="J23" i="55"/>
  <c r="K23" i="55"/>
  <c r="L23" i="55"/>
  <c r="M23" i="55"/>
  <c r="D22" i="55"/>
  <c r="E22" i="55"/>
  <c r="F22" i="55"/>
  <c r="G22" i="55"/>
  <c r="H22" i="55"/>
  <c r="I22" i="55"/>
  <c r="J22" i="55"/>
  <c r="K22" i="55"/>
  <c r="L22" i="55"/>
  <c r="M22" i="55"/>
  <c r="C22" i="55"/>
  <c r="D17" i="55"/>
  <c r="E17" i="55"/>
  <c r="F17" i="55"/>
  <c r="G17" i="55"/>
  <c r="H17" i="55"/>
  <c r="I17" i="55"/>
  <c r="J17" i="55"/>
  <c r="K17" i="55"/>
  <c r="L17" i="55"/>
  <c r="M17" i="55"/>
  <c r="C17" i="55"/>
  <c r="D16" i="55"/>
  <c r="E16" i="55"/>
  <c r="F16" i="55"/>
  <c r="G16" i="55"/>
  <c r="H16" i="55"/>
  <c r="I16" i="55"/>
  <c r="J16" i="55"/>
  <c r="K16" i="55"/>
  <c r="L16" i="55"/>
  <c r="M16" i="55"/>
  <c r="C16" i="55"/>
  <c r="C14" i="55"/>
  <c r="D14" i="55"/>
  <c r="E14" i="55"/>
  <c r="F14" i="55"/>
  <c r="G14" i="55"/>
  <c r="H14" i="55"/>
  <c r="I14" i="55"/>
  <c r="J14" i="55"/>
  <c r="K14" i="55"/>
  <c r="L14" i="55"/>
  <c r="M14" i="55"/>
  <c r="D13" i="55"/>
  <c r="E13" i="55"/>
  <c r="F13" i="55"/>
  <c r="G13" i="55"/>
  <c r="H13" i="55"/>
  <c r="I13" i="55"/>
  <c r="J13" i="55"/>
  <c r="K13" i="55"/>
  <c r="L13" i="55"/>
  <c r="M13" i="55"/>
  <c r="C13" i="55"/>
  <c r="E57" i="55"/>
  <c r="F57" i="55"/>
  <c r="G57" i="55"/>
  <c r="I57" i="55" l="1"/>
  <c r="J57" i="55"/>
  <c r="K57" i="55"/>
  <c r="L49" i="55"/>
  <c r="H49" i="55"/>
  <c r="D49" i="55"/>
  <c r="C49" i="55"/>
  <c r="M49" i="55"/>
  <c r="C52" i="58"/>
  <c r="C71" i="58"/>
  <c r="C8" i="38" l="1"/>
  <c r="D8" i="38"/>
  <c r="E8" i="38"/>
  <c r="F8" i="38"/>
  <c r="G8" i="38"/>
  <c r="H8" i="38"/>
  <c r="I8" i="38"/>
  <c r="J8" i="38"/>
  <c r="K8" i="38"/>
  <c r="L8" i="38"/>
  <c r="M8" i="38"/>
  <c r="C9" i="38"/>
  <c r="D9" i="38"/>
  <c r="E9" i="38"/>
  <c r="F9" i="38"/>
  <c r="G9" i="38"/>
  <c r="H9" i="38"/>
  <c r="I9" i="38"/>
  <c r="J9" i="38"/>
  <c r="K9" i="38"/>
  <c r="L9" i="38"/>
  <c r="M9" i="38"/>
  <c r="C10" i="38"/>
  <c r="D10" i="38"/>
  <c r="E10" i="38"/>
  <c r="F10" i="38"/>
  <c r="G10" i="38"/>
  <c r="H10" i="38"/>
  <c r="I10" i="38"/>
  <c r="J10" i="38"/>
  <c r="K10" i="38"/>
  <c r="L10" i="38"/>
  <c r="M10" i="38"/>
  <c r="D7" i="38"/>
  <c r="E7" i="38"/>
  <c r="F7" i="38"/>
  <c r="G7" i="38"/>
  <c r="H7" i="38"/>
  <c r="I7" i="38"/>
  <c r="J7" i="38"/>
  <c r="K7" i="38"/>
  <c r="L7" i="38"/>
  <c r="M7" i="38"/>
  <c r="C7" i="38"/>
  <c r="M22" i="82"/>
  <c r="H8" i="57" l="1"/>
  <c r="H7" i="57"/>
  <c r="C53" i="61"/>
  <c r="C75" i="82" l="1"/>
  <c r="C55" i="82"/>
  <c r="C55" i="81"/>
  <c r="C105" i="81" s="1"/>
  <c r="C75" i="81"/>
  <c r="C11" i="58" l="1"/>
  <c r="C106" i="81" l="1"/>
  <c r="C96" i="82"/>
  <c r="M23" i="82" l="1"/>
  <c r="M27" i="60"/>
  <c r="M29" i="82"/>
  <c r="M37" i="82" s="1"/>
  <c r="L29" i="82"/>
  <c r="K29" i="82"/>
  <c r="J29" i="82"/>
  <c r="I29" i="82"/>
  <c r="I37" i="82" s="1"/>
  <c r="H29" i="82"/>
  <c r="G29" i="82"/>
  <c r="F29" i="82"/>
  <c r="E29" i="82"/>
  <c r="E37" i="82" s="1"/>
  <c r="D29" i="82"/>
  <c r="C29" i="82"/>
  <c r="C37" i="82" s="1"/>
  <c r="C39" i="82" s="1"/>
  <c r="D36" i="82" s="1"/>
  <c r="D38" i="82" s="1"/>
  <c r="M27" i="82"/>
  <c r="L27" i="82"/>
  <c r="K27" i="82"/>
  <c r="J27" i="82"/>
  <c r="I27" i="82"/>
  <c r="H27" i="82"/>
  <c r="G27" i="82"/>
  <c r="F27" i="82"/>
  <c r="E27" i="82"/>
  <c r="D27" i="82"/>
  <c r="C27" i="82"/>
  <c r="M26" i="82"/>
  <c r="L26" i="82"/>
  <c r="K26" i="82"/>
  <c r="J26" i="82"/>
  <c r="I26" i="82"/>
  <c r="H26" i="82"/>
  <c r="G26" i="82"/>
  <c r="F26" i="82"/>
  <c r="E26" i="82"/>
  <c r="D26" i="82"/>
  <c r="C26" i="82"/>
  <c r="M15" i="82"/>
  <c r="L15" i="82"/>
  <c r="K15" i="82"/>
  <c r="K74" i="82" s="1"/>
  <c r="J15" i="82"/>
  <c r="J95" i="82" s="1"/>
  <c r="I15" i="82"/>
  <c r="H15" i="82"/>
  <c r="G15" i="82"/>
  <c r="G74" i="82" s="1"/>
  <c r="F15" i="82"/>
  <c r="F95" i="82" s="1"/>
  <c r="E15" i="82"/>
  <c r="D15" i="82"/>
  <c r="C15" i="82"/>
  <c r="C74" i="82" s="1"/>
  <c r="M14" i="82"/>
  <c r="L14" i="82"/>
  <c r="K14" i="82"/>
  <c r="J14" i="82"/>
  <c r="J70" i="82" s="1"/>
  <c r="I14" i="82"/>
  <c r="H14" i="82"/>
  <c r="G14" i="82"/>
  <c r="F14" i="82"/>
  <c r="F70" i="82" s="1"/>
  <c r="E14" i="82"/>
  <c r="D14" i="82"/>
  <c r="C14" i="82"/>
  <c r="C12" i="82"/>
  <c r="C50" i="82" s="1"/>
  <c r="A12" i="82"/>
  <c r="M7" i="82"/>
  <c r="L7" i="82"/>
  <c r="K7" i="82"/>
  <c r="J7" i="82"/>
  <c r="I7" i="82"/>
  <c r="H7" i="82"/>
  <c r="G7" i="82"/>
  <c r="F7" i="82"/>
  <c r="E7" i="82"/>
  <c r="D7" i="82"/>
  <c r="C7" i="82"/>
  <c r="C115" i="81"/>
  <c r="C6" i="55" s="1"/>
  <c r="M13" i="81"/>
  <c r="L13" i="81"/>
  <c r="K13" i="81"/>
  <c r="J13" i="81"/>
  <c r="I13" i="81"/>
  <c r="H13" i="81"/>
  <c r="G13" i="81"/>
  <c r="F13" i="81"/>
  <c r="E13" i="81"/>
  <c r="D13" i="81"/>
  <c r="C13" i="81"/>
  <c r="C37" i="81" s="1"/>
  <c r="M17" i="81"/>
  <c r="M65" i="81" s="1"/>
  <c r="L17" i="81"/>
  <c r="L65" i="81" s="1"/>
  <c r="K17" i="81"/>
  <c r="K65" i="81" s="1"/>
  <c r="J17" i="81"/>
  <c r="J65" i="81" s="1"/>
  <c r="I17" i="81"/>
  <c r="I65" i="81" s="1"/>
  <c r="H17" i="81"/>
  <c r="H65" i="81" s="1"/>
  <c r="G17" i="81"/>
  <c r="G65" i="81" s="1"/>
  <c r="F17" i="81"/>
  <c r="F65" i="81" s="1"/>
  <c r="E17" i="81"/>
  <c r="E65" i="81" s="1"/>
  <c r="D17" i="81"/>
  <c r="D65" i="81" s="1"/>
  <c r="C17" i="81"/>
  <c r="C65" i="81" s="1"/>
  <c r="M16" i="81"/>
  <c r="M64" i="81" s="1"/>
  <c r="L16" i="81"/>
  <c r="L64" i="81" s="1"/>
  <c r="K16" i="81"/>
  <c r="K64" i="81" s="1"/>
  <c r="J16" i="81"/>
  <c r="J64" i="81" s="1"/>
  <c r="I16" i="81"/>
  <c r="I64" i="81" s="1"/>
  <c r="H16" i="81"/>
  <c r="H64" i="81" s="1"/>
  <c r="G16" i="81"/>
  <c r="G64" i="81" s="1"/>
  <c r="F16" i="81"/>
  <c r="F64" i="81" s="1"/>
  <c r="E16" i="81"/>
  <c r="E64" i="81" s="1"/>
  <c r="D16" i="81"/>
  <c r="D64" i="81" s="1"/>
  <c r="C16" i="81"/>
  <c r="C64" i="81" s="1"/>
  <c r="M14" i="81"/>
  <c r="M74" i="81" s="1"/>
  <c r="L14" i="81"/>
  <c r="L74" i="81" s="1"/>
  <c r="K14" i="81"/>
  <c r="K74" i="81" s="1"/>
  <c r="J14" i="81"/>
  <c r="I14" i="81"/>
  <c r="I74" i="81" s="1"/>
  <c r="H14" i="81"/>
  <c r="H74" i="81" s="1"/>
  <c r="G14" i="81"/>
  <c r="G74" i="81" s="1"/>
  <c r="F14" i="81"/>
  <c r="E14" i="81"/>
  <c r="E74" i="81" s="1"/>
  <c r="D14" i="81"/>
  <c r="C14" i="81"/>
  <c r="C74" i="81" s="1"/>
  <c r="M12" i="81"/>
  <c r="L12" i="81"/>
  <c r="L87" i="81" s="1"/>
  <c r="K12" i="81"/>
  <c r="J12" i="81"/>
  <c r="J69" i="81" s="1"/>
  <c r="I12" i="81"/>
  <c r="H12" i="81"/>
  <c r="H87" i="81" s="1"/>
  <c r="G12" i="81"/>
  <c r="F12" i="81"/>
  <c r="F69" i="81" s="1"/>
  <c r="E12" i="81"/>
  <c r="D12" i="81"/>
  <c r="D87" i="81" s="1"/>
  <c r="C12" i="81"/>
  <c r="C8" i="81"/>
  <c r="C50" i="81" s="1"/>
  <c r="A8" i="81"/>
  <c r="M20" i="81"/>
  <c r="L20" i="81"/>
  <c r="K20" i="81"/>
  <c r="J20" i="81"/>
  <c r="I20" i="81"/>
  <c r="H20" i="81"/>
  <c r="G20" i="81"/>
  <c r="F20" i="81"/>
  <c r="E20" i="81"/>
  <c r="D20" i="81"/>
  <c r="C20" i="81"/>
  <c r="J7" i="57"/>
  <c r="J8" i="57"/>
  <c r="J6" i="57"/>
  <c r="H6" i="57"/>
  <c r="F65" i="82" l="1"/>
  <c r="F82" i="82"/>
  <c r="J65" i="82"/>
  <c r="J82" i="82"/>
  <c r="C66" i="82"/>
  <c r="C83" i="82"/>
  <c r="G66" i="82"/>
  <c r="G83" i="82"/>
  <c r="K66" i="82"/>
  <c r="K83" i="82"/>
  <c r="C65" i="82"/>
  <c r="C82" i="82"/>
  <c r="G65" i="82"/>
  <c r="G82" i="82"/>
  <c r="K65" i="82"/>
  <c r="K82" i="82"/>
  <c r="D66" i="82"/>
  <c r="D83" i="82"/>
  <c r="H66" i="82"/>
  <c r="H83" i="82"/>
  <c r="L66" i="82"/>
  <c r="L83" i="82"/>
  <c r="D65" i="82"/>
  <c r="D82" i="82"/>
  <c r="H65" i="82"/>
  <c r="H82" i="82"/>
  <c r="L65" i="82"/>
  <c r="L82" i="82"/>
  <c r="E66" i="82"/>
  <c r="E83" i="82"/>
  <c r="I66" i="82"/>
  <c r="I83" i="82"/>
  <c r="M66" i="82"/>
  <c r="M83" i="82"/>
  <c r="E65" i="82"/>
  <c r="E82" i="82"/>
  <c r="I65" i="82"/>
  <c r="I82" i="82"/>
  <c r="M65" i="82"/>
  <c r="M82" i="82"/>
  <c r="F66" i="82"/>
  <c r="F83" i="82"/>
  <c r="J66" i="82"/>
  <c r="J83" i="82"/>
  <c r="D45" i="82"/>
  <c r="D37" i="82"/>
  <c r="H45" i="82"/>
  <c r="H37" i="82"/>
  <c r="L45" i="82"/>
  <c r="L37" i="82"/>
  <c r="F45" i="82"/>
  <c r="F37" i="82"/>
  <c r="J45" i="82"/>
  <c r="J37" i="82"/>
  <c r="G45" i="82"/>
  <c r="G37" i="82"/>
  <c r="K45" i="82"/>
  <c r="K37" i="82"/>
  <c r="I45" i="82"/>
  <c r="E45" i="82"/>
  <c r="M45" i="82"/>
  <c r="C45" i="82"/>
  <c r="C47" i="82" s="1"/>
  <c r="D44" i="82" s="1"/>
  <c r="C45" i="81"/>
  <c r="C47" i="81" s="1"/>
  <c r="D44" i="81" s="1"/>
  <c r="D46" i="81" s="1"/>
  <c r="G45" i="81"/>
  <c r="K45" i="81"/>
  <c r="D45" i="81"/>
  <c r="H45" i="81"/>
  <c r="L45" i="81"/>
  <c r="E45" i="81"/>
  <c r="I45" i="81"/>
  <c r="M45" i="81"/>
  <c r="F45" i="81"/>
  <c r="J45" i="81"/>
  <c r="F88" i="81"/>
  <c r="F74" i="81"/>
  <c r="J88" i="81"/>
  <c r="J74" i="81"/>
  <c r="C89" i="81"/>
  <c r="J94" i="82"/>
  <c r="C95" i="82"/>
  <c r="K95" i="82"/>
  <c r="F94" i="82"/>
  <c r="C70" i="82"/>
  <c r="C94" i="82"/>
  <c r="G70" i="82"/>
  <c r="G94" i="82"/>
  <c r="D94" i="82"/>
  <c r="D70" i="82"/>
  <c r="H94" i="82"/>
  <c r="H70" i="82"/>
  <c r="L94" i="82"/>
  <c r="L70" i="82"/>
  <c r="E74" i="82"/>
  <c r="E95" i="82"/>
  <c r="I74" i="82"/>
  <c r="I95" i="82"/>
  <c r="M74" i="82"/>
  <c r="M95" i="82"/>
  <c r="E94" i="82"/>
  <c r="E70" i="82"/>
  <c r="I94" i="82"/>
  <c r="I70" i="82"/>
  <c r="M94" i="82"/>
  <c r="M70" i="82"/>
  <c r="F74" i="82"/>
  <c r="J74" i="82"/>
  <c r="G95" i="82"/>
  <c r="K70" i="82"/>
  <c r="K94" i="82"/>
  <c r="D74" i="82"/>
  <c r="D95" i="82"/>
  <c r="H74" i="82"/>
  <c r="H95" i="82"/>
  <c r="L74" i="82"/>
  <c r="L95" i="82"/>
  <c r="C66" i="81"/>
  <c r="J37" i="81"/>
  <c r="J87" i="81"/>
  <c r="F37" i="81"/>
  <c r="C69" i="81"/>
  <c r="C87" i="81"/>
  <c r="D74" i="81"/>
  <c r="D88" i="81"/>
  <c r="E88" i="81"/>
  <c r="I88" i="81"/>
  <c r="M88" i="81"/>
  <c r="G37" i="81"/>
  <c r="K37" i="81"/>
  <c r="D69" i="81"/>
  <c r="C88" i="81"/>
  <c r="K69" i="81"/>
  <c r="K87" i="81"/>
  <c r="L88" i="81"/>
  <c r="E87" i="81"/>
  <c r="E69" i="81"/>
  <c r="I87" i="81"/>
  <c r="I69" i="81"/>
  <c r="M87" i="81"/>
  <c r="M69" i="81"/>
  <c r="D37" i="81"/>
  <c r="H37" i="81"/>
  <c r="L37" i="81"/>
  <c r="H69" i="81"/>
  <c r="G88" i="81"/>
  <c r="G69" i="81"/>
  <c r="G87" i="81"/>
  <c r="H88" i="81"/>
  <c r="E37" i="81"/>
  <c r="I37" i="81"/>
  <c r="M37" i="81"/>
  <c r="L69" i="81"/>
  <c r="F87" i="81"/>
  <c r="K88" i="81"/>
  <c r="C67" i="82" l="1"/>
  <c r="D64" i="82" s="1"/>
  <c r="D67" i="82" s="1"/>
  <c r="E64" i="82" s="1"/>
  <c r="E67" i="82" s="1"/>
  <c r="F64" i="82" s="1"/>
  <c r="C84" i="82"/>
  <c r="D81" i="82" s="1"/>
  <c r="D39" i="82"/>
  <c r="E36" i="82" s="1"/>
  <c r="E38" i="82" s="1"/>
  <c r="D96" i="82"/>
  <c r="D46" i="82"/>
  <c r="D47" i="82" s="1"/>
  <c r="E44" i="82" s="1"/>
  <c r="D47" i="81"/>
  <c r="E44" i="81" s="1"/>
  <c r="D63" i="81"/>
  <c r="D106" i="81" s="1"/>
  <c r="C39" i="81"/>
  <c r="D36" i="81" s="1"/>
  <c r="E46" i="81" l="1"/>
  <c r="E47" i="81" s="1"/>
  <c r="F44" i="81" s="1"/>
  <c r="F46" i="81" s="1"/>
  <c r="F47" i="81" s="1"/>
  <c r="G44" i="81" s="1"/>
  <c r="D38" i="81"/>
  <c r="D89" i="81" s="1"/>
  <c r="D84" i="82"/>
  <c r="E81" i="82" s="1"/>
  <c r="E84" i="82" s="1"/>
  <c r="F81" i="82" s="1"/>
  <c r="E39" i="82"/>
  <c r="F36" i="82" s="1"/>
  <c r="E96" i="82"/>
  <c r="E46" i="82"/>
  <c r="E47" i="82" s="1"/>
  <c r="F44" i="82" s="1"/>
  <c r="D66" i="81"/>
  <c r="E63" i="81" s="1"/>
  <c r="E106" i="81" s="1"/>
  <c r="F67" i="82"/>
  <c r="G64" i="82" s="1"/>
  <c r="D39" i="81" l="1"/>
  <c r="E36" i="81" s="1"/>
  <c r="E38" i="81" s="1"/>
  <c r="E89" i="81" s="1"/>
  <c r="F38" i="82"/>
  <c r="F39" i="82" s="1"/>
  <c r="G36" i="82" s="1"/>
  <c r="G46" i="81"/>
  <c r="G47" i="81" s="1"/>
  <c r="H44" i="81" s="1"/>
  <c r="F84" i="82"/>
  <c r="G81" i="82" s="1"/>
  <c r="F46" i="82"/>
  <c r="F47" i="82" s="1"/>
  <c r="G44" i="82" s="1"/>
  <c r="E66" i="81"/>
  <c r="F63" i="81" s="1"/>
  <c r="F106" i="81" s="1"/>
  <c r="G67" i="82"/>
  <c r="H64" i="82" s="1"/>
  <c r="G38" i="82" l="1"/>
  <c r="G39" i="82" s="1"/>
  <c r="H36" i="82" s="1"/>
  <c r="F96" i="82"/>
  <c r="H46" i="81"/>
  <c r="H47" i="81" s="1"/>
  <c r="I44" i="81" s="1"/>
  <c r="G84" i="82"/>
  <c r="H81" i="82" s="1"/>
  <c r="G46" i="82"/>
  <c r="G47" i="82" s="1"/>
  <c r="H44" i="82" s="1"/>
  <c r="F66" i="81"/>
  <c r="G63" i="81" s="1"/>
  <c r="G106" i="81" s="1"/>
  <c r="H67" i="82"/>
  <c r="I64" i="82" s="1"/>
  <c r="E39" i="81"/>
  <c r="F36" i="81" s="1"/>
  <c r="F38" i="81" s="1"/>
  <c r="G96" i="82" l="1"/>
  <c r="H38" i="82"/>
  <c r="H39" i="82" s="1"/>
  <c r="I36" i="82" s="1"/>
  <c r="I46" i="81"/>
  <c r="I47" i="81" s="1"/>
  <c r="J44" i="81" s="1"/>
  <c r="H84" i="82"/>
  <c r="I81" i="82" s="1"/>
  <c r="H46" i="82"/>
  <c r="H47" i="82" s="1"/>
  <c r="I44" i="82" s="1"/>
  <c r="G66" i="81"/>
  <c r="H63" i="81" s="1"/>
  <c r="H106" i="81" s="1"/>
  <c r="I67" i="82"/>
  <c r="J64" i="82" s="1"/>
  <c r="F89" i="81"/>
  <c r="I38" i="82" l="1"/>
  <c r="I39" i="82" s="1"/>
  <c r="J36" i="82" s="1"/>
  <c r="J46" i="81"/>
  <c r="J47" i="81" s="1"/>
  <c r="K44" i="81" s="1"/>
  <c r="I84" i="82"/>
  <c r="J81" i="82" s="1"/>
  <c r="I46" i="82"/>
  <c r="I47" i="82" s="1"/>
  <c r="J44" i="82" s="1"/>
  <c r="H66" i="81"/>
  <c r="I63" i="81" s="1"/>
  <c r="I106" i="81" s="1"/>
  <c r="H96" i="82"/>
  <c r="J67" i="82"/>
  <c r="K64" i="82" s="1"/>
  <c r="F39" i="81"/>
  <c r="G36" i="81" s="1"/>
  <c r="J38" i="82" l="1"/>
  <c r="J39" i="82" s="1"/>
  <c r="K36" i="82" s="1"/>
  <c r="K46" i="81"/>
  <c r="K47" i="81" s="1"/>
  <c r="L44" i="81" s="1"/>
  <c r="G38" i="81"/>
  <c r="G39" i="81" s="1"/>
  <c r="H36" i="81" s="1"/>
  <c r="J84" i="82"/>
  <c r="K81" i="82" s="1"/>
  <c r="J46" i="82"/>
  <c r="J47" i="82" s="1"/>
  <c r="K44" i="82" s="1"/>
  <c r="I66" i="81"/>
  <c r="J63" i="81" s="1"/>
  <c r="J106" i="81" s="1"/>
  <c r="K67" i="82"/>
  <c r="L64" i="82" s="1"/>
  <c r="K38" i="82" l="1"/>
  <c r="K39" i="82" s="1"/>
  <c r="L36" i="82" s="1"/>
  <c r="L46" i="81"/>
  <c r="L47" i="81" s="1"/>
  <c r="M44" i="81" s="1"/>
  <c r="G89" i="81"/>
  <c r="H38" i="81"/>
  <c r="H39" i="81" s="1"/>
  <c r="I36" i="81" s="1"/>
  <c r="I38" i="81" s="1"/>
  <c r="K84" i="82"/>
  <c r="L81" i="82" s="1"/>
  <c r="K46" i="82"/>
  <c r="K47" i="82" s="1"/>
  <c r="L44" i="82" s="1"/>
  <c r="J66" i="81"/>
  <c r="K63" i="81" s="1"/>
  <c r="K106" i="81" s="1"/>
  <c r="L67" i="82"/>
  <c r="M64" i="82" s="1"/>
  <c r="I96" i="82"/>
  <c r="L38" i="82" l="1"/>
  <c r="L39" i="82" s="1"/>
  <c r="M36" i="82" s="1"/>
  <c r="M46" i="81"/>
  <c r="M47" i="81" s="1"/>
  <c r="H89" i="81"/>
  <c r="L84" i="82"/>
  <c r="M81" i="82" s="1"/>
  <c r="L46" i="82"/>
  <c r="L47" i="82" s="1"/>
  <c r="M44" i="82" s="1"/>
  <c r="K66" i="81"/>
  <c r="L63" i="81" s="1"/>
  <c r="L106" i="81" s="1"/>
  <c r="M67" i="82"/>
  <c r="I89" i="81"/>
  <c r="M38" i="82" l="1"/>
  <c r="M39" i="82" s="1"/>
  <c r="M84" i="82"/>
  <c r="M46" i="82"/>
  <c r="M47" i="82" s="1"/>
  <c r="L66" i="81"/>
  <c r="M63" i="81" s="1"/>
  <c r="M106" i="81" s="1"/>
  <c r="J96" i="82"/>
  <c r="I39" i="81"/>
  <c r="J36" i="81" s="1"/>
  <c r="J38" i="81" l="1"/>
  <c r="J89" i="81" s="1"/>
  <c r="M66" i="81"/>
  <c r="J39" i="81" l="1"/>
  <c r="K36" i="81" s="1"/>
  <c r="K38" i="81" s="1"/>
  <c r="K89" i="81" s="1"/>
  <c r="K96" i="82"/>
  <c r="L96" i="82" l="1"/>
  <c r="K39" i="81"/>
  <c r="L36" i="81" s="1"/>
  <c r="L38" i="81" s="1"/>
  <c r="M96" i="82" l="1"/>
  <c r="L89" i="81"/>
  <c r="L39" i="81" l="1"/>
  <c r="M36" i="81" s="1"/>
  <c r="M38" i="81" s="1"/>
  <c r="M89" i="81" l="1"/>
  <c r="M39" i="81" l="1"/>
  <c r="D12" i="58" l="1"/>
  <c r="E12" i="58"/>
  <c r="F12" i="58"/>
  <c r="G12" i="58"/>
  <c r="H12" i="58"/>
  <c r="I12" i="58"/>
  <c r="J12" i="58"/>
  <c r="K12" i="58"/>
  <c r="L12" i="58"/>
  <c r="M12" i="58"/>
  <c r="C12" i="58"/>
  <c r="G41" i="58" l="1"/>
  <c r="L41" i="58"/>
  <c r="H41" i="58"/>
  <c r="D41" i="58"/>
  <c r="K41" i="58"/>
  <c r="C41" i="58"/>
  <c r="C43" i="58" s="1"/>
  <c r="D40" i="58" s="1"/>
  <c r="J41" i="58"/>
  <c r="F41" i="58"/>
  <c r="M41" i="58"/>
  <c r="I41" i="58"/>
  <c r="E41" i="58"/>
  <c r="C33" i="58"/>
  <c r="J33" i="58"/>
  <c r="F33" i="58"/>
  <c r="G33" i="58"/>
  <c r="K33" i="58"/>
  <c r="M33" i="58"/>
  <c r="I33" i="58"/>
  <c r="E33" i="58"/>
  <c r="L33" i="58"/>
  <c r="H33" i="58"/>
  <c r="D33" i="58"/>
  <c r="D18" i="58" l="1"/>
  <c r="E18" i="58"/>
  <c r="F18" i="58"/>
  <c r="G18" i="58"/>
  <c r="H18" i="58"/>
  <c r="I18" i="58"/>
  <c r="J18" i="58"/>
  <c r="K18" i="58"/>
  <c r="L18" i="58"/>
  <c r="M18" i="58"/>
  <c r="C18" i="58"/>
  <c r="C85" i="58"/>
  <c r="A8" i="58" l="1"/>
  <c r="C5" i="38"/>
  <c r="D13" i="58"/>
  <c r="D70" i="58" s="1"/>
  <c r="E13" i="58"/>
  <c r="E70" i="58" s="1"/>
  <c r="F13" i="58"/>
  <c r="F70" i="58" s="1"/>
  <c r="G13" i="58"/>
  <c r="G70" i="58" s="1"/>
  <c r="H13" i="58"/>
  <c r="H70" i="58" s="1"/>
  <c r="I13" i="58"/>
  <c r="I70" i="58" s="1"/>
  <c r="J13" i="58"/>
  <c r="J70" i="58" s="1"/>
  <c r="K13" i="58"/>
  <c r="K70" i="58" s="1"/>
  <c r="L13" i="58"/>
  <c r="L70" i="58" s="1"/>
  <c r="M13" i="58"/>
  <c r="M70" i="58" s="1"/>
  <c r="C13" i="58"/>
  <c r="C70" i="58" s="1"/>
  <c r="D11" i="58"/>
  <c r="D66" i="58" s="1"/>
  <c r="E11" i="58"/>
  <c r="E66" i="58" s="1"/>
  <c r="F11" i="58"/>
  <c r="F66" i="58" s="1"/>
  <c r="G11" i="58"/>
  <c r="G66" i="58" s="1"/>
  <c r="H11" i="58"/>
  <c r="H66" i="58" s="1"/>
  <c r="I11" i="58"/>
  <c r="I66" i="58" s="1"/>
  <c r="J11" i="58"/>
  <c r="J66" i="58" s="1"/>
  <c r="K11" i="58"/>
  <c r="K66" i="58" s="1"/>
  <c r="L11" i="58"/>
  <c r="L66" i="58" s="1"/>
  <c r="M11" i="58"/>
  <c r="M66" i="58" s="1"/>
  <c r="C66" i="58"/>
  <c r="M67" i="55"/>
  <c r="M66" i="55"/>
  <c r="M65" i="55"/>
  <c r="D69" i="55"/>
  <c r="E69" i="55"/>
  <c r="F69" i="55"/>
  <c r="G69" i="55"/>
  <c r="H69" i="55"/>
  <c r="I69" i="55"/>
  <c r="J69" i="55"/>
  <c r="K69" i="55"/>
  <c r="L69" i="55"/>
  <c r="M69" i="55"/>
  <c r="C69" i="55"/>
  <c r="D70" i="55"/>
  <c r="E70" i="55"/>
  <c r="F70" i="55"/>
  <c r="G70" i="55"/>
  <c r="H70" i="55"/>
  <c r="I70" i="55"/>
  <c r="J70" i="55"/>
  <c r="K70" i="55"/>
  <c r="L70" i="55"/>
  <c r="M70" i="55"/>
  <c r="C70" i="55"/>
  <c r="C8" i="58"/>
  <c r="C47" i="58" l="1"/>
  <c r="D42" i="58"/>
  <c r="D43" i="58" s="1"/>
  <c r="E40" i="58" s="1"/>
  <c r="E42" i="58" s="1"/>
  <c r="M17" i="82"/>
  <c r="M22" i="81"/>
  <c r="I22" i="81"/>
  <c r="I17" i="82"/>
  <c r="E17" i="82"/>
  <c r="E22" i="81"/>
  <c r="L17" i="82"/>
  <c r="L22" i="81"/>
  <c r="H17" i="82"/>
  <c r="H22" i="81"/>
  <c r="D17" i="82"/>
  <c r="D22" i="81"/>
  <c r="K17" i="82"/>
  <c r="K22" i="81"/>
  <c r="G17" i="82"/>
  <c r="G22" i="81"/>
  <c r="C17" i="82"/>
  <c r="C22" i="81"/>
  <c r="J17" i="82"/>
  <c r="J22" i="81"/>
  <c r="F22" i="81"/>
  <c r="F17" i="82"/>
  <c r="C21" i="58"/>
  <c r="K83" i="58"/>
  <c r="G83" i="58"/>
  <c r="C84" i="58"/>
  <c r="J84" i="58"/>
  <c r="F84" i="58"/>
  <c r="M83" i="58"/>
  <c r="I83" i="58"/>
  <c r="E83" i="58"/>
  <c r="H84" i="58"/>
  <c r="D84" i="58"/>
  <c r="L83" i="58"/>
  <c r="H83" i="58"/>
  <c r="D83" i="58"/>
  <c r="K84" i="58"/>
  <c r="G84" i="58"/>
  <c r="J83" i="58"/>
  <c r="F83" i="58"/>
  <c r="M84" i="58"/>
  <c r="I84" i="58"/>
  <c r="E84" i="58"/>
  <c r="L84" i="58"/>
  <c r="C83" i="58"/>
  <c r="A65" i="61"/>
  <c r="M24" i="61"/>
  <c r="M65" i="61" s="1"/>
  <c r="M31" i="61"/>
  <c r="L31" i="61"/>
  <c r="K31" i="61"/>
  <c r="J31" i="61"/>
  <c r="I31" i="61"/>
  <c r="H31" i="61"/>
  <c r="G31" i="61"/>
  <c r="F31" i="61"/>
  <c r="E31" i="61"/>
  <c r="D31" i="61"/>
  <c r="C31" i="61"/>
  <c r="M30" i="61"/>
  <c r="L30" i="61"/>
  <c r="K30" i="61"/>
  <c r="J30" i="61"/>
  <c r="I30" i="61"/>
  <c r="H30" i="61"/>
  <c r="G30" i="61"/>
  <c r="F30" i="61"/>
  <c r="E30" i="61"/>
  <c r="D30" i="61"/>
  <c r="C30" i="61"/>
  <c r="M20" i="61"/>
  <c r="M52" i="61" s="1"/>
  <c r="L20" i="61"/>
  <c r="L52" i="61" s="1"/>
  <c r="K20" i="61"/>
  <c r="K52" i="61" s="1"/>
  <c r="J20" i="61"/>
  <c r="J52" i="61" s="1"/>
  <c r="I20" i="61"/>
  <c r="I52" i="61" s="1"/>
  <c r="H20" i="61"/>
  <c r="H52" i="61" s="1"/>
  <c r="G20" i="61"/>
  <c r="G52" i="61" s="1"/>
  <c r="F20" i="61"/>
  <c r="F52" i="61" s="1"/>
  <c r="E20" i="61"/>
  <c r="E52" i="61" s="1"/>
  <c r="D20" i="61"/>
  <c r="D52" i="61" s="1"/>
  <c r="C20" i="61"/>
  <c r="C52" i="61" s="1"/>
  <c r="M19" i="61"/>
  <c r="L19" i="61"/>
  <c r="K19" i="61"/>
  <c r="K39" i="61" s="1"/>
  <c r="J19" i="61"/>
  <c r="I19" i="61"/>
  <c r="H19" i="61"/>
  <c r="G19" i="61"/>
  <c r="G39" i="61" s="1"/>
  <c r="F19" i="61"/>
  <c r="E19" i="61"/>
  <c r="D19" i="61"/>
  <c r="C19" i="61"/>
  <c r="M18" i="61"/>
  <c r="M47" i="61" s="1"/>
  <c r="L18" i="61"/>
  <c r="L47" i="61" s="1"/>
  <c r="K18" i="61"/>
  <c r="K47" i="61" s="1"/>
  <c r="J18" i="61"/>
  <c r="J47" i="61" s="1"/>
  <c r="I18" i="61"/>
  <c r="I47" i="61" s="1"/>
  <c r="H18" i="61"/>
  <c r="H47" i="61" s="1"/>
  <c r="G18" i="61"/>
  <c r="G47" i="61" s="1"/>
  <c r="F18" i="61"/>
  <c r="F47" i="61" s="1"/>
  <c r="E18" i="61"/>
  <c r="E47" i="61" s="1"/>
  <c r="D18" i="61"/>
  <c r="D47" i="61" s="1"/>
  <c r="C18" i="61"/>
  <c r="C47" i="61" s="1"/>
  <c r="C15" i="61"/>
  <c r="M26" i="60"/>
  <c r="A64" i="60"/>
  <c r="M30" i="60"/>
  <c r="M71" i="60" s="1"/>
  <c r="L30" i="60"/>
  <c r="L71" i="60" s="1"/>
  <c r="K30" i="60"/>
  <c r="K71" i="60" s="1"/>
  <c r="J30" i="60"/>
  <c r="J71" i="60" s="1"/>
  <c r="I30" i="60"/>
  <c r="I71" i="60" s="1"/>
  <c r="H30" i="60"/>
  <c r="H71" i="60" s="1"/>
  <c r="G30" i="60"/>
  <c r="G71" i="60" s="1"/>
  <c r="F30" i="60"/>
  <c r="F71" i="60" s="1"/>
  <c r="E30" i="60"/>
  <c r="E71" i="60" s="1"/>
  <c r="D30" i="60"/>
  <c r="D71" i="60" s="1"/>
  <c r="C30" i="60"/>
  <c r="C71" i="60" s="1"/>
  <c r="M29" i="60"/>
  <c r="L29" i="60"/>
  <c r="K29" i="60"/>
  <c r="J29" i="60"/>
  <c r="I29" i="60"/>
  <c r="H29" i="60"/>
  <c r="G29" i="60"/>
  <c r="F29" i="60"/>
  <c r="E29" i="60"/>
  <c r="D29" i="60"/>
  <c r="D70" i="60" s="1"/>
  <c r="C29" i="60"/>
  <c r="M20" i="60"/>
  <c r="M50" i="60" s="1"/>
  <c r="L20" i="60"/>
  <c r="L50" i="60" s="1"/>
  <c r="K20" i="60"/>
  <c r="K50" i="60" s="1"/>
  <c r="J20" i="60"/>
  <c r="J50" i="60" s="1"/>
  <c r="I20" i="60"/>
  <c r="I50" i="60" s="1"/>
  <c r="H20" i="60"/>
  <c r="H50" i="60" s="1"/>
  <c r="G20" i="60"/>
  <c r="G50" i="60" s="1"/>
  <c r="F20" i="60"/>
  <c r="F50" i="60" s="1"/>
  <c r="E20" i="60"/>
  <c r="E50" i="60" s="1"/>
  <c r="D20" i="60"/>
  <c r="D50" i="60" s="1"/>
  <c r="C20" i="60"/>
  <c r="C50" i="60" s="1"/>
  <c r="M19" i="60"/>
  <c r="M38" i="60" s="1"/>
  <c r="L19" i="60"/>
  <c r="L38" i="60" s="1"/>
  <c r="K19" i="60"/>
  <c r="J19" i="60"/>
  <c r="J38" i="60" s="1"/>
  <c r="I19" i="60"/>
  <c r="I38" i="60" s="1"/>
  <c r="H19" i="60"/>
  <c r="G19" i="60"/>
  <c r="G38" i="60" s="1"/>
  <c r="F19" i="60"/>
  <c r="F38" i="60" s="1"/>
  <c r="E19" i="60"/>
  <c r="E38" i="60" s="1"/>
  <c r="D19" i="60"/>
  <c r="C19" i="60"/>
  <c r="M18" i="60"/>
  <c r="M46" i="60" s="1"/>
  <c r="L18" i="60"/>
  <c r="L46" i="60" s="1"/>
  <c r="K18" i="60"/>
  <c r="K46" i="60" s="1"/>
  <c r="J18" i="60"/>
  <c r="J46" i="60" s="1"/>
  <c r="I18" i="60"/>
  <c r="I46" i="60" s="1"/>
  <c r="H18" i="60"/>
  <c r="H46" i="60" s="1"/>
  <c r="G18" i="60"/>
  <c r="G46" i="60" s="1"/>
  <c r="F18" i="60"/>
  <c r="F46" i="60" s="1"/>
  <c r="E18" i="60"/>
  <c r="E46" i="60" s="1"/>
  <c r="D18" i="60"/>
  <c r="D46" i="60" s="1"/>
  <c r="C18" i="60"/>
  <c r="C46" i="60" s="1"/>
  <c r="C15" i="60"/>
  <c r="C39" i="60" l="1"/>
  <c r="C51" i="60" s="1"/>
  <c r="M64" i="60"/>
  <c r="C70" i="60"/>
  <c r="C72" i="60" s="1"/>
  <c r="D69" i="60" s="1"/>
  <c r="G70" i="60"/>
  <c r="K70" i="60"/>
  <c r="H70" i="60"/>
  <c r="L70" i="60"/>
  <c r="E70" i="60"/>
  <c r="I70" i="60"/>
  <c r="M70" i="60"/>
  <c r="F70" i="60"/>
  <c r="J70" i="60"/>
  <c r="E43" i="58"/>
  <c r="F40" i="58" s="1"/>
  <c r="F42" i="58" s="1"/>
  <c r="C39" i="61"/>
  <c r="D39" i="61"/>
  <c r="H39" i="61"/>
  <c r="L39" i="61"/>
  <c r="E39" i="61"/>
  <c r="I39" i="61"/>
  <c r="M39" i="61"/>
  <c r="F39" i="61"/>
  <c r="J39" i="61"/>
  <c r="D38" i="60"/>
  <c r="H38" i="60"/>
  <c r="C38" i="60"/>
  <c r="K38" i="60"/>
  <c r="D72" i="60" l="1"/>
  <c r="E69" i="60" s="1"/>
  <c r="F43" i="58"/>
  <c r="G40" i="58" s="1"/>
  <c r="G42" i="58" s="1"/>
  <c r="C40" i="60"/>
  <c r="C41" i="61"/>
  <c r="E72" i="60" l="1"/>
  <c r="F69" i="60" s="1"/>
  <c r="G43" i="58"/>
  <c r="H40" i="58" s="1"/>
  <c r="H42" i="58" s="1"/>
  <c r="D37" i="60"/>
  <c r="D39" i="60" s="1"/>
  <c r="D38" i="61"/>
  <c r="D40" i="61" s="1"/>
  <c r="F72" i="60" l="1"/>
  <c r="G69" i="60" s="1"/>
  <c r="H43" i="58"/>
  <c r="I40" i="58" s="1"/>
  <c r="I42" i="58" s="1"/>
  <c r="D51" i="60"/>
  <c r="G72" i="60" l="1"/>
  <c r="H69" i="60" s="1"/>
  <c r="D41" i="61"/>
  <c r="E38" i="61" s="1"/>
  <c r="E40" i="61" s="1"/>
  <c r="D53" i="61"/>
  <c r="I43" i="58"/>
  <c r="J40" i="58" s="1"/>
  <c r="J42" i="58" s="1"/>
  <c r="D40" i="60"/>
  <c r="H72" i="60" l="1"/>
  <c r="I69" i="60" s="1"/>
  <c r="J43" i="58"/>
  <c r="K40" i="58" s="1"/>
  <c r="K42" i="58" s="1"/>
  <c r="E37" i="60"/>
  <c r="E39" i="60" s="1"/>
  <c r="I72" i="60" l="1"/>
  <c r="J69" i="60" s="1"/>
  <c r="E41" i="61"/>
  <c r="F38" i="61" s="1"/>
  <c r="F40" i="61" s="1"/>
  <c r="E53" i="61"/>
  <c r="K43" i="58"/>
  <c r="L40" i="58" s="1"/>
  <c r="L42" i="58" s="1"/>
  <c r="J72" i="60" l="1"/>
  <c r="K69" i="60" s="1"/>
  <c r="E40" i="60"/>
  <c r="F37" i="60" s="1"/>
  <c r="F39" i="60" s="1"/>
  <c r="E51" i="60"/>
  <c r="L43" i="58"/>
  <c r="M40" i="58" s="1"/>
  <c r="M42" i="58" s="1"/>
  <c r="K72" i="60" l="1"/>
  <c r="L69" i="60" s="1"/>
  <c r="F41" i="61"/>
  <c r="G38" i="61" s="1"/>
  <c r="G40" i="61" s="1"/>
  <c r="F53" i="61"/>
  <c r="M43" i="58"/>
  <c r="F51" i="60"/>
  <c r="L72" i="60" l="1"/>
  <c r="M69" i="60" s="1"/>
  <c r="F40" i="60"/>
  <c r="M72" i="60" l="1"/>
  <c r="G41" i="61"/>
  <c r="H38" i="61" s="1"/>
  <c r="H40" i="61" s="1"/>
  <c r="G53" i="61"/>
  <c r="G37" i="60"/>
  <c r="G39" i="60" s="1"/>
  <c r="H53" i="61" l="1"/>
  <c r="G40" i="60" l="1"/>
  <c r="H37" i="60" s="1"/>
  <c r="H39" i="60" s="1"/>
  <c r="G51" i="60"/>
  <c r="H41" i="61"/>
  <c r="I38" i="61" s="1"/>
  <c r="I40" i="61" s="1"/>
  <c r="H51" i="60" l="1"/>
  <c r="I53" i="61"/>
  <c r="H40" i="60" l="1"/>
  <c r="I37" i="60" s="1"/>
  <c r="I39" i="60" s="1"/>
  <c r="I41" i="61"/>
  <c r="J38" i="61" s="1"/>
  <c r="J40" i="61" s="1"/>
  <c r="I51" i="60" l="1"/>
  <c r="J53" i="61"/>
  <c r="I40" i="60"/>
  <c r="J37" i="60" s="1"/>
  <c r="J39" i="60" s="1"/>
  <c r="J41" i="61"/>
  <c r="K38" i="61" s="1"/>
  <c r="K40" i="61" s="1"/>
  <c r="K53" i="61" l="1"/>
  <c r="J51" i="60"/>
  <c r="K41" i="61" l="1"/>
  <c r="L38" i="61" s="1"/>
  <c r="J40" i="60"/>
  <c r="K37" i="60" s="1"/>
  <c r="K39" i="60" l="1"/>
  <c r="K51" i="60" s="1"/>
  <c r="L40" i="61"/>
  <c r="L41" i="61" s="1"/>
  <c r="M38" i="61" s="1"/>
  <c r="M40" i="61" s="1"/>
  <c r="K40" i="60" l="1"/>
  <c r="L37" i="60" s="1"/>
  <c r="L39" i="60" s="1"/>
  <c r="L51" i="60" s="1"/>
  <c r="L53" i="61"/>
  <c r="D21" i="58"/>
  <c r="E21" i="58"/>
  <c r="F21" i="58"/>
  <c r="G21" i="58"/>
  <c r="H21" i="58"/>
  <c r="I21" i="58"/>
  <c r="J21" i="58"/>
  <c r="K21" i="58"/>
  <c r="L21" i="58"/>
  <c r="M21" i="58"/>
  <c r="C14" i="38"/>
  <c r="D15" i="58"/>
  <c r="D61" i="58" s="1"/>
  <c r="E15" i="58"/>
  <c r="E61" i="58" s="1"/>
  <c r="F15" i="58"/>
  <c r="F61" i="58" s="1"/>
  <c r="G15" i="58"/>
  <c r="G61" i="58" s="1"/>
  <c r="H15" i="58"/>
  <c r="H61" i="58" s="1"/>
  <c r="I15" i="58"/>
  <c r="I61" i="58" s="1"/>
  <c r="J15" i="58"/>
  <c r="J61" i="58" s="1"/>
  <c r="K15" i="58"/>
  <c r="K61" i="58" s="1"/>
  <c r="L15" i="58"/>
  <c r="L61" i="58" s="1"/>
  <c r="M15" i="58"/>
  <c r="M61" i="58" s="1"/>
  <c r="D16" i="58"/>
  <c r="D62" i="58" s="1"/>
  <c r="E16" i="58"/>
  <c r="E62" i="58" s="1"/>
  <c r="F16" i="58"/>
  <c r="F62" i="58" s="1"/>
  <c r="G16" i="58"/>
  <c r="G62" i="58" s="1"/>
  <c r="H16" i="58"/>
  <c r="H62" i="58" s="1"/>
  <c r="I16" i="58"/>
  <c r="I62" i="58" s="1"/>
  <c r="J16" i="58"/>
  <c r="J62" i="58" s="1"/>
  <c r="K16" i="58"/>
  <c r="K62" i="58" s="1"/>
  <c r="L16" i="58"/>
  <c r="L62" i="58" s="1"/>
  <c r="M16" i="58"/>
  <c r="M62" i="58" s="1"/>
  <c r="C16" i="58"/>
  <c r="C62" i="58" s="1"/>
  <c r="C15" i="58"/>
  <c r="C61" i="58" s="1"/>
  <c r="D29" i="38"/>
  <c r="D67" i="38" s="1"/>
  <c r="E29" i="38"/>
  <c r="E67" i="38" s="1"/>
  <c r="F29" i="38"/>
  <c r="F67" i="38" s="1"/>
  <c r="G29" i="38"/>
  <c r="G67" i="38" s="1"/>
  <c r="H29" i="38"/>
  <c r="H67" i="38" s="1"/>
  <c r="I29" i="38"/>
  <c r="I67" i="38" s="1"/>
  <c r="J29" i="38"/>
  <c r="J67" i="38" s="1"/>
  <c r="K29" i="38"/>
  <c r="K67" i="38" s="1"/>
  <c r="L29" i="38"/>
  <c r="L67" i="38" s="1"/>
  <c r="C29" i="38"/>
  <c r="D28" i="38"/>
  <c r="D66" i="38" s="1"/>
  <c r="E28" i="38"/>
  <c r="E66" i="38" s="1"/>
  <c r="F28" i="38"/>
  <c r="F66" i="38" s="1"/>
  <c r="G28" i="38"/>
  <c r="G66" i="38" s="1"/>
  <c r="H28" i="38"/>
  <c r="H66" i="38" s="1"/>
  <c r="I28" i="38"/>
  <c r="I66" i="38" s="1"/>
  <c r="J28" i="38"/>
  <c r="J66" i="38" s="1"/>
  <c r="K28" i="38"/>
  <c r="K66" i="38" s="1"/>
  <c r="L28" i="38"/>
  <c r="L66" i="38" s="1"/>
  <c r="M28" i="38"/>
  <c r="M66" i="38" s="1"/>
  <c r="C28" i="38"/>
  <c r="C66" i="38" s="1"/>
  <c r="C35" i="58"/>
  <c r="D32" i="58" s="1"/>
  <c r="D34" i="58" s="1"/>
  <c r="K19" i="38"/>
  <c r="K59" i="38" s="1"/>
  <c r="K18" i="38"/>
  <c r="K39" i="38" s="1"/>
  <c r="K17" i="38"/>
  <c r="M41" i="61" l="1"/>
  <c r="M53" i="61"/>
  <c r="L40" i="60"/>
  <c r="M37" i="60" s="1"/>
  <c r="M39" i="60" s="1"/>
  <c r="C67" i="38"/>
  <c r="D85" i="58"/>
  <c r="C63" i="58"/>
  <c r="C68" i="38" l="1"/>
  <c r="D60" i="58"/>
  <c r="D35" i="58"/>
  <c r="E32" i="58" s="1"/>
  <c r="E34" i="58" s="1"/>
  <c r="M29" i="38"/>
  <c r="M40" i="60" l="1"/>
  <c r="M51" i="60"/>
  <c r="D63" i="58"/>
  <c r="E60" i="58" s="1"/>
  <c r="D65" i="38"/>
  <c r="M67" i="38"/>
  <c r="E63" i="58" l="1"/>
  <c r="F60" i="58" s="1"/>
  <c r="D68" i="38"/>
  <c r="E35" i="58"/>
  <c r="F32" i="58" s="1"/>
  <c r="F34" i="58" s="1"/>
  <c r="F63" i="58" l="1"/>
  <c r="G60" i="58" s="1"/>
  <c r="E65" i="38"/>
  <c r="E85" i="58"/>
  <c r="F85" i="58"/>
  <c r="G63" i="58" l="1"/>
  <c r="H60" i="58" s="1"/>
  <c r="E68" i="38"/>
  <c r="F35" i="58"/>
  <c r="G32" i="58" s="1"/>
  <c r="G34" i="58" s="1"/>
  <c r="H63" i="58" l="1"/>
  <c r="I60" i="58" s="1"/>
  <c r="F65" i="38"/>
  <c r="G85" i="58"/>
  <c r="I63" i="58" l="1"/>
  <c r="J60" i="58" s="1"/>
  <c r="F68" i="38"/>
  <c r="G35" i="58"/>
  <c r="H32" i="58" s="1"/>
  <c r="H34" i="58" s="1"/>
  <c r="J63" i="58" l="1"/>
  <c r="K60" i="58" s="1"/>
  <c r="G65" i="38"/>
  <c r="K63" i="58" l="1"/>
  <c r="L60" i="58" s="1"/>
  <c r="G68" i="38"/>
  <c r="H85" i="58"/>
  <c r="H35" i="58"/>
  <c r="I32" i="58" s="1"/>
  <c r="I34" i="58" s="1"/>
  <c r="L63" i="58" l="1"/>
  <c r="M60" i="58" s="1"/>
  <c r="H65" i="38"/>
  <c r="M63" i="58" l="1"/>
  <c r="H68" i="38"/>
  <c r="I65" i="38" s="1"/>
  <c r="I68" i="38" s="1"/>
  <c r="J65" i="38" s="1"/>
  <c r="J68" i="38" s="1"/>
  <c r="K65" i="38" s="1"/>
  <c r="K68" i="38" s="1"/>
  <c r="L65" i="38" s="1"/>
  <c r="L68" i="38" s="1"/>
  <c r="M65" i="38" s="1"/>
  <c r="M68" i="38" s="1"/>
  <c r="I85" i="58"/>
  <c r="I35" i="58"/>
  <c r="J32" i="58" s="1"/>
  <c r="J34" i="58" s="1"/>
  <c r="M24" i="38" l="1"/>
  <c r="M78" i="38" s="1"/>
  <c r="D17" i="38"/>
  <c r="E17" i="38"/>
  <c r="F17" i="38"/>
  <c r="G17" i="38"/>
  <c r="H17" i="38"/>
  <c r="I17" i="38"/>
  <c r="J17" i="38"/>
  <c r="L17" i="38"/>
  <c r="M17" i="38"/>
  <c r="C17" i="38"/>
  <c r="D18" i="38"/>
  <c r="D39" i="38" s="1"/>
  <c r="E18" i="38"/>
  <c r="E39" i="38" s="1"/>
  <c r="F18" i="38"/>
  <c r="F39" i="38" s="1"/>
  <c r="G18" i="38"/>
  <c r="G39" i="38" s="1"/>
  <c r="H18" i="38"/>
  <c r="H39" i="38" s="1"/>
  <c r="I18" i="38"/>
  <c r="I39" i="38" s="1"/>
  <c r="J18" i="38"/>
  <c r="J39" i="38" s="1"/>
  <c r="L18" i="38"/>
  <c r="L39" i="38" s="1"/>
  <c r="M18" i="38"/>
  <c r="M39" i="38" s="1"/>
  <c r="C18" i="38"/>
  <c r="C48" i="38" s="1"/>
  <c r="D19" i="38"/>
  <c r="D59" i="38" s="1"/>
  <c r="E19" i="38"/>
  <c r="E59" i="38" s="1"/>
  <c r="F19" i="38"/>
  <c r="F59" i="38" s="1"/>
  <c r="G19" i="38"/>
  <c r="G59" i="38" s="1"/>
  <c r="H19" i="38"/>
  <c r="H59" i="38" s="1"/>
  <c r="I19" i="38"/>
  <c r="I59" i="38" s="1"/>
  <c r="J19" i="38"/>
  <c r="J59" i="38" s="1"/>
  <c r="L19" i="38"/>
  <c r="L59" i="38" s="1"/>
  <c r="M19" i="38"/>
  <c r="M59" i="38" s="1"/>
  <c r="C19" i="38"/>
  <c r="C59" i="38" s="1"/>
  <c r="E15" i="37"/>
  <c r="F15" i="37" s="1"/>
  <c r="G15" i="37" s="1"/>
  <c r="H15" i="37" s="1"/>
  <c r="I15" i="37" s="1"/>
  <c r="J15" i="37" s="1"/>
  <c r="K15" i="37" s="1"/>
  <c r="L15" i="37" s="1"/>
  <c r="E30" i="37"/>
  <c r="F30" i="37" s="1"/>
  <c r="G30" i="37" s="1"/>
  <c r="H30" i="37" s="1"/>
  <c r="I30" i="37" s="1"/>
  <c r="J30" i="37" s="1"/>
  <c r="K30" i="37" s="1"/>
  <c r="L30" i="37" s="1"/>
  <c r="M21" i="55"/>
  <c r="M24" i="55" s="1"/>
  <c r="L21" i="55"/>
  <c r="L24" i="55" s="1"/>
  <c r="K21" i="55"/>
  <c r="K24" i="55" s="1"/>
  <c r="J21" i="55"/>
  <c r="J24" i="55" s="1"/>
  <c r="I21" i="55"/>
  <c r="I24" i="55" s="1"/>
  <c r="H21" i="55"/>
  <c r="H24" i="55" s="1"/>
  <c r="G21" i="55"/>
  <c r="G24" i="55" s="1"/>
  <c r="F21" i="55"/>
  <c r="F24" i="55" s="1"/>
  <c r="E21" i="55"/>
  <c r="E24" i="55" s="1"/>
  <c r="D21" i="55"/>
  <c r="D24" i="55" s="1"/>
  <c r="D75" i="60" s="1"/>
  <c r="C21" i="55"/>
  <c r="C24" i="55" s="1"/>
  <c r="M15" i="55"/>
  <c r="L15" i="55"/>
  <c r="L18" i="55" s="1"/>
  <c r="L59" i="55" s="1"/>
  <c r="K15" i="55"/>
  <c r="K18" i="55" s="1"/>
  <c r="K59" i="55" s="1"/>
  <c r="J15" i="55"/>
  <c r="J18" i="55" s="1"/>
  <c r="J59" i="55" s="1"/>
  <c r="I15" i="55"/>
  <c r="I18" i="55" s="1"/>
  <c r="I59" i="55" s="1"/>
  <c r="H15" i="55"/>
  <c r="H18" i="55" s="1"/>
  <c r="H59" i="55" s="1"/>
  <c r="G15" i="55"/>
  <c r="G18" i="55" s="1"/>
  <c r="G59" i="55" s="1"/>
  <c r="F15" i="55"/>
  <c r="F18" i="55" s="1"/>
  <c r="F59" i="55" s="1"/>
  <c r="E15" i="55"/>
  <c r="E18" i="55" s="1"/>
  <c r="E59" i="55" s="1"/>
  <c r="D15" i="55"/>
  <c r="D18" i="55" s="1"/>
  <c r="D59" i="55" s="1"/>
  <c r="C15" i="55"/>
  <c r="D20" i="37"/>
  <c r="C8" i="37"/>
  <c r="E7" i="37"/>
  <c r="G60" i="55" l="1"/>
  <c r="K60" i="55"/>
  <c r="D60" i="55"/>
  <c r="H60" i="55"/>
  <c r="L60" i="55"/>
  <c r="E60" i="55"/>
  <c r="I60" i="55"/>
  <c r="M60" i="55"/>
  <c r="F60" i="55"/>
  <c r="J60" i="55"/>
  <c r="C60" i="55"/>
  <c r="C9" i="37"/>
  <c r="C16" i="37" s="1"/>
  <c r="C21" i="37" s="1"/>
  <c r="C10" i="55"/>
  <c r="C11" i="55" s="1"/>
  <c r="C18" i="55" s="1"/>
  <c r="C27" i="55" s="1"/>
  <c r="F7" i="37"/>
  <c r="E16" i="37"/>
  <c r="E10" i="37"/>
  <c r="E8" i="37"/>
  <c r="E9" i="37" s="1"/>
  <c r="D21" i="37"/>
  <c r="D19" i="37"/>
  <c r="C31" i="55"/>
  <c r="C75" i="60"/>
  <c r="D18" i="37"/>
  <c r="D32" i="55"/>
  <c r="H32" i="55"/>
  <c r="L32" i="55"/>
  <c r="E75" i="60"/>
  <c r="I22" i="58"/>
  <c r="E32" i="55"/>
  <c r="I32" i="55"/>
  <c r="F75" i="60"/>
  <c r="F32" i="55"/>
  <c r="J32" i="55"/>
  <c r="G75" i="60"/>
  <c r="K75" i="60"/>
  <c r="G32" i="55"/>
  <c r="K32" i="55"/>
  <c r="H75" i="60"/>
  <c r="C39" i="38"/>
  <c r="J85" i="58"/>
  <c r="J35" i="58"/>
  <c r="K32" i="58" s="1"/>
  <c r="K34" i="58" s="1"/>
  <c r="J75" i="60"/>
  <c r="C19" i="37"/>
  <c r="C18" i="37"/>
  <c r="I27" i="55"/>
  <c r="D27" i="55"/>
  <c r="H27" i="55"/>
  <c r="L27" i="55"/>
  <c r="F27" i="55"/>
  <c r="L75" i="60"/>
  <c r="M75" i="60"/>
  <c r="M77" i="60" s="1"/>
  <c r="J27" i="55"/>
  <c r="G27" i="55"/>
  <c r="K27" i="55"/>
  <c r="I75" i="60"/>
  <c r="E27" i="55"/>
  <c r="D22" i="58" l="1"/>
  <c r="J22" i="58"/>
  <c r="K22" i="58"/>
  <c r="G22" i="58"/>
  <c r="C59" i="55"/>
  <c r="C32" i="55"/>
  <c r="C34" i="55"/>
  <c r="C44" i="55" s="1"/>
  <c r="C20" i="37"/>
  <c r="G7" i="37"/>
  <c r="F8" i="37"/>
  <c r="F9" i="37" s="1"/>
  <c r="F16" i="37" s="1"/>
  <c r="F10" i="37"/>
  <c r="J39" i="55"/>
  <c r="J55" i="55"/>
  <c r="J25" i="81" s="1"/>
  <c r="F39" i="55"/>
  <c r="F55" i="55"/>
  <c r="F25" i="81" s="1"/>
  <c r="K63" i="55"/>
  <c r="K28" i="81" s="1"/>
  <c r="F63" i="55"/>
  <c r="F28" i="81" s="1"/>
  <c r="I63" i="55"/>
  <c r="I28" i="81" s="1"/>
  <c r="L63" i="55"/>
  <c r="L27" i="61" s="1"/>
  <c r="L51" i="61" s="1"/>
  <c r="G39" i="55"/>
  <c r="G55" i="55"/>
  <c r="G20" i="82" s="1"/>
  <c r="E39" i="55"/>
  <c r="E55" i="55"/>
  <c r="E20" i="82" s="1"/>
  <c r="K55" i="55"/>
  <c r="K25" i="81" s="1"/>
  <c r="K39" i="55"/>
  <c r="I39" i="55"/>
  <c r="I55" i="55"/>
  <c r="I24" i="58" s="1"/>
  <c r="L55" i="55"/>
  <c r="L20" i="82" s="1"/>
  <c r="L39" i="55"/>
  <c r="G63" i="55"/>
  <c r="G28" i="81" s="1"/>
  <c r="E63" i="55"/>
  <c r="E28" i="81" s="1"/>
  <c r="H63" i="55"/>
  <c r="H28" i="81" s="1"/>
  <c r="H55" i="55"/>
  <c r="H20" i="82" s="1"/>
  <c r="H39" i="55"/>
  <c r="D63" i="55"/>
  <c r="D28" i="81" s="1"/>
  <c r="D55" i="55"/>
  <c r="D20" i="82" s="1"/>
  <c r="D39" i="55"/>
  <c r="J63" i="55"/>
  <c r="J27" i="61" s="1"/>
  <c r="J51" i="61" s="1"/>
  <c r="C62" i="55"/>
  <c r="C27" i="81" s="1"/>
  <c r="C72" i="81" s="1"/>
  <c r="C55" i="55"/>
  <c r="C11" i="37" s="1"/>
  <c r="C39" i="55"/>
  <c r="C63" i="55"/>
  <c r="C27" i="61" s="1"/>
  <c r="C51" i="61" s="1"/>
  <c r="K24" i="81"/>
  <c r="K19" i="82"/>
  <c r="K86" i="82" s="1"/>
  <c r="C19" i="82"/>
  <c r="C86" i="82" s="1"/>
  <c r="C24" i="81"/>
  <c r="F19" i="82"/>
  <c r="F86" i="82" s="1"/>
  <c r="F24" i="81"/>
  <c r="E19" i="82"/>
  <c r="E86" i="82" s="1"/>
  <c r="E24" i="81"/>
  <c r="H19" i="82"/>
  <c r="H86" i="82" s="1"/>
  <c r="H24" i="81"/>
  <c r="M19" i="82"/>
  <c r="M86" i="82" s="1"/>
  <c r="M24" i="81"/>
  <c r="L18" i="82"/>
  <c r="L23" i="81"/>
  <c r="D18" i="82"/>
  <c r="D23" i="81"/>
  <c r="I19" i="82"/>
  <c r="I86" i="82" s="1"/>
  <c r="I24" i="81"/>
  <c r="K18" i="82"/>
  <c r="K23" i="81"/>
  <c r="C22" i="58"/>
  <c r="C18" i="82"/>
  <c r="C23" i="81"/>
  <c r="F22" i="58"/>
  <c r="F18" i="82"/>
  <c r="F23" i="81"/>
  <c r="M22" i="58"/>
  <c r="M18" i="82"/>
  <c r="M23" i="81"/>
  <c r="E18" i="82"/>
  <c r="E23" i="81"/>
  <c r="L19" i="82"/>
  <c r="L86" i="82" s="1"/>
  <c r="L24" i="81"/>
  <c r="J19" i="82"/>
  <c r="J86" i="82" s="1"/>
  <c r="J24" i="81"/>
  <c r="H22" i="58"/>
  <c r="H18" i="82"/>
  <c r="H23" i="81"/>
  <c r="G19" i="82"/>
  <c r="G86" i="82" s="1"/>
  <c r="G24" i="81"/>
  <c r="J24" i="58"/>
  <c r="J20" i="82"/>
  <c r="D19" i="82"/>
  <c r="D86" i="82" s="1"/>
  <c r="D24" i="81"/>
  <c r="L22" i="58"/>
  <c r="G18" i="82"/>
  <c r="G23" i="81"/>
  <c r="J18" i="82"/>
  <c r="J23" i="81"/>
  <c r="I18" i="82"/>
  <c r="I23" i="81"/>
  <c r="E22" i="58"/>
  <c r="G27" i="61"/>
  <c r="G51" i="61" s="1"/>
  <c r="C41" i="38"/>
  <c r="D38" i="38" s="1"/>
  <c r="M70" i="38"/>
  <c r="F70" i="38"/>
  <c r="K70" i="38"/>
  <c r="I70" i="38"/>
  <c r="C70" i="38"/>
  <c r="H70" i="38"/>
  <c r="L70" i="38"/>
  <c r="G70" i="38"/>
  <c r="J70" i="38"/>
  <c r="G24" i="60"/>
  <c r="G49" i="60" s="1"/>
  <c r="G11" i="37"/>
  <c r="J24" i="60"/>
  <c r="J49" i="60" s="1"/>
  <c r="H11" i="37"/>
  <c r="L23" i="58"/>
  <c r="L76" i="58" s="1"/>
  <c r="F23" i="58"/>
  <c r="F76" i="58" s="1"/>
  <c r="H23" i="58"/>
  <c r="H76" i="58" s="1"/>
  <c r="K23" i="58"/>
  <c r="K76" i="58" s="1"/>
  <c r="I23" i="58"/>
  <c r="I76" i="58" s="1"/>
  <c r="D23" i="58"/>
  <c r="D76" i="58" s="1"/>
  <c r="E23" i="58"/>
  <c r="E76" i="58" s="1"/>
  <c r="C23" i="58"/>
  <c r="M23" i="58"/>
  <c r="M76" i="58" s="1"/>
  <c r="G23" i="58"/>
  <c r="G76" i="58" s="1"/>
  <c r="J23" i="58"/>
  <c r="J76" i="58" s="1"/>
  <c r="E19" i="37"/>
  <c r="E20" i="37"/>
  <c r="E21" i="37"/>
  <c r="E18" i="37"/>
  <c r="F20" i="37"/>
  <c r="F21" i="37"/>
  <c r="F18" i="37"/>
  <c r="F19" i="37"/>
  <c r="L50" i="55"/>
  <c r="D23" i="38" l="1"/>
  <c r="K20" i="82"/>
  <c r="D40" i="38"/>
  <c r="D49" i="38" s="1"/>
  <c r="D60" i="38" s="1"/>
  <c r="D25" i="81"/>
  <c r="L23" i="38"/>
  <c r="D24" i="58"/>
  <c r="L25" i="81"/>
  <c r="L24" i="58"/>
  <c r="G10" i="37"/>
  <c r="G8" i="37"/>
  <c r="G9" i="37" s="1"/>
  <c r="G16" i="37" s="1"/>
  <c r="H7" i="37"/>
  <c r="I27" i="61"/>
  <c r="I51" i="61" s="1"/>
  <c r="H25" i="81"/>
  <c r="L11" i="37"/>
  <c r="H24" i="60"/>
  <c r="H49" i="60" s="1"/>
  <c r="J23" i="38"/>
  <c r="K11" i="37"/>
  <c r="K27" i="61"/>
  <c r="K51" i="61" s="1"/>
  <c r="G25" i="81"/>
  <c r="H24" i="58"/>
  <c r="K24" i="58"/>
  <c r="L24" i="60"/>
  <c r="L49" i="60" s="1"/>
  <c r="D11" i="37"/>
  <c r="D24" i="37" s="1"/>
  <c r="D33" i="37" s="1"/>
  <c r="G23" i="38"/>
  <c r="K24" i="60"/>
  <c r="K49" i="60" s="1"/>
  <c r="H27" i="61"/>
  <c r="H51" i="61" s="1"/>
  <c r="G24" i="58"/>
  <c r="H23" i="38"/>
  <c r="D24" i="60"/>
  <c r="D49" i="60" s="1"/>
  <c r="J11" i="37"/>
  <c r="K23" i="38"/>
  <c r="F20" i="82"/>
  <c r="D27" i="61"/>
  <c r="D51" i="61" s="1"/>
  <c r="E27" i="61"/>
  <c r="E51" i="61" s="1"/>
  <c r="E24" i="58"/>
  <c r="I24" i="60"/>
  <c r="I49" i="60" s="1"/>
  <c r="C26" i="61"/>
  <c r="C50" i="61" s="1"/>
  <c r="F23" i="38"/>
  <c r="I11" i="37"/>
  <c r="J28" i="81"/>
  <c r="L28" i="81"/>
  <c r="E11" i="37"/>
  <c r="I23" i="38"/>
  <c r="F27" i="61"/>
  <c r="F51" i="61" s="1"/>
  <c r="E25" i="81"/>
  <c r="I20" i="82"/>
  <c r="E24" i="60"/>
  <c r="E49" i="60" s="1"/>
  <c r="F11" i="37"/>
  <c r="F24" i="58"/>
  <c r="I25" i="81"/>
  <c r="E23" i="38"/>
  <c r="F24" i="60"/>
  <c r="F49" i="60" s="1"/>
  <c r="C24" i="60"/>
  <c r="C49" i="60" s="1"/>
  <c r="C25" i="81"/>
  <c r="C28" i="81"/>
  <c r="C73" i="81" s="1"/>
  <c r="C23" i="38"/>
  <c r="C58" i="38" s="1"/>
  <c r="C20" i="82"/>
  <c r="C73" i="82" s="1"/>
  <c r="C24" i="58"/>
  <c r="C69" i="58" s="1"/>
  <c r="C86" i="58"/>
  <c r="C87" i="58" s="1"/>
  <c r="C76" i="58"/>
  <c r="C90" i="81"/>
  <c r="C91" i="81" s="1"/>
  <c r="C92" i="81" s="1"/>
  <c r="C98" i="81" s="1"/>
  <c r="C97" i="82"/>
  <c r="C98" i="82" s="1"/>
  <c r="C99" i="82" s="1"/>
  <c r="C105" i="82" s="1"/>
  <c r="C106" i="82" s="1"/>
  <c r="C100" i="82" s="1"/>
  <c r="C113" i="82" s="1"/>
  <c r="L27" i="60"/>
  <c r="L23" i="82"/>
  <c r="L67" i="55"/>
  <c r="D41" i="38"/>
  <c r="G24" i="37"/>
  <c r="G33" i="37" s="1"/>
  <c r="C24" i="37"/>
  <c r="C33" i="37" s="1"/>
  <c r="K50" i="55"/>
  <c r="E24" i="37"/>
  <c r="E33" i="37" s="1"/>
  <c r="H8" i="37" l="1"/>
  <c r="H9" i="37" s="1"/>
  <c r="H24" i="37" s="1"/>
  <c r="H33" i="37" s="1"/>
  <c r="H10" i="37"/>
  <c r="I7" i="37"/>
  <c r="G21" i="37"/>
  <c r="G18" i="37"/>
  <c r="G20" i="37"/>
  <c r="G19" i="37"/>
  <c r="F24" i="37"/>
  <c r="F33" i="37" s="1"/>
  <c r="C55" i="38"/>
  <c r="C50" i="38"/>
  <c r="J55" i="38"/>
  <c r="G48" i="38"/>
  <c r="L55" i="38"/>
  <c r="J48" i="38"/>
  <c r="I55" i="38"/>
  <c r="H55" i="38"/>
  <c r="L48" i="38"/>
  <c r="E55" i="38"/>
  <c r="D48" i="38"/>
  <c r="G55" i="38"/>
  <c r="E48" i="38"/>
  <c r="K55" i="38"/>
  <c r="F48" i="38"/>
  <c r="K48" i="38"/>
  <c r="F55" i="38"/>
  <c r="I48" i="38"/>
  <c r="H48" i="38"/>
  <c r="C107" i="82"/>
  <c r="D104" i="82" s="1"/>
  <c r="C99" i="81"/>
  <c r="C93" i="81" s="1"/>
  <c r="C113" i="81" s="1"/>
  <c r="C76" i="81" s="1"/>
  <c r="K23" i="82"/>
  <c r="K27" i="60"/>
  <c r="C76" i="82"/>
  <c r="C77" i="82" s="1"/>
  <c r="C89" i="82" s="1"/>
  <c r="C22" i="60"/>
  <c r="C52" i="60" s="1"/>
  <c r="E38" i="38"/>
  <c r="C88" i="58"/>
  <c r="K67" i="55"/>
  <c r="K35" i="58"/>
  <c r="L32" i="58" s="1"/>
  <c r="L34" i="58" s="1"/>
  <c r="K85" i="58"/>
  <c r="C31" i="37"/>
  <c r="C32" i="37"/>
  <c r="E31" i="37"/>
  <c r="E32" i="37"/>
  <c r="J50" i="55"/>
  <c r="D32" i="37"/>
  <c r="D31" i="37"/>
  <c r="G31" i="37"/>
  <c r="G32" i="37"/>
  <c r="H32" i="37" l="1"/>
  <c r="H31" i="37"/>
  <c r="E40" i="38"/>
  <c r="E49" i="38" s="1"/>
  <c r="E60" i="38" s="1"/>
  <c r="I10" i="37"/>
  <c r="I8" i="37"/>
  <c r="I9" i="37" s="1"/>
  <c r="I24" i="37" s="1"/>
  <c r="J7" i="37"/>
  <c r="H16" i="37"/>
  <c r="F31" i="37"/>
  <c r="F32" i="37"/>
  <c r="D55" i="38"/>
  <c r="C100" i="81"/>
  <c r="D97" i="81" s="1"/>
  <c r="J23" i="82"/>
  <c r="J27" i="60"/>
  <c r="C22" i="61"/>
  <c r="C54" i="61" s="1"/>
  <c r="C77" i="81"/>
  <c r="C81" i="81" s="1"/>
  <c r="C94" i="58"/>
  <c r="C95" i="58" s="1"/>
  <c r="C89" i="58" s="1"/>
  <c r="J67" i="55"/>
  <c r="L85" i="58"/>
  <c r="I50" i="55"/>
  <c r="E41" i="38" l="1"/>
  <c r="F38" i="38" s="1"/>
  <c r="F40" i="38" s="1"/>
  <c r="F49" i="38" s="1"/>
  <c r="F60" i="38" s="1"/>
  <c r="I33" i="37"/>
  <c r="I32" i="37"/>
  <c r="I31" i="37"/>
  <c r="I16" i="37"/>
  <c r="J8" i="37"/>
  <c r="J9" i="37" s="1"/>
  <c r="J10" i="37"/>
  <c r="K7" i="37"/>
  <c r="H18" i="37"/>
  <c r="H19" i="37"/>
  <c r="H20" i="37"/>
  <c r="H21" i="37"/>
  <c r="C51" i="81"/>
  <c r="C52" i="81" s="1"/>
  <c r="D49" i="81" s="1"/>
  <c r="D50" i="81" s="1"/>
  <c r="I23" i="82"/>
  <c r="I27" i="60"/>
  <c r="C102" i="58"/>
  <c r="C72" i="58" s="1"/>
  <c r="C73" i="58" s="1"/>
  <c r="C79" i="58" s="1"/>
  <c r="D47" i="38"/>
  <c r="D58" i="38" s="1"/>
  <c r="I67" i="55"/>
  <c r="L35" i="58"/>
  <c r="M32" i="58" s="1"/>
  <c r="M34" i="58" s="1"/>
  <c r="H50" i="55"/>
  <c r="J16" i="37" l="1"/>
  <c r="J24" i="37"/>
  <c r="I19" i="37"/>
  <c r="I20" i="37"/>
  <c r="I21" i="37"/>
  <c r="I18" i="37"/>
  <c r="K10" i="37"/>
  <c r="K8" i="37"/>
  <c r="K9" i="37" s="1"/>
  <c r="L7" i="37"/>
  <c r="F41" i="38"/>
  <c r="G38" i="38" s="1"/>
  <c r="D55" i="81"/>
  <c r="D57" i="81" s="1"/>
  <c r="C48" i="58"/>
  <c r="C49" i="58" s="1"/>
  <c r="D46" i="58" s="1"/>
  <c r="D47" i="58" s="1"/>
  <c r="H27" i="60"/>
  <c r="H23" i="82"/>
  <c r="D50" i="38"/>
  <c r="H67" i="55"/>
  <c r="M85" i="58"/>
  <c r="G50" i="55"/>
  <c r="G40" i="38" l="1"/>
  <c r="G49" i="38" s="1"/>
  <c r="G60" i="38" s="1"/>
  <c r="K16" i="37"/>
  <c r="K24" i="37"/>
  <c r="J33" i="37"/>
  <c r="J32" i="37"/>
  <c r="J31" i="37"/>
  <c r="L8" i="37"/>
  <c r="L9" i="37" s="1"/>
  <c r="L24" i="37" s="1"/>
  <c r="L10" i="37"/>
  <c r="M8" i="37"/>
  <c r="J18" i="37"/>
  <c r="J19" i="37"/>
  <c r="J21" i="37"/>
  <c r="J20" i="37"/>
  <c r="M55" i="38"/>
  <c r="M83" i="38" s="1"/>
  <c r="M86" i="60"/>
  <c r="D105" i="81"/>
  <c r="D107" i="81" s="1"/>
  <c r="D115" i="81" s="1"/>
  <c r="D6" i="55" s="1"/>
  <c r="D90" i="81"/>
  <c r="D91" i="81" s="1"/>
  <c r="D92" i="81" s="1"/>
  <c r="D98" i="81" s="1"/>
  <c r="D99" i="81" s="1"/>
  <c r="D93" i="81" s="1"/>
  <c r="D113" i="81" s="1"/>
  <c r="D75" i="81"/>
  <c r="D73" i="81"/>
  <c r="D52" i="58"/>
  <c r="D54" i="58" s="1"/>
  <c r="G23" i="82"/>
  <c r="G27" i="60"/>
  <c r="E47" i="38"/>
  <c r="E58" i="38" s="1"/>
  <c r="G67" i="55"/>
  <c r="M35" i="58"/>
  <c r="F50" i="55"/>
  <c r="M9" i="37" l="1"/>
  <c r="M16" i="37" s="1"/>
  <c r="M35" i="38"/>
  <c r="M10" i="55"/>
  <c r="M11" i="55" s="1"/>
  <c r="M18" i="55" s="1"/>
  <c r="K18" i="37"/>
  <c r="K19" i="37"/>
  <c r="K20" i="37"/>
  <c r="K21" i="37"/>
  <c r="L16" i="37"/>
  <c r="L33" i="37"/>
  <c r="L32" i="37"/>
  <c r="L31" i="37"/>
  <c r="K33" i="37"/>
  <c r="K31" i="37"/>
  <c r="K32" i="37"/>
  <c r="D86" i="58"/>
  <c r="D71" i="58"/>
  <c r="D69" i="58"/>
  <c r="D100" i="81"/>
  <c r="E97" i="81" s="1"/>
  <c r="D76" i="81"/>
  <c r="D22" i="61"/>
  <c r="D54" i="61" s="1"/>
  <c r="F23" i="82"/>
  <c r="F27" i="60"/>
  <c r="E50" i="38"/>
  <c r="G41" i="38"/>
  <c r="F67" i="55"/>
  <c r="E50" i="55"/>
  <c r="M19" i="37" l="1"/>
  <c r="M18" i="37"/>
  <c r="M20" i="37"/>
  <c r="M21" i="37"/>
  <c r="L18" i="37"/>
  <c r="L21" i="37"/>
  <c r="L19" i="37"/>
  <c r="L20" i="37"/>
  <c r="M59" i="55"/>
  <c r="M27" i="55"/>
  <c r="M32" i="55"/>
  <c r="M63" i="55" s="1"/>
  <c r="M48" i="38"/>
  <c r="E23" i="82"/>
  <c r="E27" i="60"/>
  <c r="F47" i="38"/>
  <c r="F58" i="38" s="1"/>
  <c r="H38" i="38"/>
  <c r="E67" i="55"/>
  <c r="D50" i="55"/>
  <c r="H40" i="38" l="1"/>
  <c r="H49" i="38" s="1"/>
  <c r="H60" i="38" s="1"/>
  <c r="M27" i="61"/>
  <c r="M51" i="61" s="1"/>
  <c r="M28" i="81"/>
  <c r="M55" i="55"/>
  <c r="M39" i="55"/>
  <c r="L40" i="55" s="1"/>
  <c r="D27" i="60"/>
  <c r="D23" i="82"/>
  <c r="F50" i="38"/>
  <c r="D67" i="55"/>
  <c r="C50" i="55"/>
  <c r="C67" i="55" s="1"/>
  <c r="H41" i="38" l="1"/>
  <c r="I38" i="38" s="1"/>
  <c r="I40" i="38" s="1"/>
  <c r="I49" i="38" s="1"/>
  <c r="I60" i="38" s="1"/>
  <c r="M25" i="81"/>
  <c r="M24" i="58"/>
  <c r="M20" i="82"/>
  <c r="M11" i="37"/>
  <c r="M24" i="37" s="1"/>
  <c r="M23" i="38"/>
  <c r="M24" i="60"/>
  <c r="M49" i="60" s="1"/>
  <c r="L22" i="82"/>
  <c r="L65" i="55"/>
  <c r="L26" i="60"/>
  <c r="K40" i="55"/>
  <c r="L24" i="38"/>
  <c r="L78" i="38" s="1"/>
  <c r="L83" i="38" s="1"/>
  <c r="C27" i="60"/>
  <c r="C23" i="82"/>
  <c r="G47" i="38"/>
  <c r="G58" i="38" s="1"/>
  <c r="L64" i="60" l="1"/>
  <c r="L86" i="60" s="1"/>
  <c r="L77" i="60"/>
  <c r="I41" i="38"/>
  <c r="J38" i="38" s="1"/>
  <c r="M33" i="37"/>
  <c r="M32" i="37"/>
  <c r="M31" i="37"/>
  <c r="K22" i="82"/>
  <c r="J40" i="55"/>
  <c r="K24" i="38"/>
  <c r="K78" i="38" s="1"/>
  <c r="K83" i="38" s="1"/>
  <c r="K65" i="55"/>
  <c r="K26" i="60"/>
  <c r="C51" i="82"/>
  <c r="C52" i="82" s="1"/>
  <c r="D49" i="82" s="1"/>
  <c r="D50" i="82" s="1"/>
  <c r="G50" i="38"/>
  <c r="K64" i="60" l="1"/>
  <c r="K86" i="60" s="1"/>
  <c r="K77" i="60"/>
  <c r="J40" i="38"/>
  <c r="J49" i="38" s="1"/>
  <c r="J60" i="38" s="1"/>
  <c r="I40" i="55"/>
  <c r="J65" i="55"/>
  <c r="J26" i="60"/>
  <c r="J22" i="82"/>
  <c r="J24" i="38"/>
  <c r="J78" i="38" s="1"/>
  <c r="J83" i="38" s="1"/>
  <c r="D55" i="82"/>
  <c r="H47" i="38"/>
  <c r="H58" i="38" s="1"/>
  <c r="J64" i="60" l="1"/>
  <c r="J86" i="60" s="1"/>
  <c r="J77" i="60"/>
  <c r="D97" i="82"/>
  <c r="D98" i="82" s="1"/>
  <c r="D99" i="82" s="1"/>
  <c r="D105" i="82" s="1"/>
  <c r="D106" i="82" s="1"/>
  <c r="D100" i="82" s="1"/>
  <c r="D113" i="82" s="1"/>
  <c r="D76" i="82" s="1"/>
  <c r="D57" i="82"/>
  <c r="D75" i="82" s="1"/>
  <c r="J41" i="38"/>
  <c r="K38" i="38" s="1"/>
  <c r="K40" i="38" s="1"/>
  <c r="H40" i="55"/>
  <c r="I26" i="60"/>
  <c r="I24" i="38"/>
  <c r="I78" i="38" s="1"/>
  <c r="I83" i="38" s="1"/>
  <c r="I65" i="55"/>
  <c r="I22" i="82"/>
  <c r="D73" i="82"/>
  <c r="H50" i="38"/>
  <c r="I47" i="38" s="1"/>
  <c r="I58" i="38" s="1"/>
  <c r="I64" i="60" l="1"/>
  <c r="I86" i="60" s="1"/>
  <c r="I77" i="60"/>
  <c r="D22" i="60"/>
  <c r="D52" i="60" s="1"/>
  <c r="D107" i="82"/>
  <c r="E104" i="82" s="1"/>
  <c r="K49" i="38"/>
  <c r="K60" i="38" s="1"/>
  <c r="K41" i="38"/>
  <c r="L38" i="38" s="1"/>
  <c r="L40" i="38" s="1"/>
  <c r="L49" i="38" s="1"/>
  <c r="L60" i="38" s="1"/>
  <c r="H65" i="55"/>
  <c r="H22" i="82"/>
  <c r="H26" i="60"/>
  <c r="H24" i="38"/>
  <c r="H78" i="38" s="1"/>
  <c r="H83" i="38" s="1"/>
  <c r="G40" i="55"/>
  <c r="D77" i="82"/>
  <c r="I50" i="38"/>
  <c r="J47" i="38" s="1"/>
  <c r="J58" i="38" s="1"/>
  <c r="H64" i="60" l="1"/>
  <c r="H86" i="60" s="1"/>
  <c r="H77" i="60"/>
  <c r="L41" i="38"/>
  <c r="M38" i="38" s="1"/>
  <c r="M40" i="38" s="1"/>
  <c r="M49" i="38" s="1"/>
  <c r="M60" i="38" s="1"/>
  <c r="G22" i="82"/>
  <c r="G24" i="38"/>
  <c r="G78" i="38" s="1"/>
  <c r="G83" i="38" s="1"/>
  <c r="F40" i="55"/>
  <c r="G65" i="55"/>
  <c r="G26" i="60"/>
  <c r="D89" i="82"/>
  <c r="D51" i="82" s="1"/>
  <c r="J50" i="38"/>
  <c r="K47" i="38" s="1"/>
  <c r="K58" i="38" s="1"/>
  <c r="G64" i="60" l="1"/>
  <c r="G86" i="60" s="1"/>
  <c r="G77" i="60"/>
  <c r="F22" i="82"/>
  <c r="F65" i="55"/>
  <c r="F26" i="60"/>
  <c r="F24" i="38"/>
  <c r="F78" i="38" s="1"/>
  <c r="F83" i="38" s="1"/>
  <c r="E40" i="55"/>
  <c r="M41" i="38"/>
  <c r="K50" i="38"/>
  <c r="L47" i="38" s="1"/>
  <c r="L58" i="38" s="1"/>
  <c r="F64" i="60" l="1"/>
  <c r="F86" i="60" s="1"/>
  <c r="F77" i="60"/>
  <c r="E65" i="55"/>
  <c r="D40" i="55"/>
  <c r="E22" i="82"/>
  <c r="E26" i="60"/>
  <c r="E24" i="38"/>
  <c r="E78" i="38" s="1"/>
  <c r="E83" i="38" s="1"/>
  <c r="D52" i="82"/>
  <c r="E49" i="82" s="1"/>
  <c r="E50" i="82" s="1"/>
  <c r="L50" i="38"/>
  <c r="M47" i="38" s="1"/>
  <c r="M58" i="38" s="1"/>
  <c r="E64" i="60" l="1"/>
  <c r="E86" i="60" s="1"/>
  <c r="E77" i="60"/>
  <c r="D65" i="55"/>
  <c r="D26" i="60"/>
  <c r="D22" i="82"/>
  <c r="D24" i="38"/>
  <c r="D78" i="38" s="1"/>
  <c r="D83" i="38" s="1"/>
  <c r="C40" i="55"/>
  <c r="E55" i="82"/>
  <c r="M50" i="38"/>
  <c r="D64" i="60" l="1"/>
  <c r="D86" i="60" s="1"/>
  <c r="D77" i="60"/>
  <c r="E57" i="82"/>
  <c r="E75" i="82" s="1"/>
  <c r="C26" i="60"/>
  <c r="C77" i="60" s="1"/>
  <c r="M78" i="60" s="1"/>
  <c r="C65" i="55"/>
  <c r="C22" i="82"/>
  <c r="C24" i="38"/>
  <c r="E97" i="82"/>
  <c r="E98" i="82" s="1"/>
  <c r="E99" i="82" s="1"/>
  <c r="E73" i="82"/>
  <c r="C64" i="60" l="1"/>
  <c r="C86" i="60" s="1"/>
  <c r="M91" i="60" s="1"/>
  <c r="B8" i="57" s="1"/>
  <c r="C78" i="38"/>
  <c r="C83" i="38" s="1"/>
  <c r="M88" i="38" s="1"/>
  <c r="B6" i="57" s="1"/>
  <c r="E105" i="82"/>
  <c r="E106" i="82" s="1"/>
  <c r="E107" i="82" s="1"/>
  <c r="F104" i="82" s="1"/>
  <c r="E100" i="82" l="1"/>
  <c r="E113" i="82" s="1"/>
  <c r="E22" i="60" s="1"/>
  <c r="E52" i="60" s="1"/>
  <c r="E50" i="10"/>
  <c r="E76" i="82" l="1"/>
  <c r="E77" i="82" s="1"/>
  <c r="E89" i="82" s="1"/>
  <c r="E51" i="82" s="1"/>
  <c r="E52" i="82" s="1"/>
  <c r="F49" i="82" s="1"/>
  <c r="E55" i="10"/>
  <c r="E54" i="10"/>
  <c r="E53" i="10"/>
  <c r="E52" i="10"/>
  <c r="E51" i="10"/>
  <c r="E49" i="10"/>
  <c r="E48" i="10"/>
  <c r="E47" i="10"/>
  <c r="E46" i="10"/>
  <c r="E45" i="10"/>
  <c r="E44" i="10"/>
  <c r="E42" i="10"/>
  <c r="E41" i="10"/>
  <c r="F55" i="82" l="1"/>
  <c r="F50" i="82"/>
  <c r="E43" i="10"/>
  <c r="F97" i="82" l="1"/>
  <c r="F98" i="82" s="1"/>
  <c r="F99" i="82" s="1"/>
  <c r="F105" i="82" s="1"/>
  <c r="F106" i="82" s="1"/>
  <c r="F107" i="82" s="1"/>
  <c r="G104" i="82" s="1"/>
  <c r="F57" i="82"/>
  <c r="F75" i="82" s="1"/>
  <c r="F73" i="82"/>
  <c r="F100" i="82" l="1"/>
  <c r="F113" i="82" s="1"/>
  <c r="F22" i="60" s="1"/>
  <c r="F52" i="60" s="1"/>
  <c r="C96" i="58"/>
  <c r="D93" i="58" s="1"/>
  <c r="F76" i="82" l="1"/>
  <c r="F77" i="82" s="1"/>
  <c r="F89" i="82" s="1"/>
  <c r="C21" i="38"/>
  <c r="C61" i="38" s="1"/>
  <c r="F51" i="82" l="1"/>
  <c r="F52" i="82" s="1"/>
  <c r="G49" i="82" s="1"/>
  <c r="G50" i="82" s="1"/>
  <c r="G55" i="82" l="1"/>
  <c r="C53" i="60"/>
  <c r="C62" i="38"/>
  <c r="C73" i="38" s="1"/>
  <c r="G57" i="82" l="1"/>
  <c r="G75" i="82" s="1"/>
  <c r="C58" i="60"/>
  <c r="C65" i="60" s="1"/>
  <c r="C87" i="60"/>
  <c r="C84" i="38"/>
  <c r="G97" i="82"/>
  <c r="G98" i="82" s="1"/>
  <c r="G99" i="82" s="1"/>
  <c r="G73" i="82"/>
  <c r="G105" i="82" l="1"/>
  <c r="G106" i="82" s="1"/>
  <c r="G107" i="82" s="1"/>
  <c r="H104" i="82" s="1"/>
  <c r="C79" i="38"/>
  <c r="G100" i="82" l="1"/>
  <c r="G113" i="82" s="1"/>
  <c r="G76" i="82" s="1"/>
  <c r="G77" i="82" s="1"/>
  <c r="G89" i="82" s="1"/>
  <c r="D87" i="58"/>
  <c r="D88" i="58" s="1"/>
  <c r="G22" i="60" l="1"/>
  <c r="G52" i="60" s="1"/>
  <c r="D94" i="58"/>
  <c r="D95" i="58" s="1"/>
  <c r="D89" i="58" s="1"/>
  <c r="D102" i="58" s="1"/>
  <c r="D72" i="58" s="1"/>
  <c r="D73" i="58" s="1"/>
  <c r="G51" i="82" l="1"/>
  <c r="G52" i="82" s="1"/>
  <c r="H49" i="82" s="1"/>
  <c r="H50" i="82" s="1"/>
  <c r="D79" i="58"/>
  <c r="D53" i="60"/>
  <c r="D87" i="60" s="1"/>
  <c r="D96" i="58"/>
  <c r="E93" i="58" s="1"/>
  <c r="H55" i="82" l="1"/>
  <c r="H57" i="82" s="1"/>
  <c r="D58" i="60"/>
  <c r="D65" i="60" s="1"/>
  <c r="D48" i="58"/>
  <c r="D21" i="38"/>
  <c r="H73" i="82" l="1"/>
  <c r="H75" i="82"/>
  <c r="H97" i="82"/>
  <c r="H98" i="82" s="1"/>
  <c r="H99" i="82" s="1"/>
  <c r="H105" i="82" s="1"/>
  <c r="D61" i="38"/>
  <c r="D62" i="38" s="1"/>
  <c r="H106" i="82" l="1"/>
  <c r="H100" i="82" s="1"/>
  <c r="H113" i="82" s="1"/>
  <c r="H107" i="82" l="1"/>
  <c r="I104" i="82" s="1"/>
  <c r="H76" i="82"/>
  <c r="H77" i="82" s="1"/>
  <c r="H89" i="82" s="1"/>
  <c r="H22" i="60"/>
  <c r="H52" i="60" s="1"/>
  <c r="H51" i="82" l="1"/>
  <c r="H52" i="82" s="1"/>
  <c r="I49" i="82" s="1"/>
  <c r="I50" i="82" s="1"/>
  <c r="I55" i="82" l="1"/>
  <c r="I57" i="82" s="1"/>
  <c r="E53" i="60"/>
  <c r="E87" i="60" s="1"/>
  <c r="I75" i="82" l="1"/>
  <c r="I73" i="82"/>
  <c r="I97" i="82"/>
  <c r="I98" i="82" s="1"/>
  <c r="I99" i="82" s="1"/>
  <c r="E58" i="60"/>
  <c r="E65" i="60" s="1"/>
  <c r="I105" i="82" l="1"/>
  <c r="I106" i="82" s="1"/>
  <c r="I107" i="82" s="1"/>
  <c r="J104" i="82" s="1"/>
  <c r="I100" i="82" l="1"/>
  <c r="I113" i="82" s="1"/>
  <c r="I22" i="60" s="1"/>
  <c r="I52" i="60" s="1"/>
  <c r="I76" i="82" l="1"/>
  <c r="I77" i="82" s="1"/>
  <c r="I89" i="82" s="1"/>
  <c r="I51" i="82" l="1"/>
  <c r="I52" i="82" s="1"/>
  <c r="J49" i="82" s="1"/>
  <c r="J50" i="82" s="1"/>
  <c r="J55" i="82" l="1"/>
  <c r="J57" i="82" s="1"/>
  <c r="C55" i="61"/>
  <c r="J97" i="82" l="1"/>
  <c r="J98" i="82" s="1"/>
  <c r="J99" i="82" s="1"/>
  <c r="J105" i="82" s="1"/>
  <c r="J75" i="82"/>
  <c r="J73" i="82"/>
  <c r="F53" i="60"/>
  <c r="F87" i="60" s="1"/>
  <c r="C59" i="61"/>
  <c r="J106" i="82" l="1"/>
  <c r="J100" i="82" s="1"/>
  <c r="J113" i="82" s="1"/>
  <c r="F58" i="60"/>
  <c r="F65" i="60" s="1"/>
  <c r="J107" i="82" l="1"/>
  <c r="K104" i="82" s="1"/>
  <c r="J76" i="82"/>
  <c r="J77" i="82" s="1"/>
  <c r="J89" i="82" s="1"/>
  <c r="J22" i="60"/>
  <c r="J52" i="60" s="1"/>
  <c r="J51" i="82" l="1"/>
  <c r="J52" i="82" s="1"/>
  <c r="K49" i="82" s="1"/>
  <c r="K50" i="82" s="1"/>
  <c r="K55" i="82" l="1"/>
  <c r="K57" i="82" s="1"/>
  <c r="K75" i="82" l="1"/>
  <c r="K97" i="82"/>
  <c r="K98" i="82" s="1"/>
  <c r="K99" i="82" s="1"/>
  <c r="K105" i="82" s="1"/>
  <c r="K73" i="82"/>
  <c r="K106" i="82" l="1"/>
  <c r="K100" i="82" s="1"/>
  <c r="K113" i="82" s="1"/>
  <c r="G53" i="60"/>
  <c r="G87" i="60" s="1"/>
  <c r="K107" i="82" l="1"/>
  <c r="L104" i="82" s="1"/>
  <c r="K22" i="60"/>
  <c r="K52" i="60" s="1"/>
  <c r="K76" i="82"/>
  <c r="K77" i="82" s="1"/>
  <c r="K89" i="82" s="1"/>
  <c r="G58" i="60"/>
  <c r="G65" i="60" s="1"/>
  <c r="K51" i="82" l="1"/>
  <c r="K52" i="82" s="1"/>
  <c r="L49" i="82" s="1"/>
  <c r="L50" i="82" s="1"/>
  <c r="L55" i="82" l="1"/>
  <c r="L57" i="82" s="1"/>
  <c r="L75" i="82" l="1"/>
  <c r="L97" i="82"/>
  <c r="L98" i="82" s="1"/>
  <c r="L99" i="82" s="1"/>
  <c r="L105" i="82" s="1"/>
  <c r="L73" i="82"/>
  <c r="D34" i="55"/>
  <c r="D44" i="55" s="1"/>
  <c r="D31" i="55"/>
  <c r="D62" i="55" s="1"/>
  <c r="L106" i="82" l="1"/>
  <c r="L100" i="82" s="1"/>
  <c r="L113" i="82" s="1"/>
  <c r="D27" i="81"/>
  <c r="D72" i="81" s="1"/>
  <c r="L107" i="82" l="1"/>
  <c r="M104" i="82" s="1"/>
  <c r="L76" i="82"/>
  <c r="L77" i="82" s="1"/>
  <c r="L89" i="82" s="1"/>
  <c r="L22" i="60"/>
  <c r="L52" i="60" s="1"/>
  <c r="D77" i="81"/>
  <c r="D81" i="81" s="1"/>
  <c r="H53" i="60"/>
  <c r="D26" i="61"/>
  <c r="D50" i="61" s="1"/>
  <c r="H58" i="60" l="1"/>
  <c r="H65" i="60" s="1"/>
  <c r="H87" i="60"/>
  <c r="D51" i="81"/>
  <c r="D52" i="81" s="1"/>
  <c r="E49" i="81" s="1"/>
  <c r="E50" i="81" s="1"/>
  <c r="L51" i="82" l="1"/>
  <c r="L52" i="82" s="1"/>
  <c r="M49" i="82" s="1"/>
  <c r="M50" i="82" s="1"/>
  <c r="D55" i="61"/>
  <c r="E55" i="81"/>
  <c r="E57" i="81" s="1"/>
  <c r="D59" i="61" l="1"/>
  <c r="M55" i="82"/>
  <c r="M57" i="82" s="1"/>
  <c r="E90" i="81"/>
  <c r="E91" i="81" s="1"/>
  <c r="E92" i="81" s="1"/>
  <c r="E105" i="81"/>
  <c r="E75" i="81"/>
  <c r="E73" i="81"/>
  <c r="E107" i="81" l="1"/>
  <c r="E115" i="81" s="1"/>
  <c r="E6" i="55" s="1"/>
  <c r="E31" i="55" s="1"/>
  <c r="E62" i="55" s="1"/>
  <c r="M97" i="82"/>
  <c r="M98" i="82" s="1"/>
  <c r="M99" i="82" s="1"/>
  <c r="M105" i="82" s="1"/>
  <c r="M75" i="82"/>
  <c r="M73" i="82"/>
  <c r="E98" i="81"/>
  <c r="E99" i="81" s="1"/>
  <c r="E100" i="81" s="1"/>
  <c r="F97" i="81" s="1"/>
  <c r="M106" i="82" l="1"/>
  <c r="M100" i="82" s="1"/>
  <c r="M113" i="82" s="1"/>
  <c r="E93" i="81"/>
  <c r="E113" i="81" s="1"/>
  <c r="E34" i="55"/>
  <c r="E44" i="55" s="1"/>
  <c r="M107" i="82" l="1"/>
  <c r="F8" i="57" s="1"/>
  <c r="M22" i="60"/>
  <c r="M52" i="60" s="1"/>
  <c r="M76" i="82"/>
  <c r="M77" i="82" s="1"/>
  <c r="M89" i="82" s="1"/>
  <c r="E76" i="81"/>
  <c r="E22" i="61"/>
  <c r="E54" i="61" s="1"/>
  <c r="E27" i="81"/>
  <c r="E72" i="81" s="1"/>
  <c r="E26" i="61"/>
  <c r="E50" i="61" s="1"/>
  <c r="E77" i="81" l="1"/>
  <c r="E81" i="81" s="1"/>
  <c r="I53" i="60"/>
  <c r="I58" i="60" l="1"/>
  <c r="I65" i="60" s="1"/>
  <c r="I87" i="60"/>
  <c r="M51" i="82"/>
  <c r="M52" i="82" s="1"/>
  <c r="E51" i="81"/>
  <c r="E52" i="81" s="1"/>
  <c r="F49" i="81" s="1"/>
  <c r="F50" i="81" s="1"/>
  <c r="F55" i="81" l="1"/>
  <c r="F57" i="81" s="1"/>
  <c r="E55" i="61"/>
  <c r="E59" i="61" l="1"/>
  <c r="F105" i="81"/>
  <c r="F90" i="81"/>
  <c r="F91" i="81" s="1"/>
  <c r="F92" i="81" s="1"/>
  <c r="F75" i="81"/>
  <c r="F73" i="81"/>
  <c r="F107" i="81" l="1"/>
  <c r="F115" i="81" s="1"/>
  <c r="F6" i="55" s="1"/>
  <c r="F98" i="81"/>
  <c r="F99" i="81" s="1"/>
  <c r="F100" i="81" s="1"/>
  <c r="G97" i="81" s="1"/>
  <c r="F93" i="81" l="1"/>
  <c r="F113" i="81" s="1"/>
  <c r="F76" i="81" l="1"/>
  <c r="F22" i="61"/>
  <c r="F54" i="61" s="1"/>
  <c r="F31" i="55"/>
  <c r="F34" i="55"/>
  <c r="F44" i="55" s="1"/>
  <c r="J53" i="60"/>
  <c r="F62" i="55" l="1"/>
  <c r="F27" i="81" s="1"/>
  <c r="F72" i="81" s="1"/>
  <c r="F77" i="81" s="1"/>
  <c r="F81" i="81" s="1"/>
  <c r="J58" i="60"/>
  <c r="J65" i="60" s="1"/>
  <c r="J87" i="60"/>
  <c r="F26" i="61" l="1"/>
  <c r="F50" i="61" s="1"/>
  <c r="F51" i="81"/>
  <c r="F52" i="81" s="1"/>
  <c r="G49" i="81" s="1"/>
  <c r="G50" i="81" s="1"/>
  <c r="G55" i="81" l="1"/>
  <c r="G57" i="81" s="1"/>
  <c r="F55" i="61" l="1"/>
  <c r="G105" i="81"/>
  <c r="G107" i="81" s="1"/>
  <c r="G115" i="81" s="1"/>
  <c r="G6" i="55" s="1"/>
  <c r="G90" i="81"/>
  <c r="G91" i="81" s="1"/>
  <c r="G92" i="81" s="1"/>
  <c r="G75" i="81"/>
  <c r="G73" i="81"/>
  <c r="F59" i="61" l="1"/>
  <c r="G98" i="81"/>
  <c r="G99" i="81" s="1"/>
  <c r="G100" i="81" s="1"/>
  <c r="H97" i="81" s="1"/>
  <c r="G93" i="81" l="1"/>
  <c r="G113" i="81" s="1"/>
  <c r="G31" i="55"/>
  <c r="G34" i="55"/>
  <c r="G44" i="55" s="1"/>
  <c r="K53" i="60"/>
  <c r="G62" i="55" l="1"/>
  <c r="G27" i="81" s="1"/>
  <c r="G72" i="81" s="1"/>
  <c r="K58" i="60"/>
  <c r="K65" i="60" s="1"/>
  <c r="K87" i="60"/>
  <c r="G76" i="81"/>
  <c r="G22" i="61"/>
  <c r="G54" i="61" s="1"/>
  <c r="G26" i="61" l="1"/>
  <c r="G50" i="61" s="1"/>
  <c r="G77" i="81"/>
  <c r="G81" i="81" s="1"/>
  <c r="G51" i="81" s="1"/>
  <c r="G52" i="81" s="1"/>
  <c r="H49" i="81" s="1"/>
  <c r="H50" i="81" s="1"/>
  <c r="H55" i="81" l="1"/>
  <c r="H57" i="81" s="1"/>
  <c r="G55" i="61" l="1"/>
  <c r="H105" i="81"/>
  <c r="H107" i="81" s="1"/>
  <c r="H115" i="81" s="1"/>
  <c r="H6" i="55" s="1"/>
  <c r="H90" i="81"/>
  <c r="H91" i="81" s="1"/>
  <c r="H92" i="81" s="1"/>
  <c r="H98" i="81" s="1"/>
  <c r="H99" i="81" s="1"/>
  <c r="H100" i="81" s="1"/>
  <c r="I97" i="81" s="1"/>
  <c r="H75" i="81"/>
  <c r="H73" i="81"/>
  <c r="G59" i="61" l="1"/>
  <c r="H93" i="81"/>
  <c r="H113" i="81" s="1"/>
  <c r="H76" i="81" s="1"/>
  <c r="H22" i="61" l="1"/>
  <c r="H54" i="61" s="1"/>
  <c r="L53" i="60"/>
  <c r="H31" i="55"/>
  <c r="H34" i="55"/>
  <c r="H44" i="55" s="1"/>
  <c r="H62" i="55" l="1"/>
  <c r="H27" i="81" s="1"/>
  <c r="H72" i="81" s="1"/>
  <c r="H77" i="81" s="1"/>
  <c r="H81" i="81" s="1"/>
  <c r="L58" i="60"/>
  <c r="L65" i="60" s="1"/>
  <c r="L87" i="60"/>
  <c r="H26" i="61" l="1"/>
  <c r="H50" i="61" s="1"/>
  <c r="H51" i="81"/>
  <c r="H52" i="81" s="1"/>
  <c r="I49" i="81" s="1"/>
  <c r="I50" i="81" s="1"/>
  <c r="I55" i="81" l="1"/>
  <c r="I57" i="81" s="1"/>
  <c r="H55" i="61" l="1"/>
  <c r="I105" i="81"/>
  <c r="I107" i="81" s="1"/>
  <c r="I115" i="81" s="1"/>
  <c r="I6" i="55" s="1"/>
  <c r="I90" i="81"/>
  <c r="I91" i="81" s="1"/>
  <c r="I92" i="81" s="1"/>
  <c r="I98" i="81" s="1"/>
  <c r="I99" i="81" s="1"/>
  <c r="I100" i="81" s="1"/>
  <c r="J97" i="81" s="1"/>
  <c r="I75" i="81"/>
  <c r="I73" i="81"/>
  <c r="H59" i="61" l="1"/>
  <c r="I93" i="81"/>
  <c r="I113" i="81" s="1"/>
  <c r="I76" i="81" s="1"/>
  <c r="I31" i="55"/>
  <c r="I62" i="55" s="1"/>
  <c r="I22" i="61" l="1"/>
  <c r="I54" i="61" s="1"/>
  <c r="I27" i="81"/>
  <c r="I72" i="81" s="1"/>
  <c r="I34" i="55"/>
  <c r="I44" i="55" s="1"/>
  <c r="I26" i="61"/>
  <c r="I50" i="61" s="1"/>
  <c r="M53" i="60"/>
  <c r="M87" i="60" s="1"/>
  <c r="M92" i="60" s="1"/>
  <c r="C8" i="57" s="1"/>
  <c r="M58" i="60" l="1"/>
  <c r="M65" i="60" s="1"/>
  <c r="I77" i="81"/>
  <c r="I81" i="81" s="1"/>
  <c r="M66" i="60" l="1"/>
  <c r="M82" i="60" s="1"/>
  <c r="M93" i="60" s="1"/>
  <c r="I51" i="81"/>
  <c r="I52" i="81" s="1"/>
  <c r="J49" i="81" s="1"/>
  <c r="J50" i="81" s="1"/>
  <c r="D8" i="57" l="1"/>
  <c r="J55" i="81"/>
  <c r="J57" i="81" s="1"/>
  <c r="I55" i="61" l="1"/>
  <c r="J105" i="81"/>
  <c r="J107" i="81" s="1"/>
  <c r="J115" i="81" s="1"/>
  <c r="J6" i="55" s="1"/>
  <c r="J90" i="81"/>
  <c r="J91" i="81" s="1"/>
  <c r="J92" i="81" s="1"/>
  <c r="J98" i="81" s="1"/>
  <c r="J99" i="81" s="1"/>
  <c r="J93" i="81" s="1"/>
  <c r="J113" i="81" s="1"/>
  <c r="J76" i="81" s="1"/>
  <c r="J75" i="81"/>
  <c r="J73" i="81"/>
  <c r="I59" i="61" l="1"/>
  <c r="J100" i="81"/>
  <c r="K97" i="81" s="1"/>
  <c r="J22" i="61"/>
  <c r="J54" i="61" s="1"/>
  <c r="J34" i="55" l="1"/>
  <c r="J44" i="55" s="1"/>
  <c r="J31" i="55"/>
  <c r="J62" i="55" s="1"/>
  <c r="J27" i="81" l="1"/>
  <c r="J72" i="81" s="1"/>
  <c r="J77" i="81" s="1"/>
  <c r="J81" i="81" s="1"/>
  <c r="J26" i="61" l="1"/>
  <c r="J50" i="61" s="1"/>
  <c r="J51" i="81"/>
  <c r="J52" i="81" s="1"/>
  <c r="K49" i="81" s="1"/>
  <c r="K50" i="81" s="1"/>
  <c r="K55" i="81" l="1"/>
  <c r="K57" i="81" s="1"/>
  <c r="J55" i="61" l="1"/>
  <c r="K105" i="81"/>
  <c r="K107" i="81" s="1"/>
  <c r="K115" i="81" s="1"/>
  <c r="K6" i="55" s="1"/>
  <c r="K90" i="81"/>
  <c r="K91" i="81" s="1"/>
  <c r="K92" i="81" s="1"/>
  <c r="K98" i="81" s="1"/>
  <c r="K99" i="81" s="1"/>
  <c r="K93" i="81" s="1"/>
  <c r="K113" i="81" s="1"/>
  <c r="K76" i="81" s="1"/>
  <c r="K75" i="81"/>
  <c r="K73" i="81"/>
  <c r="J59" i="61" l="1"/>
  <c r="K100" i="81"/>
  <c r="L97" i="81" s="1"/>
  <c r="K22" i="61"/>
  <c r="K54" i="61" s="1"/>
  <c r="K34" i="55" l="1"/>
  <c r="K44" i="55" s="1"/>
  <c r="K31" i="55"/>
  <c r="K62" i="55" l="1"/>
  <c r="K27" i="81" s="1"/>
  <c r="K72" i="81" s="1"/>
  <c r="K77" i="81" s="1"/>
  <c r="K81" i="81" s="1"/>
  <c r="K26" i="61" l="1"/>
  <c r="K50" i="61" s="1"/>
  <c r="K51" i="81"/>
  <c r="K52" i="81" s="1"/>
  <c r="L49" i="81" s="1"/>
  <c r="L50" i="81" s="1"/>
  <c r="L55" i="81" l="1"/>
  <c r="L57" i="81" s="1"/>
  <c r="K55" i="61" l="1"/>
  <c r="L105" i="81"/>
  <c r="L107" i="81" s="1"/>
  <c r="L115" i="81" s="1"/>
  <c r="L6" i="55" s="1"/>
  <c r="L90" i="81"/>
  <c r="L91" i="81" s="1"/>
  <c r="L92" i="81" s="1"/>
  <c r="L98" i="81" s="1"/>
  <c r="L99" i="81" s="1"/>
  <c r="L93" i="81" s="1"/>
  <c r="L113" i="81" s="1"/>
  <c r="L76" i="81" s="1"/>
  <c r="L75" i="81"/>
  <c r="L73" i="81"/>
  <c r="K59" i="61" l="1"/>
  <c r="L100" i="81"/>
  <c r="M97" i="81" s="1"/>
  <c r="L22" i="61"/>
  <c r="L54" i="61" s="1"/>
  <c r="L31" i="55"/>
  <c r="L34" i="55"/>
  <c r="L44" i="55" s="1"/>
  <c r="L62" i="55" l="1"/>
  <c r="L27" i="81" s="1"/>
  <c r="L72" i="81" s="1"/>
  <c r="L77" i="81" s="1"/>
  <c r="L81" i="81" s="1"/>
  <c r="L26" i="61" l="1"/>
  <c r="L50" i="61" s="1"/>
  <c r="L51" i="81"/>
  <c r="L52" i="81" s="1"/>
  <c r="M49" i="81" s="1"/>
  <c r="M50" i="81" s="1"/>
  <c r="M55" i="81" l="1"/>
  <c r="M57" i="81" s="1"/>
  <c r="L55" i="61" l="1"/>
  <c r="M105" i="81"/>
  <c r="M107" i="81" s="1"/>
  <c r="M115" i="81" s="1"/>
  <c r="M6" i="55" s="1"/>
  <c r="M90" i="81"/>
  <c r="M91" i="81" s="1"/>
  <c r="M92" i="81" s="1"/>
  <c r="M98" i="81" s="1"/>
  <c r="M99" i="81" s="1"/>
  <c r="M93" i="81" s="1"/>
  <c r="M113" i="81" s="1"/>
  <c r="M76" i="81" s="1"/>
  <c r="M75" i="81"/>
  <c r="M73" i="81"/>
  <c r="L59" i="61" l="1"/>
  <c r="M100" i="81"/>
  <c r="F7" i="57" s="1"/>
  <c r="M22" i="61"/>
  <c r="M54" i="61" s="1"/>
  <c r="M31" i="55"/>
  <c r="M62" i="55" s="1"/>
  <c r="M34" i="55"/>
  <c r="M44" i="55" s="1"/>
  <c r="L45" i="55" l="1"/>
  <c r="L66" i="55" s="1"/>
  <c r="M27" i="81"/>
  <c r="M72" i="81" s="1"/>
  <c r="M26" i="61"/>
  <c r="M50" i="61" s="1"/>
  <c r="K45" i="55" l="1"/>
  <c r="K66" i="55" s="1"/>
  <c r="L24" i="61"/>
  <c r="L65" i="61" s="1"/>
  <c r="M70" i="61"/>
  <c r="M77" i="81"/>
  <c r="M81" i="81" s="1"/>
  <c r="L70" i="61" l="1"/>
  <c r="L71" i="61"/>
  <c r="K24" i="61"/>
  <c r="K65" i="61" s="1"/>
  <c r="L66" i="61"/>
  <c r="J45" i="55"/>
  <c r="J66" i="55" s="1"/>
  <c r="M51" i="81"/>
  <c r="M52" i="81" s="1"/>
  <c r="K70" i="61" l="1"/>
  <c r="K71" i="61"/>
  <c r="K66" i="61"/>
  <c r="J24" i="61"/>
  <c r="J65" i="61" s="1"/>
  <c r="I45" i="55"/>
  <c r="I24" i="61" s="1"/>
  <c r="I65" i="61" s="1"/>
  <c r="I71" i="61" s="1"/>
  <c r="M55" i="61"/>
  <c r="J70" i="61" l="1"/>
  <c r="J71" i="61"/>
  <c r="M59" i="61"/>
  <c r="M66" i="61" s="1"/>
  <c r="M71" i="61"/>
  <c r="I66" i="55"/>
  <c r="J66" i="61"/>
  <c r="H45" i="55"/>
  <c r="H66" i="55" s="1"/>
  <c r="I70" i="61"/>
  <c r="I66" i="61"/>
  <c r="G45" i="55" l="1"/>
  <c r="F45" i="55" s="1"/>
  <c r="H24" i="61"/>
  <c r="H65" i="61" s="1"/>
  <c r="H66" i="61" l="1"/>
  <c r="H71" i="61"/>
  <c r="G24" i="61"/>
  <c r="G65" i="61" s="1"/>
  <c r="H70" i="61"/>
  <c r="G66" i="55"/>
  <c r="F66" i="55"/>
  <c r="F24" i="61"/>
  <c r="F65" i="61" s="1"/>
  <c r="F71" i="61" s="1"/>
  <c r="E45" i="55"/>
  <c r="G70" i="61" l="1"/>
  <c r="G71" i="61"/>
  <c r="G66" i="61"/>
  <c r="E66" i="55"/>
  <c r="E24" i="61"/>
  <c r="E65" i="61" s="1"/>
  <c r="E71" i="61" s="1"/>
  <c r="D45" i="55"/>
  <c r="F70" i="61"/>
  <c r="F66" i="61"/>
  <c r="C45" i="55" l="1"/>
  <c r="D24" i="61"/>
  <c r="D65" i="61" s="1"/>
  <c r="D71" i="61" s="1"/>
  <c r="D66" i="55"/>
  <c r="E66" i="61"/>
  <c r="E70" i="61"/>
  <c r="C24" i="61" l="1"/>
  <c r="C65" i="61" s="1"/>
  <c r="C71" i="61" s="1"/>
  <c r="M76" i="61" s="1"/>
  <c r="C7" i="57" s="1"/>
  <c r="C66" i="55"/>
  <c r="D66" i="61"/>
  <c r="D70" i="61"/>
  <c r="C66" i="61" l="1"/>
  <c r="C70" i="61"/>
  <c r="M75" i="61" s="1"/>
  <c r="B7" i="57" s="1"/>
  <c r="M67" i="61" l="1"/>
  <c r="M77" i="61" s="1"/>
  <c r="D7" i="57" s="1"/>
  <c r="D25" i="37" l="1"/>
  <c r="M25" i="37"/>
  <c r="M34" i="37" s="1"/>
  <c r="C25" i="37"/>
  <c r="C34" i="37" s="1"/>
  <c r="G25" i="37"/>
  <c r="G34" i="37" s="1"/>
  <c r="H25" i="37"/>
  <c r="H34" i="37" s="1"/>
  <c r="K25" i="37"/>
  <c r="K34" i="37" s="1"/>
  <c r="F25" i="37"/>
  <c r="F34" i="37" s="1"/>
  <c r="J25" i="37"/>
  <c r="J34" i="37" s="1"/>
  <c r="L25" i="37"/>
  <c r="L34" i="37" s="1"/>
  <c r="I25" i="37"/>
  <c r="I34" i="37" s="1"/>
  <c r="E25" i="37"/>
  <c r="E34" i="37" s="1"/>
  <c r="D34" i="37" l="1"/>
  <c r="D49" i="58"/>
  <c r="E46" i="58" s="1"/>
  <c r="E70" i="38"/>
  <c r="D70" i="38"/>
  <c r="D84" i="38" s="1"/>
  <c r="D73" i="38" l="1"/>
  <c r="D79" i="38" s="1"/>
  <c r="E52" i="58"/>
  <c r="E47" i="58"/>
  <c r="E54" i="58" l="1"/>
  <c r="E71" i="58" s="1"/>
  <c r="E69" i="58"/>
  <c r="E86" i="58"/>
  <c r="E87" i="58" s="1"/>
  <c r="E88" i="58" s="1"/>
  <c r="E94" i="58" s="1"/>
  <c r="E95" i="58" l="1"/>
  <c r="E89" i="58" s="1"/>
  <c r="E102" i="58" s="1"/>
  <c r="E96" i="58" l="1"/>
  <c r="F93" i="58" s="1"/>
  <c r="E72" i="58"/>
  <c r="E73" i="58" s="1"/>
  <c r="E79" i="58" s="1"/>
  <c r="E48" i="58" s="1"/>
  <c r="E49" i="58" s="1"/>
  <c r="F46" i="58" s="1"/>
  <c r="E21" i="38"/>
  <c r="E61" i="38" s="1"/>
  <c r="E62" i="38" s="1"/>
  <c r="F52" i="58" l="1"/>
  <c r="F47" i="58"/>
  <c r="E73" i="38"/>
  <c r="E79" i="38" s="1"/>
  <c r="E84" i="38"/>
  <c r="F54" i="58" l="1"/>
  <c r="F71" i="58" s="1"/>
  <c r="F86" i="58"/>
  <c r="F87" i="58" s="1"/>
  <c r="F88" i="58" s="1"/>
  <c r="F94" i="58" s="1"/>
  <c r="F69" i="58"/>
  <c r="F95" i="58" l="1"/>
  <c r="F89" i="58" s="1"/>
  <c r="F102" i="58" s="1"/>
  <c r="F96" i="58" l="1"/>
  <c r="G93" i="58" s="1"/>
  <c r="F72" i="58"/>
  <c r="F73" i="58" s="1"/>
  <c r="F79" i="58" s="1"/>
  <c r="F48" i="58" s="1"/>
  <c r="F21" i="38"/>
  <c r="F61" i="38" s="1"/>
  <c r="F62" i="38" s="1"/>
  <c r="F84" i="38" l="1"/>
  <c r="F73" i="38"/>
  <c r="F49" i="58" l="1"/>
  <c r="G46" i="58" s="1"/>
  <c r="F79" i="38"/>
  <c r="G47" i="58" l="1"/>
  <c r="G52" i="58"/>
  <c r="G54" i="58" l="1"/>
  <c r="G71" i="58" s="1"/>
  <c r="G69" i="58"/>
  <c r="G86" i="58"/>
  <c r="G87" i="58" s="1"/>
  <c r="G88" i="58" s="1"/>
  <c r="G94" i="58" s="1"/>
  <c r="G95" i="58" l="1"/>
  <c r="G89" i="58" s="1"/>
  <c r="G102" i="58" s="1"/>
  <c r="G96" i="58" l="1"/>
  <c r="H93" i="58" s="1"/>
  <c r="G72" i="58"/>
  <c r="G73" i="58" s="1"/>
  <c r="G79" i="58" s="1"/>
  <c r="G48" i="58" s="1"/>
  <c r="G21" i="38"/>
  <c r="G61" i="38" s="1"/>
  <c r="G62" i="38" s="1"/>
  <c r="G84" i="38" l="1"/>
  <c r="G73" i="38"/>
  <c r="G49" i="58" l="1"/>
  <c r="H46" i="58" s="1"/>
  <c r="G79" i="38"/>
  <c r="H47" i="58" l="1"/>
  <c r="H52" i="58"/>
  <c r="H54" i="58" l="1"/>
  <c r="H71" i="58" s="1"/>
  <c r="H86" i="58"/>
  <c r="H87" i="58" s="1"/>
  <c r="H88" i="58" s="1"/>
  <c r="H94" i="58" s="1"/>
  <c r="H69" i="58"/>
  <c r="H95" i="58" l="1"/>
  <c r="H89" i="58" s="1"/>
  <c r="H102" i="58" s="1"/>
  <c r="H72" i="58" l="1"/>
  <c r="H73" i="58" s="1"/>
  <c r="H79" i="58" s="1"/>
  <c r="H48" i="58" s="1"/>
  <c r="H21" i="38"/>
  <c r="H61" i="38" s="1"/>
  <c r="H62" i="38" s="1"/>
  <c r="H96" i="58"/>
  <c r="I93" i="58" s="1"/>
  <c r="H84" i="38" l="1"/>
  <c r="H73" i="38"/>
  <c r="H49" i="58" l="1"/>
  <c r="I46" i="58" s="1"/>
  <c r="H79" i="38"/>
  <c r="I47" i="58" l="1"/>
  <c r="I52" i="58"/>
  <c r="I54" i="58" l="1"/>
  <c r="I71" i="58" s="1"/>
  <c r="I86" i="58"/>
  <c r="I87" i="58" s="1"/>
  <c r="I88" i="58" s="1"/>
  <c r="I94" i="58" s="1"/>
  <c r="I69" i="58"/>
  <c r="I95" i="58" l="1"/>
  <c r="I89" i="58" s="1"/>
  <c r="I102" i="58" s="1"/>
  <c r="I72" i="58" l="1"/>
  <c r="I73" i="58" s="1"/>
  <c r="I79" i="58" s="1"/>
  <c r="I48" i="58" s="1"/>
  <c r="I21" i="38"/>
  <c r="I61" i="38" s="1"/>
  <c r="I62" i="38" s="1"/>
  <c r="I96" i="58"/>
  <c r="J93" i="58" s="1"/>
  <c r="I84" i="38" l="1"/>
  <c r="I73" i="38"/>
  <c r="I49" i="58" l="1"/>
  <c r="J46" i="58" s="1"/>
  <c r="I79" i="38"/>
  <c r="J47" i="58" l="1"/>
  <c r="J52" i="58"/>
  <c r="J54" i="58" l="1"/>
  <c r="J71" i="58" s="1"/>
  <c r="J69" i="58"/>
  <c r="J86" i="58"/>
  <c r="J87" i="58" s="1"/>
  <c r="J88" i="58" s="1"/>
  <c r="J94" i="58" s="1"/>
  <c r="J95" i="58" l="1"/>
  <c r="J89" i="58" s="1"/>
  <c r="J102" i="58" s="1"/>
  <c r="J96" i="58" l="1"/>
  <c r="K93" i="58" s="1"/>
  <c r="J72" i="58"/>
  <c r="J73" i="58" s="1"/>
  <c r="J79" i="58" s="1"/>
  <c r="J48" i="58" s="1"/>
  <c r="J49" i="58" s="1"/>
  <c r="K46" i="58" s="1"/>
  <c r="J21" i="38"/>
  <c r="J61" i="38" s="1"/>
  <c r="J62" i="38" s="1"/>
  <c r="K47" i="58" l="1"/>
  <c r="K52" i="58"/>
  <c r="J73" i="38"/>
  <c r="J79" i="38" s="1"/>
  <c r="J84" i="38"/>
  <c r="K54" i="58" l="1"/>
  <c r="K71" i="58" s="1"/>
  <c r="K86" i="58"/>
  <c r="K87" i="58" s="1"/>
  <c r="K88" i="58" s="1"/>
  <c r="K94" i="58" s="1"/>
  <c r="K69" i="58"/>
  <c r="K95" i="58" l="1"/>
  <c r="K89" i="58" s="1"/>
  <c r="K102" i="58" s="1"/>
  <c r="K96" i="58" l="1"/>
  <c r="L93" i="58" s="1"/>
  <c r="K72" i="58"/>
  <c r="K73" i="58" s="1"/>
  <c r="K79" i="58" s="1"/>
  <c r="K48" i="58" s="1"/>
  <c r="K49" i="58" s="1"/>
  <c r="L46" i="58" s="1"/>
  <c r="K21" i="38"/>
  <c r="K61" i="38" s="1"/>
  <c r="K62" i="38" s="1"/>
  <c r="K73" i="38" l="1"/>
  <c r="K79" i="38" s="1"/>
  <c r="K84" i="38"/>
  <c r="L47" i="58"/>
  <c r="L52" i="58"/>
  <c r="L54" i="58" l="1"/>
  <c r="L71" i="58" s="1"/>
  <c r="L86" i="58"/>
  <c r="L87" i="58" s="1"/>
  <c r="L88" i="58" s="1"/>
  <c r="L94" i="58" s="1"/>
  <c r="L69" i="58"/>
  <c r="L95" i="58" l="1"/>
  <c r="L89" i="58" s="1"/>
  <c r="L102" i="58" s="1"/>
  <c r="L72" i="58" l="1"/>
  <c r="L73" i="58" s="1"/>
  <c r="L79" i="58" s="1"/>
  <c r="L48" i="58" s="1"/>
  <c r="L49" i="58" s="1"/>
  <c r="M46" i="58" s="1"/>
  <c r="L21" i="38"/>
  <c r="L61" i="38" s="1"/>
  <c r="L62" i="38" s="1"/>
  <c r="L96" i="58"/>
  <c r="M93" i="58" s="1"/>
  <c r="L73" i="38" l="1"/>
  <c r="L79" i="38" s="1"/>
  <c r="L84" i="38"/>
  <c r="M47" i="58"/>
  <c r="M52" i="58"/>
  <c r="M54" i="58" l="1"/>
  <c r="M71" i="58" s="1"/>
  <c r="M86" i="58"/>
  <c r="M87" i="58" s="1"/>
  <c r="M88" i="58" s="1"/>
  <c r="M94" i="58" s="1"/>
  <c r="M69" i="58"/>
  <c r="M95" i="58" l="1"/>
  <c r="M89" i="58" s="1"/>
  <c r="M102" i="58" s="1"/>
  <c r="M96" i="58" l="1"/>
  <c r="F6" i="57" s="1"/>
  <c r="M72" i="58"/>
  <c r="M73" i="58" s="1"/>
  <c r="M79" i="58" s="1"/>
  <c r="M48" i="58" s="1"/>
  <c r="M49" i="58" s="1"/>
  <c r="M21" i="38"/>
  <c r="M61" i="38" s="1"/>
  <c r="M62" i="38" s="1"/>
  <c r="M84" i="38" l="1"/>
  <c r="M89" i="38" s="1"/>
  <c r="C6" i="57" s="1"/>
  <c r="M73" i="38"/>
  <c r="M79" i="38" s="1"/>
  <c r="M80" i="38" s="1"/>
  <c r="M90" i="38" s="1"/>
  <c r="D6" i="57" s="1"/>
</calcChain>
</file>

<file path=xl/sharedStrings.xml><?xml version="1.0" encoding="utf-8"?>
<sst xmlns="http://schemas.openxmlformats.org/spreadsheetml/2006/main" count="964" uniqueCount="268">
  <si>
    <t>Description</t>
  </si>
  <si>
    <t>Link</t>
  </si>
  <si>
    <t>N/A</t>
  </si>
  <si>
    <t>Filesite ref</t>
  </si>
  <si>
    <t>Hyperlink</t>
  </si>
  <si>
    <t>Specification approval</t>
  </si>
  <si>
    <t>Not reviewed</t>
  </si>
  <si>
    <t>Not finalised</t>
  </si>
  <si>
    <t>Status Parameter</t>
  </si>
  <si>
    <t>Project</t>
  </si>
  <si>
    <t>Programme</t>
  </si>
  <si>
    <t>Model specification</t>
  </si>
  <si>
    <t>Model version</t>
  </si>
  <si>
    <t>Modeller</t>
  </si>
  <si>
    <t>Date finalised</t>
  </si>
  <si>
    <t>Review</t>
  </si>
  <si>
    <t>Date created</t>
  </si>
  <si>
    <t>Related model</t>
  </si>
  <si>
    <t>Intended modeller(s)</t>
  </si>
  <si>
    <t>Intended reviewer(s)</t>
  </si>
  <si>
    <t>Inputs</t>
  </si>
  <si>
    <t>Calculations</t>
  </si>
  <si>
    <t>Outputs</t>
  </si>
  <si>
    <t>Output</t>
  </si>
  <si>
    <t>[ProjectID] [Project description]</t>
  </si>
  <si>
    <t>Notes</t>
  </si>
  <si>
    <t>This model has been prepared and published for consultation purposes only.</t>
  </si>
  <si>
    <t>Status of Model - Remove for Publication this row and all rows below</t>
  </si>
  <si>
    <t>Depreciation</t>
  </si>
  <si>
    <t>Tax</t>
  </si>
  <si>
    <t>Gross profit</t>
  </si>
  <si>
    <t>Value at 30 June '21</t>
  </si>
  <si>
    <t>Benefit of Crown financing</t>
  </si>
  <si>
    <t>Return on assets - equity</t>
  </si>
  <si>
    <t>Return on assets - debt</t>
  </si>
  <si>
    <t>Return on assets</t>
  </si>
  <si>
    <t>Tax depreciation</t>
  </si>
  <si>
    <t>Risk free rate</t>
  </si>
  <si>
    <t>Asset beta</t>
  </si>
  <si>
    <t>Equity beta</t>
  </si>
  <si>
    <t>TAMRP</t>
  </si>
  <si>
    <t>Average investor tax rate</t>
  </si>
  <si>
    <t>Debt risk premium</t>
  </si>
  <si>
    <t>Debt issuance costs</t>
  </si>
  <si>
    <t>Leverage</t>
  </si>
  <si>
    <t>Crown financing as a proportion of total financing</t>
  </si>
  <si>
    <t>Debt from all sources as a proportion of total financing</t>
  </si>
  <si>
    <t>Vanilla WACC</t>
  </si>
  <si>
    <t>Adjusted WACC</t>
  </si>
  <si>
    <t>Intra-year timing</t>
  </si>
  <si>
    <t>UFB start date</t>
  </si>
  <si>
    <t>Value</t>
  </si>
  <si>
    <t>Last day of year 1 of the period</t>
  </si>
  <si>
    <t>Days in a year</t>
  </si>
  <si>
    <t>Days from mid-year to year-end</t>
  </si>
  <si>
    <t>Days from revenue date to year-end</t>
  </si>
  <si>
    <t>Mid-year date</t>
  </si>
  <si>
    <t>Revenue date</t>
  </si>
  <si>
    <t>Operating expenditure date</t>
  </si>
  <si>
    <t>i.e. mid-year</t>
  </si>
  <si>
    <t>Tax date</t>
  </si>
  <si>
    <t>Asset commissioning date</t>
  </si>
  <si>
    <t>Interest date</t>
  </si>
  <si>
    <t>TF for mid-year cash flows</t>
  </si>
  <si>
    <t>Intra-year timing factors: discount from mid year to end of year values</t>
  </si>
  <si>
    <t>Intra-year timing factor: discount from revenue date to end of year values</t>
  </si>
  <si>
    <t>Telecommunications</t>
  </si>
  <si>
    <t>UFB revenue</t>
  </si>
  <si>
    <t>TFopex</t>
  </si>
  <si>
    <t>TFtax</t>
  </si>
  <si>
    <t>TFVCA</t>
  </si>
  <si>
    <t>TFrev</t>
  </si>
  <si>
    <t xml:space="preserve">Cost of capital </t>
  </si>
  <si>
    <t>$000</t>
  </si>
  <si>
    <t>Value of commissioned assets</t>
  </si>
  <si>
    <t xml:space="preserve">Depreciation </t>
  </si>
  <si>
    <t>Financial loss asset</t>
  </si>
  <si>
    <t>Tax cost</t>
  </si>
  <si>
    <t>Draft decision: building block method</t>
  </si>
  <si>
    <t>Timing factors</t>
  </si>
  <si>
    <t>Value of commissioned assets  x TFvca</t>
  </si>
  <si>
    <t>Summary</t>
  </si>
  <si>
    <t>Adjusted WACC method</t>
  </si>
  <si>
    <t>Building block costs</t>
  </si>
  <si>
    <t>UFB cost</t>
  </si>
  <si>
    <t>Unrecovered returns on investment</t>
  </si>
  <si>
    <t>Avoided financing cost building block</t>
  </si>
  <si>
    <t>Tax cost x Tftax</t>
  </si>
  <si>
    <t>%</t>
  </si>
  <si>
    <t>Crown financing</t>
  </si>
  <si>
    <t>Crown financing (opening value)</t>
  </si>
  <si>
    <t>UFB costs</t>
  </si>
  <si>
    <t>Financial loss asset  (30 June '21)</t>
  </si>
  <si>
    <t>Opening core fibre asset base value</t>
  </si>
  <si>
    <t>Notional deductible interest</t>
  </si>
  <si>
    <t>Weighted average asset life</t>
  </si>
  <si>
    <t>After applying timing factors</t>
  </si>
  <si>
    <t>Before applying timing factors (to calculate depreciation)</t>
  </si>
  <si>
    <t>UFB revenue (annual PV in 2022)</t>
  </si>
  <si>
    <t>Crown financing (closing value)</t>
  </si>
  <si>
    <t>Crown financing repayment</t>
  </si>
  <si>
    <t xml:space="preserve">Crown financing </t>
  </si>
  <si>
    <t>Tax asset life</t>
  </si>
  <si>
    <t>Cost of debt</t>
  </si>
  <si>
    <t>Unrecovered returns on investment (before financial loss)</t>
  </si>
  <si>
    <t>Gross financial losses</t>
  </si>
  <si>
    <t xml:space="preserve">Financial loss asset </t>
  </si>
  <si>
    <t>Index</t>
  </si>
  <si>
    <t>Other inputs</t>
  </si>
  <si>
    <t>Compounding factor (adjusted WACC)</t>
  </si>
  <si>
    <t>Stand-alone financing cost method</t>
  </si>
  <si>
    <t>Compounding factors</t>
  </si>
  <si>
    <t>Roll forward to calculate tax depreciation</t>
  </si>
  <si>
    <t>Building block method</t>
  </si>
  <si>
    <t>List</t>
  </si>
  <si>
    <t>Cost of equity</t>
  </si>
  <si>
    <t>Adjusted debt rate</t>
  </si>
  <si>
    <t>Adjusted equity rate</t>
  </si>
  <si>
    <t>&lt;&lt; Switch</t>
  </si>
  <si>
    <t>Stand-alone avoided financing cost</t>
  </si>
  <si>
    <t>Rate</t>
  </si>
  <si>
    <t>Corporate tax rate</t>
  </si>
  <si>
    <t>Fibre input methodologies draft decision</t>
  </si>
  <si>
    <t xml:space="preserve">Tax cost </t>
  </si>
  <si>
    <t>Note</t>
  </si>
  <si>
    <t xml:space="preserve">Tax loss calculation </t>
  </si>
  <si>
    <t>Page left intentionally blank</t>
  </si>
  <si>
    <t>Unrecovered returns on investment for notional deductible interest</t>
  </si>
  <si>
    <t>Unrecovered returns on investment (for notional deductible interest)</t>
  </si>
  <si>
    <t>Tax cost switch</t>
  </si>
  <si>
    <t>Before tax or after tax?</t>
  </si>
  <si>
    <t>Before tax</t>
  </si>
  <si>
    <t>After tax</t>
  </si>
  <si>
    <t>Tax (before tax losses)</t>
  </si>
  <si>
    <t xml:space="preserve"> Note: calculated below</t>
  </si>
  <si>
    <t>Note: for simplicity the cost of capital calculations in this sheet ignore tax</t>
  </si>
  <si>
    <t xml:space="preserve">Unrecovered returns on investment (for notional deductible interest) </t>
  </si>
  <si>
    <t xml:space="preserve"> Note: used below</t>
  </si>
  <si>
    <t>Avoided cost of debt rate</t>
  </si>
  <si>
    <t xml:space="preserve">Tax </t>
  </si>
  <si>
    <t>Regulated provider data</t>
  </si>
  <si>
    <t>Adjusted UFB asset initial values</t>
  </si>
  <si>
    <t>Roll forward for 'adjusted UFB asset initial values'</t>
  </si>
  <si>
    <t>Simplifying assumption</t>
  </si>
  <si>
    <t>Operating expenditure</t>
  </si>
  <si>
    <t>Operating expenditures x TFopex</t>
  </si>
  <si>
    <t>Count</t>
  </si>
  <si>
    <t>For building block method and  stand-alone avoided financial cost method</t>
  </si>
  <si>
    <t>Published 17 December 2019</t>
  </si>
  <si>
    <t>General description</t>
  </si>
  <si>
    <t>Model overview for illustration of draft decision (building block method)</t>
  </si>
  <si>
    <t>Model overview for illustration of alternative: adjusted WACC method</t>
  </si>
  <si>
    <t>Model overview for illustration of alternative: stand-alone avoided financial cost method</t>
  </si>
  <si>
    <t>16531 Fibre Input Methodologies</t>
  </si>
  <si>
    <t>Tobias Maugg</t>
  </si>
  <si>
    <t>Michael Wallace</t>
  </si>
  <si>
    <t>V6</t>
  </si>
  <si>
    <t>NA</t>
  </si>
  <si>
    <t>Tobias Maugg, Steve Riceman (based on Greg Watkinson protoype)</t>
  </si>
  <si>
    <t>All figures are purely illustrative</t>
  </si>
  <si>
    <t>Cost of capital</t>
  </si>
  <si>
    <t>Timing</t>
  </si>
  <si>
    <t>A1 Tax</t>
  </si>
  <si>
    <t>A1 Financial loss asset</t>
  </si>
  <si>
    <t>A2 Tax</t>
  </si>
  <si>
    <t>A2 Financial loss asset</t>
  </si>
  <si>
    <t>No timing factors applied</t>
  </si>
  <si>
    <t>Model specification  - Building block method for calculating financial loss asset  (Illustration of Fibre IM draft decision)</t>
  </si>
  <si>
    <t>Timing factors applied</t>
  </si>
  <si>
    <t>Common inputs and calculations</t>
  </si>
  <si>
    <t>Sheet name</t>
  </si>
  <si>
    <t>Alternative method calculations: adjusted WACC method</t>
  </si>
  <si>
    <t>Draft decision calculations: building block method</t>
  </si>
  <si>
    <t>Alternative method calculations: stand alone avoided financing cost method</t>
  </si>
  <si>
    <t>Table of contents</t>
  </si>
  <si>
    <t>Cost of capital (vanilla WACC)</t>
  </si>
  <si>
    <t>Cost of capital  (vanilla WACC)</t>
  </si>
  <si>
    <t>Compounding factor (vanilla WACC)</t>
  </si>
  <si>
    <t>Compounding factor  (vanilla WACC)</t>
  </si>
  <si>
    <t>Benefit of Crown financing (annual amount)</t>
  </si>
  <si>
    <t>Avoided financing cost building block (for notional deductible interest)</t>
  </si>
  <si>
    <t>Note: this method provides  thesame financial loss asset result as the draft decision and the adjusted WACC methods  when the financing rate is changed to  'cost of capital (vanilla WACC)'</t>
  </si>
  <si>
    <t>IM reference</t>
  </si>
  <si>
    <t>UFB costs (including unrecovered returns)</t>
  </si>
  <si>
    <t>2022 PV</t>
  </si>
  <si>
    <t>2022 PV ($000)</t>
  </si>
  <si>
    <t>Before or after tax?</t>
  </si>
  <si>
    <t xml:space="preserve">Tax loss opening balance in 2022 </t>
  </si>
  <si>
    <t>Timing factors applied?</t>
  </si>
  <si>
    <t>Below a summary of key modelling results and assumptions</t>
  </si>
  <si>
    <t>Derivation of the five timing factors TFopex, TFtax, TFVCA and TFrev.</t>
  </si>
  <si>
    <t>Note that timing factors can only be applied  to draft decision (building block method), see switch in sheet 'Inputs'</t>
  </si>
  <si>
    <t>clause 2.2.3(25)</t>
  </si>
  <si>
    <t>Avoided cost debt rate</t>
  </si>
  <si>
    <t>clause 2.2.3(25) (a)</t>
  </si>
  <si>
    <t>Avoided cost  debt rate</t>
  </si>
  <si>
    <t>Compounding factor  (avoided cost debt rate)</t>
  </si>
  <si>
    <t>Illustrative figure</t>
  </si>
  <si>
    <t>UFB revenues</t>
  </si>
  <si>
    <t xml:space="preserve">UFB revenue </t>
  </si>
  <si>
    <t>UFB revenues (annual PV in 2022)</t>
  </si>
  <si>
    <t>clause 2.2.12(1)</t>
  </si>
  <si>
    <t>Input used as part of simplifying assumption -  straightline depreciation ; assets commissioned in a given year are not depreciated until the following year</t>
  </si>
  <si>
    <t>Input used as part of simplifying assumption -  straightline depreciation; assets commissioned in a given year are not depreciated until the following year</t>
  </si>
  <si>
    <t>clause 1.1.4(2)</t>
  </si>
  <si>
    <t>Used in adjusted WACC method</t>
  </si>
  <si>
    <t>clause 2.3.1(7)</t>
  </si>
  <si>
    <t>Tax costs</t>
  </si>
  <si>
    <t>clause 2.3.4(1)</t>
  </si>
  <si>
    <t>Utilised tax losses</t>
  </si>
  <si>
    <t>Current period tax losses</t>
  </si>
  <si>
    <t>Opening tax losses</t>
  </si>
  <si>
    <t>Closing tax losses</t>
  </si>
  <si>
    <t>clause 2.3.3(3)</t>
  </si>
  <si>
    <t>clause 2.3.4(3)</t>
  </si>
  <si>
    <t>Depreciation (for unrecovered returns on investment for notional deductible interest)</t>
  </si>
  <si>
    <t>clause 2.3.4(4)</t>
  </si>
  <si>
    <t>clause 2.3.4(5)</t>
  </si>
  <si>
    <t>Opening UFB asset base value</t>
  </si>
  <si>
    <t>clause 2.2.3(27)</t>
  </si>
  <si>
    <t>Simplifying assumption -  straightline depreciation; assets commissioned in a given year are not depreciated until the following year</t>
  </si>
  <si>
    <t>Closing UFB asset base value</t>
  </si>
  <si>
    <t>Opening UFB asset base value  (for notional deductible interest)</t>
  </si>
  <si>
    <t>Opening balance of unrecovered returns on investment for notional deductible interest</t>
  </si>
  <si>
    <t>Closing balance of unrecovered returns on investment for notional deductible interest</t>
  </si>
  <si>
    <t>Opening UFB asset base value (for notional deductible interest)</t>
  </si>
  <si>
    <t>Closing UFB asset base value (for notional deductible interest)</t>
  </si>
  <si>
    <t>Closing balance of unrecovered returns on investment (for notional deductible interest)</t>
  </si>
  <si>
    <t>Opening balance of unrecovered returns on investment (for notional deductible interest)</t>
  </si>
  <si>
    <t>clause 2.2.3 (26)</t>
  </si>
  <si>
    <t>Opening regulatory tax asset value</t>
  </si>
  <si>
    <t>clause 2.3.2(1)</t>
  </si>
  <si>
    <t>clause 2.2.4(1)</t>
  </si>
  <si>
    <t>Closing regulatory tax asset value</t>
  </si>
  <si>
    <t>UFB revenues x TFrev</t>
  </si>
  <si>
    <t>clause 2.23(1)</t>
  </si>
  <si>
    <t>Figures are intended for years (or part years) ending on 30 June</t>
  </si>
  <si>
    <t>Part year</t>
  </si>
  <si>
    <t>Compounding factor  (avoided cost  debt rate)</t>
  </si>
  <si>
    <t>Illustration of financial loss asset calculation</t>
  </si>
  <si>
    <t>Timing factor switch</t>
  </si>
  <si>
    <t>Switches</t>
  </si>
  <si>
    <t>Use switch to turn off timing factors  when comparing across methods.</t>
  </si>
  <si>
    <t>This sheet also calculates  'Crown financing as a proportion of total financing' which is an input to the 'adjusted debt rate' in sheet 'Cost of capital'</t>
  </si>
  <si>
    <t>Number of days (for partial years)</t>
  </si>
  <si>
    <t>#</t>
  </si>
  <si>
    <t>Compounding factor step 1 (vanilla WACC)</t>
  </si>
  <si>
    <t>Compounding factor step 1 (adjusted WACC)</t>
  </si>
  <si>
    <t>Compounding factor step 1 (avoided cost debt rate)</t>
  </si>
  <si>
    <t>clause 2.4.10(5)</t>
  </si>
  <si>
    <t>Illustrative figure.  For building block method and adjusted WACC method to produce the same answer, set 'avoided cost debt rate' equal to 'cost of debt'  (sheet 'Cost of capital', row 60)</t>
  </si>
  <si>
    <t>Years</t>
  </si>
  <si>
    <t xml:space="preserve">clause 2.2.3(27) </t>
  </si>
  <si>
    <t>Value of financial losses (PV 30 June 2021)</t>
  </si>
  <si>
    <t>Financial loss asset  (30 June 2021)</t>
  </si>
  <si>
    <t>Value of financial losses at 30 June 2021</t>
  </si>
  <si>
    <t xml:space="preserve">Value of financial losses </t>
  </si>
  <si>
    <t>12 equal monthly transactions on the 20th of the following month can be approximated by a single payment on the revenue date.</t>
  </si>
  <si>
    <t>Part year adjustment</t>
  </si>
  <si>
    <t>Days</t>
  </si>
  <si>
    <t>Financial loss  asset  — illustrative calculation</t>
  </si>
  <si>
    <t>Tax cost —illustrative calculation</t>
  </si>
  <si>
    <t>This method provides  the same financial loss asset result as the draft decision and the adjusted WACC methods  when the compounding rate is changed to  'Compounding factor (vanilla WACC)'</t>
  </si>
  <si>
    <t>UFB fibre assets</t>
  </si>
  <si>
    <t xml:space="preserve">In the illustrative modelling we have made the simplifying assumption that the Crown financing (including the benefit) is received at year end.  For the actual calculation of the financial loss asset the actual timing will be considered. </t>
  </si>
  <si>
    <t xml:space="preserve">This model illustrates the calculation of the financial loss asset in accordance with the draft fibre input methodologies determination published on 11 December 2019.  
The model also illustrates the two alternative methods as described in the draft decision reasons paper published on 19 November 2019.
</t>
  </si>
  <si>
    <t>Compounding factor (avoided cost debt rate)</t>
  </si>
  <si>
    <t>To obtain the same financial loss asset values for the building block method and the ajdusted WACC method, set the 'avoided cost debt rate' equal to the 'cost of debt' (see rows 57 and 60 in sheet 'Cost of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</si>
</sst>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64" formatCode="_(* #,##0.00_);_(* \(#,##0.00\);_(* &quot;-&quot;??_);_(@_)"/>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0_);_(* \(#,##0.0\);_(* &quot;-&quot;??_);_(@_)"/>
    <numFmt numFmtId="187" formatCode="0.0%"/>
    <numFmt numFmtId="188" formatCode="_(* #,##0_);_(* \(#,##0\);_(* &quot;–&quot;??_);_(* @_)"/>
    <numFmt numFmtId="189" formatCode="0.0000%"/>
    <numFmt numFmtId="190" formatCode="0.000%"/>
    <numFmt numFmtId="191" formatCode="#,##0.0000"/>
    <numFmt numFmtId="192" formatCode="#,##0.0"/>
    <numFmt numFmtId="193" formatCode="0.0"/>
    <numFmt numFmtId="199" formatCode="0.000"/>
    <numFmt numFmtId="204" formatCode="#,##0.000"/>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theme="1"/>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b/>
      <sz val="12"/>
      <color theme="1"/>
      <name val="Calibri"/>
      <family val="2"/>
      <scheme val="minor"/>
    </font>
    <font>
      <sz val="11"/>
      <name val="Calibri"/>
      <family val="2"/>
    </font>
    <font>
      <sz val="11"/>
      <color theme="1"/>
      <name val="Calibri"/>
      <family val="2"/>
    </font>
    <font>
      <i/>
      <sz val="10"/>
      <name val="Calibri"/>
      <family val="4"/>
      <scheme val="minor"/>
    </font>
    <font>
      <b/>
      <sz val="10"/>
      <color theme="1"/>
      <name val="Calibri"/>
      <family val="2"/>
      <scheme val="minor"/>
    </font>
    <font>
      <u/>
      <sz val="10"/>
      <color theme="11"/>
      <name val="Calibri"/>
      <family val="2"/>
      <scheme val="minor"/>
    </font>
    <font>
      <sz val="10"/>
      <color theme="4"/>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i/>
      <sz val="11"/>
      <color theme="1"/>
      <name val="Calibri"/>
      <family val="2"/>
      <scheme val="minor"/>
    </font>
    <font>
      <sz val="8"/>
      <color theme="1"/>
      <name val="Calibri"/>
      <family val="2"/>
      <scheme val="minor"/>
    </font>
    <font>
      <sz val="18"/>
      <color theme="3"/>
      <name val="Cambria"/>
      <family val="2"/>
      <scheme val="major"/>
    </font>
    <font>
      <i/>
      <sz val="11"/>
      <color rgb="FF7F7F7F"/>
      <name val="Calibri"/>
      <family val="2"/>
      <scheme val="minor"/>
    </font>
    <font>
      <sz val="12"/>
      <color theme="1"/>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8"/>
      <name val="Calibri"/>
      <family val="2"/>
      <scheme val="minor"/>
    </font>
    <font>
      <sz val="10"/>
      <name val="Calibri"/>
      <family val="2"/>
      <scheme val="minor"/>
    </font>
    <font>
      <b/>
      <sz val="14"/>
      <color theme="0" tint="-0.499984740745262"/>
      <name val="Calibri"/>
      <family val="2"/>
      <scheme val="minor"/>
    </font>
    <font>
      <b/>
      <sz val="8"/>
      <name val="Calibri"/>
      <family val="2"/>
      <scheme val="minor"/>
    </font>
    <font>
      <b/>
      <sz val="10"/>
      <color theme="4"/>
      <name val="Calibri"/>
      <family val="4"/>
      <scheme val="minor"/>
    </font>
    <font>
      <sz val="10"/>
      <color theme="0" tint="-0.14999847407452621"/>
      <name val="Calibri"/>
      <family val="2"/>
      <scheme val="minor"/>
    </font>
    <font>
      <sz val="11"/>
      <color theme="0" tint="-0.14999847407452621"/>
      <name val="Calibri"/>
      <family val="2"/>
      <scheme val="minor"/>
    </font>
    <font>
      <b/>
      <sz val="11"/>
      <color rgb="FFC00000"/>
      <name val="Calibri"/>
      <family val="2"/>
      <scheme val="minor"/>
    </font>
    <font>
      <i/>
      <sz val="10"/>
      <name val="Calibri"/>
      <family val="2"/>
      <scheme val="minor"/>
    </font>
    <font>
      <i/>
      <sz val="11"/>
      <name val="Calibri"/>
      <family val="2"/>
      <scheme val="minor"/>
    </font>
    <font>
      <b/>
      <sz val="12"/>
      <name val="Calibri"/>
      <family val="2"/>
      <scheme val="minor"/>
    </font>
    <font>
      <sz val="12"/>
      <name val="Calibri"/>
      <family val="2"/>
      <scheme val="minor"/>
    </font>
    <font>
      <sz val="10"/>
      <color rgb="FFC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8"/>
        <bgColor indexed="64"/>
      </patternFill>
    </fill>
    <fill>
      <patternFill patternType="solid">
        <fgColor theme="8" tint="0.59996337778862885"/>
        <bgColor indexed="64"/>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style="thin">
        <color rgb="FFB0A978"/>
      </top>
      <bottom style="thin">
        <color theme="7"/>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top style="thin">
        <color theme="1"/>
      </top>
      <bottom style="thin">
        <color rgb="FFB0A978"/>
      </bottom>
      <diagonal/>
    </border>
    <border>
      <left/>
      <right/>
      <top style="thin">
        <color theme="1"/>
      </top>
      <bottom style="thin">
        <color theme="8"/>
      </bottom>
      <diagonal/>
    </border>
    <border>
      <left/>
      <right/>
      <top style="thin">
        <color theme="8"/>
      </top>
      <bottom style="thin">
        <color theme="1"/>
      </bottom>
      <diagonal/>
    </border>
    <border>
      <left/>
      <right style="thin">
        <color theme="6" tint="-0.24994659260841701"/>
      </right>
      <top style="thin">
        <color theme="1"/>
      </top>
      <bottom style="thin">
        <color rgb="FFB0A978"/>
      </bottom>
      <diagonal/>
    </border>
    <border>
      <left style="thin">
        <color theme="6"/>
      </left>
      <right/>
      <top style="thin">
        <color theme="1"/>
      </top>
      <bottom style="thin">
        <color rgb="FFB0A978"/>
      </bottom>
      <diagonal/>
    </border>
    <border>
      <left/>
      <right/>
      <top style="thin">
        <color theme="0"/>
      </top>
      <bottom style="thin">
        <color theme="0"/>
      </bottom>
      <diagonal/>
    </border>
    <border>
      <left/>
      <right style="thin">
        <color theme="4"/>
      </right>
      <top style="thin">
        <color rgb="FFB0A978"/>
      </top>
      <bottom style="thin">
        <color rgb="FFB0A978"/>
      </bottom>
      <diagonal/>
    </border>
    <border>
      <left style="thin">
        <color theme="4"/>
      </left>
      <right/>
      <top style="thin">
        <color rgb="FFB0A978"/>
      </top>
      <bottom style="thin">
        <color rgb="FFB0A978"/>
      </bottom>
      <diagonal/>
    </border>
  </borders>
  <cellStyleXfs count="79">
    <xf numFmtId="0" fontId="0" fillId="0" borderId="0"/>
    <xf numFmtId="164" fontId="1" fillId="0" borderId="0" applyFont="0" applyFill="0" applyBorder="0" applyAlignment="0" applyProtection="0"/>
    <xf numFmtId="180" fontId="13"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49" fontId="27" fillId="0" borderId="0" applyFill="0" applyAlignment="0"/>
    <xf numFmtId="49" fontId="14" fillId="0" borderId="0" applyFill="0" applyAlignment="0"/>
    <xf numFmtId="49" fontId="15" fillId="0" borderId="0" applyFill="0" applyAlignment="0"/>
    <xf numFmtId="49" fontId="16"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6" fillId="0" borderId="17" applyNumberFormat="0" applyAlignment="0">
      <protection locked="0"/>
    </xf>
    <xf numFmtId="0" fontId="1" fillId="0" borderId="17"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1"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9" fillId="0" borderId="0" applyFont="0" applyFill="0" applyBorder="0" applyAlignment="0" applyProtection="0">
      <alignment horizontal="left"/>
      <protection locked="0"/>
    </xf>
    <xf numFmtId="167" fontId="1" fillId="34" borderId="18" applyNumberFormat="0" applyFont="0" applyFill="0" applyAlignment="0" applyProtection="0"/>
    <xf numFmtId="177" fontId="13" fillId="32" borderId="0" applyFont="0" applyBorder="0"/>
    <xf numFmtId="176" fontId="19" fillId="0" borderId="0" applyFont="0" applyFill="0" applyBorder="0" applyAlignment="0" applyProtection="0">
      <protection locked="0"/>
    </xf>
    <xf numFmtId="175" fontId="13" fillId="0" borderId="0" applyFont="0" applyFill="0" applyBorder="0" applyAlignment="0" applyProtection="0">
      <alignment horizontal="center" vertical="top" wrapText="1"/>
    </xf>
    <xf numFmtId="174" fontId="28" fillId="0" borderId="17" applyNumberFormat="0" applyAlignment="0"/>
    <xf numFmtId="0" fontId="17" fillId="0" borderId="17" applyNumberFormat="0">
      <alignment horizontal="centerContinuous" wrapText="1"/>
    </xf>
    <xf numFmtId="173" fontId="19" fillId="0" borderId="0" applyFont="0" applyFill="0" applyBorder="0" applyAlignment="0" applyProtection="0">
      <alignment wrapText="1"/>
    </xf>
    <xf numFmtId="172" fontId="19" fillId="0" borderId="0" applyFont="0" applyFill="0" applyBorder="0" applyAlignment="0" applyProtection="0"/>
    <xf numFmtId="171" fontId="19" fillId="0" borderId="0" applyFont="0" applyFill="0" applyBorder="0" applyAlignment="0" applyProtection="0">
      <protection locked="0"/>
    </xf>
    <xf numFmtId="169" fontId="20" fillId="0" borderId="0" applyFont="0" applyFill="0" applyBorder="0" applyAlignment="0" applyProtection="0">
      <alignment horizontal="left"/>
      <protection locked="0"/>
    </xf>
    <xf numFmtId="170" fontId="19" fillId="0" borderId="0" applyFont="0" applyFill="0" applyBorder="0" applyAlignment="0" applyProtection="0">
      <protection locked="0"/>
    </xf>
    <xf numFmtId="0" fontId="25"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3"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3" fillId="35" borderId="17" applyNumberFormat="0" applyAlignment="0" applyProtection="0"/>
    <xf numFmtId="49" fontId="21" fillId="0" borderId="0" applyFill="0" applyProtection="0">
      <alignment horizontal="left" indent="1"/>
    </xf>
    <xf numFmtId="164"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4" fillId="0" borderId="19" applyNumberFormat="0" applyFill="0" applyAlignment="0" applyProtection="0"/>
    <xf numFmtId="0" fontId="17" fillId="37" borderId="14" applyNumberFormat="0" applyFill="0">
      <alignment horizontal="centerContinuous" wrapText="1"/>
    </xf>
    <xf numFmtId="0" fontId="35" fillId="5" borderId="20" applyNumberFormat="0" applyAlignment="0" applyProtection="0"/>
    <xf numFmtId="174" fontId="36" fillId="38" borderId="14" applyNumberFormat="0" applyFill="0" applyAlignment="0"/>
    <xf numFmtId="167" fontId="1" fillId="0" borderId="0" applyFont="0" applyFill="0" applyBorder="0" applyAlignment="0" applyProtection="0"/>
    <xf numFmtId="169" fontId="19" fillId="0" borderId="0" applyFont="0" applyFill="0" applyBorder="0" applyAlignment="0" applyProtection="0">
      <alignment horizontal="left"/>
      <protection locked="0"/>
    </xf>
    <xf numFmtId="0" fontId="37" fillId="0" borderId="23" applyNumberFormat="0" applyFill="0" applyAlignment="0" applyProtection="0"/>
    <xf numFmtId="170" fontId="1" fillId="34" borderId="24" applyNumberFormat="0" applyFont="0" applyFill="0" applyAlignment="0" applyProtection="0"/>
    <xf numFmtId="0" fontId="38" fillId="39" borderId="1" applyNumberFormat="0" applyAlignment="0" applyProtection="0"/>
  </cellStyleXfs>
  <cellXfs count="287">
    <xf numFmtId="0" fontId="0" fillId="0" borderId="0" xfId="0"/>
    <xf numFmtId="0" fontId="0" fillId="0" borderId="0" xfId="0"/>
    <xf numFmtId="0" fontId="12" fillId="32" borderId="6" xfId="0" applyFont="1" applyFill="1" applyBorder="1"/>
    <xf numFmtId="0" fontId="12" fillId="32" borderId="7" xfId="0" applyFont="1" applyFill="1" applyBorder="1"/>
    <xf numFmtId="0" fontId="12" fillId="32" borderId="8" xfId="0" applyFont="1" applyFill="1" applyBorder="1"/>
    <xf numFmtId="0" fontId="12" fillId="32" borderId="9" xfId="0" applyFont="1" applyFill="1" applyBorder="1" applyAlignment="1">
      <alignment horizontal="centerContinuous"/>
    </xf>
    <xf numFmtId="0" fontId="12" fillId="32" borderId="0" xfId="0" applyFont="1" applyFill="1" applyBorder="1" applyAlignment="1">
      <alignment horizontal="centerContinuous"/>
    </xf>
    <xf numFmtId="0" fontId="12" fillId="32" borderId="9" xfId="0" applyFont="1" applyFill="1" applyBorder="1"/>
    <xf numFmtId="0" fontId="0" fillId="0" borderId="0" xfId="0" applyBorder="1"/>
    <xf numFmtId="0" fontId="12" fillId="32" borderId="10" xfId="0" applyFont="1" applyFill="1" applyBorder="1"/>
    <xf numFmtId="0" fontId="12" fillId="32" borderId="9" xfId="0" applyFont="1" applyFill="1" applyBorder="1" applyAlignment="1"/>
    <xf numFmtId="0" fontId="12" fillId="32" borderId="0" xfId="0" applyFont="1" applyFill="1" applyBorder="1"/>
    <xf numFmtId="0" fontId="0" fillId="0" borderId="9" xfId="0" applyBorder="1"/>
    <xf numFmtId="0" fontId="0" fillId="0" borderId="10" xfId="0" applyBorder="1"/>
    <xf numFmtId="0" fontId="0" fillId="0" borderId="11" xfId="0" applyBorder="1"/>
    <xf numFmtId="0" fontId="0" fillId="0" borderId="12" xfId="0" applyBorder="1"/>
    <xf numFmtId="49" fontId="27" fillId="0" borderId="0" xfId="5"/>
    <xf numFmtId="169" fontId="0" fillId="0" borderId="0" xfId="56" applyFont="1" applyBorder="1" applyAlignment="1" applyProtection="1"/>
    <xf numFmtId="169" fontId="1" fillId="0" borderId="17" xfId="14" applyNumberFormat="1" applyFill="1" applyAlignment="1"/>
    <xf numFmtId="179" fontId="1" fillId="0" borderId="17" xfId="14" applyNumberFormat="1" applyFill="1" applyAlignment="1"/>
    <xf numFmtId="0" fontId="0" fillId="0" borderId="0" xfId="0" applyFill="1" applyBorder="1"/>
    <xf numFmtId="0" fontId="0" fillId="0" borderId="0" xfId="0" applyFill="1" applyBorder="1" applyAlignment="1">
      <alignment vertical="top" wrapText="1"/>
    </xf>
    <xf numFmtId="0" fontId="17" fillId="0" borderId="0" xfId="52" applyFill="1" applyBorder="1">
      <alignment horizontal="centerContinuous" wrapText="1"/>
    </xf>
    <xf numFmtId="169" fontId="1" fillId="0" borderId="17" xfId="14" applyNumberFormat="1" applyFill="1" applyAlignment="1">
      <alignment wrapText="1"/>
    </xf>
    <xf numFmtId="173" fontId="1" fillId="0" borderId="17" xfId="14" applyNumberFormat="1" applyFill="1" applyAlignment="1">
      <alignment horizontal="left"/>
    </xf>
    <xf numFmtId="0" fontId="25" fillId="0" borderId="14" xfId="58" applyFill="1" applyBorder="1" applyAlignment="1" applyProtection="1"/>
    <xf numFmtId="0" fontId="0" fillId="0" borderId="13" xfId="0" applyFont="1" applyFill="1" applyBorder="1"/>
    <xf numFmtId="0" fontId="0" fillId="0" borderId="12" xfId="0" applyFont="1" applyFill="1" applyBorder="1"/>
    <xf numFmtId="0" fontId="0" fillId="0" borderId="11" xfId="0" applyFont="1" applyFill="1" applyBorder="1"/>
    <xf numFmtId="0" fontId="0" fillId="0" borderId="0" xfId="0" applyFont="1" applyBorder="1"/>
    <xf numFmtId="49" fontId="21" fillId="0" borderId="0" xfId="65" applyAlignment="1">
      <alignment vertical="top"/>
    </xf>
    <xf numFmtId="169" fontId="1" fillId="0" borderId="16" xfId="14" applyNumberFormat="1" applyFill="1" applyBorder="1" applyAlignment="1"/>
    <xf numFmtId="179" fontId="1" fillId="0" borderId="16" xfId="14" applyNumberFormat="1" applyFill="1" applyBorder="1" applyAlignment="1"/>
    <xf numFmtId="0" fontId="25" fillId="0" borderId="16" xfId="58" applyFill="1" applyBorder="1" applyAlignment="1" applyProtection="1"/>
    <xf numFmtId="169" fontId="0" fillId="0" borderId="15" xfId="14" applyNumberFormat="1" applyFont="1" applyFill="1" applyBorder="1" applyAlignment="1"/>
    <xf numFmtId="49" fontId="14" fillId="0" borderId="0" xfId="6"/>
    <xf numFmtId="0" fontId="0" fillId="0" borderId="0" xfId="0" applyAlignment="1" applyProtection="1"/>
    <xf numFmtId="0" fontId="24" fillId="32" borderId="10" xfId="0" applyFont="1" applyFill="1" applyBorder="1"/>
    <xf numFmtId="49" fontId="27" fillId="0" borderId="0" xfId="5" applyFill="1" applyAlignment="1">
      <alignment horizontal="centerContinuous"/>
    </xf>
    <xf numFmtId="169" fontId="1" fillId="0" borderId="16" xfId="14" applyNumberFormat="1" applyFill="1" applyBorder="1" applyAlignment="1">
      <alignment vertical="top"/>
    </xf>
    <xf numFmtId="169" fontId="1" fillId="0" borderId="0" xfId="14" applyNumberFormat="1" applyFill="1" applyBorder="1" applyAlignment="1">
      <alignment vertical="top"/>
    </xf>
    <xf numFmtId="49" fontId="27" fillId="0" borderId="0" xfId="5" applyFill="1" applyAlignment="1">
      <alignment horizontal="left" indent="1"/>
    </xf>
    <xf numFmtId="0" fontId="2" fillId="0" borderId="0" xfId="0" applyFont="1"/>
    <xf numFmtId="3" fontId="0" fillId="0" borderId="0" xfId="66" applyNumberFormat="1" applyFont="1"/>
    <xf numFmtId="2" fontId="0" fillId="0" borderId="0" xfId="0" applyNumberFormat="1"/>
    <xf numFmtId="3" fontId="0" fillId="0" borderId="0" xfId="0" applyNumberFormat="1"/>
    <xf numFmtId="0" fontId="0" fillId="0" borderId="0" xfId="0" applyAlignment="1">
      <alignment wrapText="1"/>
    </xf>
    <xf numFmtId="0" fontId="0" fillId="36" borderId="0" xfId="0" applyFill="1"/>
    <xf numFmtId="0" fontId="33" fillId="0" borderId="0" xfId="0" applyFont="1"/>
    <xf numFmtId="173" fontId="0" fillId="0" borderId="0" xfId="0" applyNumberFormat="1"/>
    <xf numFmtId="0" fontId="17" fillId="0" borderId="21" xfId="71" applyFill="1" applyBorder="1">
      <alignment horizontal="centerContinuous" wrapText="1"/>
    </xf>
    <xf numFmtId="169" fontId="32" fillId="0" borderId="0" xfId="69" applyNumberFormat="1" applyAlignment="1">
      <alignment horizontal="left" indent="1"/>
    </xf>
    <xf numFmtId="0" fontId="17" fillId="0" borderId="21" xfId="71" applyFill="1" applyBorder="1" applyAlignment="1">
      <alignment horizontal="right" wrapText="1"/>
    </xf>
    <xf numFmtId="49" fontId="27" fillId="0" borderId="0" xfId="5" applyAlignment="1">
      <alignment vertical="center"/>
    </xf>
    <xf numFmtId="184" fontId="26" fillId="0" borderId="17" xfId="13" applyNumberFormat="1">
      <protection locked="0"/>
    </xf>
    <xf numFmtId="185" fontId="26" fillId="0" borderId="17" xfId="13" applyNumberFormat="1">
      <protection locked="0"/>
    </xf>
    <xf numFmtId="0" fontId="17" fillId="0" borderId="17" xfId="52" applyAlignment="1">
      <alignment horizontal="left" wrapText="1"/>
    </xf>
    <xf numFmtId="0" fontId="32" fillId="0" borderId="0" xfId="69"/>
    <xf numFmtId="172" fontId="1" fillId="0" borderId="17" xfId="14" applyNumberFormat="1"/>
    <xf numFmtId="169" fontId="17" fillId="0" borderId="17" xfId="52" applyNumberFormat="1" applyAlignment="1">
      <alignment horizontal="left" wrapText="1"/>
    </xf>
    <xf numFmtId="0" fontId="1" fillId="0" borderId="17" xfId="14" applyAlignment="1">
      <alignment horizontal="center"/>
    </xf>
    <xf numFmtId="0" fontId="1" fillId="0" borderId="21" xfId="14" applyBorder="1" applyAlignment="1">
      <alignment horizontal="right" wrapText="1"/>
    </xf>
    <xf numFmtId="2" fontId="1" fillId="0" borderId="17" xfId="14" applyNumberFormat="1"/>
    <xf numFmtId="0" fontId="1" fillId="0" borderId="17" xfId="14"/>
    <xf numFmtId="3" fontId="1" fillId="0" borderId="17" xfId="14" applyNumberFormat="1"/>
    <xf numFmtId="0" fontId="1" fillId="0" borderId="25" xfId="14" applyBorder="1"/>
    <xf numFmtId="3" fontId="1" fillId="0" borderId="25" xfId="14" applyNumberFormat="1" applyBorder="1"/>
    <xf numFmtId="184" fontId="0" fillId="0" borderId="0" xfId="66" applyNumberFormat="1" applyFont="1"/>
    <xf numFmtId="184" fontId="0" fillId="0" borderId="0" xfId="0" applyNumberFormat="1"/>
    <xf numFmtId="165" fontId="40" fillId="0" borderId="17" xfId="52" quotePrefix="1" applyNumberFormat="1" applyFont="1" applyAlignment="1">
      <alignment horizontal="left" wrapText="1"/>
    </xf>
    <xf numFmtId="49" fontId="21" fillId="0" borderId="0" xfId="65">
      <alignment horizontal="left" indent="1"/>
    </xf>
    <xf numFmtId="49" fontId="16" fillId="0" borderId="0" xfId="8" applyFill="1">
      <alignment horizontal="left"/>
    </xf>
    <xf numFmtId="4" fontId="1" fillId="0" borderId="17" xfId="14" applyNumberFormat="1"/>
    <xf numFmtId="0" fontId="17" fillId="0" borderId="25" xfId="52" applyBorder="1" applyAlignment="1">
      <alignment horizontal="left" wrapText="1"/>
    </xf>
    <xf numFmtId="184" fontId="1" fillId="0" borderId="17" xfId="66" applyNumberFormat="1" applyBorder="1"/>
    <xf numFmtId="184" fontId="1" fillId="0" borderId="25" xfId="66" applyNumberFormat="1" applyBorder="1"/>
    <xf numFmtId="49" fontId="21" fillId="0" borderId="0" xfId="20">
      <alignment horizontal="left" indent="1"/>
    </xf>
    <xf numFmtId="0" fontId="17" fillId="0" borderId="0" xfId="52" applyBorder="1" applyAlignment="1">
      <alignment horizontal="left" wrapText="1"/>
    </xf>
    <xf numFmtId="3" fontId="1" fillId="0" borderId="0" xfId="14" applyNumberFormat="1" applyBorder="1"/>
    <xf numFmtId="0" fontId="17" fillId="0" borderId="17" xfId="52" applyBorder="1" applyAlignment="1">
      <alignment horizontal="left" wrapText="1"/>
    </xf>
    <xf numFmtId="3" fontId="0" fillId="0" borderId="0" xfId="0" applyNumberFormat="1" applyBorder="1"/>
    <xf numFmtId="3" fontId="0" fillId="0" borderId="25" xfId="0" applyNumberFormat="1" applyBorder="1"/>
    <xf numFmtId="0" fontId="17" fillId="0" borderId="26" xfId="52" applyBorder="1" applyAlignment="1">
      <alignment horizontal="left" wrapText="1"/>
    </xf>
    <xf numFmtId="0" fontId="1" fillId="0" borderId="0" xfId="14" applyBorder="1"/>
    <xf numFmtId="0" fontId="1" fillId="0" borderId="17" xfId="14" applyBorder="1"/>
    <xf numFmtId="3" fontId="1" fillId="0" borderId="17" xfId="14" applyNumberFormat="1" applyBorder="1"/>
    <xf numFmtId="49" fontId="41" fillId="0" borderId="21" xfId="8" applyFont="1" applyFill="1" applyBorder="1">
      <alignment horizontal="left"/>
    </xf>
    <xf numFmtId="49" fontId="41" fillId="0" borderId="0" xfId="8" applyFont="1" applyFill="1">
      <alignment horizontal="left"/>
    </xf>
    <xf numFmtId="9" fontId="26" fillId="0" borderId="0" xfId="67" applyFont="1" applyBorder="1" applyProtection="1">
      <protection locked="0"/>
    </xf>
    <xf numFmtId="188" fontId="26" fillId="0" borderId="17" xfId="13" applyNumberFormat="1">
      <protection locked="0"/>
    </xf>
    <xf numFmtId="0" fontId="26" fillId="0" borderId="17" xfId="13">
      <protection locked="0"/>
    </xf>
    <xf numFmtId="0" fontId="17" fillId="0" borderId="27" xfId="52" applyBorder="1" applyAlignment="1">
      <alignment horizontal="left" wrapText="1"/>
    </xf>
    <xf numFmtId="184" fontId="26" fillId="0" borderId="17" xfId="66" applyNumberFormat="1" applyFont="1" applyBorder="1" applyAlignment="1" applyProtection="1">
      <alignment horizontal="left" indent="2"/>
      <protection locked="0"/>
    </xf>
    <xf numFmtId="3" fontId="26" fillId="0" borderId="17" xfId="13" applyNumberFormat="1">
      <protection locked="0"/>
    </xf>
    <xf numFmtId="184" fontId="26" fillId="0" borderId="0" xfId="66" applyNumberFormat="1" applyFont="1" applyBorder="1" applyAlignment="1" applyProtection="1">
      <alignment horizontal="left" indent="2"/>
      <protection locked="0"/>
    </xf>
    <xf numFmtId="49" fontId="21" fillId="37" borderId="28" xfId="20" applyFill="1" applyBorder="1">
      <alignment horizontal="left" indent="1"/>
    </xf>
    <xf numFmtId="0" fontId="17" fillId="0" borderId="21" xfId="52" applyBorder="1" applyAlignment="1">
      <alignment horizontal="left" wrapText="1"/>
    </xf>
    <xf numFmtId="49" fontId="15" fillId="0" borderId="0" xfId="7" applyAlignment="1">
      <alignment horizontal="left" wrapText="1"/>
    </xf>
    <xf numFmtId="183" fontId="17" fillId="40" borderId="21" xfId="52" quotePrefix="1" applyNumberFormat="1" applyFill="1" applyBorder="1" applyAlignment="1">
      <alignment horizontal="right" wrapText="1" indent="1"/>
    </xf>
    <xf numFmtId="183" fontId="17" fillId="40" borderId="17" xfId="52" quotePrefix="1" applyNumberFormat="1" applyFill="1" applyAlignment="1">
      <alignment wrapText="1"/>
    </xf>
    <xf numFmtId="183" fontId="17" fillId="40" borderId="21" xfId="52" quotePrefix="1" applyNumberFormat="1" applyFill="1" applyBorder="1" applyAlignment="1">
      <alignment wrapText="1"/>
    </xf>
    <xf numFmtId="183" fontId="17" fillId="40" borderId="17" xfId="52" quotePrefix="1" applyNumberFormat="1" applyFill="1" applyAlignment="1">
      <alignment horizontal="right" wrapText="1" indent="1"/>
    </xf>
    <xf numFmtId="0" fontId="0" fillId="0" borderId="0" xfId="0" applyFill="1"/>
    <xf numFmtId="173" fontId="17" fillId="40" borderId="17" xfId="52" applyNumberFormat="1" applyFill="1">
      <alignment horizontal="centerContinuous" wrapText="1"/>
    </xf>
    <xf numFmtId="0" fontId="17" fillId="0" borderId="0" xfId="71" applyFill="1" applyBorder="1">
      <alignment horizontal="centerContinuous" wrapText="1"/>
    </xf>
    <xf numFmtId="169" fontId="17" fillId="0" borderId="0" xfId="71" applyNumberFormat="1" applyFill="1" applyBorder="1" applyAlignment="1">
      <alignment horizontal="right" wrapText="1"/>
    </xf>
    <xf numFmtId="169" fontId="17" fillId="0" borderId="21" xfId="52" applyNumberFormat="1" applyBorder="1" applyAlignment="1">
      <alignment horizontal="left" wrapText="1"/>
    </xf>
    <xf numFmtId="173" fontId="17" fillId="40" borderId="21" xfId="52" applyNumberFormat="1" applyFill="1" applyBorder="1">
      <alignment horizontal="centerContinuous" wrapText="1"/>
    </xf>
    <xf numFmtId="173" fontId="42" fillId="40" borderId="21" xfId="52" applyNumberFormat="1" applyFont="1" applyFill="1" applyBorder="1">
      <alignment horizontal="centerContinuous" wrapText="1"/>
    </xf>
    <xf numFmtId="173" fontId="30" fillId="0" borderId="17" xfId="53" applyFont="1" applyBorder="1" applyAlignment="1"/>
    <xf numFmtId="172" fontId="30" fillId="0" borderId="22" xfId="54" applyFont="1" applyBorder="1"/>
    <xf numFmtId="172" fontId="30" fillId="0" borderId="14" xfId="72" applyNumberFormat="1" applyFont="1" applyFill="1" applyBorder="1"/>
    <xf numFmtId="0" fontId="1" fillId="0" borderId="29" xfId="14" applyBorder="1"/>
    <xf numFmtId="3" fontId="1" fillId="0" borderId="29" xfId="14" applyNumberFormat="1" applyBorder="1"/>
    <xf numFmtId="3" fontId="0" fillId="0" borderId="29" xfId="0" applyNumberFormat="1" applyBorder="1"/>
    <xf numFmtId="3" fontId="0" fillId="0" borderId="30" xfId="0" applyNumberFormat="1" applyBorder="1"/>
    <xf numFmtId="49" fontId="21" fillId="0" borderId="0" xfId="20" applyFill="1">
      <alignment horizontal="left" indent="1"/>
    </xf>
    <xf numFmtId="0" fontId="2" fillId="0" borderId="0" xfId="0" applyFont="1" applyFill="1"/>
    <xf numFmtId="0" fontId="17" fillId="0" borderId="17" xfId="52" applyFill="1" applyAlignment="1">
      <alignment horizontal="left" wrapText="1"/>
    </xf>
    <xf numFmtId="172" fontId="1" fillId="0" borderId="17" xfId="14" applyNumberFormat="1" applyFill="1"/>
    <xf numFmtId="3" fontId="0" fillId="0" borderId="17" xfId="14" applyNumberFormat="1" applyFont="1"/>
    <xf numFmtId="3" fontId="40" fillId="0" borderId="17" xfId="52" applyNumberFormat="1" applyFont="1" applyFill="1" applyAlignment="1">
      <alignment horizontal="right" wrapText="1"/>
    </xf>
    <xf numFmtId="3" fontId="2" fillId="0" borderId="17" xfId="14" applyNumberFormat="1" applyFont="1"/>
    <xf numFmtId="3" fontId="1" fillId="0" borderId="17" xfId="14" applyNumberFormat="1" applyFont="1"/>
    <xf numFmtId="14" fontId="43" fillId="0" borderId="0" xfId="71" applyNumberFormat="1" applyFont="1" applyFill="1" applyBorder="1" applyAlignment="1">
      <alignment horizontal="left" wrapText="1"/>
    </xf>
    <xf numFmtId="49" fontId="15" fillId="0" borderId="0" xfId="7"/>
    <xf numFmtId="2" fontId="17" fillId="0" borderId="17" xfId="52" applyNumberFormat="1" applyAlignment="1">
      <alignment horizontal="left" wrapText="1"/>
    </xf>
    <xf numFmtId="49" fontId="41" fillId="0" borderId="0" xfId="8" applyFont="1" applyFill="1" applyBorder="1">
      <alignment horizontal="left"/>
    </xf>
    <xf numFmtId="2" fontId="17" fillId="0" borderId="25" xfId="52" applyNumberFormat="1" applyBorder="1" applyAlignment="1">
      <alignment horizontal="left" wrapText="1"/>
    </xf>
    <xf numFmtId="2" fontId="1" fillId="0" borderId="25" xfId="14" applyNumberFormat="1" applyBorder="1"/>
    <xf numFmtId="2" fontId="1" fillId="0" borderId="21" xfId="14" applyNumberFormat="1" applyBorder="1"/>
    <xf numFmtId="0" fontId="0" fillId="0" borderId="21" xfId="0" applyBorder="1"/>
    <xf numFmtId="2" fontId="1" fillId="0" borderId="0" xfId="14" applyNumberFormat="1" applyBorder="1"/>
    <xf numFmtId="164" fontId="1" fillId="0" borderId="17" xfId="14" applyNumberFormat="1"/>
    <xf numFmtId="9" fontId="1" fillId="0" borderId="17" xfId="67" applyBorder="1"/>
    <xf numFmtId="10" fontId="1" fillId="0" borderId="17" xfId="67" applyNumberFormat="1" applyBorder="1"/>
    <xf numFmtId="2" fontId="2" fillId="0" borderId="17" xfId="14" applyNumberFormat="1" applyFont="1"/>
    <xf numFmtId="0" fontId="40" fillId="0" borderId="17" xfId="52" applyFont="1" applyAlignment="1">
      <alignment horizontal="left" wrapText="1"/>
    </xf>
    <xf numFmtId="0" fontId="40" fillId="0" borderId="17" xfId="52" applyFont="1" applyAlignment="1">
      <alignment wrapText="1"/>
    </xf>
    <xf numFmtId="2" fontId="17" fillId="0" borderId="29" xfId="52" applyNumberFormat="1" applyBorder="1" applyAlignment="1">
      <alignment horizontal="left" wrapText="1"/>
    </xf>
    <xf numFmtId="10" fontId="1" fillId="0" borderId="0" xfId="67" applyNumberFormat="1" applyBorder="1"/>
    <xf numFmtId="9" fontId="28" fillId="0" borderId="17" xfId="51" applyNumberFormat="1"/>
    <xf numFmtId="188" fontId="28" fillId="0" borderId="17" xfId="51" applyNumberFormat="1"/>
    <xf numFmtId="184" fontId="28" fillId="0" borderId="17" xfId="51" applyNumberFormat="1"/>
    <xf numFmtId="187" fontId="28" fillId="0" borderId="17" xfId="51" applyNumberFormat="1"/>
    <xf numFmtId="10" fontId="28" fillId="0" borderId="17" xfId="51" applyNumberFormat="1"/>
    <xf numFmtId="184" fontId="28" fillId="0" borderId="17" xfId="51" applyNumberFormat="1" applyAlignment="1">
      <alignment horizontal="left" indent="2"/>
    </xf>
    <xf numFmtId="3" fontId="28" fillId="0" borderId="17" xfId="51" applyNumberFormat="1"/>
    <xf numFmtId="172" fontId="28" fillId="0" borderId="17" xfId="51" applyNumberFormat="1"/>
    <xf numFmtId="0" fontId="28" fillId="0" borderId="17" xfId="51" applyNumberFormat="1"/>
    <xf numFmtId="186" fontId="28" fillId="0" borderId="17" xfId="51" applyNumberFormat="1"/>
    <xf numFmtId="164" fontId="28" fillId="0" borderId="17" xfId="51" applyNumberFormat="1"/>
    <xf numFmtId="165" fontId="17" fillId="0" borderId="21" xfId="52" quotePrefix="1" applyNumberFormat="1" applyBorder="1" applyAlignment="1">
      <alignment horizontal="left" wrapText="1"/>
    </xf>
    <xf numFmtId="165" fontId="40" fillId="0" borderId="25" xfId="52" quotePrefix="1" applyNumberFormat="1" applyFont="1" applyBorder="1" applyAlignment="1">
      <alignment horizontal="left" wrapText="1"/>
    </xf>
    <xf numFmtId="0" fontId="17" fillId="0" borderId="27" xfId="52" applyFill="1" applyBorder="1" applyAlignment="1">
      <alignment horizontal="left" wrapText="1"/>
    </xf>
    <xf numFmtId="3" fontId="28" fillId="0" borderId="17" xfId="51" applyNumberFormat="1" applyFill="1"/>
    <xf numFmtId="189" fontId="28" fillId="0" borderId="17" xfId="51" applyNumberFormat="1"/>
    <xf numFmtId="191" fontId="1" fillId="0" borderId="17" xfId="14" applyNumberFormat="1"/>
    <xf numFmtId="0" fontId="44" fillId="32" borderId="0" xfId="0" applyFont="1" applyFill="1" applyBorder="1" applyAlignment="1">
      <alignment horizontal="centerContinuous"/>
    </xf>
    <xf numFmtId="0" fontId="45" fillId="0" borderId="0" xfId="0" applyFont="1"/>
    <xf numFmtId="0" fontId="44" fillId="32" borderId="0" xfId="0" applyFont="1" applyFill="1" applyBorder="1"/>
    <xf numFmtId="0" fontId="40" fillId="0" borderId="0" xfId="0" applyFont="1"/>
    <xf numFmtId="184" fontId="26" fillId="0" borderId="0" xfId="13" applyNumberFormat="1" applyBorder="1">
      <protection locked="0"/>
    </xf>
    <xf numFmtId="185" fontId="26" fillId="0" borderId="0" xfId="13" applyNumberFormat="1" applyBorder="1">
      <protection locked="0"/>
    </xf>
    <xf numFmtId="184" fontId="26" fillId="0" borderId="21" xfId="13" applyNumberFormat="1" applyBorder="1">
      <protection locked="0"/>
    </xf>
    <xf numFmtId="185" fontId="26" fillId="0" borderId="21" xfId="13" applyNumberFormat="1" applyBorder="1">
      <protection locked="0"/>
    </xf>
    <xf numFmtId="189" fontId="0" fillId="0" borderId="0" xfId="0" applyNumberFormat="1"/>
    <xf numFmtId="10" fontId="0" fillId="0" borderId="0" xfId="67" applyNumberFormat="1" applyFont="1"/>
    <xf numFmtId="190" fontId="0" fillId="0" borderId="0" xfId="67" applyNumberFormat="1" applyFont="1"/>
    <xf numFmtId="164" fontId="1" fillId="0" borderId="17" xfId="66" applyNumberFormat="1" applyBorder="1"/>
    <xf numFmtId="0" fontId="0" fillId="0" borderId="17" xfId="14" applyFont="1"/>
    <xf numFmtId="184" fontId="0" fillId="0" borderId="0" xfId="66" applyNumberFormat="1" applyFont="1" applyBorder="1"/>
    <xf numFmtId="184" fontId="1" fillId="0" borderId="0" xfId="66" applyNumberFormat="1" applyBorder="1"/>
    <xf numFmtId="187" fontId="0" fillId="0" borderId="30" xfId="67" applyNumberFormat="1" applyFont="1" applyBorder="1"/>
    <xf numFmtId="0" fontId="29" fillId="0" borderId="0" xfId="0" applyFont="1"/>
    <xf numFmtId="0" fontId="2" fillId="0" borderId="0" xfId="0" applyFont="1" applyBorder="1"/>
    <xf numFmtId="3" fontId="46" fillId="0" borderId="17" xfId="13" applyNumberFormat="1" applyFont="1">
      <protection locked="0"/>
    </xf>
    <xf numFmtId="49" fontId="14" fillId="0" borderId="0" xfId="6" applyBorder="1"/>
    <xf numFmtId="49" fontId="15" fillId="0" borderId="0" xfId="7" applyFill="1" applyAlignment="1">
      <alignment horizontal="left"/>
    </xf>
    <xf numFmtId="3" fontId="47" fillId="0" borderId="17" xfId="52" applyNumberFormat="1" applyFont="1" applyAlignment="1">
      <alignment horizontal="left" wrapText="1"/>
    </xf>
    <xf numFmtId="4" fontId="1" fillId="0" borderId="0" xfId="14" applyNumberFormat="1" applyBorder="1"/>
    <xf numFmtId="3" fontId="1" fillId="0" borderId="0" xfId="66" applyNumberFormat="1" applyBorder="1"/>
    <xf numFmtId="3" fontId="0" fillId="0" borderId="0" xfId="66" applyNumberFormat="1" applyFont="1" applyBorder="1"/>
    <xf numFmtId="10" fontId="28" fillId="0" borderId="25" xfId="51" applyNumberFormat="1" applyBorder="1"/>
    <xf numFmtId="0" fontId="0" fillId="0" borderId="0" xfId="0" applyBorder="1" applyAlignment="1">
      <alignment wrapText="1"/>
    </xf>
    <xf numFmtId="10" fontId="28" fillId="0" borderId="21" xfId="51" applyNumberFormat="1" applyBorder="1"/>
    <xf numFmtId="184" fontId="26" fillId="0" borderId="25" xfId="66" applyNumberFormat="1" applyFont="1" applyBorder="1" applyAlignment="1" applyProtection="1">
      <alignment horizontal="left" indent="2"/>
      <protection locked="0"/>
    </xf>
    <xf numFmtId="165" fontId="40" fillId="0" borderId="21" xfId="52" quotePrefix="1" applyNumberFormat="1" applyFont="1" applyBorder="1" applyAlignment="1">
      <alignment horizontal="left" wrapText="1"/>
    </xf>
    <xf numFmtId="184" fontId="26" fillId="0" borderId="21" xfId="66" applyNumberFormat="1" applyFont="1" applyBorder="1" applyAlignment="1" applyProtection="1">
      <alignment horizontal="left" indent="2"/>
      <protection locked="0"/>
    </xf>
    <xf numFmtId="187" fontId="26" fillId="0" borderId="29" xfId="13" applyNumberFormat="1" applyBorder="1">
      <protection locked="0"/>
    </xf>
    <xf numFmtId="184" fontId="1" fillId="0" borderId="29" xfId="66" applyNumberFormat="1" applyBorder="1"/>
    <xf numFmtId="184" fontId="0" fillId="0" borderId="0" xfId="66" applyNumberFormat="1" applyFont="1" applyFill="1"/>
    <xf numFmtId="15" fontId="0" fillId="0" borderId="0" xfId="0" applyNumberFormat="1" applyBorder="1" applyAlignment="1">
      <alignment horizontal="left"/>
    </xf>
    <xf numFmtId="0" fontId="0" fillId="0" borderId="21" xfId="0" applyBorder="1" applyAlignment="1">
      <alignment wrapText="1"/>
    </xf>
    <xf numFmtId="0" fontId="40" fillId="0" borderId="25" xfId="52" applyFont="1" applyBorder="1" applyAlignment="1">
      <alignment horizontal="left" wrapText="1"/>
    </xf>
    <xf numFmtId="184" fontId="26" fillId="0" borderId="25" xfId="13" applyNumberFormat="1" applyBorder="1">
      <protection locked="0"/>
    </xf>
    <xf numFmtId="185" fontId="26" fillId="0" borderId="25" xfId="13" applyNumberFormat="1" applyBorder="1">
      <protection locked="0"/>
    </xf>
    <xf numFmtId="49" fontId="21" fillId="0" borderId="0" xfId="20" applyBorder="1">
      <alignment horizontal="left" indent="1"/>
    </xf>
    <xf numFmtId="188" fontId="26" fillId="0" borderId="25" xfId="13" applyNumberFormat="1" applyBorder="1">
      <protection locked="0"/>
    </xf>
    <xf numFmtId="0" fontId="17" fillId="0" borderId="0" xfId="52" applyFill="1" applyBorder="1" applyAlignment="1">
      <alignment horizontal="left" wrapText="1"/>
    </xf>
    <xf numFmtId="3" fontId="0" fillId="0" borderId="31" xfId="0" applyNumberFormat="1" applyBorder="1"/>
    <xf numFmtId="0" fontId="17" fillId="0" borderId="21" xfId="52" applyFill="1" applyBorder="1" applyAlignment="1">
      <alignment horizontal="left" wrapText="1"/>
    </xf>
    <xf numFmtId="165" fontId="40" fillId="0" borderId="0" xfId="52" quotePrefix="1" applyNumberFormat="1" applyFont="1" applyBorder="1" applyAlignment="1">
      <alignment horizontal="left" wrapText="1"/>
    </xf>
    <xf numFmtId="3" fontId="26" fillId="0" borderId="17" xfId="13" applyNumberFormat="1" applyFont="1">
      <protection locked="0"/>
    </xf>
    <xf numFmtId="169" fontId="1" fillId="0" borderId="0" xfId="14" applyNumberFormat="1" applyBorder="1" applyAlignment="1">
      <alignment horizontal="left" wrapText="1"/>
    </xf>
    <xf numFmtId="176" fontId="36" fillId="0" borderId="0" xfId="49" applyFont="1" applyBorder="1" applyProtection="1"/>
    <xf numFmtId="176" fontId="28" fillId="0" borderId="17" xfId="51" applyNumberFormat="1"/>
    <xf numFmtId="172" fontId="30" fillId="0" borderId="0" xfId="72" applyNumberFormat="1" applyFont="1" applyFill="1" applyBorder="1"/>
    <xf numFmtId="169" fontId="17" fillId="0" borderId="0" xfId="52" applyNumberFormat="1" applyBorder="1" applyAlignment="1">
      <alignment horizontal="left" wrapText="1"/>
    </xf>
    <xf numFmtId="9" fontId="26" fillId="0" borderId="17" xfId="67" applyNumberFormat="1" applyFont="1" applyBorder="1" applyProtection="1">
      <protection locked="0"/>
    </xf>
    <xf numFmtId="3" fontId="2" fillId="0" borderId="29" xfId="14" applyNumberFormat="1" applyFont="1" applyBorder="1"/>
    <xf numFmtId="0" fontId="22" fillId="32" borderId="0" xfId="0" applyFont="1" applyFill="1" applyBorder="1" applyAlignment="1">
      <alignment horizontal="centerContinuous"/>
    </xf>
    <xf numFmtId="49" fontId="27" fillId="0" borderId="0" xfId="5" applyFont="1" applyFill="1" applyAlignment="1">
      <alignment horizontal="centerContinuous"/>
    </xf>
    <xf numFmtId="169" fontId="0" fillId="0" borderId="15" xfId="14" applyNumberFormat="1" applyFont="1" applyFill="1" applyBorder="1" applyAlignment="1">
      <alignment wrapText="1"/>
    </xf>
    <xf numFmtId="49" fontId="14" fillId="0" borderId="16" xfId="6" applyFill="1" applyBorder="1" applyAlignment="1">
      <alignment horizontal="left"/>
    </xf>
    <xf numFmtId="169" fontId="0" fillId="0" borderId="17" xfId="14" applyNumberFormat="1" applyFont="1" applyFill="1" applyAlignment="1">
      <alignment wrapText="1"/>
    </xf>
    <xf numFmtId="169" fontId="0" fillId="0" borderId="17" xfId="14" applyNumberFormat="1" applyFont="1" applyFill="1" applyAlignment="1"/>
    <xf numFmtId="169" fontId="0" fillId="0" borderId="17" xfId="14" applyNumberFormat="1" applyFont="1" applyFill="1" applyAlignment="1">
      <alignment horizontal="left"/>
    </xf>
    <xf numFmtId="169" fontId="0" fillId="36" borderId="17" xfId="14" applyNumberFormat="1" applyFont="1" applyFill="1" applyAlignment="1"/>
    <xf numFmtId="0" fontId="48" fillId="0" borderId="0" xfId="69" applyFont="1" applyAlignment="1">
      <alignment horizontal="left" indent="1"/>
    </xf>
    <xf numFmtId="0" fontId="18" fillId="41" borderId="34" xfId="0" applyFont="1" applyFill="1" applyBorder="1"/>
    <xf numFmtId="0" fontId="49" fillId="41" borderId="34" xfId="0" applyFont="1" applyFill="1" applyBorder="1"/>
    <xf numFmtId="0" fontId="25" fillId="41" borderId="34" xfId="58" applyFill="1" applyBorder="1" applyAlignment="1" applyProtection="1"/>
    <xf numFmtId="49" fontId="0" fillId="42" borderId="34" xfId="0" applyNumberFormat="1" applyFill="1" applyBorder="1"/>
    <xf numFmtId="0" fontId="25" fillId="42" borderId="34" xfId="58" applyFill="1" applyBorder="1" applyAlignment="1" applyProtection="1"/>
    <xf numFmtId="0" fontId="25" fillId="42" borderId="34" xfId="58" quotePrefix="1" applyFill="1" applyBorder="1" applyAlignment="1" applyProtection="1"/>
    <xf numFmtId="0" fontId="50" fillId="41" borderId="34" xfId="0" applyFont="1" applyFill="1" applyBorder="1"/>
    <xf numFmtId="49" fontId="0" fillId="41" borderId="34" xfId="0" applyNumberFormat="1" applyFont="1" applyFill="1" applyBorder="1"/>
    <xf numFmtId="2" fontId="26" fillId="0" borderId="17" xfId="14" applyNumberFormat="1" applyFont="1"/>
    <xf numFmtId="4" fontId="0" fillId="0" borderId="17" xfId="14" applyNumberFormat="1" applyFont="1"/>
    <xf numFmtId="3" fontId="1" fillId="0" borderId="25" xfId="14" applyNumberFormat="1" applyFont="1" applyBorder="1"/>
    <xf numFmtId="3" fontId="1" fillId="0" borderId="21" xfId="14" applyNumberFormat="1" applyBorder="1"/>
    <xf numFmtId="3" fontId="1" fillId="0" borderId="21" xfId="14" applyNumberFormat="1" applyFont="1" applyBorder="1"/>
    <xf numFmtId="164" fontId="0" fillId="0" borderId="0" xfId="0" applyNumberFormat="1"/>
    <xf numFmtId="3" fontId="1" fillId="0" borderId="0" xfId="66" applyNumberFormat="1" applyFill="1" applyBorder="1"/>
    <xf numFmtId="49" fontId="14" fillId="0" borderId="0" xfId="6" applyFill="1" applyBorder="1" applyAlignment="1"/>
    <xf numFmtId="192" fontId="40" fillId="0" borderId="17" xfId="52" applyNumberFormat="1" applyFont="1" applyFill="1" applyAlignment="1">
      <alignment horizontal="right" wrapText="1"/>
    </xf>
    <xf numFmtId="183" fontId="17" fillId="40" borderId="21" xfId="52" quotePrefix="1" applyNumberFormat="1" applyFill="1" applyBorder="1" applyAlignment="1">
      <alignment horizontal="center" wrapText="1"/>
    </xf>
    <xf numFmtId="0" fontId="0" fillId="0" borderId="25" xfId="0" applyBorder="1"/>
    <xf numFmtId="0" fontId="29" fillId="0" borderId="0" xfId="0" quotePrefix="1" applyFont="1"/>
    <xf numFmtId="49" fontId="21" fillId="0" borderId="0" xfId="20" quotePrefix="1">
      <alignment horizontal="left" indent="1"/>
    </xf>
    <xf numFmtId="49" fontId="21" fillId="0" borderId="0" xfId="20" applyAlignment="1">
      <alignment horizontal="right" indent="1"/>
    </xf>
    <xf numFmtId="0" fontId="0" fillId="0" borderId="21" xfId="14" applyFont="1" applyFill="1" applyBorder="1" applyAlignment="1">
      <alignment vertical="top" wrapText="1"/>
    </xf>
    <xf numFmtId="0" fontId="1" fillId="0" borderId="21" xfId="14" applyFill="1" applyBorder="1" applyAlignment="1">
      <alignment wrapText="1"/>
    </xf>
    <xf numFmtId="0" fontId="1" fillId="0" borderId="25" xfId="14" applyFill="1" applyBorder="1" applyAlignment="1">
      <alignment wrapText="1"/>
    </xf>
    <xf numFmtId="0" fontId="22" fillId="0" borderId="10" xfId="0" applyFont="1" applyFill="1" applyBorder="1" applyAlignment="1">
      <alignment horizontal="centerContinuous"/>
    </xf>
    <xf numFmtId="0" fontId="12" fillId="0" borderId="0" xfId="0" applyFont="1" applyFill="1" applyBorder="1" applyAlignment="1">
      <alignment horizontal="centerContinuous"/>
    </xf>
    <xf numFmtId="193" fontId="26" fillId="0" borderId="17" xfId="13" applyNumberFormat="1">
      <protection locked="0"/>
    </xf>
    <xf numFmtId="1" fontId="26" fillId="0" borderId="17" xfId="13" applyNumberFormat="1">
      <protection locked="0"/>
    </xf>
    <xf numFmtId="9" fontId="26" fillId="0" borderId="17" xfId="67" applyFont="1" applyBorder="1" applyProtection="1">
      <protection locked="0"/>
    </xf>
    <xf numFmtId="199" fontId="0" fillId="0" borderId="0" xfId="0" applyNumberFormat="1"/>
    <xf numFmtId="49" fontId="21" fillId="0" borderId="0" xfId="20" applyAlignment="1">
      <alignment horizontal="right"/>
    </xf>
    <xf numFmtId="0" fontId="0" fillId="0" borderId="0" xfId="0" applyAlignment="1">
      <alignment horizontal="right"/>
    </xf>
    <xf numFmtId="10" fontId="26" fillId="0" borderId="17" xfId="67" applyNumberFormat="1" applyFont="1" applyBorder="1" applyProtection="1">
      <protection locked="0"/>
    </xf>
    <xf numFmtId="10" fontId="28" fillId="0" borderId="17" xfId="67" applyNumberFormat="1" applyFont="1" applyBorder="1"/>
    <xf numFmtId="0" fontId="0" fillId="0" borderId="29" xfId="14" applyFont="1" applyBorder="1"/>
    <xf numFmtId="10" fontId="13" fillId="0" borderId="17" xfId="67" applyNumberFormat="1" applyFont="1" applyBorder="1" applyProtection="1">
      <protection locked="0"/>
    </xf>
    <xf numFmtId="199" fontId="1" fillId="0" borderId="17" xfId="14" applyNumberFormat="1"/>
    <xf numFmtId="199" fontId="26" fillId="0" borderId="17" xfId="14" applyNumberFormat="1" applyFont="1"/>
    <xf numFmtId="10" fontId="29" fillId="0" borderId="32" xfId="67" applyNumberFormat="1" applyFont="1" applyFill="1" applyBorder="1"/>
    <xf numFmtId="10" fontId="1" fillId="0" borderId="29" xfId="67" applyNumberFormat="1" applyBorder="1"/>
    <xf numFmtId="10" fontId="29" fillId="0" borderId="33" xfId="67" applyNumberFormat="1" applyFont="1" applyFill="1" applyBorder="1"/>
    <xf numFmtId="10" fontId="0" fillId="0" borderId="0" xfId="0" applyNumberFormat="1"/>
    <xf numFmtId="49" fontId="16" fillId="0" borderId="0" xfId="8" applyFill="1" applyBorder="1">
      <alignment horizontal="left"/>
    </xf>
    <xf numFmtId="169" fontId="29" fillId="0" borderId="25" xfId="14" applyNumberFormat="1" applyFont="1" applyBorder="1" applyAlignment="1">
      <alignment horizontal="left" wrapText="1"/>
    </xf>
    <xf numFmtId="0" fontId="0" fillId="0" borderId="25" xfId="14" applyFont="1" applyBorder="1"/>
    <xf numFmtId="0" fontId="1" fillId="0" borderId="35" xfId="14" applyBorder="1" applyAlignment="1">
      <alignment horizontal="center"/>
    </xf>
    <xf numFmtId="1" fontId="1" fillId="0" borderId="36" xfId="14" applyNumberFormat="1" applyBorder="1" applyAlignment="1">
      <alignment horizontal="center"/>
    </xf>
    <xf numFmtId="173" fontId="51" fillId="0" borderId="17" xfId="13" applyNumberFormat="1" applyFont="1" applyAlignment="1">
      <protection locked="0"/>
    </xf>
    <xf numFmtId="0" fontId="1" fillId="0" borderId="17" xfId="14" applyBorder="1" applyAlignment="1">
      <alignment horizontal="center"/>
    </xf>
    <xf numFmtId="173" fontId="30" fillId="0" borderId="17" xfId="53" applyFont="1" applyFill="1" applyBorder="1" applyAlignment="1"/>
    <xf numFmtId="3" fontId="28" fillId="0" borderId="25" xfId="51" applyNumberFormat="1" applyBorder="1"/>
    <xf numFmtId="3" fontId="28" fillId="0" borderId="0" xfId="51" applyNumberFormat="1" applyBorder="1"/>
    <xf numFmtId="1" fontId="28" fillId="0" borderId="17" xfId="51" applyNumberFormat="1"/>
    <xf numFmtId="3" fontId="0" fillId="0" borderId="0" xfId="0" applyNumberFormat="1" applyFill="1"/>
    <xf numFmtId="184" fontId="0" fillId="0" borderId="0" xfId="0" applyNumberFormat="1" applyFill="1"/>
    <xf numFmtId="2" fontId="40" fillId="0" borderId="17" xfId="52" applyNumberFormat="1" applyFont="1" applyAlignment="1">
      <alignment horizontal="left" wrapText="1"/>
    </xf>
    <xf numFmtId="9" fontId="1" fillId="0" borderId="17" xfId="14" applyNumberFormat="1"/>
    <xf numFmtId="204" fontId="40" fillId="0" borderId="17" xfId="52" applyNumberFormat="1" applyFont="1" applyFill="1" applyAlignment="1">
      <alignment horizontal="right" wrapText="1"/>
    </xf>
    <xf numFmtId="193" fontId="2" fillId="0" borderId="0" xfId="66" applyNumberFormat="1" applyFont="1"/>
    <xf numFmtId="1" fontId="17" fillId="0" borderId="17" xfId="52" applyNumberFormat="1" applyAlignment="1">
      <alignment horizontal="left" wrapText="1"/>
    </xf>
    <xf numFmtId="1" fontId="0" fillId="0" borderId="0" xfId="66" applyNumberFormat="1" applyFont="1"/>
    <xf numFmtId="1" fontId="2" fillId="0" borderId="0" xfId="66" applyNumberFormat="1" applyFont="1"/>
    <xf numFmtId="9" fontId="1" fillId="0" borderId="17" xfId="67" applyNumberFormat="1" applyBorder="1"/>
    <xf numFmtId="1" fontId="26" fillId="0" borderId="17" xfId="66" applyNumberFormat="1" applyFont="1" applyBorder="1" applyProtection="1">
      <protection locked="0"/>
    </xf>
    <xf numFmtId="1" fontId="1" fillId="0" borderId="0" xfId="66" applyNumberFormat="1" applyFont="1"/>
    <xf numFmtId="1" fontId="0" fillId="0" borderId="29" xfId="66" applyNumberFormat="1" applyFont="1" applyBorder="1"/>
  </cellXfs>
  <cellStyles count="79">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Calculation" xfId="15" builtinId="22" hidden="1"/>
    <cellStyle name="Check Cell" xfId="17" builtinId="23" hidden="1"/>
    <cellStyle name="Comma" xfId="1" builtinId="3" hidden="1"/>
    <cellStyle name="Comma" xfId="66" builtinId="3"/>
    <cellStyle name="Comma [0]" xfId="2" builtinId="6" customBuiltin="1"/>
    <cellStyle name="Comma [0] 2" xfId="74" xr:uid="{9324336E-8C92-4F03-BCF4-4488D715A1A1}"/>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Explanatory Text 2" xfId="69" xr:uid="{B1307C26-DC44-4BBD-A897-0BF294B252FA}"/>
    <cellStyle name="Explanatory Text 3" xfId="65" xr:uid="{9EA0B1FA-BB76-4B50-A9D9-96E13C099AF5}"/>
    <cellStyle name="Followed Hyperlink" xfId="61" builtinId="9" customBuiltin="1"/>
    <cellStyle name="Good" xfId="10" builtinId="26" hidden="1"/>
    <cellStyle name="Heading 1" xfId="6" builtinId="16" customBuiltin="1"/>
    <cellStyle name="Heading 1 2" xfId="70" xr:uid="{371243F4-6F5B-4791-A7CC-37EF24296CAA}"/>
    <cellStyle name="Heading 2" xfId="7" builtinId="17" customBuiltin="1"/>
    <cellStyle name="Heading 2 2" xfId="76" xr:uid="{9E3E1A61-0780-477F-A53B-386870D4E83C}"/>
    <cellStyle name="Heading 3" xfId="8" builtinId="18" customBuiltin="1"/>
    <cellStyle name="Heading 4" xfId="9" builtinId="19" hidden="1"/>
    <cellStyle name="Hyperlink" xfId="58" builtinId="8" customBuiltin="1"/>
    <cellStyle name="Input" xfId="13" builtinId="20" customBuiltin="1"/>
    <cellStyle name="Input 2" xfId="78" xr:uid="{B185D805-4E3A-4A87-A521-ABB7441B2DC0}"/>
    <cellStyle name="Label" xfId="52" xr:uid="{00000000-0005-0000-0000-00002B000000}"/>
    <cellStyle name="Label 2" xfId="71" xr:uid="{ADEBDDD1-1B20-4AAB-9A0B-1C7D8EF8F4DC}"/>
    <cellStyle name="Link" xfId="51" xr:uid="{00000000-0005-0000-0000-00002C000000}"/>
    <cellStyle name="Link 2" xfId="73" xr:uid="{4B1CE514-28A7-4423-A2FE-5831364C9CC9}"/>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72" xr:uid="{D18A827E-FCDF-4EF5-9393-F014F632DBFB}"/>
    <cellStyle name="Percent" xfId="59" builtinId="5" hidden="1" customBuiltin="1"/>
    <cellStyle name="Percent" xfId="67"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Rt border" xfId="47" xr:uid="{00000000-0005-0000-0000-000037000000}"/>
    <cellStyle name="Rt margin 2" xfId="77" xr:uid="{D02FDD80-45B1-452F-BCBB-66B6DBEC4E1B}"/>
    <cellStyle name="Text" xfId="56" xr:uid="{00000000-0005-0000-0000-000038000000}"/>
    <cellStyle name="Text 2" xfId="75" xr:uid="{E66BF284-AB94-4790-832B-E784C51AD4E5}"/>
    <cellStyle name="Title" xfId="5" builtinId="15" customBuiltin="1"/>
    <cellStyle name="Title 2" xfId="68" xr:uid="{CCD881BE-777C-459B-960A-BD698B1C6BD1}"/>
    <cellStyle name="Total" xfId="21" builtinId="25" hidden="1"/>
    <cellStyle name="Warning Text" xfId="18" builtinId="11" hidden="1"/>
    <cellStyle name="Year" xfId="46" xr:uid="{00000000-0005-0000-0000-00003C000000}"/>
  </cellStyles>
  <dxfs count="0"/>
  <tableStyles count="0" defaultTableStyle="TableStyleMedium2" defaultPivotStyle="PivotStyleLight16"/>
  <colors>
    <mruColors>
      <color rgb="FFC00000"/>
      <color rgb="FFB0A978"/>
      <color rgb="FF645F3A"/>
      <color rgb="FFC9C4A3"/>
      <color rgb="FFEAE8D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57150</xdr:rowOff>
    </xdr:from>
    <xdr:to>
      <xdr:col>1</xdr:col>
      <xdr:colOff>815956</xdr:colOff>
      <xdr:row>1</xdr:row>
      <xdr:rowOff>767969</xdr:rowOff>
    </xdr:to>
    <xdr:pic>
      <xdr:nvPicPr>
        <xdr:cNvPr id="4" name="Picture 3">
          <a:extLst>
            <a:ext uri="{FF2B5EF4-FFF2-40B4-BE49-F238E27FC236}">
              <a16:creationId xmlns:a16="http://schemas.microsoft.com/office/drawing/2014/main" id="{176A5812-3E3B-4333-AC41-3E7F165A9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7650"/>
          <a:ext cx="2339956" cy="710819"/>
        </a:xfrm>
        <a:prstGeom prst="rect">
          <a:avLst/>
        </a:prstGeom>
      </xdr:spPr>
    </xdr:pic>
    <xdr:clientData/>
  </xdr:twoCellAnchor>
  <xdr:twoCellAnchor editAs="oneCell">
    <xdr:from>
      <xdr:col>0</xdr:col>
      <xdr:colOff>304800</xdr:colOff>
      <xdr:row>3</xdr:row>
      <xdr:rowOff>247650</xdr:rowOff>
    </xdr:from>
    <xdr:to>
      <xdr:col>4</xdr:col>
      <xdr:colOff>104775</xdr:colOff>
      <xdr:row>21</xdr:row>
      <xdr:rowOff>133350</xdr:rowOff>
    </xdr:to>
    <xdr:pic>
      <xdr:nvPicPr>
        <xdr:cNvPr id="7" name="Picture 6" descr="Fibre Summary Document-cover template">
          <a:extLst>
            <a:ext uri="{FF2B5EF4-FFF2-40B4-BE49-F238E27FC236}">
              <a16:creationId xmlns:a16="http://schemas.microsoft.com/office/drawing/2014/main" id="{382D9398-4058-4A3A-B400-A461A6236EB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04800" y="1952625"/>
          <a:ext cx="8782050" cy="40386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44822</xdr:colOff>
      <xdr:row>8</xdr:row>
      <xdr:rowOff>133908</xdr:rowOff>
    </xdr:from>
    <xdr:to>
      <xdr:col>4</xdr:col>
      <xdr:colOff>694765</xdr:colOff>
      <xdr:row>9</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 000s.</a:t>
          </a:r>
        </a:p>
        <a:p>
          <a:r>
            <a:rPr lang="en-NZ" sz="1100">
              <a:latin typeface="Calibri" panose="020F0502020204030204" pitchFamily="34" charset="0"/>
              <a:cs typeface="Calibri" panose="020F0502020204030204" pitchFamily="34" charset="0"/>
            </a:rPr>
            <a:t>2.   The modelling assumes a 'financial loss year' of 30 June, with part years in 2012 and 2022.</a:t>
          </a:r>
        </a:p>
        <a:p>
          <a:r>
            <a:rPr lang="en-NZ" sz="1100">
              <a:latin typeface="Calibri" panose="020F0502020204030204" pitchFamily="34" charset="0"/>
              <a:cs typeface="Calibri" panose="020F0502020204030204" pitchFamily="34" charset="0"/>
            </a:rPr>
            <a:t>3.   The illustration assumes that Crown financing is debt in nature. </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       (Additional inputs and calculation would be needed to model an illustration where Crown financing is equity in nature, or a combination of debt and equity)</a:t>
          </a:r>
        </a:p>
        <a:p>
          <a:r>
            <a:rPr lang="en-NZ" sz="1100">
              <a:latin typeface="Calibri" panose="020F0502020204030204" pitchFamily="34" charset="0"/>
              <a:cs typeface="Calibri" panose="020F0502020204030204" pitchFamily="34" charset="0"/>
            </a:rPr>
            <a:t>4.</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general data used by the model is entered in the 'Inputs' sheet. All inputs are illustrative. </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5.    I</a:t>
          </a:r>
          <a:r>
            <a:rPr lang="en-NZ" sz="1100" baseline="0">
              <a:latin typeface="Calibri" panose="020F0502020204030204" pitchFamily="34" charset="0"/>
              <a:cs typeface="Calibri" panose="020F0502020204030204" pitchFamily="34" charset="0"/>
            </a:rPr>
            <a:t>nputs and intermediate calculations relating to cost of capital and discounting are in the 'Cost of capital' sheet.</a:t>
          </a:r>
        </a:p>
        <a:p>
          <a:r>
            <a:rPr lang="en-NZ" sz="1100">
              <a:solidFill>
                <a:schemeClr val="dk1"/>
              </a:solidFill>
              <a:effectLst/>
              <a:latin typeface="Calibri" panose="020F0502020204030204" pitchFamily="34" charset="0"/>
              <a:ea typeface="+mn-ea"/>
              <a:cs typeface="Calibri" panose="020F0502020204030204" pitchFamily="34" charset="0"/>
            </a:rPr>
            <a:t>6.    I</a:t>
          </a:r>
          <a:r>
            <a:rPr lang="en-NZ" sz="1100" baseline="0">
              <a:solidFill>
                <a:schemeClr val="dk1"/>
              </a:solidFill>
              <a:effectLst/>
              <a:latin typeface="Calibri" panose="020F0502020204030204" pitchFamily="34" charset="0"/>
              <a:ea typeface="+mn-ea"/>
              <a:cs typeface="Calibri" panose="020F0502020204030204" pitchFamily="34" charset="0"/>
            </a:rPr>
            <a:t>nputs and derivations relating timing factors are in the 'Timing' sheet.</a:t>
          </a:r>
          <a:r>
            <a:rPr lang="en-NZ" sz="1100">
              <a:latin typeface="Calibri" panose="020F0502020204030204" pitchFamily="34" charset="0"/>
              <a:cs typeface="Calibri" panose="020F0502020204030204" pitchFamily="34" charset="0"/>
            </a:rPr>
            <a:t>  </a:t>
          </a:r>
        </a:p>
        <a:p>
          <a:r>
            <a:rPr lang="en-NZ" sz="1100">
              <a:latin typeface="Calibri" panose="020F0502020204030204" pitchFamily="34" charset="0"/>
              <a:cs typeface="Calibri" panose="020F0502020204030204" pitchFamily="34" charset="0"/>
            </a:rPr>
            <a:t>7.   </a:t>
          </a:r>
          <a:r>
            <a:rPr lang="en-NZ" sz="1100" baseline="0">
              <a:latin typeface="Calibri" panose="020F0502020204030204" pitchFamily="34" charset="0"/>
              <a:cs typeface="Calibri" panose="020F0502020204030204" pitchFamily="34" charset="0"/>
            </a:rPr>
            <a:t> The model makes  a number of simplifying assumptions. For example:</a:t>
          </a:r>
        </a:p>
        <a:p>
          <a:r>
            <a:rPr lang="en-NZ" sz="1100" baseline="0">
              <a:latin typeface="Calibri" panose="020F0502020204030204" pitchFamily="34" charset="0"/>
              <a:cs typeface="Calibri" panose="020F0502020204030204" pitchFamily="34" charset="0"/>
            </a:rPr>
            <a:t>       -    depreciation is calculated on a straight-line basis using an illustrative average asset life. Assets commissioned in a given year are not depreciated until the following year.     </a:t>
          </a:r>
        </a:p>
        <a:p>
          <a:r>
            <a:rPr lang="en-NZ" sz="1100" baseline="0">
              <a:latin typeface="Calibri" panose="020F0502020204030204" pitchFamily="34" charset="0"/>
              <a:cs typeface="Calibri" panose="020F0502020204030204" pitchFamily="34" charset="0"/>
            </a:rPr>
            <a:t>       -   tax depreciation is calcualted on a straight-line basis using an illustrative tax asset life. </a:t>
          </a:r>
        </a:p>
        <a:p>
          <a:r>
            <a:rPr lang="en-NZ" sz="1100" baseline="0">
              <a:latin typeface="Calibri" panose="020F0502020204030204" pitchFamily="34" charset="0"/>
              <a:cs typeface="Calibri" panose="020F0502020204030204" pitchFamily="34" charset="0"/>
            </a:rPr>
            <a:t>       -   there are no asset disposals</a:t>
          </a:r>
          <a:endParaRPr lang="en-NZ" sz="1100">
            <a:latin typeface="Calibri" panose="020F0502020204030204" pitchFamily="34" charset="0"/>
            <a:cs typeface="Calibri" panose="020F0502020204030204" pitchFamily="34" charset="0"/>
          </a:endParaRPr>
        </a:p>
        <a:p>
          <a:r>
            <a:rPr lang="en-NZ" sz="1100">
              <a:latin typeface="Calibri" panose="020F0502020204030204" pitchFamily="34" charset="0"/>
              <a:cs typeface="Calibri" panose="020F0502020204030204" pitchFamily="34" charset="0"/>
            </a:rPr>
            <a:t>8.</a:t>
          </a:r>
          <a:r>
            <a:rPr lang="en-NZ" sz="1100" baseline="0">
              <a:latin typeface="Calibri" panose="020F0502020204030204" pitchFamily="34" charset="0"/>
              <a:cs typeface="Calibri" panose="020F0502020204030204" pitchFamily="34" charset="0"/>
            </a:rPr>
            <a:t>    The input sheet includes a switch for displaying the summary results before and after tax. </a:t>
          </a:r>
          <a:br>
            <a:rPr lang="en-NZ" sz="1100" baseline="0">
              <a:latin typeface="Calibri" panose="020F0502020204030204" pitchFamily="34" charset="0"/>
              <a:cs typeface="Calibri" panose="020F0502020204030204" pitchFamily="34" charset="0"/>
            </a:rPr>
          </a:br>
          <a:r>
            <a:rPr lang="en-NZ" sz="1100" baseline="0">
              <a:latin typeface="Calibri" panose="020F0502020204030204" pitchFamily="34" charset="0"/>
              <a:cs typeface="Calibri" panose="020F0502020204030204" pitchFamily="34" charset="0"/>
            </a:rPr>
            <a:t>        </a:t>
          </a:r>
          <a:r>
            <a:rPr lang="en-NZ" sz="1100" b="0" baseline="0">
              <a:solidFill>
                <a:schemeClr val="tx1"/>
              </a:solidFill>
              <a:latin typeface="Calibri" panose="020F0502020204030204" pitchFamily="34" charset="0"/>
              <a:cs typeface="Calibri" panose="020F0502020204030204" pitchFamily="34" charset="0"/>
            </a:rPr>
            <a:t>For the draft decision method only, the input sheet includes a switch for displaying the the summary results before and after applying timing factors </a:t>
          </a:r>
        </a:p>
        <a:p>
          <a:r>
            <a:rPr lang="en-NZ" sz="1100">
              <a:latin typeface="Calibri" panose="020F0502020204030204" pitchFamily="34" charset="0"/>
              <a:cs typeface="Calibri" panose="020F0502020204030204" pitchFamily="34" charset="0"/>
            </a:rPr>
            <a:t>9.    A lighter brown</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font is used for cells containing a formula linking to another sheet.</a:t>
          </a:r>
        </a:p>
        <a:p>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A light right-</a:t>
          </a:r>
          <a:r>
            <a:rPr lang="en-NZ" sz="1100" baseline="0">
              <a:latin typeface="Calibri" panose="020F0502020204030204" pitchFamily="34" charset="0"/>
              <a:cs typeface="Calibri" panose="020F0502020204030204" pitchFamily="34" charset="0"/>
            </a:rPr>
            <a:t> or left</a:t>
          </a:r>
          <a:r>
            <a:rPr lang="en-NZ" sz="1100">
              <a:latin typeface="Calibri" panose="020F0502020204030204" pitchFamily="34" charset="0"/>
              <a:cs typeface="Calibri" panose="020F0502020204030204" pitchFamily="34" charset="0"/>
            </a:rPr>
            <a:t>-hand border is applied to cells containing a formula that differs from neighbouring cells.</a:t>
          </a:r>
        </a:p>
        <a:p>
          <a:r>
            <a:rPr lang="en-NZ" sz="1100">
              <a:latin typeface="Calibri" panose="020F0502020204030204" pitchFamily="34" charset="0"/>
              <a:cs typeface="Calibri" panose="020F0502020204030204" pitchFamily="34" charset="0"/>
            </a:rPr>
            <a:t>       A red font is applied to input cells.</a:t>
          </a:r>
        </a:p>
        <a:p>
          <a:endParaRPr lang="en-NZ" sz="1100">
            <a:latin typeface="Calibri" panose="020F0502020204030204" pitchFamily="34" charset="0"/>
            <a:cs typeface="Calibri" panose="020F0502020204030204" pitchFamily="34" charset="0"/>
          </a:endParaRPr>
        </a:p>
        <a:p>
          <a:endParaRPr lang="en-NZ" sz="1100" b="1">
            <a:latin typeface="Calibri" panose="020F0502020204030204" pitchFamily="34" charset="0"/>
            <a:cs typeface="Calibri" panose="020F0502020204030204" pitchFamily="34" charset="0"/>
          </a:endParaRPr>
        </a:p>
        <a:p>
          <a:r>
            <a:rPr lang="en-NZ" sz="1100" b="1">
              <a:latin typeface="Calibri" panose="020F0502020204030204" pitchFamily="34" charset="0"/>
              <a:cs typeface="Calibri" panose="020F0502020204030204" pitchFamily="34" charset="0"/>
            </a:rPr>
            <a:t>Reconciliation beetwen the draft decision</a:t>
          </a:r>
          <a:r>
            <a:rPr lang="en-NZ" sz="1100" b="1" baseline="0">
              <a:latin typeface="Calibri" panose="020F0502020204030204" pitchFamily="34" charset="0"/>
              <a:cs typeface="Calibri" panose="020F0502020204030204" pitchFamily="34" charset="0"/>
            </a:rPr>
            <a:t> and the alternative methods considered</a:t>
          </a:r>
          <a:endParaRPr lang="en-NZ" sz="1100" b="1">
            <a:latin typeface="Calibri" panose="020F0502020204030204" pitchFamily="34" charset="0"/>
            <a:cs typeface="Calibri" panose="020F0502020204030204" pitchFamily="34" charset="0"/>
          </a:endParaRPr>
        </a:p>
        <a:p>
          <a:endParaRPr lang="en-NZ" sz="1100" b="0">
            <a:latin typeface="Calibri" panose="020F0502020204030204" pitchFamily="34" charset="0"/>
            <a:cs typeface="Calibri" panose="020F0502020204030204" pitchFamily="34" charset="0"/>
          </a:endParaRPr>
        </a:p>
        <a:p>
          <a:r>
            <a:rPr lang="en-NZ" sz="1100" b="0">
              <a:latin typeface="Calibri" panose="020F0502020204030204" pitchFamily="34" charset="0"/>
              <a:cs typeface="Calibri" panose="020F0502020204030204" pitchFamily="34" charset="0"/>
            </a:rPr>
            <a:t>To obtain the</a:t>
          </a:r>
          <a:r>
            <a:rPr lang="en-NZ" sz="1100" b="0" baseline="0">
              <a:latin typeface="Calibri" panose="020F0502020204030204" pitchFamily="34" charset="0"/>
              <a:cs typeface="Calibri" panose="020F0502020204030204" pitchFamily="34" charset="0"/>
            </a:rPr>
            <a:t> same financial loss asset values for the building block method and the ajdusted WACC method, set the 'avoided cost debt rate' equal to the 'cost of debt' (see rows 57 and 60 in sheet 'Cost of capital').</a:t>
          </a:r>
        </a:p>
        <a:p>
          <a:endParaRPr lang="en-NZ" sz="1100" b="0" baseline="0">
            <a:latin typeface="Calibri" panose="020F0502020204030204" pitchFamily="34" charset="0"/>
            <a:cs typeface="Calibri" panose="020F0502020204030204" pitchFamily="34" charset="0"/>
          </a:endParaRPr>
        </a:p>
        <a:p>
          <a:r>
            <a:rPr lang="en-NZ" sz="1100" b="0" baseline="0">
              <a:latin typeface="Calibri" panose="020F0502020204030204" pitchFamily="34" charset="0"/>
              <a:cs typeface="Calibri" panose="020F0502020204030204" pitchFamily="34" charset="0"/>
            </a:rPr>
            <a:t>In addition, to also obtain the same financial loss asset values for the stand-alone building block method, the 'Compounding factor (avoided cost debt rate)'  in sheet 'A2 Financial loss asset' (row 76) needs to be replaced with Compounding factor (vanilla WACC)'.</a:t>
          </a:r>
        </a:p>
        <a:p>
          <a:endParaRPr lang="en-NZ" sz="1100" b="0">
            <a:latin typeface="Calibri" panose="020F0502020204030204" pitchFamily="34" charset="0"/>
            <a:cs typeface="Calibri" panose="020F0502020204030204" pitchFamily="34" charset="0"/>
          </a:endParaRPr>
        </a:p>
      </xdr:txBody>
    </xdr:sp>
    <xdr:clientData/>
  </xdr:twoCellAnchor>
  <xdr:twoCellAnchor>
    <xdr:from>
      <xdr:col>1</xdr:col>
      <xdr:colOff>295275</xdr:colOff>
      <xdr:row>13</xdr:row>
      <xdr:rowOff>180975</xdr:rowOff>
    </xdr:from>
    <xdr:to>
      <xdr:col>1</xdr:col>
      <xdr:colOff>1371600</xdr:colOff>
      <xdr:row>14</xdr:row>
      <xdr:rowOff>200025</xdr:rowOff>
    </xdr:to>
    <xdr:sp macro="" textlink="">
      <xdr:nvSpPr>
        <xdr:cNvPr id="3" name="Rectangle 2">
          <a:extLst>
            <a:ext uri="{FF2B5EF4-FFF2-40B4-BE49-F238E27FC236}">
              <a16:creationId xmlns:a16="http://schemas.microsoft.com/office/drawing/2014/main" id="{8E8F5F4C-3A1C-4894-BAA9-8439675C6131}"/>
            </a:ext>
          </a:extLst>
        </xdr:cNvPr>
        <xdr:cNvSpPr/>
      </xdr:nvSpPr>
      <xdr:spPr>
        <a:xfrm>
          <a:off x="476250" y="5400675"/>
          <a:ext cx="1076325" cy="314325"/>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t>Inputs</a:t>
          </a:r>
        </a:p>
      </xdr:txBody>
    </xdr:sp>
    <xdr:clientData/>
  </xdr:twoCellAnchor>
  <xdr:twoCellAnchor>
    <xdr:from>
      <xdr:col>1</xdr:col>
      <xdr:colOff>304800</xdr:colOff>
      <xdr:row>15</xdr:row>
      <xdr:rowOff>180975</xdr:rowOff>
    </xdr:from>
    <xdr:to>
      <xdr:col>1</xdr:col>
      <xdr:colOff>1390650</xdr:colOff>
      <xdr:row>16</xdr:row>
      <xdr:rowOff>200025</xdr:rowOff>
    </xdr:to>
    <xdr:sp macro="" textlink="">
      <xdr:nvSpPr>
        <xdr:cNvPr id="4" name="Rectangle 3">
          <a:extLst>
            <a:ext uri="{FF2B5EF4-FFF2-40B4-BE49-F238E27FC236}">
              <a16:creationId xmlns:a16="http://schemas.microsoft.com/office/drawing/2014/main" id="{CEA0D6E5-AD22-46FE-BB4C-386F9BFECDC6}"/>
            </a:ext>
          </a:extLst>
        </xdr:cNvPr>
        <xdr:cNvSpPr/>
      </xdr:nvSpPr>
      <xdr:spPr>
        <a:xfrm>
          <a:off x="485775" y="5886450"/>
          <a:ext cx="1085850" cy="314325"/>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t>Cost of capital</a:t>
          </a:r>
        </a:p>
      </xdr:txBody>
    </xdr:sp>
    <xdr:clientData/>
  </xdr:twoCellAnchor>
  <xdr:twoCellAnchor>
    <xdr:from>
      <xdr:col>1</xdr:col>
      <xdr:colOff>276225</xdr:colOff>
      <xdr:row>17</xdr:row>
      <xdr:rowOff>219075</xdr:rowOff>
    </xdr:from>
    <xdr:to>
      <xdr:col>1</xdr:col>
      <xdr:colOff>1362075</xdr:colOff>
      <xdr:row>18</xdr:row>
      <xdr:rowOff>238125</xdr:rowOff>
    </xdr:to>
    <xdr:sp macro="" textlink="">
      <xdr:nvSpPr>
        <xdr:cNvPr id="5" name="Rectangle 4">
          <a:extLst>
            <a:ext uri="{FF2B5EF4-FFF2-40B4-BE49-F238E27FC236}">
              <a16:creationId xmlns:a16="http://schemas.microsoft.com/office/drawing/2014/main" id="{2BE17D28-9455-4ADF-8130-5AC87D0DBF28}"/>
            </a:ext>
          </a:extLst>
        </xdr:cNvPr>
        <xdr:cNvSpPr/>
      </xdr:nvSpPr>
      <xdr:spPr>
        <a:xfrm>
          <a:off x="457200" y="6515100"/>
          <a:ext cx="1085850" cy="314325"/>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t>Timing</a:t>
          </a:r>
        </a:p>
      </xdr:txBody>
    </xdr:sp>
    <xdr:clientData/>
  </xdr:twoCellAnchor>
  <xdr:twoCellAnchor>
    <xdr:from>
      <xdr:col>1</xdr:col>
      <xdr:colOff>1885950</xdr:colOff>
      <xdr:row>13</xdr:row>
      <xdr:rowOff>180975</xdr:rowOff>
    </xdr:from>
    <xdr:to>
      <xdr:col>2</xdr:col>
      <xdr:colOff>133350</xdr:colOff>
      <xdr:row>14</xdr:row>
      <xdr:rowOff>200025</xdr:rowOff>
    </xdr:to>
    <xdr:sp macro="" textlink="">
      <xdr:nvSpPr>
        <xdr:cNvPr id="6" name="Rectangle 5">
          <a:extLst>
            <a:ext uri="{FF2B5EF4-FFF2-40B4-BE49-F238E27FC236}">
              <a16:creationId xmlns:a16="http://schemas.microsoft.com/office/drawing/2014/main" id="{CE6FEEF6-C4E7-4724-B154-0FD7B81B1783}"/>
            </a:ext>
          </a:extLst>
        </xdr:cNvPr>
        <xdr:cNvSpPr/>
      </xdr:nvSpPr>
      <xdr:spPr>
        <a:xfrm>
          <a:off x="2066925" y="5295900"/>
          <a:ext cx="561975" cy="314325"/>
        </a:xfrm>
        <a:prstGeom prst="rect">
          <a:avLst/>
        </a:prstGeom>
        <a:solidFill>
          <a:schemeClr val="accent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t>Tax</a:t>
          </a:r>
        </a:p>
      </xdr:txBody>
    </xdr:sp>
    <xdr:clientData/>
  </xdr:twoCellAnchor>
  <xdr:twoCellAnchor>
    <xdr:from>
      <xdr:col>2</xdr:col>
      <xdr:colOff>1095375</xdr:colOff>
      <xdr:row>14</xdr:row>
      <xdr:rowOff>247650</xdr:rowOff>
    </xdr:from>
    <xdr:to>
      <xdr:col>2</xdr:col>
      <xdr:colOff>2447925</xdr:colOff>
      <xdr:row>15</xdr:row>
      <xdr:rowOff>266700</xdr:rowOff>
    </xdr:to>
    <xdr:sp macro="" textlink="">
      <xdr:nvSpPr>
        <xdr:cNvPr id="7" name="Rectangle 6">
          <a:extLst>
            <a:ext uri="{FF2B5EF4-FFF2-40B4-BE49-F238E27FC236}">
              <a16:creationId xmlns:a16="http://schemas.microsoft.com/office/drawing/2014/main" id="{7D4176A8-F8D3-4B7B-8B31-12D1348282B5}"/>
            </a:ext>
          </a:extLst>
        </xdr:cNvPr>
        <xdr:cNvSpPr/>
      </xdr:nvSpPr>
      <xdr:spPr>
        <a:xfrm>
          <a:off x="3590925" y="5657850"/>
          <a:ext cx="1352550" cy="314325"/>
        </a:xfrm>
        <a:prstGeom prst="rect">
          <a:avLst/>
        </a:prstGeom>
        <a:solidFill>
          <a:schemeClr val="accent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t>Financial loss asset</a:t>
          </a:r>
        </a:p>
      </xdr:txBody>
    </xdr:sp>
    <xdr:clientData/>
  </xdr:twoCellAnchor>
  <xdr:twoCellAnchor>
    <xdr:from>
      <xdr:col>1</xdr:col>
      <xdr:colOff>1390650</xdr:colOff>
      <xdr:row>14</xdr:row>
      <xdr:rowOff>42863</xdr:rowOff>
    </xdr:from>
    <xdr:to>
      <xdr:col>1</xdr:col>
      <xdr:colOff>1885950</xdr:colOff>
      <xdr:row>16</xdr:row>
      <xdr:rowOff>42863</xdr:rowOff>
    </xdr:to>
    <xdr:cxnSp macro="">
      <xdr:nvCxnSpPr>
        <xdr:cNvPr id="11" name="Connector: Elbow 10">
          <a:extLst>
            <a:ext uri="{FF2B5EF4-FFF2-40B4-BE49-F238E27FC236}">
              <a16:creationId xmlns:a16="http://schemas.microsoft.com/office/drawing/2014/main" id="{067F5593-E4F2-464C-A758-CEC2C84813C3}"/>
            </a:ext>
          </a:extLst>
        </xdr:cNvPr>
        <xdr:cNvCxnSpPr>
          <a:stCxn id="4" idx="3"/>
          <a:endCxn id="6" idx="1"/>
        </xdr:cNvCxnSpPr>
      </xdr:nvCxnSpPr>
      <xdr:spPr>
        <a:xfrm flipV="1">
          <a:off x="1571625" y="5453063"/>
          <a:ext cx="495300" cy="590550"/>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1371600</xdr:colOff>
      <xdr:row>14</xdr:row>
      <xdr:rowOff>42863</xdr:rowOff>
    </xdr:from>
    <xdr:to>
      <xdr:col>1</xdr:col>
      <xdr:colOff>1885950</xdr:colOff>
      <xdr:row>14</xdr:row>
      <xdr:rowOff>55563</xdr:rowOff>
    </xdr:to>
    <xdr:cxnSp macro="">
      <xdr:nvCxnSpPr>
        <xdr:cNvPr id="19" name="Connector: Elbow 18">
          <a:extLst>
            <a:ext uri="{FF2B5EF4-FFF2-40B4-BE49-F238E27FC236}">
              <a16:creationId xmlns:a16="http://schemas.microsoft.com/office/drawing/2014/main" id="{84111127-22B1-46D2-85B6-42C1C7F598D9}"/>
            </a:ext>
          </a:extLst>
        </xdr:cNvPr>
        <xdr:cNvCxnSpPr>
          <a:stCxn id="3" idx="3"/>
          <a:endCxn id="6" idx="1"/>
        </xdr:cNvCxnSpPr>
      </xdr:nvCxnSpPr>
      <xdr:spPr>
        <a:xfrm>
          <a:off x="1552575" y="5453063"/>
          <a:ext cx="514350" cy="12700"/>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833438</xdr:colOff>
      <xdr:row>14</xdr:row>
      <xdr:rowOff>200025</xdr:rowOff>
    </xdr:from>
    <xdr:to>
      <xdr:col>2</xdr:col>
      <xdr:colOff>1095375</xdr:colOff>
      <xdr:row>15</xdr:row>
      <xdr:rowOff>109538</xdr:rowOff>
    </xdr:to>
    <xdr:cxnSp macro="">
      <xdr:nvCxnSpPr>
        <xdr:cNvPr id="23" name="Connector: Elbow 22">
          <a:extLst>
            <a:ext uri="{FF2B5EF4-FFF2-40B4-BE49-F238E27FC236}">
              <a16:creationId xmlns:a16="http://schemas.microsoft.com/office/drawing/2014/main" id="{3BBC461D-19E4-458B-9C93-6BA3CA85EDB8}"/>
            </a:ext>
          </a:extLst>
        </xdr:cNvPr>
        <xdr:cNvCxnSpPr>
          <a:stCxn id="3" idx="2"/>
          <a:endCxn id="7" idx="1"/>
        </xdr:cNvCxnSpPr>
      </xdr:nvCxnSpPr>
      <xdr:spPr>
        <a:xfrm rot="16200000" flipH="1">
          <a:off x="2200275" y="4424363"/>
          <a:ext cx="204788" cy="2576512"/>
        </a:xfrm>
        <a:prstGeom prst="bentConnector2">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14</xdr:row>
      <xdr:rowOff>42863</xdr:rowOff>
    </xdr:from>
    <xdr:to>
      <xdr:col>2</xdr:col>
      <xdr:colOff>1771650</xdr:colOff>
      <xdr:row>14</xdr:row>
      <xdr:rowOff>247650</xdr:rowOff>
    </xdr:to>
    <xdr:cxnSp macro="">
      <xdr:nvCxnSpPr>
        <xdr:cNvPr id="29" name="Connector: Elbow 28">
          <a:extLst>
            <a:ext uri="{FF2B5EF4-FFF2-40B4-BE49-F238E27FC236}">
              <a16:creationId xmlns:a16="http://schemas.microsoft.com/office/drawing/2014/main" id="{EDF0E36A-690E-4D31-BBB3-D7C5D3F04B06}"/>
            </a:ext>
          </a:extLst>
        </xdr:cNvPr>
        <xdr:cNvCxnSpPr>
          <a:stCxn id="6" idx="3"/>
          <a:endCxn id="7" idx="0"/>
        </xdr:cNvCxnSpPr>
      </xdr:nvCxnSpPr>
      <xdr:spPr>
        <a:xfrm>
          <a:off x="2628900" y="5453063"/>
          <a:ext cx="1638300" cy="204787"/>
        </a:xfrm>
        <a:prstGeom prst="bentConnector2">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819150</xdr:colOff>
      <xdr:row>15</xdr:row>
      <xdr:rowOff>109538</xdr:rowOff>
    </xdr:from>
    <xdr:to>
      <xdr:col>2</xdr:col>
      <xdr:colOff>1095375</xdr:colOff>
      <xdr:row>18</xdr:row>
      <xdr:rowOff>238125</xdr:rowOff>
    </xdr:to>
    <xdr:cxnSp macro="">
      <xdr:nvCxnSpPr>
        <xdr:cNvPr id="39" name="Connector: Elbow 38">
          <a:extLst>
            <a:ext uri="{FF2B5EF4-FFF2-40B4-BE49-F238E27FC236}">
              <a16:creationId xmlns:a16="http://schemas.microsoft.com/office/drawing/2014/main" id="{2FB6489C-65CB-48E5-9BF7-35BF89FDB155}"/>
            </a:ext>
          </a:extLst>
        </xdr:cNvPr>
        <xdr:cNvCxnSpPr>
          <a:stCxn id="5" idx="2"/>
          <a:endCxn id="7" idx="1"/>
        </xdr:cNvCxnSpPr>
      </xdr:nvCxnSpPr>
      <xdr:spPr>
        <a:xfrm rot="5400000" flipH="1" flipV="1">
          <a:off x="1788319" y="5026819"/>
          <a:ext cx="1014412" cy="2590800"/>
        </a:xfrm>
        <a:prstGeom prst="bentConnector4">
          <a:avLst>
            <a:gd name="adj1" fmla="val -22535"/>
            <a:gd name="adj2" fmla="val 60478"/>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847724</xdr:colOff>
      <xdr:row>15</xdr:row>
      <xdr:rowOff>109538</xdr:rowOff>
    </xdr:from>
    <xdr:to>
      <xdr:col>2</xdr:col>
      <xdr:colOff>1095374</xdr:colOff>
      <xdr:row>16</xdr:row>
      <xdr:rowOff>200025</xdr:rowOff>
    </xdr:to>
    <xdr:cxnSp macro="">
      <xdr:nvCxnSpPr>
        <xdr:cNvPr id="97" name="Connector: Elbow 96">
          <a:extLst>
            <a:ext uri="{FF2B5EF4-FFF2-40B4-BE49-F238E27FC236}">
              <a16:creationId xmlns:a16="http://schemas.microsoft.com/office/drawing/2014/main" id="{196003A8-4DD6-4BA5-9E59-9E18546F9C55}"/>
            </a:ext>
          </a:extLst>
        </xdr:cNvPr>
        <xdr:cNvCxnSpPr>
          <a:stCxn id="4" idx="2"/>
          <a:endCxn id="7" idx="1"/>
        </xdr:cNvCxnSpPr>
      </xdr:nvCxnSpPr>
      <xdr:spPr>
        <a:xfrm rot="5400000" flipH="1" flipV="1">
          <a:off x="2116931" y="4726781"/>
          <a:ext cx="385762" cy="2562225"/>
        </a:xfrm>
        <a:prstGeom prst="bentConnector4">
          <a:avLst>
            <a:gd name="adj1" fmla="val -59259"/>
            <a:gd name="adj2" fmla="val 59851"/>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22</xdr:row>
      <xdr:rowOff>180975</xdr:rowOff>
    </xdr:from>
    <xdr:to>
      <xdr:col>1</xdr:col>
      <xdr:colOff>1371600</xdr:colOff>
      <xdr:row>23</xdr:row>
      <xdr:rowOff>200025</xdr:rowOff>
    </xdr:to>
    <xdr:sp macro="" textlink="">
      <xdr:nvSpPr>
        <xdr:cNvPr id="109" name="Rectangle 108">
          <a:extLst>
            <a:ext uri="{FF2B5EF4-FFF2-40B4-BE49-F238E27FC236}">
              <a16:creationId xmlns:a16="http://schemas.microsoft.com/office/drawing/2014/main" id="{2AA89F7E-CE6A-49F8-AE8E-D9EFE4A00563}"/>
            </a:ext>
          </a:extLst>
        </xdr:cNvPr>
        <xdr:cNvSpPr/>
      </xdr:nvSpPr>
      <xdr:spPr>
        <a:xfrm>
          <a:off x="474569" y="5290857"/>
          <a:ext cx="1076325" cy="310403"/>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t>Inputs</a:t>
          </a:r>
        </a:p>
      </xdr:txBody>
    </xdr:sp>
    <xdr:clientData/>
  </xdr:twoCellAnchor>
  <xdr:twoCellAnchor>
    <xdr:from>
      <xdr:col>1</xdr:col>
      <xdr:colOff>304800</xdr:colOff>
      <xdr:row>24</xdr:row>
      <xdr:rowOff>180975</xdr:rowOff>
    </xdr:from>
    <xdr:to>
      <xdr:col>1</xdr:col>
      <xdr:colOff>1390650</xdr:colOff>
      <xdr:row>25</xdr:row>
      <xdr:rowOff>200025</xdr:rowOff>
    </xdr:to>
    <xdr:sp macro="" textlink="">
      <xdr:nvSpPr>
        <xdr:cNvPr id="110" name="Rectangle 109">
          <a:extLst>
            <a:ext uri="{FF2B5EF4-FFF2-40B4-BE49-F238E27FC236}">
              <a16:creationId xmlns:a16="http://schemas.microsoft.com/office/drawing/2014/main" id="{BA02E478-D980-4671-B776-2A3450DD07F1}"/>
            </a:ext>
          </a:extLst>
        </xdr:cNvPr>
        <xdr:cNvSpPr/>
      </xdr:nvSpPr>
      <xdr:spPr>
        <a:xfrm>
          <a:off x="484094" y="5873563"/>
          <a:ext cx="1085850" cy="310403"/>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t>Cost of capital</a:t>
          </a:r>
        </a:p>
      </xdr:txBody>
    </xdr:sp>
    <xdr:clientData/>
  </xdr:twoCellAnchor>
  <xdr:twoCellAnchor>
    <xdr:from>
      <xdr:col>1</xdr:col>
      <xdr:colOff>1885950</xdr:colOff>
      <xdr:row>22</xdr:row>
      <xdr:rowOff>180975</xdr:rowOff>
    </xdr:from>
    <xdr:to>
      <xdr:col>2</xdr:col>
      <xdr:colOff>179294</xdr:colOff>
      <xdr:row>23</xdr:row>
      <xdr:rowOff>200025</xdr:rowOff>
    </xdr:to>
    <xdr:sp macro="" textlink="">
      <xdr:nvSpPr>
        <xdr:cNvPr id="112" name="Rectangle 111">
          <a:extLst>
            <a:ext uri="{FF2B5EF4-FFF2-40B4-BE49-F238E27FC236}">
              <a16:creationId xmlns:a16="http://schemas.microsoft.com/office/drawing/2014/main" id="{1C89B911-E452-44C4-B8A5-33C9688AC669}"/>
            </a:ext>
          </a:extLst>
        </xdr:cNvPr>
        <xdr:cNvSpPr/>
      </xdr:nvSpPr>
      <xdr:spPr>
        <a:xfrm>
          <a:off x="2065244" y="7722534"/>
          <a:ext cx="612962" cy="310403"/>
        </a:xfrm>
        <a:prstGeom prst="rect">
          <a:avLst/>
        </a:prstGeom>
        <a:solidFill>
          <a:schemeClr val="bg1">
            <a:lumMod val="8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solidFill>
                <a:sysClr val="windowText" lastClr="000000"/>
              </a:solidFill>
            </a:rPr>
            <a:t>A.1 Tax</a:t>
          </a:r>
        </a:p>
      </xdr:txBody>
    </xdr:sp>
    <xdr:clientData/>
  </xdr:twoCellAnchor>
  <xdr:twoCellAnchor>
    <xdr:from>
      <xdr:col>2</xdr:col>
      <xdr:colOff>1095374</xdr:colOff>
      <xdr:row>23</xdr:row>
      <xdr:rowOff>247650</xdr:rowOff>
    </xdr:from>
    <xdr:to>
      <xdr:col>2</xdr:col>
      <xdr:colOff>2655793</xdr:colOff>
      <xdr:row>24</xdr:row>
      <xdr:rowOff>266700</xdr:rowOff>
    </xdr:to>
    <xdr:sp macro="" textlink="">
      <xdr:nvSpPr>
        <xdr:cNvPr id="113" name="Rectangle 112">
          <a:extLst>
            <a:ext uri="{FF2B5EF4-FFF2-40B4-BE49-F238E27FC236}">
              <a16:creationId xmlns:a16="http://schemas.microsoft.com/office/drawing/2014/main" id="{E1500231-82BD-4CE8-AAC9-57F8E5A21220}"/>
            </a:ext>
          </a:extLst>
        </xdr:cNvPr>
        <xdr:cNvSpPr/>
      </xdr:nvSpPr>
      <xdr:spPr>
        <a:xfrm>
          <a:off x="3594286" y="8461562"/>
          <a:ext cx="1560419" cy="310403"/>
        </a:xfrm>
        <a:prstGeom prst="rect">
          <a:avLst/>
        </a:prstGeom>
        <a:solidFill>
          <a:schemeClr val="bg1">
            <a:lumMod val="8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solidFill>
                <a:sysClr val="windowText" lastClr="000000"/>
              </a:solidFill>
            </a:rPr>
            <a:t>A.1 Financial loss asset</a:t>
          </a:r>
        </a:p>
      </xdr:txBody>
    </xdr:sp>
    <xdr:clientData/>
  </xdr:twoCellAnchor>
  <xdr:twoCellAnchor>
    <xdr:from>
      <xdr:col>1</xdr:col>
      <xdr:colOff>1390650</xdr:colOff>
      <xdr:row>23</xdr:row>
      <xdr:rowOff>44824</xdr:rowOff>
    </xdr:from>
    <xdr:to>
      <xdr:col>1</xdr:col>
      <xdr:colOff>1885950</xdr:colOff>
      <xdr:row>25</xdr:row>
      <xdr:rowOff>44824</xdr:rowOff>
    </xdr:to>
    <xdr:cxnSp macro="">
      <xdr:nvCxnSpPr>
        <xdr:cNvPr id="114" name="Connector: Elbow 113">
          <a:extLst>
            <a:ext uri="{FF2B5EF4-FFF2-40B4-BE49-F238E27FC236}">
              <a16:creationId xmlns:a16="http://schemas.microsoft.com/office/drawing/2014/main" id="{09FA8EC2-9426-4DA0-B860-D69658D68D93}"/>
            </a:ext>
          </a:extLst>
        </xdr:cNvPr>
        <xdr:cNvCxnSpPr>
          <a:stCxn id="110" idx="3"/>
          <a:endCxn id="112" idx="1"/>
        </xdr:cNvCxnSpPr>
      </xdr:nvCxnSpPr>
      <xdr:spPr>
        <a:xfrm flipV="1">
          <a:off x="1569944" y="7877736"/>
          <a:ext cx="495300" cy="582706"/>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1371600</xdr:colOff>
      <xdr:row>23</xdr:row>
      <xdr:rowOff>44824</xdr:rowOff>
    </xdr:from>
    <xdr:to>
      <xdr:col>1</xdr:col>
      <xdr:colOff>1885950</xdr:colOff>
      <xdr:row>23</xdr:row>
      <xdr:rowOff>57524</xdr:rowOff>
    </xdr:to>
    <xdr:cxnSp macro="">
      <xdr:nvCxnSpPr>
        <xdr:cNvPr id="115" name="Connector: Elbow 114">
          <a:extLst>
            <a:ext uri="{FF2B5EF4-FFF2-40B4-BE49-F238E27FC236}">
              <a16:creationId xmlns:a16="http://schemas.microsoft.com/office/drawing/2014/main" id="{7718B744-C79D-4FD8-AAC4-1ECD32E83F31}"/>
            </a:ext>
          </a:extLst>
        </xdr:cNvPr>
        <xdr:cNvCxnSpPr>
          <a:stCxn id="109" idx="3"/>
          <a:endCxn id="112" idx="1"/>
        </xdr:cNvCxnSpPr>
      </xdr:nvCxnSpPr>
      <xdr:spPr>
        <a:xfrm>
          <a:off x="1550894" y="7877736"/>
          <a:ext cx="514350" cy="12700"/>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833439</xdr:colOff>
      <xdr:row>23</xdr:row>
      <xdr:rowOff>200024</xdr:rowOff>
    </xdr:from>
    <xdr:to>
      <xdr:col>2</xdr:col>
      <xdr:colOff>1095375</xdr:colOff>
      <xdr:row>24</xdr:row>
      <xdr:rowOff>111498</xdr:rowOff>
    </xdr:to>
    <xdr:cxnSp macro="">
      <xdr:nvCxnSpPr>
        <xdr:cNvPr id="116" name="Connector: Elbow 115">
          <a:extLst>
            <a:ext uri="{FF2B5EF4-FFF2-40B4-BE49-F238E27FC236}">
              <a16:creationId xmlns:a16="http://schemas.microsoft.com/office/drawing/2014/main" id="{2A91F44A-5349-4013-855E-7A62784710DA}"/>
            </a:ext>
          </a:extLst>
        </xdr:cNvPr>
        <xdr:cNvCxnSpPr>
          <a:stCxn id="109" idx="2"/>
          <a:endCxn id="113" idx="1"/>
        </xdr:cNvCxnSpPr>
      </xdr:nvCxnSpPr>
      <xdr:spPr>
        <a:xfrm rot="16200000" flipH="1">
          <a:off x="2202096" y="7224573"/>
          <a:ext cx="202827" cy="2581554"/>
        </a:xfrm>
        <a:prstGeom prst="bentConnector2">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179294</xdr:colOff>
      <xdr:row>23</xdr:row>
      <xdr:rowOff>44824</xdr:rowOff>
    </xdr:from>
    <xdr:to>
      <xdr:col>2</xdr:col>
      <xdr:colOff>1875584</xdr:colOff>
      <xdr:row>23</xdr:row>
      <xdr:rowOff>247650</xdr:rowOff>
    </xdr:to>
    <xdr:cxnSp macro="">
      <xdr:nvCxnSpPr>
        <xdr:cNvPr id="117" name="Connector: Elbow 116">
          <a:extLst>
            <a:ext uri="{FF2B5EF4-FFF2-40B4-BE49-F238E27FC236}">
              <a16:creationId xmlns:a16="http://schemas.microsoft.com/office/drawing/2014/main" id="{F5C231C7-CBC6-4368-BD5F-4E66C7D7FD20}"/>
            </a:ext>
          </a:extLst>
        </xdr:cNvPr>
        <xdr:cNvCxnSpPr>
          <a:stCxn id="112" idx="3"/>
          <a:endCxn id="113" idx="0"/>
        </xdr:cNvCxnSpPr>
      </xdr:nvCxnSpPr>
      <xdr:spPr>
        <a:xfrm>
          <a:off x="2678206" y="7877736"/>
          <a:ext cx="1696290" cy="202826"/>
        </a:xfrm>
        <a:prstGeom prst="bentConnector2">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847724</xdr:colOff>
      <xdr:row>24</xdr:row>
      <xdr:rowOff>111499</xdr:rowOff>
    </xdr:from>
    <xdr:to>
      <xdr:col>2</xdr:col>
      <xdr:colOff>1095373</xdr:colOff>
      <xdr:row>25</xdr:row>
      <xdr:rowOff>200025</xdr:rowOff>
    </xdr:to>
    <xdr:cxnSp macro="">
      <xdr:nvCxnSpPr>
        <xdr:cNvPr id="119" name="Connector: Elbow 118">
          <a:extLst>
            <a:ext uri="{FF2B5EF4-FFF2-40B4-BE49-F238E27FC236}">
              <a16:creationId xmlns:a16="http://schemas.microsoft.com/office/drawing/2014/main" id="{CCE8C76A-D996-45F3-9561-A059E3746EBA}"/>
            </a:ext>
          </a:extLst>
        </xdr:cNvPr>
        <xdr:cNvCxnSpPr>
          <a:stCxn id="110" idx="2"/>
          <a:endCxn id="113" idx="1"/>
        </xdr:cNvCxnSpPr>
      </xdr:nvCxnSpPr>
      <xdr:spPr>
        <a:xfrm rot="5400000" flipH="1" flipV="1">
          <a:off x="2120712" y="7523070"/>
          <a:ext cx="379879" cy="2567267"/>
        </a:xfrm>
        <a:prstGeom prst="bentConnector4">
          <a:avLst>
            <a:gd name="adj1" fmla="val -60177"/>
            <a:gd name="adj2" fmla="val 60574"/>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29</xdr:row>
      <xdr:rowOff>180975</xdr:rowOff>
    </xdr:from>
    <xdr:to>
      <xdr:col>1</xdr:col>
      <xdr:colOff>1371600</xdr:colOff>
      <xdr:row>30</xdr:row>
      <xdr:rowOff>200025</xdr:rowOff>
    </xdr:to>
    <xdr:sp macro="" textlink="">
      <xdr:nvSpPr>
        <xdr:cNvPr id="131" name="Rectangle 130">
          <a:extLst>
            <a:ext uri="{FF2B5EF4-FFF2-40B4-BE49-F238E27FC236}">
              <a16:creationId xmlns:a16="http://schemas.microsoft.com/office/drawing/2014/main" id="{E99FA763-2747-4CEB-B1A9-2B68A672BE32}"/>
            </a:ext>
          </a:extLst>
        </xdr:cNvPr>
        <xdr:cNvSpPr/>
      </xdr:nvSpPr>
      <xdr:spPr>
        <a:xfrm>
          <a:off x="474569" y="8103534"/>
          <a:ext cx="1076325" cy="310403"/>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t>Inputs</a:t>
          </a:r>
        </a:p>
      </xdr:txBody>
    </xdr:sp>
    <xdr:clientData/>
  </xdr:twoCellAnchor>
  <xdr:twoCellAnchor>
    <xdr:from>
      <xdr:col>1</xdr:col>
      <xdr:colOff>304800</xdr:colOff>
      <xdr:row>31</xdr:row>
      <xdr:rowOff>180975</xdr:rowOff>
    </xdr:from>
    <xdr:to>
      <xdr:col>1</xdr:col>
      <xdr:colOff>1390650</xdr:colOff>
      <xdr:row>32</xdr:row>
      <xdr:rowOff>200025</xdr:rowOff>
    </xdr:to>
    <xdr:sp macro="" textlink="">
      <xdr:nvSpPr>
        <xdr:cNvPr id="132" name="Rectangle 131">
          <a:extLst>
            <a:ext uri="{FF2B5EF4-FFF2-40B4-BE49-F238E27FC236}">
              <a16:creationId xmlns:a16="http://schemas.microsoft.com/office/drawing/2014/main" id="{7708E9A9-E36A-435C-B112-663E627BD9FB}"/>
            </a:ext>
          </a:extLst>
        </xdr:cNvPr>
        <xdr:cNvSpPr/>
      </xdr:nvSpPr>
      <xdr:spPr>
        <a:xfrm>
          <a:off x="484094" y="8686240"/>
          <a:ext cx="1085850" cy="310403"/>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t>Cost of capital</a:t>
          </a:r>
        </a:p>
      </xdr:txBody>
    </xdr:sp>
    <xdr:clientData/>
  </xdr:twoCellAnchor>
  <xdr:twoCellAnchor>
    <xdr:from>
      <xdr:col>1</xdr:col>
      <xdr:colOff>1885949</xdr:colOff>
      <xdr:row>29</xdr:row>
      <xdr:rowOff>180975</xdr:rowOff>
    </xdr:from>
    <xdr:to>
      <xdr:col>2</xdr:col>
      <xdr:colOff>257734</xdr:colOff>
      <xdr:row>30</xdr:row>
      <xdr:rowOff>200025</xdr:rowOff>
    </xdr:to>
    <xdr:sp macro="" textlink="">
      <xdr:nvSpPr>
        <xdr:cNvPr id="134" name="Rectangle 133">
          <a:extLst>
            <a:ext uri="{FF2B5EF4-FFF2-40B4-BE49-F238E27FC236}">
              <a16:creationId xmlns:a16="http://schemas.microsoft.com/office/drawing/2014/main" id="{3AA91824-96A0-4D8A-8060-CBEEC40E9A28}"/>
            </a:ext>
          </a:extLst>
        </xdr:cNvPr>
        <xdr:cNvSpPr/>
      </xdr:nvSpPr>
      <xdr:spPr>
        <a:xfrm>
          <a:off x="2065243" y="10344710"/>
          <a:ext cx="691403" cy="310403"/>
        </a:xfrm>
        <a:prstGeom prst="rect">
          <a:avLst/>
        </a:prstGeom>
        <a:solidFill>
          <a:schemeClr val="bg1">
            <a:lumMod val="8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solidFill>
                <a:sysClr val="windowText" lastClr="000000"/>
              </a:solidFill>
            </a:rPr>
            <a:t>A.2  Tax</a:t>
          </a:r>
        </a:p>
      </xdr:txBody>
    </xdr:sp>
    <xdr:clientData/>
  </xdr:twoCellAnchor>
  <xdr:twoCellAnchor>
    <xdr:from>
      <xdr:col>2</xdr:col>
      <xdr:colOff>1095374</xdr:colOff>
      <xdr:row>30</xdr:row>
      <xdr:rowOff>247650</xdr:rowOff>
    </xdr:from>
    <xdr:to>
      <xdr:col>2</xdr:col>
      <xdr:colOff>2599763</xdr:colOff>
      <xdr:row>31</xdr:row>
      <xdr:rowOff>266700</xdr:rowOff>
    </xdr:to>
    <xdr:sp macro="" textlink="">
      <xdr:nvSpPr>
        <xdr:cNvPr id="135" name="Rectangle 134">
          <a:extLst>
            <a:ext uri="{FF2B5EF4-FFF2-40B4-BE49-F238E27FC236}">
              <a16:creationId xmlns:a16="http://schemas.microsoft.com/office/drawing/2014/main" id="{E32C027E-EBC1-4FDF-AB54-041EDC75901D}"/>
            </a:ext>
          </a:extLst>
        </xdr:cNvPr>
        <xdr:cNvSpPr/>
      </xdr:nvSpPr>
      <xdr:spPr>
        <a:xfrm>
          <a:off x="3594286" y="11274238"/>
          <a:ext cx="1504389" cy="310403"/>
        </a:xfrm>
        <a:prstGeom prst="rect">
          <a:avLst/>
        </a:prstGeom>
        <a:solidFill>
          <a:schemeClr val="bg1">
            <a:lumMod val="8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solidFill>
                <a:sysClr val="windowText" lastClr="000000"/>
              </a:solidFill>
            </a:rPr>
            <a:t>A.2 Financial loss asset</a:t>
          </a:r>
        </a:p>
      </xdr:txBody>
    </xdr:sp>
    <xdr:clientData/>
  </xdr:twoCellAnchor>
  <xdr:twoCellAnchor>
    <xdr:from>
      <xdr:col>1</xdr:col>
      <xdr:colOff>1390650</xdr:colOff>
      <xdr:row>30</xdr:row>
      <xdr:rowOff>44824</xdr:rowOff>
    </xdr:from>
    <xdr:to>
      <xdr:col>1</xdr:col>
      <xdr:colOff>1885949</xdr:colOff>
      <xdr:row>32</xdr:row>
      <xdr:rowOff>44824</xdr:rowOff>
    </xdr:to>
    <xdr:cxnSp macro="">
      <xdr:nvCxnSpPr>
        <xdr:cNvPr id="136" name="Connector: Elbow 135">
          <a:extLst>
            <a:ext uri="{FF2B5EF4-FFF2-40B4-BE49-F238E27FC236}">
              <a16:creationId xmlns:a16="http://schemas.microsoft.com/office/drawing/2014/main" id="{45FD6476-EC89-4BD9-AC95-5B61042B25DC}"/>
            </a:ext>
          </a:extLst>
        </xdr:cNvPr>
        <xdr:cNvCxnSpPr>
          <a:stCxn id="132" idx="3"/>
          <a:endCxn id="134" idx="1"/>
        </xdr:cNvCxnSpPr>
      </xdr:nvCxnSpPr>
      <xdr:spPr>
        <a:xfrm flipV="1">
          <a:off x="1569944" y="10499912"/>
          <a:ext cx="495299" cy="582706"/>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1371600</xdr:colOff>
      <xdr:row>30</xdr:row>
      <xdr:rowOff>44824</xdr:rowOff>
    </xdr:from>
    <xdr:to>
      <xdr:col>1</xdr:col>
      <xdr:colOff>1885949</xdr:colOff>
      <xdr:row>30</xdr:row>
      <xdr:rowOff>57524</xdr:rowOff>
    </xdr:to>
    <xdr:cxnSp macro="">
      <xdr:nvCxnSpPr>
        <xdr:cNvPr id="137" name="Connector: Elbow 136">
          <a:extLst>
            <a:ext uri="{FF2B5EF4-FFF2-40B4-BE49-F238E27FC236}">
              <a16:creationId xmlns:a16="http://schemas.microsoft.com/office/drawing/2014/main" id="{D3B1BE26-853D-4308-8344-F53E59F07166}"/>
            </a:ext>
          </a:extLst>
        </xdr:cNvPr>
        <xdr:cNvCxnSpPr>
          <a:stCxn id="131" idx="3"/>
          <a:endCxn id="134" idx="1"/>
        </xdr:cNvCxnSpPr>
      </xdr:nvCxnSpPr>
      <xdr:spPr>
        <a:xfrm>
          <a:off x="1550894" y="10499912"/>
          <a:ext cx="514349" cy="12700"/>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833439</xdr:colOff>
      <xdr:row>30</xdr:row>
      <xdr:rowOff>200024</xdr:rowOff>
    </xdr:from>
    <xdr:to>
      <xdr:col>2</xdr:col>
      <xdr:colOff>1095375</xdr:colOff>
      <xdr:row>31</xdr:row>
      <xdr:rowOff>111498</xdr:rowOff>
    </xdr:to>
    <xdr:cxnSp macro="">
      <xdr:nvCxnSpPr>
        <xdr:cNvPr id="138" name="Connector: Elbow 137">
          <a:extLst>
            <a:ext uri="{FF2B5EF4-FFF2-40B4-BE49-F238E27FC236}">
              <a16:creationId xmlns:a16="http://schemas.microsoft.com/office/drawing/2014/main" id="{BE9AD314-89F2-46EE-8405-96998D207C90}"/>
            </a:ext>
          </a:extLst>
        </xdr:cNvPr>
        <xdr:cNvCxnSpPr>
          <a:stCxn id="131" idx="2"/>
          <a:endCxn id="135" idx="1"/>
        </xdr:cNvCxnSpPr>
      </xdr:nvCxnSpPr>
      <xdr:spPr>
        <a:xfrm rot="16200000" flipH="1">
          <a:off x="2202096" y="10037249"/>
          <a:ext cx="202827" cy="2581554"/>
        </a:xfrm>
        <a:prstGeom prst="bentConnector2">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257734</xdr:colOff>
      <xdr:row>30</xdr:row>
      <xdr:rowOff>44824</xdr:rowOff>
    </xdr:from>
    <xdr:to>
      <xdr:col>2</xdr:col>
      <xdr:colOff>1847569</xdr:colOff>
      <xdr:row>30</xdr:row>
      <xdr:rowOff>247650</xdr:rowOff>
    </xdr:to>
    <xdr:cxnSp macro="">
      <xdr:nvCxnSpPr>
        <xdr:cNvPr id="139" name="Connector: Elbow 138">
          <a:extLst>
            <a:ext uri="{FF2B5EF4-FFF2-40B4-BE49-F238E27FC236}">
              <a16:creationId xmlns:a16="http://schemas.microsoft.com/office/drawing/2014/main" id="{2B9041D2-2020-4F11-9CBD-6039A13A6A5A}"/>
            </a:ext>
          </a:extLst>
        </xdr:cNvPr>
        <xdr:cNvCxnSpPr>
          <a:stCxn id="134" idx="3"/>
          <a:endCxn id="135" idx="0"/>
        </xdr:cNvCxnSpPr>
      </xdr:nvCxnSpPr>
      <xdr:spPr>
        <a:xfrm>
          <a:off x="2756646" y="10499912"/>
          <a:ext cx="1589835" cy="202826"/>
        </a:xfrm>
        <a:prstGeom prst="bentConnector2">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847724</xdr:colOff>
      <xdr:row>31</xdr:row>
      <xdr:rowOff>111499</xdr:rowOff>
    </xdr:from>
    <xdr:to>
      <xdr:col>2</xdr:col>
      <xdr:colOff>1095373</xdr:colOff>
      <xdr:row>32</xdr:row>
      <xdr:rowOff>200025</xdr:rowOff>
    </xdr:to>
    <xdr:cxnSp macro="">
      <xdr:nvCxnSpPr>
        <xdr:cNvPr id="141" name="Connector: Elbow 140">
          <a:extLst>
            <a:ext uri="{FF2B5EF4-FFF2-40B4-BE49-F238E27FC236}">
              <a16:creationId xmlns:a16="http://schemas.microsoft.com/office/drawing/2014/main" id="{D20C90CE-8EAD-49B6-B7A4-C66E52753D0D}"/>
            </a:ext>
          </a:extLst>
        </xdr:cNvPr>
        <xdr:cNvCxnSpPr>
          <a:stCxn id="132" idx="2"/>
          <a:endCxn id="135" idx="1"/>
        </xdr:cNvCxnSpPr>
      </xdr:nvCxnSpPr>
      <xdr:spPr>
        <a:xfrm rot="5400000" flipH="1" flipV="1">
          <a:off x="2120712" y="10335746"/>
          <a:ext cx="379879" cy="2567267"/>
        </a:xfrm>
        <a:prstGeom prst="bentConnector4">
          <a:avLst>
            <a:gd name="adj1" fmla="val -60177"/>
            <a:gd name="adj2" fmla="val 60574"/>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4677897</xdr:colOff>
      <xdr:row>14</xdr:row>
      <xdr:rowOff>245409</xdr:rowOff>
    </xdr:from>
    <xdr:to>
      <xdr:col>2</xdr:col>
      <xdr:colOff>6030447</xdr:colOff>
      <xdr:row>15</xdr:row>
      <xdr:rowOff>264459</xdr:rowOff>
    </xdr:to>
    <xdr:sp macro="" textlink="">
      <xdr:nvSpPr>
        <xdr:cNvPr id="151" name="Rectangle 150">
          <a:extLst>
            <a:ext uri="{FF2B5EF4-FFF2-40B4-BE49-F238E27FC236}">
              <a16:creationId xmlns:a16="http://schemas.microsoft.com/office/drawing/2014/main" id="{A0FCBAF1-8555-4198-A856-E97592E6433E}"/>
            </a:ext>
          </a:extLst>
        </xdr:cNvPr>
        <xdr:cNvSpPr/>
      </xdr:nvSpPr>
      <xdr:spPr>
        <a:xfrm>
          <a:off x="7176809" y="5456144"/>
          <a:ext cx="1352550" cy="310403"/>
        </a:xfrm>
        <a:prstGeom prst="rect">
          <a:avLst/>
        </a:prstGeom>
        <a:solidFill>
          <a:schemeClr val="accent3">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NZ" sz="1100"/>
            <a:t>Summary</a:t>
          </a:r>
        </a:p>
      </xdr:txBody>
    </xdr:sp>
    <xdr:clientData/>
  </xdr:twoCellAnchor>
  <xdr:twoCellAnchor>
    <xdr:from>
      <xdr:col>2</xdr:col>
      <xdr:colOff>2447925</xdr:colOff>
      <xdr:row>15</xdr:row>
      <xdr:rowOff>109258</xdr:rowOff>
    </xdr:from>
    <xdr:to>
      <xdr:col>2</xdr:col>
      <xdr:colOff>4677897</xdr:colOff>
      <xdr:row>15</xdr:row>
      <xdr:rowOff>111499</xdr:rowOff>
    </xdr:to>
    <xdr:cxnSp macro="">
      <xdr:nvCxnSpPr>
        <xdr:cNvPr id="152" name="Connector: Elbow 151">
          <a:extLst>
            <a:ext uri="{FF2B5EF4-FFF2-40B4-BE49-F238E27FC236}">
              <a16:creationId xmlns:a16="http://schemas.microsoft.com/office/drawing/2014/main" id="{99F1A65A-0BED-4640-ACEC-1E1100C3B245}"/>
            </a:ext>
          </a:extLst>
        </xdr:cNvPr>
        <xdr:cNvCxnSpPr>
          <a:stCxn id="7" idx="3"/>
          <a:endCxn id="151" idx="1"/>
        </xdr:cNvCxnSpPr>
      </xdr:nvCxnSpPr>
      <xdr:spPr>
        <a:xfrm flipV="1">
          <a:off x="4946837" y="5611346"/>
          <a:ext cx="2229972" cy="2241"/>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2655793</xdr:colOff>
      <xdr:row>15</xdr:row>
      <xdr:rowOff>264459</xdr:rowOff>
    </xdr:from>
    <xdr:to>
      <xdr:col>2</xdr:col>
      <xdr:colOff>5354172</xdr:colOff>
      <xdr:row>24</xdr:row>
      <xdr:rowOff>111499</xdr:rowOff>
    </xdr:to>
    <xdr:cxnSp macro="">
      <xdr:nvCxnSpPr>
        <xdr:cNvPr id="156" name="Connector: Elbow 155">
          <a:extLst>
            <a:ext uri="{FF2B5EF4-FFF2-40B4-BE49-F238E27FC236}">
              <a16:creationId xmlns:a16="http://schemas.microsoft.com/office/drawing/2014/main" id="{8FDD27A8-B45D-48A5-ACD1-B09A4FEDE94F}"/>
            </a:ext>
          </a:extLst>
        </xdr:cNvPr>
        <xdr:cNvCxnSpPr>
          <a:stCxn id="113" idx="3"/>
          <a:endCxn id="151" idx="2"/>
        </xdr:cNvCxnSpPr>
      </xdr:nvCxnSpPr>
      <xdr:spPr>
        <a:xfrm flipV="1">
          <a:off x="5154705" y="5766547"/>
          <a:ext cx="2698379" cy="2469217"/>
        </a:xfrm>
        <a:prstGeom prst="bentConnector2">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2599763</xdr:colOff>
      <xdr:row>15</xdr:row>
      <xdr:rowOff>264459</xdr:rowOff>
    </xdr:from>
    <xdr:to>
      <xdr:col>2</xdr:col>
      <xdr:colOff>5354172</xdr:colOff>
      <xdr:row>31</xdr:row>
      <xdr:rowOff>111499</xdr:rowOff>
    </xdr:to>
    <xdr:cxnSp macro="">
      <xdr:nvCxnSpPr>
        <xdr:cNvPr id="159" name="Connector: Elbow 158">
          <a:extLst>
            <a:ext uri="{FF2B5EF4-FFF2-40B4-BE49-F238E27FC236}">
              <a16:creationId xmlns:a16="http://schemas.microsoft.com/office/drawing/2014/main" id="{B1E6636E-083A-4F42-A2E4-5D772B0F2084}"/>
            </a:ext>
          </a:extLst>
        </xdr:cNvPr>
        <xdr:cNvCxnSpPr>
          <a:stCxn id="135" idx="3"/>
          <a:endCxn id="151" idx="2"/>
        </xdr:cNvCxnSpPr>
      </xdr:nvCxnSpPr>
      <xdr:spPr>
        <a:xfrm flipV="1">
          <a:off x="5098675" y="5766547"/>
          <a:ext cx="2754409" cy="5091393"/>
        </a:xfrm>
        <a:prstGeom prst="bentConnector2">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r/Documents/Steve/Workplan/Cashflow%20timing/Financial-model-EDB-DPP3-updated-draft-25-September-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puts"/>
      <sheetName val="EDB data"/>
      <sheetName val="TIMING"/>
      <sheetName val="RAB"/>
      <sheetName val="TAX"/>
      <sheetName val="BBAR"/>
      <sheetName val="MAR"/>
      <sheetName val="IRR"/>
      <sheetName val="Outputs"/>
      <sheetName val="Chartbook outputs"/>
    </sheetNames>
    <sheetDataSet>
      <sheetData sheetId="0"/>
      <sheetData sheetId="1"/>
      <sheetData sheetId="2"/>
      <sheetData sheetId="3"/>
      <sheetData sheetId="4">
        <row r="9">
          <cell r="B9">
            <v>4.5699999999999998E-2</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D22"/>
  <sheetViews>
    <sheetView showGridLines="0" tabSelected="1" view="pageBreakPreview" zoomScaleNormal="100" zoomScaleSheetLayoutView="100" workbookViewId="0"/>
  </sheetViews>
  <sheetFormatPr defaultColWidth="9.140625" defaultRowHeight="15" x14ac:dyDescent="0.25"/>
  <cols>
    <col min="1" max="1" width="26.5703125" style="1" customWidth="1"/>
    <col min="2" max="2" width="43.140625" style="1" customWidth="1"/>
    <col min="3" max="3" width="32.7109375" style="1" customWidth="1"/>
    <col min="4" max="4" width="32.28515625" style="1" customWidth="1"/>
    <col min="5" max="16384" width="9.140625" style="1"/>
  </cols>
  <sheetData>
    <row r="1" spans="1:4" ht="15" customHeight="1" x14ac:dyDescent="0.25">
      <c r="A1" s="26"/>
      <c r="B1" s="27"/>
      <c r="C1" s="27"/>
      <c r="D1" s="28"/>
    </row>
    <row r="2" spans="1:4" ht="96.75" customHeight="1" x14ac:dyDescent="0.25">
      <c r="A2" s="37"/>
      <c r="B2" s="11"/>
      <c r="C2" s="11"/>
      <c r="D2" s="7"/>
    </row>
    <row r="3" spans="1:4" ht="22.5" customHeight="1" x14ac:dyDescent="0.4">
      <c r="A3" s="212" t="s">
        <v>66</v>
      </c>
      <c r="B3" s="211"/>
      <c r="C3" s="6"/>
      <c r="D3" s="5"/>
    </row>
    <row r="4" spans="1:4" ht="22.5" customHeight="1" x14ac:dyDescent="0.4">
      <c r="A4" s="38" t="s">
        <v>122</v>
      </c>
      <c r="B4" s="6"/>
      <c r="C4" s="6"/>
      <c r="D4" s="5"/>
    </row>
    <row r="5" spans="1:4" ht="22.5" customHeight="1" x14ac:dyDescent="0.4">
      <c r="A5" s="38" t="s">
        <v>239</v>
      </c>
      <c r="B5" s="6"/>
      <c r="C5" s="6"/>
      <c r="D5" s="5"/>
    </row>
    <row r="6" spans="1:4" ht="22.5" customHeight="1" x14ac:dyDescent="0.4">
      <c r="A6" s="38"/>
      <c r="B6" s="6"/>
      <c r="C6" s="6"/>
      <c r="D6" s="5"/>
    </row>
    <row r="7" spans="1:4" ht="22.5" customHeight="1" x14ac:dyDescent="0.4">
      <c r="A7" s="38"/>
      <c r="B7" s="158"/>
      <c r="C7" s="158"/>
      <c r="D7" s="6"/>
    </row>
    <row r="8" spans="1:4" x14ac:dyDescent="0.25">
      <c r="B8" s="159"/>
      <c r="C8" s="159"/>
    </row>
    <row r="9" spans="1:4" x14ac:dyDescent="0.25">
      <c r="B9" s="159"/>
      <c r="C9" s="159"/>
    </row>
    <row r="10" spans="1:4" x14ac:dyDescent="0.25">
      <c r="B10" s="159"/>
      <c r="C10" s="159"/>
    </row>
    <row r="11" spans="1:4" ht="42" customHeight="1" x14ac:dyDescent="0.25">
      <c r="A11" s="37"/>
      <c r="B11" s="160"/>
      <c r="C11" s="160"/>
      <c r="D11" s="7"/>
    </row>
    <row r="12" spans="1:4" ht="15" customHeight="1" x14ac:dyDescent="0.25">
      <c r="A12" s="37"/>
      <c r="B12" s="29"/>
      <c r="C12" s="29"/>
      <c r="D12" s="10"/>
    </row>
    <row r="13" spans="1:4" ht="15" customHeight="1" x14ac:dyDescent="0.25">
      <c r="A13" s="9"/>
      <c r="B13" s="29"/>
      <c r="C13" s="29"/>
      <c r="D13" s="7"/>
    </row>
    <row r="14" spans="1:4" ht="15" customHeight="1" x14ac:dyDescent="0.25">
      <c r="A14" s="9"/>
      <c r="B14" s="29"/>
      <c r="C14" s="29"/>
      <c r="D14" s="7"/>
    </row>
    <row r="15" spans="1:4" ht="15" customHeight="1" x14ac:dyDescent="0.25">
      <c r="A15" s="9"/>
      <c r="B15" s="29"/>
      <c r="C15" s="29"/>
      <c r="D15" s="7"/>
    </row>
    <row r="16" spans="1:4" ht="15" customHeight="1" x14ac:dyDescent="0.25">
      <c r="A16" s="9"/>
      <c r="B16" s="29"/>
      <c r="C16" s="29"/>
      <c r="D16" s="10"/>
    </row>
    <row r="17" spans="1:4" ht="15" customHeight="1" x14ac:dyDescent="0.25">
      <c r="A17" s="9"/>
      <c r="B17" s="29"/>
      <c r="C17" s="29"/>
      <c r="D17" s="10"/>
    </row>
    <row r="18" spans="1:4" ht="15" customHeight="1" x14ac:dyDescent="0.25">
      <c r="A18" s="9"/>
      <c r="B18" s="29"/>
      <c r="C18" s="29"/>
      <c r="D18" s="7"/>
    </row>
    <row r="19" spans="1:4" ht="15" customHeight="1" x14ac:dyDescent="0.25">
      <c r="A19" s="9"/>
      <c r="B19" s="29"/>
      <c r="C19" s="29"/>
      <c r="D19" s="7"/>
    </row>
    <row r="20" spans="1:4" ht="15" customHeight="1" x14ac:dyDescent="0.25">
      <c r="A20" s="9"/>
      <c r="B20" s="29"/>
      <c r="C20" s="29"/>
      <c r="D20" s="7"/>
    </row>
    <row r="21" spans="1:4" ht="15" customHeight="1" x14ac:dyDescent="0.25">
      <c r="A21" s="245" t="s">
        <v>148</v>
      </c>
      <c r="B21" s="246"/>
      <c r="C21" s="246"/>
      <c r="D21" s="5"/>
    </row>
    <row r="22" spans="1:4" ht="15" customHeight="1" x14ac:dyDescent="0.25">
      <c r="A22" s="4"/>
      <c r="B22" s="3"/>
      <c r="C22" s="3"/>
      <c r="D22" s="2"/>
    </row>
  </sheetData>
  <sheetProtection formatColumns="0" formatRows="0"/>
  <pageMargins left="0.70866141732283472" right="0.70866141732283472" top="0.74803149606299213" bottom="0.74803149606299213" header="0.31496062992125984" footer="0.31496062992125984"/>
  <pageSetup paperSize="9" scale="97" orientation="landscape" r:id="rId1"/>
  <headerFooter>
    <oddFooter>&amp;L&amp;F&amp;C&amp;A&amp;R&amp;P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C4009-9C76-4432-BC9D-51CD65CE231C}">
  <sheetPr>
    <tabColor theme="0" tint="-0.499984740745262"/>
  </sheetPr>
  <dimension ref="B2"/>
  <sheetViews>
    <sheetView showGridLines="0" workbookViewId="0"/>
  </sheetViews>
  <sheetFormatPr defaultRowHeight="15" x14ac:dyDescent="0.25"/>
  <sheetData>
    <row r="2" spans="2:2" x14ac:dyDescent="0.25">
      <c r="B2" s="174" t="s">
        <v>126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AA7E0-AF24-47C2-B769-F05FD3844199}">
  <sheetPr>
    <tabColor theme="0" tint="-0.14999847407452621"/>
  </sheetPr>
  <dimension ref="A1:N115"/>
  <sheetViews>
    <sheetView showGridLines="0" zoomScale="85" zoomScaleNormal="85" workbookViewId="0"/>
  </sheetViews>
  <sheetFormatPr defaultRowHeight="15" x14ac:dyDescent="0.25"/>
  <cols>
    <col min="1" max="1" width="93.140625" style="1" customWidth="1"/>
    <col min="2" max="2" width="9.140625" style="1"/>
    <col min="3" max="13" width="16.85546875" style="1" customWidth="1"/>
    <col min="14" max="14" width="9.140625" style="1"/>
    <col min="15" max="15" width="15.85546875" style="1" customWidth="1"/>
    <col min="16" max="16384" width="9.140625" style="1"/>
  </cols>
  <sheetData>
    <row r="1" spans="1:13" ht="26.25" x14ac:dyDescent="0.4">
      <c r="A1" s="16" t="s">
        <v>261</v>
      </c>
    </row>
    <row r="2" spans="1:13" ht="26.25" x14ac:dyDescent="0.4">
      <c r="A2" s="16" t="s">
        <v>82</v>
      </c>
    </row>
    <row r="3" spans="1:13" x14ac:dyDescent="0.25">
      <c r="A3" s="76" t="s">
        <v>243</v>
      </c>
    </row>
    <row r="4" spans="1:13" ht="23.25" x14ac:dyDescent="0.35">
      <c r="A4" s="35" t="s">
        <v>20</v>
      </c>
    </row>
    <row r="5" spans="1:13" ht="23.25" x14ac:dyDescent="0.35">
      <c r="A5" s="35"/>
    </row>
    <row r="6" spans="1:13" x14ac:dyDescent="0.25">
      <c r="A6" s="56" t="s">
        <v>102</v>
      </c>
      <c r="B6" s="69" t="s">
        <v>251</v>
      </c>
      <c r="C6" s="142">
        <f>Inputs!C17</f>
        <v>20</v>
      </c>
      <c r="D6" s="142">
        <f>Inputs!D17</f>
        <v>20</v>
      </c>
      <c r="E6" s="142">
        <f>Inputs!E17</f>
        <v>20</v>
      </c>
      <c r="F6" s="142">
        <f>Inputs!F17</f>
        <v>20</v>
      </c>
      <c r="G6" s="142">
        <f>Inputs!G17</f>
        <v>20</v>
      </c>
      <c r="H6" s="142">
        <f>Inputs!H17</f>
        <v>20</v>
      </c>
      <c r="I6" s="142">
        <f>Inputs!I17</f>
        <v>20</v>
      </c>
      <c r="J6" s="142">
        <f>Inputs!J17</f>
        <v>20</v>
      </c>
      <c r="K6" s="142">
        <f>Inputs!K17</f>
        <v>20</v>
      </c>
      <c r="L6" s="142">
        <f>Inputs!L17</f>
        <v>20</v>
      </c>
      <c r="M6" s="142">
        <f>Inputs!M17</f>
        <v>20</v>
      </c>
    </row>
    <row r="7" spans="1:13" x14ac:dyDescent="0.25">
      <c r="B7" s="69"/>
    </row>
    <row r="8" spans="1:13" x14ac:dyDescent="0.25">
      <c r="A8" s="56" t="str">
        <f>Inputs!A10</f>
        <v>Weighted average asset life</v>
      </c>
      <c r="B8" s="69" t="s">
        <v>251</v>
      </c>
      <c r="C8" s="142">
        <f>Inputs!C10</f>
        <v>30</v>
      </c>
      <c r="D8" s="142">
        <f>Inputs!D10</f>
        <v>30</v>
      </c>
      <c r="E8" s="142">
        <f>Inputs!E10</f>
        <v>30</v>
      </c>
      <c r="F8" s="142">
        <f>Inputs!F10</f>
        <v>30</v>
      </c>
      <c r="G8" s="142">
        <f>Inputs!G10</f>
        <v>30</v>
      </c>
      <c r="H8" s="142">
        <f>Inputs!H10</f>
        <v>30</v>
      </c>
      <c r="I8" s="142">
        <f>Inputs!I10</f>
        <v>30</v>
      </c>
      <c r="J8" s="142">
        <f>Inputs!J10</f>
        <v>30</v>
      </c>
      <c r="K8" s="142">
        <f>Inputs!K10</f>
        <v>30</v>
      </c>
      <c r="L8" s="142">
        <f>Inputs!L10</f>
        <v>30</v>
      </c>
      <c r="M8" s="142">
        <f>Inputs!M10</f>
        <v>30</v>
      </c>
    </row>
    <row r="11" spans="1:13" ht="18.399999999999999" customHeight="1" x14ac:dyDescent="0.25">
      <c r="A11" s="96"/>
      <c r="B11" s="152"/>
      <c r="C11" s="98">
        <v>2012</v>
      </c>
      <c r="D11" s="98">
        <v>2013</v>
      </c>
      <c r="E11" s="98">
        <v>2014</v>
      </c>
      <c r="F11" s="98">
        <v>2015</v>
      </c>
      <c r="G11" s="98">
        <v>2016</v>
      </c>
      <c r="H11" s="98">
        <v>2017</v>
      </c>
      <c r="I11" s="98">
        <v>2018</v>
      </c>
      <c r="J11" s="98">
        <v>2019</v>
      </c>
      <c r="K11" s="98">
        <v>2020</v>
      </c>
      <c r="L11" s="98">
        <v>2021</v>
      </c>
      <c r="M11" s="98">
        <v>2022</v>
      </c>
    </row>
    <row r="12" spans="1:13" x14ac:dyDescent="0.25">
      <c r="A12" s="56" t="s">
        <v>198</v>
      </c>
      <c r="B12" s="69" t="s">
        <v>73</v>
      </c>
      <c r="C12" s="147">
        <f>Inputs!C6</f>
        <v>0</v>
      </c>
      <c r="D12" s="147">
        <f>Inputs!D6</f>
        <v>50</v>
      </c>
      <c r="E12" s="147">
        <f>Inputs!E6</f>
        <v>100</v>
      </c>
      <c r="F12" s="147">
        <f>Inputs!F6</f>
        <v>150</v>
      </c>
      <c r="G12" s="147">
        <f>Inputs!G6</f>
        <v>200</v>
      </c>
      <c r="H12" s="147">
        <f>Inputs!H6</f>
        <v>210</v>
      </c>
      <c r="I12" s="147">
        <f>Inputs!I6</f>
        <v>220</v>
      </c>
      <c r="J12" s="147">
        <f>Inputs!J6</f>
        <v>230</v>
      </c>
      <c r="K12" s="147">
        <f>Inputs!K6</f>
        <v>240</v>
      </c>
      <c r="L12" s="147">
        <f>Inputs!L6</f>
        <v>250</v>
      </c>
      <c r="M12" s="147">
        <f>Inputs!M6</f>
        <v>260</v>
      </c>
    </row>
    <row r="13" spans="1:13" x14ac:dyDescent="0.25">
      <c r="A13" s="56" t="s">
        <v>74</v>
      </c>
      <c r="B13" s="69" t="s">
        <v>73</v>
      </c>
      <c r="C13" s="146">
        <f>Inputs!C7</f>
        <v>50</v>
      </c>
      <c r="D13" s="146">
        <f>Inputs!D7</f>
        <v>100</v>
      </c>
      <c r="E13" s="146">
        <f>Inputs!E7</f>
        <v>150</v>
      </c>
      <c r="F13" s="146">
        <f>Inputs!F7</f>
        <v>200</v>
      </c>
      <c r="G13" s="146">
        <f>Inputs!G7</f>
        <v>200</v>
      </c>
      <c r="H13" s="146">
        <f>Inputs!H7</f>
        <v>200</v>
      </c>
      <c r="I13" s="146">
        <f>Inputs!I7</f>
        <v>200</v>
      </c>
      <c r="J13" s="146">
        <f>Inputs!J7</f>
        <v>200</v>
      </c>
      <c r="K13" s="146">
        <f>Inputs!K7</f>
        <v>200</v>
      </c>
      <c r="L13" s="146">
        <f>Inputs!L7</f>
        <v>200</v>
      </c>
      <c r="M13" s="146">
        <f>Inputs!M7</f>
        <v>200</v>
      </c>
    </row>
    <row r="14" spans="1:13" x14ac:dyDescent="0.25">
      <c r="A14" s="56" t="s">
        <v>144</v>
      </c>
      <c r="B14" s="69" t="s">
        <v>73</v>
      </c>
      <c r="C14" s="147">
        <f>-Inputs!C8</f>
        <v>-50</v>
      </c>
      <c r="D14" s="147">
        <f>-Inputs!D8</f>
        <v>-100</v>
      </c>
      <c r="E14" s="147">
        <f>-Inputs!E8</f>
        <v>-150</v>
      </c>
      <c r="F14" s="147">
        <f>-Inputs!F8</f>
        <v>-150</v>
      </c>
      <c r="G14" s="147">
        <f>-Inputs!G8</f>
        <v>-150</v>
      </c>
      <c r="H14" s="147">
        <f>-Inputs!H8</f>
        <v>-150</v>
      </c>
      <c r="I14" s="147">
        <f>-Inputs!I8</f>
        <v>-150</v>
      </c>
      <c r="J14" s="147">
        <f>-Inputs!J8</f>
        <v>-150</v>
      </c>
      <c r="K14" s="147">
        <f>-Inputs!K8</f>
        <v>-150</v>
      </c>
      <c r="L14" s="147">
        <f>-Inputs!L8</f>
        <v>-150</v>
      </c>
      <c r="M14" s="147">
        <f>-Inputs!M8</f>
        <v>-150</v>
      </c>
    </row>
    <row r="16" spans="1:13" x14ac:dyDescent="0.25">
      <c r="A16" s="56" t="s">
        <v>89</v>
      </c>
      <c r="B16" s="69" t="s">
        <v>73</v>
      </c>
      <c r="C16" s="146">
        <f>Inputs!C13</f>
        <v>30</v>
      </c>
      <c r="D16" s="146">
        <f>Inputs!D13</f>
        <v>50</v>
      </c>
      <c r="E16" s="146">
        <f>Inputs!E13</f>
        <v>70</v>
      </c>
      <c r="F16" s="146">
        <f>Inputs!F13</f>
        <v>100</v>
      </c>
      <c r="G16" s="146">
        <f>Inputs!G13</f>
        <v>100</v>
      </c>
      <c r="H16" s="146">
        <f>Inputs!H13</f>
        <v>100</v>
      </c>
      <c r="I16" s="146">
        <f>Inputs!I13</f>
        <v>100</v>
      </c>
      <c r="J16" s="146">
        <f>Inputs!J13</f>
        <v>100</v>
      </c>
      <c r="K16" s="146">
        <f>Inputs!K13</f>
        <v>100</v>
      </c>
      <c r="L16" s="146">
        <f>Inputs!L13</f>
        <v>100</v>
      </c>
      <c r="M16" s="146">
        <f>Inputs!M13</f>
        <v>100</v>
      </c>
    </row>
    <row r="17" spans="1:13" x14ac:dyDescent="0.25">
      <c r="A17" s="91" t="s">
        <v>100</v>
      </c>
      <c r="B17" s="69" t="s">
        <v>73</v>
      </c>
      <c r="C17" s="92">
        <f>Inputs!C14</f>
        <v>0</v>
      </c>
      <c r="D17" s="92">
        <f>Inputs!D14</f>
        <v>0</v>
      </c>
      <c r="E17" s="92">
        <f>Inputs!E14</f>
        <v>0</v>
      </c>
      <c r="F17" s="92">
        <f>Inputs!F14</f>
        <v>0</v>
      </c>
      <c r="G17" s="92">
        <f>Inputs!G14</f>
        <v>0</v>
      </c>
      <c r="H17" s="92">
        <f>Inputs!H14</f>
        <v>0</v>
      </c>
      <c r="I17" s="92">
        <f>Inputs!I14</f>
        <v>0</v>
      </c>
      <c r="J17" s="92">
        <f>Inputs!J14</f>
        <v>0</v>
      </c>
      <c r="K17" s="92">
        <f>Inputs!K14</f>
        <v>0</v>
      </c>
      <c r="L17" s="92">
        <f>Inputs!L14</f>
        <v>0</v>
      </c>
      <c r="M17" s="92">
        <f>Inputs!M14</f>
        <v>0</v>
      </c>
    </row>
    <row r="20" spans="1:13" x14ac:dyDescent="0.25">
      <c r="A20" s="56" t="s">
        <v>121</v>
      </c>
      <c r="B20" s="56" t="s">
        <v>88</v>
      </c>
      <c r="C20" s="141">
        <f>Inputs!C$19</f>
        <v>0.28000000000000003</v>
      </c>
      <c r="D20" s="141">
        <f>Inputs!D$19</f>
        <v>0.28000000000000003</v>
      </c>
      <c r="E20" s="141">
        <f>Inputs!E$19</f>
        <v>0.28000000000000003</v>
      </c>
      <c r="F20" s="141">
        <f>Inputs!F$19</f>
        <v>0.28000000000000003</v>
      </c>
      <c r="G20" s="141">
        <f>Inputs!G$19</f>
        <v>0.28000000000000003</v>
      </c>
      <c r="H20" s="141">
        <f>Inputs!H$19</f>
        <v>0.28000000000000003</v>
      </c>
      <c r="I20" s="141">
        <f>Inputs!I$19</f>
        <v>0.28000000000000003</v>
      </c>
      <c r="J20" s="141">
        <f>Inputs!J$19</f>
        <v>0.28000000000000003</v>
      </c>
      <c r="K20" s="141">
        <f>Inputs!K$19</f>
        <v>0.28000000000000003</v>
      </c>
      <c r="L20" s="141">
        <f>Inputs!L$19</f>
        <v>0.28000000000000003</v>
      </c>
      <c r="M20" s="141">
        <f>Inputs!M$19</f>
        <v>0.28000000000000003</v>
      </c>
    </row>
    <row r="21" spans="1:13" ht="21" x14ac:dyDescent="0.35">
      <c r="A21" s="97"/>
      <c r="B21" s="42"/>
    </row>
    <row r="22" spans="1:13" x14ac:dyDescent="0.25">
      <c r="A22" s="56" t="s">
        <v>46</v>
      </c>
      <c r="B22" s="56" t="s">
        <v>88</v>
      </c>
      <c r="C22" s="144">
        <f>'Cost of capital'!C69</f>
        <v>0.31</v>
      </c>
      <c r="D22" s="144">
        <f>'Cost of capital'!D69</f>
        <v>0.31</v>
      </c>
      <c r="E22" s="144">
        <f>'Cost of capital'!E69</f>
        <v>0.31</v>
      </c>
      <c r="F22" s="144">
        <f>'Cost of capital'!F69</f>
        <v>0.31</v>
      </c>
      <c r="G22" s="144">
        <f>'Cost of capital'!G69</f>
        <v>0.31</v>
      </c>
      <c r="H22" s="144">
        <f>'Cost of capital'!H69</f>
        <v>0.31</v>
      </c>
      <c r="I22" s="144">
        <f>'Cost of capital'!I69</f>
        <v>0.31</v>
      </c>
      <c r="J22" s="144">
        <f>'Cost of capital'!J69</f>
        <v>0.31</v>
      </c>
      <c r="K22" s="144">
        <f>'Cost of capital'!K69</f>
        <v>0.31</v>
      </c>
      <c r="L22" s="144">
        <f>'Cost of capital'!L69</f>
        <v>0.31</v>
      </c>
      <c r="M22" s="144">
        <f>'Cost of capital'!M69</f>
        <v>0.31</v>
      </c>
    </row>
    <row r="23" spans="1:13" x14ac:dyDescent="0.25">
      <c r="A23" s="56" t="s">
        <v>103</v>
      </c>
      <c r="B23" s="56" t="s">
        <v>88</v>
      </c>
      <c r="C23" s="145">
        <f>'Cost of capital'!C60</f>
        <v>4.1390531771388517E-2</v>
      </c>
      <c r="D23" s="145">
        <f>'Cost of capital'!D60</f>
        <v>7.2000000000000008E-2</v>
      </c>
      <c r="E23" s="145">
        <f>'Cost of capital'!E60</f>
        <v>7.2000000000000008E-2</v>
      </c>
      <c r="F23" s="145">
        <f>'Cost of capital'!F60</f>
        <v>7.2000000000000008E-2</v>
      </c>
      <c r="G23" s="145">
        <f>'Cost of capital'!G60</f>
        <v>4.2000000000000003E-2</v>
      </c>
      <c r="H23" s="145">
        <f>'Cost of capital'!H60</f>
        <v>4.2000000000000003E-2</v>
      </c>
      <c r="I23" s="145">
        <f>'Cost of capital'!I60</f>
        <v>3.2000000000000001E-2</v>
      </c>
      <c r="J23" s="145">
        <f>'Cost of capital'!J60</f>
        <v>2.1999999999999999E-2</v>
      </c>
      <c r="K23" s="145">
        <f>'Cost of capital'!K60</f>
        <v>2.1999999999999999E-2</v>
      </c>
      <c r="L23" s="145">
        <f>'Cost of capital'!L60</f>
        <v>2.1999999999999999E-2</v>
      </c>
      <c r="M23" s="145">
        <f>'Cost of capital'!M60</f>
        <v>1.0940156488008945E-2</v>
      </c>
    </row>
    <row r="24" spans="1:13" x14ac:dyDescent="0.25">
      <c r="A24" s="56" t="s">
        <v>138</v>
      </c>
      <c r="B24" s="56" t="s">
        <v>88</v>
      </c>
      <c r="C24" s="145">
        <f>'Cost of capital'!C57</f>
        <v>0.05</v>
      </c>
      <c r="D24" s="145">
        <f>'Cost of capital'!D57</f>
        <v>0.08</v>
      </c>
      <c r="E24" s="145">
        <f>'Cost of capital'!E57</f>
        <v>0.08</v>
      </c>
      <c r="F24" s="145">
        <f>'Cost of capital'!F57</f>
        <v>0.08</v>
      </c>
      <c r="G24" s="145">
        <f>'Cost of capital'!G57</f>
        <v>0.05</v>
      </c>
      <c r="H24" s="145">
        <f>'Cost of capital'!H57</f>
        <v>0.05</v>
      </c>
      <c r="I24" s="145">
        <f>'Cost of capital'!I57</f>
        <v>0.05</v>
      </c>
      <c r="J24" s="145">
        <f>'Cost of capital'!J57</f>
        <v>0.03</v>
      </c>
      <c r="K24" s="145">
        <f>'Cost of capital'!K57</f>
        <v>0.03</v>
      </c>
      <c r="L24" s="145">
        <f>'Cost of capital'!L57</f>
        <v>0.03</v>
      </c>
      <c r="M24" s="145">
        <f>'Cost of capital'!M57</f>
        <v>0.02</v>
      </c>
    </row>
    <row r="25" spans="1:13" x14ac:dyDescent="0.25">
      <c r="A25" s="56" t="s">
        <v>47</v>
      </c>
      <c r="B25" s="56" t="s">
        <v>88</v>
      </c>
      <c r="C25" s="145">
        <f>'Cost of capital'!C55</f>
        <v>5.2192502334469877E-2</v>
      </c>
      <c r="D25" s="145">
        <f>'Cost of capital'!D55</f>
        <v>9.1820000000000013E-2</v>
      </c>
      <c r="E25" s="145">
        <f>'Cost of capital'!E55</f>
        <v>9.1820000000000013E-2</v>
      </c>
      <c r="F25" s="145">
        <f>'Cost of capital'!F55</f>
        <v>9.1820000000000013E-2</v>
      </c>
      <c r="G25" s="145">
        <f>'Cost of capital'!G55</f>
        <v>6.182E-2</v>
      </c>
      <c r="H25" s="145">
        <f>'Cost of capital'!H55</f>
        <v>6.182E-2</v>
      </c>
      <c r="I25" s="145">
        <f>'Cost of capital'!I55</f>
        <v>5.8720000000000001E-2</v>
      </c>
      <c r="J25" s="145">
        <f>'Cost of capital'!J55</f>
        <v>4.8720000000000006E-2</v>
      </c>
      <c r="K25" s="145">
        <f>'Cost of capital'!K55</f>
        <v>4.8720000000000006E-2</v>
      </c>
      <c r="L25" s="145">
        <f>'Cost of capital'!L55</f>
        <v>5.1219999999999995E-2</v>
      </c>
      <c r="M25" s="145">
        <f>'Cost of capital'!M55</f>
        <v>2.5427825678560084E-2</v>
      </c>
    </row>
    <row r="26" spans="1:13" x14ac:dyDescent="0.25">
      <c r="A26" s="56"/>
      <c r="B26" s="56"/>
      <c r="C26" s="145"/>
      <c r="D26" s="145"/>
      <c r="E26" s="145"/>
      <c r="F26" s="145"/>
      <c r="G26" s="145"/>
      <c r="H26" s="145"/>
      <c r="I26" s="145"/>
      <c r="J26" s="145"/>
      <c r="K26" s="145"/>
      <c r="L26" s="145"/>
      <c r="M26" s="145"/>
    </row>
    <row r="27" spans="1:13" x14ac:dyDescent="0.25">
      <c r="A27" s="56" t="s">
        <v>116</v>
      </c>
      <c r="B27" s="56" t="s">
        <v>88</v>
      </c>
      <c r="C27" s="145">
        <f>'Cost of capital'!C62</f>
        <v>1.2831064849130441E-2</v>
      </c>
      <c r="D27" s="145">
        <f>'Cost of capital'!D62</f>
        <v>7.200000000000007E-4</v>
      </c>
      <c r="E27" s="145">
        <f>'Cost of capital'!E62</f>
        <v>-9.0532950486724503E-5</v>
      </c>
      <c r="F27" s="145">
        <f>'Cost of capital'!F62</f>
        <v>-4.2346116876259117E-4</v>
      </c>
      <c r="G27" s="145">
        <f>'Cost of capital'!G62</f>
        <v>-1.8175591056421234E-3</v>
      </c>
      <c r="H27" s="145">
        <f>'Cost of capital'!H62</f>
        <v>-3.4799585580932305E-3</v>
      </c>
      <c r="I27" s="145">
        <f>'Cost of capital'!I62</f>
        <v>-3.5217702485913806E-3</v>
      </c>
      <c r="J27" s="145">
        <f>'Cost of capital'!J62</f>
        <v>-2.8615996563572128E-3</v>
      </c>
      <c r="K27" s="145">
        <f>'Cost of capital'!K62</f>
        <v>-3.2604788447267033E-3</v>
      </c>
      <c r="L27" s="145">
        <f>'Cost of capital'!L62</f>
        <v>-3.6006350068467086E-3</v>
      </c>
      <c r="M27" s="145">
        <f>'Cost of capital'!M62</f>
        <v>-1.928426590352627E-3</v>
      </c>
    </row>
    <row r="28" spans="1:13" x14ac:dyDescent="0.25">
      <c r="A28" s="56" t="s">
        <v>117</v>
      </c>
      <c r="B28" s="56" t="s">
        <v>88</v>
      </c>
      <c r="C28" s="145">
        <f>'Cost of capital'!C63</f>
        <v>3.9361437485339434E-2</v>
      </c>
      <c r="D28" s="145">
        <f>'Cost of capital'!D63</f>
        <v>6.9500000000000006E-2</v>
      </c>
      <c r="E28" s="145">
        <f>'Cost of capital'!E63</f>
        <v>6.9500000000000006E-2</v>
      </c>
      <c r="F28" s="145">
        <f>'Cost of capital'!F63</f>
        <v>6.9500000000000006E-2</v>
      </c>
      <c r="G28" s="145">
        <f>'Cost of capital'!G63</f>
        <v>4.8800000000000003E-2</v>
      </c>
      <c r="H28" s="145">
        <f>'Cost of capital'!H63</f>
        <v>4.8800000000000003E-2</v>
      </c>
      <c r="I28" s="145">
        <f>'Cost of capital'!I63</f>
        <v>4.8800000000000003E-2</v>
      </c>
      <c r="J28" s="145">
        <f>'Cost of capital'!J63</f>
        <v>4.1900000000000007E-2</v>
      </c>
      <c r="K28" s="145">
        <f>'Cost of capital'!K63</f>
        <v>4.1900000000000007E-2</v>
      </c>
      <c r="L28" s="145">
        <f>'Cost of capital'!L63</f>
        <v>4.4399999999999995E-2</v>
      </c>
      <c r="M28" s="145">
        <f>'Cost of capital'!M63</f>
        <v>2.2036377167277313E-2</v>
      </c>
    </row>
    <row r="30" spans="1:13" x14ac:dyDescent="0.25">
      <c r="D30" s="88"/>
      <c r="E30" s="88"/>
      <c r="F30" s="88"/>
      <c r="G30" s="88"/>
      <c r="H30" s="88"/>
      <c r="I30" s="88"/>
      <c r="J30" s="88"/>
      <c r="K30" s="88"/>
      <c r="L30" s="88"/>
      <c r="M30" s="88"/>
    </row>
    <row r="31" spans="1:13" ht="21" x14ac:dyDescent="0.35">
      <c r="A31" s="178" t="s">
        <v>112</v>
      </c>
      <c r="D31" s="88"/>
      <c r="E31" s="88"/>
      <c r="F31" s="88"/>
      <c r="G31" s="88"/>
      <c r="H31" s="88"/>
      <c r="I31" s="88"/>
      <c r="J31" s="88"/>
      <c r="K31" s="88"/>
      <c r="L31" s="88"/>
      <c r="M31" s="88"/>
    </row>
    <row r="32" spans="1:13" x14ac:dyDescent="0.25">
      <c r="A32" s="126" t="s">
        <v>244</v>
      </c>
      <c r="B32" s="126" t="s">
        <v>259</v>
      </c>
      <c r="C32" s="90">
        <v>365</v>
      </c>
      <c r="D32" s="90">
        <v>365</v>
      </c>
      <c r="E32" s="90">
        <v>365</v>
      </c>
      <c r="F32" s="90">
        <v>365</v>
      </c>
      <c r="G32" s="90">
        <v>365</v>
      </c>
      <c r="H32" s="90">
        <v>365</v>
      </c>
      <c r="I32" s="90">
        <v>365</v>
      </c>
      <c r="J32" s="90">
        <v>365</v>
      </c>
      <c r="K32" s="90">
        <v>365</v>
      </c>
      <c r="L32" s="90">
        <v>365</v>
      </c>
      <c r="M32" s="273">
        <f>Timing!$M$8</f>
        <v>184</v>
      </c>
    </row>
    <row r="33" spans="1:13" x14ac:dyDescent="0.25">
      <c r="A33" s="126" t="s">
        <v>258</v>
      </c>
      <c r="B33" s="126" t="s">
        <v>88</v>
      </c>
      <c r="C33" s="62">
        <f t="shared" ref="C33" si="0">C32/365</f>
        <v>1</v>
      </c>
      <c r="D33" s="62">
        <f t="shared" ref="D33" si="1">D32/365</f>
        <v>1</v>
      </c>
      <c r="E33" s="62">
        <f t="shared" ref="E33" si="2">E32/365</f>
        <v>1</v>
      </c>
      <c r="F33" s="62">
        <f t="shared" ref="F33" si="3">F32/365</f>
        <v>1</v>
      </c>
      <c r="G33" s="62">
        <f t="shared" ref="G33" si="4">G32/365</f>
        <v>1</v>
      </c>
      <c r="H33" s="62">
        <f t="shared" ref="H33" si="5">H32/365</f>
        <v>1</v>
      </c>
      <c r="I33" s="62">
        <f t="shared" ref="I33" si="6">I32/365</f>
        <v>1</v>
      </c>
      <c r="J33" s="62">
        <f t="shared" ref="J33" si="7">J32/365</f>
        <v>1</v>
      </c>
      <c r="K33" s="62">
        <f t="shared" ref="K33" si="8">K32/365</f>
        <v>1</v>
      </c>
      <c r="L33" s="62">
        <f t="shared" ref="L33:M33" si="9">L32/365</f>
        <v>1</v>
      </c>
      <c r="M33" s="62">
        <f t="shared" si="9"/>
        <v>0.50410958904109593</v>
      </c>
    </row>
    <row r="34" spans="1:13" ht="18.399999999999999" customHeight="1" x14ac:dyDescent="0.25">
      <c r="A34" s="77"/>
      <c r="B34" s="77"/>
    </row>
    <row r="35" spans="1:13" ht="18.399999999999999" customHeight="1" x14ac:dyDescent="0.25">
      <c r="B35" s="96"/>
      <c r="C35" s="99">
        <v>2012</v>
      </c>
      <c r="D35" s="99">
        <v>2013</v>
      </c>
      <c r="E35" s="99">
        <v>2014</v>
      </c>
      <c r="F35" s="99">
        <v>2015</v>
      </c>
      <c r="G35" s="99">
        <v>2016</v>
      </c>
      <c r="H35" s="99">
        <v>2017</v>
      </c>
      <c r="I35" s="99">
        <v>2018</v>
      </c>
      <c r="J35" s="99">
        <v>2019</v>
      </c>
      <c r="K35" s="99">
        <v>2020</v>
      </c>
      <c r="L35" s="99">
        <v>2021</v>
      </c>
      <c r="M35" s="99">
        <v>2022</v>
      </c>
    </row>
    <row r="36" spans="1:13" ht="18.399999999999999" customHeight="1" x14ac:dyDescent="0.25">
      <c r="A36" s="118" t="s">
        <v>230</v>
      </c>
      <c r="B36" s="56"/>
      <c r="C36" s="90">
        <v>0</v>
      </c>
      <c r="D36" s="67">
        <f t="shared" ref="D36:M36" si="10">C39</f>
        <v>50</v>
      </c>
      <c r="E36" s="67">
        <f t="shared" si="10"/>
        <v>147.5</v>
      </c>
      <c r="F36" s="67">
        <f t="shared" si="10"/>
        <v>290.125</v>
      </c>
      <c r="G36" s="67">
        <f t="shared" si="10"/>
        <v>475.61874999999998</v>
      </c>
      <c r="H36" s="67">
        <f t="shared" si="10"/>
        <v>651.83781249999993</v>
      </c>
      <c r="I36" s="67">
        <f t="shared" si="10"/>
        <v>819.24592187499991</v>
      </c>
      <c r="J36" s="67">
        <f t="shared" si="10"/>
        <v>978.28362578124995</v>
      </c>
      <c r="K36" s="67">
        <f t="shared" si="10"/>
        <v>1129.3694444921875</v>
      </c>
      <c r="L36" s="67">
        <f t="shared" si="10"/>
        <v>1272.9009722675783</v>
      </c>
      <c r="M36" s="67">
        <f t="shared" si="10"/>
        <v>1409.2559236541993</v>
      </c>
    </row>
    <row r="37" spans="1:13" ht="18.399999999999999" customHeight="1" x14ac:dyDescent="0.25">
      <c r="A37" s="118" t="s">
        <v>74</v>
      </c>
      <c r="B37" s="56"/>
      <c r="C37" s="64">
        <f t="shared" ref="C37:M37" si="11">C13</f>
        <v>50</v>
      </c>
      <c r="D37" s="64">
        <f t="shared" si="11"/>
        <v>100</v>
      </c>
      <c r="E37" s="64">
        <f t="shared" si="11"/>
        <v>150</v>
      </c>
      <c r="F37" s="64">
        <f t="shared" si="11"/>
        <v>200</v>
      </c>
      <c r="G37" s="64">
        <f t="shared" si="11"/>
        <v>200</v>
      </c>
      <c r="H37" s="64">
        <f t="shared" si="11"/>
        <v>200</v>
      </c>
      <c r="I37" s="64">
        <f t="shared" si="11"/>
        <v>200</v>
      </c>
      <c r="J37" s="64">
        <f t="shared" si="11"/>
        <v>200</v>
      </c>
      <c r="K37" s="64">
        <f t="shared" si="11"/>
        <v>200</v>
      </c>
      <c r="L37" s="64">
        <f t="shared" si="11"/>
        <v>200</v>
      </c>
      <c r="M37" s="64">
        <f t="shared" si="11"/>
        <v>200</v>
      </c>
    </row>
    <row r="38" spans="1:13" ht="18.399999999999999" customHeight="1" x14ac:dyDescent="0.25">
      <c r="A38" s="118" t="s">
        <v>36</v>
      </c>
      <c r="B38" s="56"/>
      <c r="C38" s="248">
        <v>0</v>
      </c>
      <c r="D38" s="282">
        <f>-D36/C6*D33</f>
        <v>-2.5</v>
      </c>
      <c r="E38" s="282">
        <f t="shared" ref="E38:M38" si="12">-E36/D6*E33</f>
        <v>-7.375</v>
      </c>
      <c r="F38" s="282">
        <f t="shared" si="12"/>
        <v>-14.50625</v>
      </c>
      <c r="G38" s="282">
        <f t="shared" si="12"/>
        <v>-23.7809375</v>
      </c>
      <c r="H38" s="282">
        <f t="shared" si="12"/>
        <v>-32.591890624999998</v>
      </c>
      <c r="I38" s="282">
        <f t="shared" si="12"/>
        <v>-40.962296093749998</v>
      </c>
      <c r="J38" s="282">
        <f t="shared" si="12"/>
        <v>-48.914181289062498</v>
      </c>
      <c r="K38" s="282">
        <f t="shared" si="12"/>
        <v>-56.468472224609378</v>
      </c>
      <c r="L38" s="282">
        <f t="shared" si="12"/>
        <v>-63.645048613378911</v>
      </c>
      <c r="M38" s="282">
        <f t="shared" si="12"/>
        <v>-35.520971226352422</v>
      </c>
    </row>
    <row r="39" spans="1:13" ht="18.399999999999999" customHeight="1" x14ac:dyDescent="0.25">
      <c r="A39" s="118" t="s">
        <v>233</v>
      </c>
      <c r="B39" s="56"/>
      <c r="C39" s="114">
        <f t="shared" ref="C39:M39" si="13">SUM(C36:C38)</f>
        <v>50</v>
      </c>
      <c r="D39" s="114">
        <f t="shared" si="13"/>
        <v>147.5</v>
      </c>
      <c r="E39" s="114">
        <f t="shared" si="13"/>
        <v>290.125</v>
      </c>
      <c r="F39" s="114">
        <f t="shared" si="13"/>
        <v>475.61874999999998</v>
      </c>
      <c r="G39" s="114">
        <f t="shared" si="13"/>
        <v>651.83781249999993</v>
      </c>
      <c r="H39" s="114">
        <f t="shared" si="13"/>
        <v>819.24592187499991</v>
      </c>
      <c r="I39" s="114">
        <f t="shared" si="13"/>
        <v>978.28362578124995</v>
      </c>
      <c r="J39" s="114">
        <f t="shared" si="13"/>
        <v>1129.3694444921875</v>
      </c>
      <c r="K39" s="114">
        <f t="shared" si="13"/>
        <v>1272.9009722675783</v>
      </c>
      <c r="L39" s="114">
        <f t="shared" si="13"/>
        <v>1409.2559236541993</v>
      </c>
      <c r="M39" s="114">
        <f t="shared" si="13"/>
        <v>1573.7349524278468</v>
      </c>
    </row>
    <row r="40" spans="1:13" ht="18.399999999999999" customHeight="1" x14ac:dyDescent="0.25">
      <c r="A40" s="73"/>
      <c r="B40" s="73"/>
      <c r="C40" s="80"/>
      <c r="D40" s="80"/>
      <c r="E40" s="80"/>
      <c r="F40" s="80"/>
      <c r="G40" s="80"/>
      <c r="H40" s="80"/>
      <c r="I40" s="80"/>
      <c r="J40" s="80"/>
      <c r="K40" s="80"/>
      <c r="L40" s="80"/>
      <c r="M40" s="80"/>
    </row>
    <row r="41" spans="1:13" ht="18.399999999999999" customHeight="1" x14ac:dyDescent="0.25">
      <c r="B41" s="77"/>
      <c r="C41" s="80"/>
      <c r="D41" s="80"/>
      <c r="E41" s="80"/>
      <c r="F41" s="80"/>
      <c r="G41" s="80"/>
      <c r="H41" s="80"/>
      <c r="I41" s="80"/>
      <c r="J41" s="80"/>
      <c r="K41" s="80"/>
      <c r="L41" s="80"/>
      <c r="M41" s="80"/>
    </row>
    <row r="42" spans="1:13" ht="21" x14ac:dyDescent="0.35">
      <c r="A42" s="178" t="s">
        <v>142</v>
      </c>
      <c r="B42" s="77"/>
      <c r="C42" s="45"/>
      <c r="D42" s="45"/>
      <c r="E42" s="45"/>
      <c r="F42" s="45"/>
      <c r="G42" s="45"/>
      <c r="H42" s="45"/>
      <c r="I42" s="45"/>
      <c r="J42" s="45"/>
      <c r="K42" s="45"/>
      <c r="L42" s="45"/>
      <c r="M42" s="45"/>
    </row>
    <row r="43" spans="1:13" x14ac:dyDescent="0.25">
      <c r="B43" s="96"/>
      <c r="C43" s="99">
        <v>2012</v>
      </c>
      <c r="D43" s="99">
        <v>2013</v>
      </c>
      <c r="E43" s="99">
        <v>2014</v>
      </c>
      <c r="F43" s="99">
        <v>2015</v>
      </c>
      <c r="G43" s="99">
        <v>2016</v>
      </c>
      <c r="H43" s="99">
        <v>2017</v>
      </c>
      <c r="I43" s="99">
        <v>2018</v>
      </c>
      <c r="J43" s="99">
        <v>2019</v>
      </c>
      <c r="K43" s="99">
        <v>2020</v>
      </c>
      <c r="L43" s="99">
        <v>2021</v>
      </c>
      <c r="M43" s="99">
        <v>2022</v>
      </c>
    </row>
    <row r="44" spans="1:13" ht="18.399999999999999" customHeight="1" x14ac:dyDescent="0.25">
      <c r="A44" s="118" t="s">
        <v>222</v>
      </c>
      <c r="B44" s="69" t="s">
        <v>73</v>
      </c>
      <c r="C44" s="90">
        <v>0</v>
      </c>
      <c r="D44" s="122">
        <f>C47</f>
        <v>50</v>
      </c>
      <c r="E44" s="122">
        <f t="shared" ref="E44:M44" si="14">D47</f>
        <v>148.33333333333334</v>
      </c>
      <c r="F44" s="122">
        <f t="shared" si="14"/>
        <v>293.38888888888891</v>
      </c>
      <c r="G44" s="122">
        <f t="shared" si="14"/>
        <v>483.60925925925926</v>
      </c>
      <c r="H44" s="122">
        <f t="shared" si="14"/>
        <v>667.48895061728399</v>
      </c>
      <c r="I44" s="122">
        <f t="shared" si="14"/>
        <v>845.23931893004124</v>
      </c>
      <c r="J44" s="122">
        <f t="shared" si="14"/>
        <v>1017.0646749657066</v>
      </c>
      <c r="K44" s="122">
        <f t="shared" si="14"/>
        <v>1183.1625191335165</v>
      </c>
      <c r="L44" s="122">
        <f t="shared" si="14"/>
        <v>1343.7237684957327</v>
      </c>
      <c r="M44" s="122">
        <f t="shared" si="14"/>
        <v>1498.9329762125415</v>
      </c>
    </row>
    <row r="45" spans="1:13" ht="18.399999999999999" customHeight="1" x14ac:dyDescent="0.25">
      <c r="A45" s="56" t="s">
        <v>74</v>
      </c>
      <c r="B45" s="69" t="s">
        <v>73</v>
      </c>
      <c r="C45" s="64">
        <f t="shared" ref="C45:M45" si="15">C13</f>
        <v>50</v>
      </c>
      <c r="D45" s="64">
        <f t="shared" si="15"/>
        <v>100</v>
      </c>
      <c r="E45" s="64">
        <f t="shared" si="15"/>
        <v>150</v>
      </c>
      <c r="F45" s="64">
        <f t="shared" si="15"/>
        <v>200</v>
      </c>
      <c r="G45" s="64">
        <f t="shared" si="15"/>
        <v>200</v>
      </c>
      <c r="H45" s="64">
        <f t="shared" si="15"/>
        <v>200</v>
      </c>
      <c r="I45" s="64">
        <f t="shared" si="15"/>
        <v>200</v>
      </c>
      <c r="J45" s="64">
        <f t="shared" si="15"/>
        <v>200</v>
      </c>
      <c r="K45" s="64">
        <f t="shared" si="15"/>
        <v>200</v>
      </c>
      <c r="L45" s="64">
        <f t="shared" si="15"/>
        <v>200</v>
      </c>
      <c r="M45" s="64">
        <f t="shared" si="15"/>
        <v>200</v>
      </c>
    </row>
    <row r="46" spans="1:13" ht="18.399999999999999" customHeight="1" x14ac:dyDescent="0.25">
      <c r="A46" s="56" t="s">
        <v>28</v>
      </c>
      <c r="B46" s="69" t="s">
        <v>73</v>
      </c>
      <c r="C46" s="248">
        <v>0</v>
      </c>
      <c r="D46" s="281">
        <f>-D44/C8*D$33</f>
        <v>-1.6666666666666667</v>
      </c>
      <c r="E46" s="281">
        <f t="shared" ref="E46:M46" si="16">-E44/D8*E$33</f>
        <v>-4.9444444444444446</v>
      </c>
      <c r="F46" s="281">
        <f t="shared" si="16"/>
        <v>-9.7796296296296301</v>
      </c>
      <c r="G46" s="281">
        <f t="shared" si="16"/>
        <v>-16.12030864197531</v>
      </c>
      <c r="H46" s="281">
        <f t="shared" si="16"/>
        <v>-22.2496316872428</v>
      </c>
      <c r="I46" s="281">
        <f t="shared" si="16"/>
        <v>-28.17464396433471</v>
      </c>
      <c r="J46" s="281">
        <f t="shared" si="16"/>
        <v>-33.902155832190218</v>
      </c>
      <c r="K46" s="281">
        <f t="shared" si="16"/>
        <v>-39.438750637783883</v>
      </c>
      <c r="L46" s="281">
        <f t="shared" si="16"/>
        <v>-44.790792283191088</v>
      </c>
      <c r="M46" s="281">
        <f t="shared" si="16"/>
        <v>-25.187549554621704</v>
      </c>
    </row>
    <row r="47" spans="1:13" ht="18.399999999999999" customHeight="1" x14ac:dyDescent="0.25">
      <c r="A47" s="56" t="s">
        <v>222</v>
      </c>
      <c r="B47" s="69" t="s">
        <v>73</v>
      </c>
      <c r="C47" s="114">
        <f t="shared" ref="C47:M47" si="17">SUM(C44:C46)</f>
        <v>50</v>
      </c>
      <c r="D47" s="114">
        <f t="shared" si="17"/>
        <v>148.33333333333334</v>
      </c>
      <c r="E47" s="114">
        <f t="shared" si="17"/>
        <v>293.38888888888891</v>
      </c>
      <c r="F47" s="114">
        <f t="shared" si="17"/>
        <v>483.60925925925926</v>
      </c>
      <c r="G47" s="114">
        <f t="shared" si="17"/>
        <v>667.48895061728399</v>
      </c>
      <c r="H47" s="114">
        <f t="shared" si="17"/>
        <v>845.23931893004124</v>
      </c>
      <c r="I47" s="114">
        <f t="shared" si="17"/>
        <v>1017.0646749657066</v>
      </c>
      <c r="J47" s="114">
        <f t="shared" si="17"/>
        <v>1183.1625191335165</v>
      </c>
      <c r="K47" s="114">
        <f t="shared" si="17"/>
        <v>1343.7237684957327</v>
      </c>
      <c r="L47" s="114">
        <f t="shared" si="17"/>
        <v>1498.9329762125415</v>
      </c>
      <c r="M47" s="114">
        <f t="shared" si="17"/>
        <v>1673.7454266579198</v>
      </c>
    </row>
    <row r="48" spans="1:13" ht="18.399999999999999" customHeight="1" x14ac:dyDescent="0.25">
      <c r="B48" s="80"/>
      <c r="C48" s="171"/>
      <c r="D48" s="67"/>
      <c r="E48" s="67"/>
      <c r="F48" s="67"/>
      <c r="G48" s="67"/>
      <c r="H48" s="67"/>
      <c r="I48" s="67"/>
      <c r="J48" s="67"/>
      <c r="K48" s="67"/>
      <c r="L48" s="67"/>
      <c r="M48" s="67"/>
    </row>
    <row r="49" spans="1:14" ht="18.399999999999999" customHeight="1" x14ac:dyDescent="0.25">
      <c r="A49" s="56" t="s">
        <v>223</v>
      </c>
      <c r="B49" s="69" t="s">
        <v>73</v>
      </c>
      <c r="C49" s="122">
        <v>0</v>
      </c>
      <c r="D49" s="123">
        <f>C52</f>
        <v>-50</v>
      </c>
      <c r="E49" s="123">
        <f>D52</f>
        <v>-108.68866666666668</v>
      </c>
      <c r="F49" s="123">
        <f t="shared" ref="F49:M49" si="18">E52</f>
        <v>-181.47287115111112</v>
      </c>
      <c r="G49" s="123">
        <f t="shared" si="18"/>
        <v>-224.05430758761355</v>
      </c>
      <c r="H49" s="123">
        <f t="shared" si="18"/>
        <v>-223.42237793206252</v>
      </c>
      <c r="I49" s="123">
        <f t="shared" si="18"/>
        <v>-226.04814795022591</v>
      </c>
      <c r="J49" s="123">
        <f t="shared" si="18"/>
        <v>-232.72879196976993</v>
      </c>
      <c r="K49" s="123">
        <f t="shared" si="18"/>
        <v>-235.42088551105658</v>
      </c>
      <c r="L49" s="123">
        <f t="shared" si="18"/>
        <v>-239.67301962312411</v>
      </c>
      <c r="M49" s="123">
        <f t="shared" si="18"/>
        <v>-249.06539539376305</v>
      </c>
    </row>
    <row r="50" spans="1:14" ht="18.399999999999999" customHeight="1" x14ac:dyDescent="0.25">
      <c r="A50" s="199" t="s">
        <v>28</v>
      </c>
      <c r="B50" s="69" t="s">
        <v>73</v>
      </c>
      <c r="C50" s="66">
        <f>-C49/C8*C33</f>
        <v>0</v>
      </c>
      <c r="D50" s="66">
        <f>-D49/D8*D33</f>
        <v>1.6666666666666667</v>
      </c>
      <c r="E50" s="66">
        <f t="shared" ref="E50:M50" si="19">-E49/E8*E33</f>
        <v>3.6229555555555559</v>
      </c>
      <c r="F50" s="66">
        <f t="shared" si="19"/>
        <v>6.0490957050370371</v>
      </c>
      <c r="G50" s="66">
        <f t="shared" si="19"/>
        <v>7.4684769195871183</v>
      </c>
      <c r="H50" s="66">
        <f t="shared" si="19"/>
        <v>7.4474125977354175</v>
      </c>
      <c r="I50" s="66">
        <f t="shared" si="19"/>
        <v>7.5349382650075301</v>
      </c>
      <c r="J50" s="66">
        <f t="shared" si="19"/>
        <v>7.7576263989923309</v>
      </c>
      <c r="K50" s="66">
        <f t="shared" si="19"/>
        <v>7.8473628503685529</v>
      </c>
      <c r="L50" s="66">
        <f t="shared" si="19"/>
        <v>7.9891006541041367</v>
      </c>
      <c r="M50" s="66">
        <f t="shared" si="19"/>
        <v>4.185208470543599</v>
      </c>
    </row>
    <row r="51" spans="1:14" ht="18.399999999999999" customHeight="1" x14ac:dyDescent="0.25">
      <c r="A51" s="56" t="s">
        <v>128</v>
      </c>
      <c r="B51" s="69" t="s">
        <v>73</v>
      </c>
      <c r="C51" s="200">
        <f t="shared" ref="C51:M51" si="20">C81</f>
        <v>-50</v>
      </c>
      <c r="D51" s="200">
        <f t="shared" si="20"/>
        <v>-60.355333333333334</v>
      </c>
      <c r="E51" s="200">
        <f t="shared" si="20"/>
        <v>-76.407160040000008</v>
      </c>
      <c r="F51" s="200">
        <f t="shared" si="20"/>
        <v>-48.630532141539476</v>
      </c>
      <c r="G51" s="200">
        <f t="shared" si="20"/>
        <v>-6.8365472640360849</v>
      </c>
      <c r="H51" s="200">
        <f t="shared" si="20"/>
        <v>-10.073182615898816</v>
      </c>
      <c r="I51" s="200">
        <f t="shared" si="20"/>
        <v>-14.215582284551544</v>
      </c>
      <c r="J51" s="200">
        <f t="shared" si="20"/>
        <v>-10.449719940278982</v>
      </c>
      <c r="K51" s="200">
        <f t="shared" si="20"/>
        <v>-12.099496962436064</v>
      </c>
      <c r="L51" s="200">
        <f t="shared" si="20"/>
        <v>-17.381476424743084</v>
      </c>
      <c r="M51" s="200">
        <f t="shared" si="20"/>
        <v>45.478577110030301</v>
      </c>
    </row>
    <row r="52" spans="1:14" ht="18.399999999999999" customHeight="1" x14ac:dyDescent="0.25">
      <c r="A52" s="56" t="s">
        <v>224</v>
      </c>
      <c r="B52" s="69" t="s">
        <v>73</v>
      </c>
      <c r="C52" s="114">
        <f>C49+C50+C51</f>
        <v>-50</v>
      </c>
      <c r="D52" s="114">
        <f>D49+D50+D51</f>
        <v>-108.68866666666668</v>
      </c>
      <c r="E52" s="114">
        <f t="shared" ref="E52:M52" si="21">E49+E50+E51</f>
        <v>-181.47287115111112</v>
      </c>
      <c r="F52" s="114">
        <f t="shared" si="21"/>
        <v>-224.05430758761355</v>
      </c>
      <c r="G52" s="114">
        <f t="shared" si="21"/>
        <v>-223.42237793206252</v>
      </c>
      <c r="H52" s="114">
        <f t="shared" si="21"/>
        <v>-226.04814795022591</v>
      </c>
      <c r="I52" s="114">
        <f t="shared" si="21"/>
        <v>-232.72879196976993</v>
      </c>
      <c r="J52" s="114">
        <f t="shared" si="21"/>
        <v>-235.42088551105658</v>
      </c>
      <c r="K52" s="114">
        <f t="shared" si="21"/>
        <v>-239.67301962312411</v>
      </c>
      <c r="L52" s="114">
        <f t="shared" si="21"/>
        <v>-249.06539539376305</v>
      </c>
      <c r="M52" s="114">
        <f t="shared" si="21"/>
        <v>-199.40160981318917</v>
      </c>
    </row>
    <row r="53" spans="1:14" ht="18.399999999999999" customHeight="1" x14ac:dyDescent="0.25">
      <c r="B53" s="80"/>
      <c r="C53" s="171"/>
      <c r="D53" s="67"/>
      <c r="E53" s="67"/>
      <c r="F53" s="67"/>
      <c r="G53" s="67"/>
      <c r="H53" s="67"/>
      <c r="I53" s="67"/>
      <c r="J53" s="67"/>
      <c r="K53" s="67"/>
      <c r="L53" s="67"/>
      <c r="M53" s="67"/>
    </row>
    <row r="54" spans="1:14" ht="18.399999999999999" customHeight="1" x14ac:dyDescent="0.25">
      <c r="A54" s="201"/>
      <c r="B54" s="187"/>
      <c r="C54" s="80"/>
      <c r="D54" s="80"/>
      <c r="E54" s="80"/>
      <c r="F54" s="80"/>
      <c r="G54" s="80"/>
      <c r="H54" s="80"/>
      <c r="I54" s="80"/>
      <c r="J54" s="80"/>
      <c r="K54" s="80"/>
      <c r="L54" s="80"/>
      <c r="M54" s="80"/>
    </row>
    <row r="55" spans="1:14" x14ac:dyDescent="0.25">
      <c r="A55" s="118" t="s">
        <v>141</v>
      </c>
      <c r="B55" s="69" t="s">
        <v>73</v>
      </c>
      <c r="C55" s="123">
        <f>C44-C49</f>
        <v>0</v>
      </c>
      <c r="D55" s="123">
        <f>D44-D49</f>
        <v>100</v>
      </c>
      <c r="E55" s="123">
        <f>E44-E49</f>
        <v>257.02200000000005</v>
      </c>
      <c r="F55" s="123">
        <f t="shared" ref="F55:M55" si="22">F44-F49</f>
        <v>474.86176004000004</v>
      </c>
      <c r="G55" s="123">
        <f t="shared" si="22"/>
        <v>707.66356684687275</v>
      </c>
      <c r="H55" s="123">
        <f t="shared" si="22"/>
        <v>890.91132854934654</v>
      </c>
      <c r="I55" s="123">
        <f t="shared" si="22"/>
        <v>1071.2874668802672</v>
      </c>
      <c r="J55" s="123">
        <f t="shared" si="22"/>
        <v>1249.7934669354765</v>
      </c>
      <c r="K55" s="123">
        <f t="shared" si="22"/>
        <v>1418.5834046445732</v>
      </c>
      <c r="L55" s="123">
        <f t="shared" si="22"/>
        <v>1583.3967881188569</v>
      </c>
      <c r="M55" s="123">
        <f t="shared" si="22"/>
        <v>1747.9983716063045</v>
      </c>
    </row>
    <row r="56" spans="1:14" x14ac:dyDescent="0.25">
      <c r="A56" s="56"/>
      <c r="B56" s="69"/>
      <c r="C56" s="64"/>
      <c r="D56" s="64"/>
      <c r="E56" s="64"/>
      <c r="F56" s="64"/>
      <c r="G56" s="64"/>
      <c r="H56" s="64"/>
      <c r="I56" s="64"/>
      <c r="J56" s="64"/>
      <c r="K56" s="64"/>
      <c r="L56" s="64"/>
      <c r="M56" s="64"/>
    </row>
    <row r="57" spans="1:14" ht="18.399999999999999" customHeight="1" x14ac:dyDescent="0.25">
      <c r="A57" s="56" t="s">
        <v>215</v>
      </c>
      <c r="B57" s="69" t="s">
        <v>73</v>
      </c>
      <c r="C57" s="90">
        <v>0</v>
      </c>
      <c r="D57" s="85">
        <f>-D55/C8*D33</f>
        <v>-3.3333333333333335</v>
      </c>
      <c r="E57" s="85">
        <f t="shared" ref="E57:M57" si="23">-E55/D8*E33</f>
        <v>-8.567400000000001</v>
      </c>
      <c r="F57" s="85">
        <f t="shared" si="23"/>
        <v>-15.828725334666668</v>
      </c>
      <c r="G57" s="85">
        <f t="shared" si="23"/>
        <v>-23.588785561562425</v>
      </c>
      <c r="H57" s="85">
        <f t="shared" si="23"/>
        <v>-29.697044284978219</v>
      </c>
      <c r="I57" s="85">
        <f t="shared" si="23"/>
        <v>-35.709582229342239</v>
      </c>
      <c r="J57" s="85">
        <f t="shared" si="23"/>
        <v>-41.659782231182554</v>
      </c>
      <c r="K57" s="85">
        <f t="shared" si="23"/>
        <v>-47.286113488152438</v>
      </c>
      <c r="L57" s="85">
        <f t="shared" si="23"/>
        <v>-52.77989293729523</v>
      </c>
      <c r="M57" s="85">
        <f t="shared" si="23"/>
        <v>-29.3727580251653</v>
      </c>
      <c r="N57" s="76" t="s">
        <v>143</v>
      </c>
    </row>
    <row r="58" spans="1:14" ht="18.399999999999999" customHeight="1" x14ac:dyDescent="0.25">
      <c r="B58" s="80"/>
      <c r="C58" s="171"/>
      <c r="D58" s="67"/>
      <c r="E58" s="67"/>
      <c r="F58" s="67"/>
      <c r="G58" s="67"/>
      <c r="H58" s="67"/>
      <c r="I58" s="67"/>
      <c r="J58" s="67"/>
      <c r="K58" s="67"/>
      <c r="L58" s="67"/>
      <c r="M58" s="67"/>
    </row>
    <row r="59" spans="1:14" ht="18.399999999999999" customHeight="1" x14ac:dyDescent="0.25">
      <c r="B59" s="80"/>
      <c r="C59" s="171"/>
      <c r="D59" s="67"/>
      <c r="E59" s="67"/>
      <c r="F59" s="67"/>
      <c r="G59" s="67"/>
      <c r="H59" s="67"/>
      <c r="I59" s="67"/>
      <c r="J59" s="67"/>
      <c r="K59" s="67"/>
      <c r="L59" s="67"/>
      <c r="M59" s="67"/>
    </row>
    <row r="60" spans="1:14" ht="21" x14ac:dyDescent="0.35">
      <c r="A60" s="178" t="s">
        <v>127</v>
      </c>
    </row>
    <row r="61" spans="1:14" x14ac:dyDescent="0.25">
      <c r="C61" s="99">
        <v>2012</v>
      </c>
      <c r="D61" s="99">
        <v>2013</v>
      </c>
      <c r="E61" s="99">
        <v>2014</v>
      </c>
      <c r="F61" s="99">
        <v>2015</v>
      </c>
      <c r="G61" s="99">
        <v>2016</v>
      </c>
      <c r="H61" s="99">
        <v>2017</v>
      </c>
      <c r="I61" s="99">
        <v>2018</v>
      </c>
      <c r="J61" s="99">
        <v>2019</v>
      </c>
      <c r="K61" s="99">
        <v>2020</v>
      </c>
      <c r="L61" s="99">
        <v>2021</v>
      </c>
      <c r="M61" s="99">
        <v>2022</v>
      </c>
    </row>
    <row r="62" spans="1:14" ht="18.75" x14ac:dyDescent="0.3">
      <c r="A62" s="86" t="s">
        <v>101</v>
      </c>
      <c r="B62" s="96"/>
    </row>
    <row r="63" spans="1:14" x14ac:dyDescent="0.25">
      <c r="A63" s="91" t="s">
        <v>90</v>
      </c>
      <c r="B63" s="69" t="s">
        <v>73</v>
      </c>
      <c r="C63" s="203">
        <v>0</v>
      </c>
      <c r="D63" s="123">
        <f>C66</f>
        <v>30</v>
      </c>
      <c r="E63" s="123">
        <f t="shared" ref="E63:M63" si="24">D66</f>
        <v>80</v>
      </c>
      <c r="F63" s="123">
        <f t="shared" si="24"/>
        <v>150</v>
      </c>
      <c r="G63" s="123">
        <f t="shared" si="24"/>
        <v>250</v>
      </c>
      <c r="H63" s="123">
        <f t="shared" si="24"/>
        <v>350</v>
      </c>
      <c r="I63" s="123">
        <f t="shared" si="24"/>
        <v>450</v>
      </c>
      <c r="J63" s="123">
        <f t="shared" si="24"/>
        <v>550</v>
      </c>
      <c r="K63" s="123">
        <f t="shared" si="24"/>
        <v>650</v>
      </c>
      <c r="L63" s="123">
        <f t="shared" si="24"/>
        <v>750</v>
      </c>
      <c r="M63" s="123">
        <f t="shared" si="24"/>
        <v>850</v>
      </c>
      <c r="N63" s="76"/>
    </row>
    <row r="64" spans="1:14" x14ac:dyDescent="0.25">
      <c r="A64" s="91" t="s">
        <v>89</v>
      </c>
      <c r="B64" s="69" t="s">
        <v>73</v>
      </c>
      <c r="C64" s="64">
        <f t="shared" ref="C64:M64" si="25">C16</f>
        <v>30</v>
      </c>
      <c r="D64" s="64">
        <f t="shared" si="25"/>
        <v>50</v>
      </c>
      <c r="E64" s="64">
        <f t="shared" si="25"/>
        <v>70</v>
      </c>
      <c r="F64" s="64">
        <f t="shared" si="25"/>
        <v>100</v>
      </c>
      <c r="G64" s="64">
        <f t="shared" si="25"/>
        <v>100</v>
      </c>
      <c r="H64" s="64">
        <f t="shared" si="25"/>
        <v>100</v>
      </c>
      <c r="I64" s="64">
        <f t="shared" si="25"/>
        <v>100</v>
      </c>
      <c r="J64" s="64">
        <f t="shared" si="25"/>
        <v>100</v>
      </c>
      <c r="K64" s="64">
        <f t="shared" si="25"/>
        <v>100</v>
      </c>
      <c r="L64" s="64">
        <f t="shared" si="25"/>
        <v>100</v>
      </c>
      <c r="M64" s="64">
        <f t="shared" si="25"/>
        <v>100</v>
      </c>
    </row>
    <row r="65" spans="1:14" x14ac:dyDescent="0.25">
      <c r="A65" s="91" t="s">
        <v>100</v>
      </c>
      <c r="B65" s="69" t="s">
        <v>73</v>
      </c>
      <c r="C65" s="66">
        <f t="shared" ref="C65:M65" si="26">C17</f>
        <v>0</v>
      </c>
      <c r="D65" s="66">
        <f t="shared" si="26"/>
        <v>0</v>
      </c>
      <c r="E65" s="66">
        <f t="shared" si="26"/>
        <v>0</v>
      </c>
      <c r="F65" s="66">
        <f t="shared" si="26"/>
        <v>0</v>
      </c>
      <c r="G65" s="66">
        <f t="shared" si="26"/>
        <v>0</v>
      </c>
      <c r="H65" s="66">
        <f t="shared" si="26"/>
        <v>0</v>
      </c>
      <c r="I65" s="66">
        <f t="shared" si="26"/>
        <v>0</v>
      </c>
      <c r="J65" s="66">
        <f t="shared" si="26"/>
        <v>0</v>
      </c>
      <c r="K65" s="66">
        <f t="shared" si="26"/>
        <v>0</v>
      </c>
      <c r="L65" s="66">
        <f t="shared" si="26"/>
        <v>0</v>
      </c>
      <c r="M65" s="66">
        <f t="shared" si="26"/>
        <v>0</v>
      </c>
    </row>
    <row r="66" spans="1:14" x14ac:dyDescent="0.25">
      <c r="A66" s="91" t="s">
        <v>99</v>
      </c>
      <c r="B66" s="69" t="s">
        <v>73</v>
      </c>
      <c r="C66" s="114">
        <f>SUM(C63:C65)</f>
        <v>30</v>
      </c>
      <c r="D66" s="114">
        <f t="shared" ref="D66:M66" si="27">SUM(D63:D65)</f>
        <v>80</v>
      </c>
      <c r="E66" s="114">
        <f t="shared" si="27"/>
        <v>150</v>
      </c>
      <c r="F66" s="114">
        <f t="shared" si="27"/>
        <v>250</v>
      </c>
      <c r="G66" s="114">
        <f t="shared" si="27"/>
        <v>350</v>
      </c>
      <c r="H66" s="114">
        <f t="shared" si="27"/>
        <v>450</v>
      </c>
      <c r="I66" s="114">
        <f t="shared" si="27"/>
        <v>550</v>
      </c>
      <c r="J66" s="114">
        <f t="shared" si="27"/>
        <v>650</v>
      </c>
      <c r="K66" s="114">
        <f t="shared" si="27"/>
        <v>750</v>
      </c>
      <c r="L66" s="114">
        <f t="shared" si="27"/>
        <v>850</v>
      </c>
      <c r="M66" s="114">
        <f t="shared" si="27"/>
        <v>950</v>
      </c>
    </row>
    <row r="68" spans="1:14" ht="18.75" x14ac:dyDescent="0.3">
      <c r="A68" s="87" t="s">
        <v>67</v>
      </c>
      <c r="B68" s="71"/>
      <c r="C68" s="71"/>
      <c r="D68" s="71"/>
      <c r="E68" s="71"/>
      <c r="F68" s="71"/>
      <c r="G68" s="71"/>
      <c r="H68" s="71"/>
      <c r="I68" s="71"/>
      <c r="J68" s="71"/>
      <c r="K68" s="71"/>
      <c r="L68" s="71"/>
      <c r="M68" s="71"/>
    </row>
    <row r="69" spans="1:14" x14ac:dyDescent="0.25">
      <c r="A69" s="56" t="s">
        <v>67</v>
      </c>
      <c r="B69" s="69" t="s">
        <v>73</v>
      </c>
      <c r="C69" s="64">
        <f t="shared" ref="C69:M69" si="28">C12</f>
        <v>0</v>
      </c>
      <c r="D69" s="64">
        <f t="shared" si="28"/>
        <v>50</v>
      </c>
      <c r="E69" s="64">
        <f t="shared" si="28"/>
        <v>100</v>
      </c>
      <c r="F69" s="64">
        <f t="shared" si="28"/>
        <v>150</v>
      </c>
      <c r="G69" s="64">
        <f t="shared" si="28"/>
        <v>200</v>
      </c>
      <c r="H69" s="64">
        <f t="shared" si="28"/>
        <v>210</v>
      </c>
      <c r="I69" s="64">
        <f t="shared" si="28"/>
        <v>220</v>
      </c>
      <c r="J69" s="64">
        <f t="shared" si="28"/>
        <v>230</v>
      </c>
      <c r="K69" s="64">
        <f t="shared" si="28"/>
        <v>240</v>
      </c>
      <c r="L69" s="64">
        <f t="shared" si="28"/>
        <v>250</v>
      </c>
      <c r="M69" s="64">
        <f t="shared" si="28"/>
        <v>260</v>
      </c>
    </row>
    <row r="70" spans="1:14" x14ac:dyDescent="0.25">
      <c r="A70" s="56"/>
      <c r="B70" s="63"/>
      <c r="C70" s="64"/>
      <c r="D70" s="64"/>
      <c r="E70" s="64"/>
      <c r="F70" s="64"/>
      <c r="G70" s="64"/>
      <c r="H70" s="64"/>
      <c r="I70" s="64"/>
      <c r="J70" s="64"/>
      <c r="K70" s="64"/>
      <c r="L70" s="64"/>
      <c r="M70" s="64"/>
    </row>
    <row r="71" spans="1:14" ht="18.75" x14ac:dyDescent="0.3">
      <c r="A71" s="87" t="s">
        <v>84</v>
      </c>
      <c r="B71" s="69"/>
      <c r="C71" s="64"/>
      <c r="D71" s="64"/>
      <c r="E71" s="64"/>
      <c r="F71" s="64"/>
      <c r="G71" s="64"/>
      <c r="H71" s="64"/>
      <c r="I71" s="64"/>
      <c r="J71" s="64"/>
      <c r="K71" s="64"/>
      <c r="L71" s="64"/>
      <c r="M71" s="64"/>
    </row>
    <row r="72" spans="1:14" x14ac:dyDescent="0.25">
      <c r="A72" s="56" t="s">
        <v>34</v>
      </c>
      <c r="B72" s="69" t="s">
        <v>73</v>
      </c>
      <c r="C72" s="64">
        <f t="shared" ref="C72:M72" si="29">-C27*C$55</f>
        <v>0</v>
      </c>
      <c r="D72" s="64">
        <f t="shared" si="29"/>
        <v>-7.2000000000000064E-2</v>
      </c>
      <c r="E72" s="64">
        <f t="shared" si="29"/>
        <v>2.3268959999998909E-2</v>
      </c>
      <c r="F72" s="64">
        <f t="shared" si="29"/>
        <v>0.20108551590719953</v>
      </c>
      <c r="G72" s="64">
        <f t="shared" si="29"/>
        <v>1.2862203596537169</v>
      </c>
      <c r="H72" s="64">
        <f t="shared" si="29"/>
        <v>3.1003345022875082</v>
      </c>
      <c r="I72" s="64">
        <f t="shared" si="29"/>
        <v>3.7728283285477491</v>
      </c>
      <c r="J72" s="64">
        <f t="shared" si="29"/>
        <v>3.5764085555000493</v>
      </c>
      <c r="K72" s="64">
        <f t="shared" si="29"/>
        <v>4.6252611803240118</v>
      </c>
      <c r="L72" s="64">
        <f t="shared" si="29"/>
        <v>5.7012339050293965</v>
      </c>
      <c r="M72" s="64">
        <f t="shared" si="29"/>
        <v>3.3708865396986902</v>
      </c>
    </row>
    <row r="73" spans="1:14" x14ac:dyDescent="0.25">
      <c r="A73" s="56" t="s">
        <v>33</v>
      </c>
      <c r="B73" s="69" t="s">
        <v>73</v>
      </c>
      <c r="C73" s="64">
        <f t="shared" ref="C73:M73" si="30">-C28*C$55</f>
        <v>0</v>
      </c>
      <c r="D73" s="64">
        <f t="shared" si="30"/>
        <v>-6.9500000000000011</v>
      </c>
      <c r="E73" s="64">
        <f t="shared" si="30"/>
        <v>-17.863029000000004</v>
      </c>
      <c r="F73" s="64">
        <f t="shared" si="30"/>
        <v>-33.002892322780006</v>
      </c>
      <c r="G73" s="64">
        <f t="shared" si="30"/>
        <v>-34.533982062127393</v>
      </c>
      <c r="H73" s="64">
        <f t="shared" si="30"/>
        <v>-43.476472833208113</v>
      </c>
      <c r="I73" s="64">
        <f t="shared" si="30"/>
        <v>-52.278828383757045</v>
      </c>
      <c r="J73" s="64">
        <f t="shared" si="30"/>
        <v>-52.366346264596473</v>
      </c>
      <c r="K73" s="64">
        <f t="shared" si="30"/>
        <v>-59.438644654607629</v>
      </c>
      <c r="L73" s="64">
        <f t="shared" si="30"/>
        <v>-70.302817392477237</v>
      </c>
      <c r="M73" s="64">
        <f t="shared" si="30"/>
        <v>-38.51955140450309</v>
      </c>
    </row>
    <row r="74" spans="1:14" x14ac:dyDescent="0.25">
      <c r="A74" s="56" t="s">
        <v>144</v>
      </c>
      <c r="B74" s="69" t="s">
        <v>73</v>
      </c>
      <c r="C74" s="64">
        <f t="shared" ref="C74:M74" si="31">C14</f>
        <v>-50</v>
      </c>
      <c r="D74" s="64">
        <f t="shared" si="31"/>
        <v>-100</v>
      </c>
      <c r="E74" s="64">
        <f t="shared" si="31"/>
        <v>-150</v>
      </c>
      <c r="F74" s="64">
        <f t="shared" si="31"/>
        <v>-150</v>
      </c>
      <c r="G74" s="64">
        <f t="shared" si="31"/>
        <v>-150</v>
      </c>
      <c r="H74" s="64">
        <f t="shared" si="31"/>
        <v>-150</v>
      </c>
      <c r="I74" s="64">
        <f t="shared" si="31"/>
        <v>-150</v>
      </c>
      <c r="J74" s="64">
        <f t="shared" si="31"/>
        <v>-150</v>
      </c>
      <c r="K74" s="64">
        <f t="shared" si="31"/>
        <v>-150</v>
      </c>
      <c r="L74" s="64">
        <f t="shared" si="31"/>
        <v>-150</v>
      </c>
      <c r="M74" s="64">
        <f t="shared" si="31"/>
        <v>-150</v>
      </c>
    </row>
    <row r="75" spans="1:14" x14ac:dyDescent="0.25">
      <c r="A75" s="56" t="s">
        <v>28</v>
      </c>
      <c r="B75" s="69" t="s">
        <v>73</v>
      </c>
      <c r="C75" s="64">
        <f t="shared" ref="C75:M75" si="32">C57</f>
        <v>0</v>
      </c>
      <c r="D75" s="64">
        <f t="shared" si="32"/>
        <v>-3.3333333333333335</v>
      </c>
      <c r="E75" s="64">
        <f t="shared" si="32"/>
        <v>-8.567400000000001</v>
      </c>
      <c r="F75" s="64">
        <f t="shared" si="32"/>
        <v>-15.828725334666668</v>
      </c>
      <c r="G75" s="64">
        <f t="shared" si="32"/>
        <v>-23.588785561562425</v>
      </c>
      <c r="H75" s="64">
        <f t="shared" si="32"/>
        <v>-29.697044284978219</v>
      </c>
      <c r="I75" s="64">
        <f t="shared" si="32"/>
        <v>-35.709582229342239</v>
      </c>
      <c r="J75" s="64">
        <f t="shared" si="32"/>
        <v>-41.659782231182554</v>
      </c>
      <c r="K75" s="64">
        <f t="shared" si="32"/>
        <v>-47.286113488152438</v>
      </c>
      <c r="L75" s="64">
        <f t="shared" si="32"/>
        <v>-52.77989293729523</v>
      </c>
      <c r="M75" s="64">
        <f t="shared" si="32"/>
        <v>-29.3727580251653</v>
      </c>
    </row>
    <row r="76" spans="1:14" x14ac:dyDescent="0.25">
      <c r="A76" s="79" t="s">
        <v>77</v>
      </c>
      <c r="B76" s="69" t="s">
        <v>73</v>
      </c>
      <c r="C76" s="81">
        <f>C113</f>
        <v>0</v>
      </c>
      <c r="D76" s="81">
        <f t="shared" ref="D76:M76" si="33">D113</f>
        <v>0</v>
      </c>
      <c r="E76" s="81">
        <f t="shared" si="33"/>
        <v>0</v>
      </c>
      <c r="F76" s="81">
        <f t="shared" si="33"/>
        <v>0</v>
      </c>
      <c r="G76" s="81">
        <f t="shared" si="33"/>
        <v>0</v>
      </c>
      <c r="H76" s="81">
        <f t="shared" si="33"/>
        <v>0</v>
      </c>
      <c r="I76" s="81">
        <f t="shared" si="33"/>
        <v>0</v>
      </c>
      <c r="J76" s="81">
        <f t="shared" si="33"/>
        <v>0</v>
      </c>
      <c r="K76" s="81">
        <f t="shared" si="33"/>
        <v>0</v>
      </c>
      <c r="L76" s="81">
        <f t="shared" si="33"/>
        <v>0</v>
      </c>
      <c r="M76" s="81">
        <f t="shared" si="33"/>
        <v>0</v>
      </c>
      <c r="N76" s="76" t="s">
        <v>134</v>
      </c>
    </row>
    <row r="77" spans="1:14" x14ac:dyDescent="0.25">
      <c r="A77" s="82" t="s">
        <v>91</v>
      </c>
      <c r="B77" s="69" t="s">
        <v>73</v>
      </c>
      <c r="C77" s="115">
        <f>SUM(C72:C76)</f>
        <v>-50</v>
      </c>
      <c r="D77" s="115">
        <f>SUM(D72:D76)</f>
        <v>-110.35533333333333</v>
      </c>
      <c r="E77" s="115">
        <f t="shared" ref="E77:M77" si="34">SUM(E72:E76)</f>
        <v>-176.40716004000001</v>
      </c>
      <c r="F77" s="115">
        <f t="shared" si="34"/>
        <v>-198.63053214153948</v>
      </c>
      <c r="G77" s="115">
        <f t="shared" si="34"/>
        <v>-206.83654726403608</v>
      </c>
      <c r="H77" s="115">
        <f t="shared" si="34"/>
        <v>-220.07318261589882</v>
      </c>
      <c r="I77" s="115">
        <f t="shared" si="34"/>
        <v>-234.21558228455154</v>
      </c>
      <c r="J77" s="115">
        <f t="shared" si="34"/>
        <v>-240.44971994027898</v>
      </c>
      <c r="K77" s="115">
        <f t="shared" si="34"/>
        <v>-252.09949696243606</v>
      </c>
      <c r="L77" s="115">
        <f t="shared" si="34"/>
        <v>-267.38147642474308</v>
      </c>
      <c r="M77" s="115">
        <f t="shared" si="34"/>
        <v>-214.5214228899697</v>
      </c>
    </row>
    <row r="78" spans="1:14" x14ac:dyDescent="0.25">
      <c r="A78" s="77"/>
      <c r="C78" s="45"/>
      <c r="D78" s="45"/>
      <c r="E78" s="45"/>
      <c r="F78" s="45"/>
      <c r="G78" s="45"/>
      <c r="H78" s="45"/>
      <c r="I78" s="45"/>
      <c r="J78" s="45"/>
      <c r="K78" s="45"/>
      <c r="L78" s="45"/>
      <c r="M78" s="45"/>
    </row>
    <row r="79" spans="1:14" x14ac:dyDescent="0.25">
      <c r="A79" s="73"/>
      <c r="B79" s="65"/>
      <c r="C79" s="66"/>
      <c r="D79" s="66"/>
      <c r="E79" s="66"/>
      <c r="F79" s="66"/>
      <c r="G79" s="66"/>
      <c r="H79" s="66"/>
      <c r="I79" s="66"/>
      <c r="J79" s="66"/>
      <c r="K79" s="66"/>
      <c r="L79" s="66"/>
      <c r="M79" s="66"/>
    </row>
    <row r="80" spans="1:14" ht="18.75" x14ac:dyDescent="0.3">
      <c r="A80" s="86" t="s">
        <v>85</v>
      </c>
      <c r="B80" s="83"/>
      <c r="C80" s="78"/>
      <c r="D80" s="78"/>
      <c r="E80" s="78"/>
      <c r="F80" s="78"/>
      <c r="G80" s="78"/>
      <c r="H80" s="78"/>
      <c r="I80" s="78"/>
      <c r="J80" s="78"/>
      <c r="K80" s="78"/>
      <c r="L80" s="78"/>
      <c r="M80" s="78"/>
    </row>
    <row r="81" spans="1:13" x14ac:dyDescent="0.25">
      <c r="A81" s="56" t="s">
        <v>128</v>
      </c>
      <c r="B81" s="69" t="s">
        <v>73</v>
      </c>
      <c r="C81" s="85">
        <f t="shared" ref="C81:M81" si="35">C69+C77</f>
        <v>-50</v>
      </c>
      <c r="D81" s="85">
        <f t="shared" si="35"/>
        <v>-60.355333333333334</v>
      </c>
      <c r="E81" s="85">
        <f t="shared" si="35"/>
        <v>-76.407160040000008</v>
      </c>
      <c r="F81" s="85">
        <f t="shared" si="35"/>
        <v>-48.630532141539476</v>
      </c>
      <c r="G81" s="85">
        <f t="shared" si="35"/>
        <v>-6.8365472640360849</v>
      </c>
      <c r="H81" s="85">
        <f t="shared" si="35"/>
        <v>-10.073182615898816</v>
      </c>
      <c r="I81" s="85">
        <f t="shared" si="35"/>
        <v>-14.215582284551544</v>
      </c>
      <c r="J81" s="85">
        <f t="shared" si="35"/>
        <v>-10.449719940278982</v>
      </c>
      <c r="K81" s="85">
        <f t="shared" si="35"/>
        <v>-12.099496962436064</v>
      </c>
      <c r="L81" s="85">
        <f t="shared" si="35"/>
        <v>-17.381476424743084</v>
      </c>
      <c r="M81" s="85">
        <f t="shared" si="35"/>
        <v>45.478577110030301</v>
      </c>
    </row>
    <row r="82" spans="1:13" x14ac:dyDescent="0.25">
      <c r="A82" s="73"/>
      <c r="B82" s="153"/>
      <c r="C82" s="78"/>
      <c r="D82" s="78"/>
      <c r="E82" s="78"/>
      <c r="F82" s="78"/>
      <c r="G82" s="78"/>
      <c r="H82" s="78"/>
      <c r="I82" s="78"/>
      <c r="J82" s="78"/>
      <c r="K82" s="78"/>
      <c r="L82" s="78"/>
      <c r="M82" s="78"/>
    </row>
    <row r="83" spans="1:13" x14ac:dyDescent="0.25">
      <c r="A83" s="78"/>
      <c r="B83" s="78"/>
      <c r="C83" s="78"/>
      <c r="D83" s="78"/>
      <c r="E83" s="78"/>
      <c r="F83" s="78"/>
      <c r="G83" s="78"/>
      <c r="H83" s="78"/>
      <c r="I83" s="78"/>
      <c r="J83" s="78"/>
      <c r="K83" s="78"/>
      <c r="L83" s="78"/>
      <c r="M83" s="78"/>
    </row>
    <row r="84" spans="1:13" ht="23.25" x14ac:dyDescent="0.35">
      <c r="A84" s="177" t="s">
        <v>207</v>
      </c>
      <c r="B84" s="8"/>
      <c r="E84" s="67"/>
      <c r="F84" s="67"/>
      <c r="G84" s="67"/>
      <c r="H84" s="67"/>
      <c r="I84" s="67"/>
      <c r="J84" s="67"/>
      <c r="K84" s="67"/>
      <c r="L84" s="67"/>
      <c r="M84" s="67"/>
    </row>
    <row r="85" spans="1:13" x14ac:dyDescent="0.25">
      <c r="A85" s="76"/>
      <c r="C85" s="67"/>
      <c r="D85" s="67"/>
      <c r="E85" s="67"/>
      <c r="F85" s="67"/>
      <c r="G85" s="67"/>
      <c r="H85" s="67"/>
      <c r="I85" s="67"/>
      <c r="J85" s="67"/>
      <c r="K85" s="67"/>
      <c r="L85" s="67"/>
      <c r="M85" s="67"/>
    </row>
    <row r="86" spans="1:13" x14ac:dyDescent="0.25">
      <c r="C86" s="100">
        <v>2012</v>
      </c>
      <c r="D86" s="100">
        <v>2013</v>
      </c>
      <c r="E86" s="100">
        <v>2014</v>
      </c>
      <c r="F86" s="100">
        <v>2015</v>
      </c>
      <c r="G86" s="100">
        <v>2016</v>
      </c>
      <c r="H86" s="100">
        <v>2017</v>
      </c>
      <c r="I86" s="100">
        <v>2018</v>
      </c>
      <c r="J86" s="100">
        <v>2019</v>
      </c>
      <c r="K86" s="100">
        <v>2020</v>
      </c>
      <c r="L86" s="100">
        <v>2021</v>
      </c>
      <c r="M86" s="100">
        <v>2022</v>
      </c>
    </row>
    <row r="87" spans="1:13" x14ac:dyDescent="0.25">
      <c r="A87" s="56" t="s">
        <v>198</v>
      </c>
      <c r="B87" s="69" t="s">
        <v>73</v>
      </c>
      <c r="C87" s="64">
        <f t="shared" ref="C87:M87" si="36">C12</f>
        <v>0</v>
      </c>
      <c r="D87" s="64">
        <f t="shared" si="36"/>
        <v>50</v>
      </c>
      <c r="E87" s="64">
        <f t="shared" si="36"/>
        <v>100</v>
      </c>
      <c r="F87" s="64">
        <f t="shared" si="36"/>
        <v>150</v>
      </c>
      <c r="G87" s="64">
        <f t="shared" si="36"/>
        <v>200</v>
      </c>
      <c r="H87" s="64">
        <f t="shared" si="36"/>
        <v>210</v>
      </c>
      <c r="I87" s="64">
        <f t="shared" si="36"/>
        <v>220</v>
      </c>
      <c r="J87" s="64">
        <f t="shared" si="36"/>
        <v>230</v>
      </c>
      <c r="K87" s="64">
        <f t="shared" si="36"/>
        <v>240</v>
      </c>
      <c r="L87" s="64">
        <f t="shared" si="36"/>
        <v>250</v>
      </c>
      <c r="M87" s="64">
        <f t="shared" si="36"/>
        <v>260</v>
      </c>
    </row>
    <row r="88" spans="1:13" x14ac:dyDescent="0.25">
      <c r="A88" s="56" t="s">
        <v>144</v>
      </c>
      <c r="B88" s="69" t="s">
        <v>73</v>
      </c>
      <c r="C88" s="64">
        <f t="shared" ref="C88:M88" si="37">C14</f>
        <v>-50</v>
      </c>
      <c r="D88" s="64">
        <f t="shared" si="37"/>
        <v>-100</v>
      </c>
      <c r="E88" s="64">
        <f t="shared" si="37"/>
        <v>-150</v>
      </c>
      <c r="F88" s="64">
        <f t="shared" si="37"/>
        <v>-150</v>
      </c>
      <c r="G88" s="64">
        <f t="shared" si="37"/>
        <v>-150</v>
      </c>
      <c r="H88" s="64">
        <f t="shared" si="37"/>
        <v>-150</v>
      </c>
      <c r="I88" s="64">
        <f t="shared" si="37"/>
        <v>-150</v>
      </c>
      <c r="J88" s="64">
        <f t="shared" si="37"/>
        <v>-150</v>
      </c>
      <c r="K88" s="64">
        <f t="shared" si="37"/>
        <v>-150</v>
      </c>
      <c r="L88" s="64">
        <f t="shared" si="37"/>
        <v>-150</v>
      </c>
      <c r="M88" s="64">
        <f t="shared" si="37"/>
        <v>-150</v>
      </c>
    </row>
    <row r="89" spans="1:13" x14ac:dyDescent="0.25">
      <c r="A89" s="91" t="s">
        <v>36</v>
      </c>
      <c r="B89" s="69" t="s">
        <v>73</v>
      </c>
      <c r="C89" s="64">
        <f t="shared" ref="C89:M89" si="38">C38</f>
        <v>0</v>
      </c>
      <c r="D89" s="64">
        <f t="shared" si="38"/>
        <v>-2.5</v>
      </c>
      <c r="E89" s="64">
        <f t="shared" si="38"/>
        <v>-7.375</v>
      </c>
      <c r="F89" s="64">
        <f t="shared" si="38"/>
        <v>-14.50625</v>
      </c>
      <c r="G89" s="64">
        <f t="shared" si="38"/>
        <v>-23.7809375</v>
      </c>
      <c r="H89" s="64">
        <f t="shared" si="38"/>
        <v>-32.591890624999998</v>
      </c>
      <c r="I89" s="64">
        <f t="shared" si="38"/>
        <v>-40.962296093749998</v>
      </c>
      <c r="J89" s="64">
        <f t="shared" si="38"/>
        <v>-48.914181289062498</v>
      </c>
      <c r="K89" s="64">
        <f t="shared" si="38"/>
        <v>-56.468472224609378</v>
      </c>
      <c r="L89" s="64">
        <f t="shared" si="38"/>
        <v>-63.645048613378911</v>
      </c>
      <c r="M89" s="64">
        <f t="shared" si="38"/>
        <v>-35.520971226352422</v>
      </c>
    </row>
    <row r="90" spans="1:13" x14ac:dyDescent="0.25">
      <c r="A90" s="154" t="s">
        <v>94</v>
      </c>
      <c r="B90" s="69" t="s">
        <v>73</v>
      </c>
      <c r="C90" s="66">
        <f t="shared" ref="C90:M90" si="39">-((C22*C55*C23)-(C24*C63))</f>
        <v>0</v>
      </c>
      <c r="D90" s="66">
        <f t="shared" si="39"/>
        <v>0.16799999999999971</v>
      </c>
      <c r="E90" s="66">
        <f t="shared" si="39"/>
        <v>0.66326895999999813</v>
      </c>
      <c r="F90" s="66">
        <f t="shared" si="39"/>
        <v>1.401085515907198</v>
      </c>
      <c r="G90" s="66">
        <f t="shared" si="39"/>
        <v>3.2862203596537167</v>
      </c>
      <c r="H90" s="66">
        <f t="shared" si="39"/>
        <v>5.9003345022875067</v>
      </c>
      <c r="I90" s="66">
        <f t="shared" si="39"/>
        <v>11.872828328547749</v>
      </c>
      <c r="J90" s="66">
        <f t="shared" si="39"/>
        <v>7.9764085555000506</v>
      </c>
      <c r="K90" s="66">
        <f t="shared" si="39"/>
        <v>9.8252611803240111</v>
      </c>
      <c r="L90" s="66">
        <f t="shared" si="39"/>
        <v>11.701233905029397</v>
      </c>
      <c r="M90" s="66">
        <f t="shared" si="39"/>
        <v>11.071753524891086</v>
      </c>
    </row>
    <row r="91" spans="1:13" x14ac:dyDescent="0.25">
      <c r="A91" s="91" t="s">
        <v>30</v>
      </c>
      <c r="B91" s="69" t="s">
        <v>73</v>
      </c>
      <c r="C91" s="113">
        <f>SUM(C87:C90)</f>
        <v>-50</v>
      </c>
      <c r="D91" s="113">
        <f t="shared" ref="D91:M91" si="40">SUM(D87:D90)</f>
        <v>-52.332000000000001</v>
      </c>
      <c r="E91" s="113">
        <f t="shared" si="40"/>
        <v>-56.711731040000004</v>
      </c>
      <c r="F91" s="113">
        <f t="shared" si="40"/>
        <v>-13.105164484092802</v>
      </c>
      <c r="G91" s="113">
        <f t="shared" si="40"/>
        <v>29.505282859653718</v>
      </c>
      <c r="H91" s="113">
        <f t="shared" si="40"/>
        <v>33.308443877287509</v>
      </c>
      <c r="I91" s="113">
        <f t="shared" si="40"/>
        <v>40.910532234797749</v>
      </c>
      <c r="J91" s="113">
        <f t="shared" si="40"/>
        <v>39.062227266437553</v>
      </c>
      <c r="K91" s="113">
        <f t="shared" si="40"/>
        <v>43.356788955714634</v>
      </c>
      <c r="L91" s="113">
        <f t="shared" si="40"/>
        <v>48.056185291650486</v>
      </c>
      <c r="M91" s="113">
        <f t="shared" si="40"/>
        <v>85.55078229853865</v>
      </c>
    </row>
    <row r="92" spans="1:13" x14ac:dyDescent="0.25">
      <c r="A92" s="91" t="s">
        <v>133</v>
      </c>
      <c r="B92" s="69" t="s">
        <v>73</v>
      </c>
      <c r="C92" s="64">
        <f t="shared" ref="C92:M92" si="41">-C91*C20</f>
        <v>14.000000000000002</v>
      </c>
      <c r="D92" s="64">
        <f t="shared" si="41"/>
        <v>14.652960000000002</v>
      </c>
      <c r="E92" s="64">
        <f t="shared" si="41"/>
        <v>15.879284691200002</v>
      </c>
      <c r="F92" s="64">
        <f t="shared" si="41"/>
        <v>3.6694460555459849</v>
      </c>
      <c r="G92" s="64">
        <f t="shared" si="41"/>
        <v>-8.2614792007030413</v>
      </c>
      <c r="H92" s="64">
        <f t="shared" si="41"/>
        <v>-9.3263642856405031</v>
      </c>
      <c r="I92" s="64">
        <f t="shared" si="41"/>
        <v>-11.454949025743371</v>
      </c>
      <c r="J92" s="64">
        <f t="shared" si="41"/>
        <v>-10.937423634602515</v>
      </c>
      <c r="K92" s="64">
        <f t="shared" si="41"/>
        <v>-12.139900907600099</v>
      </c>
      <c r="L92" s="64">
        <f t="shared" si="41"/>
        <v>-13.455731881662137</v>
      </c>
      <c r="M92" s="64">
        <f t="shared" si="41"/>
        <v>-23.954219043590825</v>
      </c>
    </row>
    <row r="93" spans="1:13" x14ac:dyDescent="0.25">
      <c r="A93" s="154" t="s">
        <v>207</v>
      </c>
      <c r="B93" s="69" t="s">
        <v>73</v>
      </c>
      <c r="C93" s="113">
        <f t="shared" ref="C93:M93" si="42">IF(C92&gt;0,0,C92-C99)</f>
        <v>0</v>
      </c>
      <c r="D93" s="113">
        <f t="shared" si="42"/>
        <v>0</v>
      </c>
      <c r="E93" s="113">
        <f t="shared" si="42"/>
        <v>0</v>
      </c>
      <c r="F93" s="113">
        <f t="shared" si="42"/>
        <v>0</v>
      </c>
      <c r="G93" s="113">
        <f t="shared" si="42"/>
        <v>0</v>
      </c>
      <c r="H93" s="113">
        <f t="shared" si="42"/>
        <v>0</v>
      </c>
      <c r="I93" s="113">
        <f t="shared" si="42"/>
        <v>0</v>
      </c>
      <c r="J93" s="113">
        <f t="shared" si="42"/>
        <v>0</v>
      </c>
      <c r="K93" s="113">
        <f t="shared" si="42"/>
        <v>-3.918426307543541</v>
      </c>
      <c r="L93" s="113">
        <f t="shared" si="42"/>
        <v>-13.455731881662137</v>
      </c>
      <c r="M93" s="113">
        <f t="shared" si="42"/>
        <v>-23.954219043590825</v>
      </c>
    </row>
    <row r="96" spans="1:13" ht="18.75" x14ac:dyDescent="0.3">
      <c r="A96" s="87" t="s">
        <v>125</v>
      </c>
      <c r="C96" s="100">
        <v>2012</v>
      </c>
      <c r="D96" s="100">
        <v>2013</v>
      </c>
      <c r="E96" s="100">
        <v>2014</v>
      </c>
      <c r="F96" s="100">
        <v>2015</v>
      </c>
      <c r="G96" s="100">
        <v>2016</v>
      </c>
      <c r="H96" s="100">
        <v>2017</v>
      </c>
      <c r="I96" s="100">
        <v>2018</v>
      </c>
      <c r="J96" s="100">
        <v>2019</v>
      </c>
      <c r="K96" s="100">
        <v>2020</v>
      </c>
      <c r="L96" s="100">
        <v>2021</v>
      </c>
      <c r="M96" s="100">
        <v>2022</v>
      </c>
    </row>
    <row r="97" spans="1:13" x14ac:dyDescent="0.25">
      <c r="A97" s="91" t="s">
        <v>211</v>
      </c>
      <c r="B97" s="69" t="s">
        <v>73</v>
      </c>
      <c r="C97" s="93">
        <v>0</v>
      </c>
      <c r="D97" s="64">
        <f t="shared" ref="D97:M97" si="43">C100</f>
        <v>14.000000000000002</v>
      </c>
      <c r="E97" s="64">
        <f t="shared" si="43"/>
        <v>28.652960000000004</v>
      </c>
      <c r="F97" s="64">
        <f>E100</f>
        <v>44.532244691200006</v>
      </c>
      <c r="G97" s="64">
        <f t="shared" si="43"/>
        <v>48.201690746745989</v>
      </c>
      <c r="H97" s="64">
        <f t="shared" si="43"/>
        <v>39.940211546042946</v>
      </c>
      <c r="I97" s="64">
        <f t="shared" si="43"/>
        <v>30.613847260402444</v>
      </c>
      <c r="J97" s="64">
        <f t="shared" si="43"/>
        <v>19.158898234659073</v>
      </c>
      <c r="K97" s="64">
        <f t="shared" si="43"/>
        <v>8.2214746000565579</v>
      </c>
      <c r="L97" s="64">
        <f t="shared" si="43"/>
        <v>0</v>
      </c>
      <c r="M97" s="64">
        <f t="shared" si="43"/>
        <v>0</v>
      </c>
    </row>
    <row r="98" spans="1:13" x14ac:dyDescent="0.25">
      <c r="A98" s="91" t="s">
        <v>210</v>
      </c>
      <c r="B98" s="69" t="s">
        <v>73</v>
      </c>
      <c r="C98" s="64">
        <f t="shared" ref="C98:M98" si="44">IF(C92&gt;0,C92,0)</f>
        <v>14.000000000000002</v>
      </c>
      <c r="D98" s="64">
        <f t="shared" si="44"/>
        <v>14.652960000000002</v>
      </c>
      <c r="E98" s="64">
        <f t="shared" si="44"/>
        <v>15.879284691200002</v>
      </c>
      <c r="F98" s="64">
        <f t="shared" si="44"/>
        <v>3.6694460555459849</v>
      </c>
      <c r="G98" s="64">
        <f t="shared" si="44"/>
        <v>0</v>
      </c>
      <c r="H98" s="64">
        <f t="shared" si="44"/>
        <v>0</v>
      </c>
      <c r="I98" s="64">
        <f t="shared" si="44"/>
        <v>0</v>
      </c>
      <c r="J98" s="64">
        <f t="shared" si="44"/>
        <v>0</v>
      </c>
      <c r="K98" s="64">
        <f t="shared" si="44"/>
        <v>0</v>
      </c>
      <c r="L98" s="64">
        <f t="shared" si="44"/>
        <v>0</v>
      </c>
      <c r="M98" s="64">
        <f t="shared" si="44"/>
        <v>0</v>
      </c>
    </row>
    <row r="99" spans="1:13" x14ac:dyDescent="0.25">
      <c r="A99" s="91" t="s">
        <v>209</v>
      </c>
      <c r="B99" s="69" t="s">
        <v>73</v>
      </c>
      <c r="C99" s="66">
        <f t="shared" ref="C99:M99" si="45">IF(C98&gt;0,0,IF(C98=0,IF(C97&lt;-C92,-C97,C92)))</f>
        <v>0</v>
      </c>
      <c r="D99" s="66">
        <f t="shared" si="45"/>
        <v>0</v>
      </c>
      <c r="E99" s="66">
        <f t="shared" si="45"/>
        <v>0</v>
      </c>
      <c r="F99" s="66">
        <f t="shared" si="45"/>
        <v>0</v>
      </c>
      <c r="G99" s="66">
        <f t="shared" si="45"/>
        <v>-8.2614792007030413</v>
      </c>
      <c r="H99" s="66">
        <f t="shared" si="45"/>
        <v>-9.3263642856405031</v>
      </c>
      <c r="I99" s="66">
        <f t="shared" si="45"/>
        <v>-11.454949025743371</v>
      </c>
      <c r="J99" s="66">
        <f t="shared" si="45"/>
        <v>-10.937423634602515</v>
      </c>
      <c r="K99" s="66">
        <f t="shared" si="45"/>
        <v>-8.2214746000565579</v>
      </c>
      <c r="L99" s="66">
        <f t="shared" si="45"/>
        <v>0</v>
      </c>
      <c r="M99" s="66">
        <f t="shared" si="45"/>
        <v>0</v>
      </c>
    </row>
    <row r="100" spans="1:13" x14ac:dyDescent="0.25">
      <c r="A100" s="91" t="s">
        <v>212</v>
      </c>
      <c r="B100" s="69" t="s">
        <v>73</v>
      </c>
      <c r="C100" s="113">
        <f t="shared" ref="C100:M100" si="46">SUM(C97:C99)</f>
        <v>14.000000000000002</v>
      </c>
      <c r="D100" s="113">
        <f t="shared" si="46"/>
        <v>28.652960000000004</v>
      </c>
      <c r="E100" s="113">
        <f t="shared" si="46"/>
        <v>44.532244691200006</v>
      </c>
      <c r="F100" s="113">
        <f t="shared" si="46"/>
        <v>48.201690746745989</v>
      </c>
      <c r="G100" s="113">
        <f t="shared" si="46"/>
        <v>39.940211546042946</v>
      </c>
      <c r="H100" s="113">
        <f t="shared" si="46"/>
        <v>30.613847260402444</v>
      </c>
      <c r="I100" s="113">
        <f t="shared" si="46"/>
        <v>19.158898234659073</v>
      </c>
      <c r="J100" s="113">
        <f t="shared" si="46"/>
        <v>8.2214746000565579</v>
      </c>
      <c r="K100" s="113">
        <f t="shared" si="46"/>
        <v>0</v>
      </c>
      <c r="L100" s="113">
        <f t="shared" si="46"/>
        <v>0</v>
      </c>
      <c r="M100" s="210">
        <f t="shared" si="46"/>
        <v>0</v>
      </c>
    </row>
    <row r="102" spans="1:13" x14ac:dyDescent="0.25">
      <c r="C102" s="45"/>
      <c r="D102" s="45"/>
      <c r="E102" s="45"/>
      <c r="F102" s="45"/>
      <c r="G102" s="45"/>
      <c r="H102" s="45"/>
      <c r="I102" s="45"/>
      <c r="J102" s="45"/>
      <c r="K102" s="45"/>
      <c r="L102" s="45"/>
      <c r="M102" s="45"/>
    </row>
    <row r="103" spans="1:13" ht="18.75" x14ac:dyDescent="0.3">
      <c r="A103" s="127" t="s">
        <v>45</v>
      </c>
    </row>
    <row r="104" spans="1:13" x14ac:dyDescent="0.25">
      <c r="C104" s="100">
        <v>2012</v>
      </c>
      <c r="D104" s="100">
        <v>2013</v>
      </c>
      <c r="E104" s="100">
        <v>2014</v>
      </c>
      <c r="F104" s="100">
        <v>2015</v>
      </c>
      <c r="G104" s="100">
        <v>2016</v>
      </c>
      <c r="H104" s="100">
        <v>2017</v>
      </c>
      <c r="I104" s="100">
        <v>2018</v>
      </c>
      <c r="J104" s="100">
        <v>2019</v>
      </c>
      <c r="K104" s="100">
        <v>2020</v>
      </c>
      <c r="L104" s="100">
        <v>2021</v>
      </c>
      <c r="M104" s="100">
        <v>2022</v>
      </c>
    </row>
    <row r="105" spans="1:13" x14ac:dyDescent="0.25">
      <c r="A105" s="56" t="s">
        <v>93</v>
      </c>
      <c r="B105" s="69" t="s">
        <v>73</v>
      </c>
      <c r="C105" s="45">
        <f t="shared" ref="C105:M105" si="47">C55</f>
        <v>0</v>
      </c>
      <c r="D105" s="45">
        <f t="shared" si="47"/>
        <v>100</v>
      </c>
      <c r="E105" s="45">
        <f t="shared" si="47"/>
        <v>257.02200000000005</v>
      </c>
      <c r="F105" s="45">
        <f t="shared" si="47"/>
        <v>474.86176004000004</v>
      </c>
      <c r="G105" s="45">
        <f t="shared" si="47"/>
        <v>707.66356684687275</v>
      </c>
      <c r="H105" s="45">
        <f t="shared" si="47"/>
        <v>890.91132854934654</v>
      </c>
      <c r="I105" s="45">
        <f t="shared" si="47"/>
        <v>1071.2874668802672</v>
      </c>
      <c r="J105" s="45">
        <f t="shared" si="47"/>
        <v>1249.7934669354765</v>
      </c>
      <c r="K105" s="45">
        <f t="shared" si="47"/>
        <v>1418.5834046445732</v>
      </c>
      <c r="L105" s="45">
        <f t="shared" si="47"/>
        <v>1583.3967881188569</v>
      </c>
      <c r="M105" s="45">
        <f t="shared" si="47"/>
        <v>1747.9983716063045</v>
      </c>
    </row>
    <row r="106" spans="1:13" x14ac:dyDescent="0.25">
      <c r="A106" s="126" t="s">
        <v>90</v>
      </c>
      <c r="B106" s="69" t="s">
        <v>73</v>
      </c>
      <c r="C106" s="66">
        <f>C63</f>
        <v>0</v>
      </c>
      <c r="D106" s="66">
        <f t="shared" ref="D106:M106" si="48">D63</f>
        <v>30</v>
      </c>
      <c r="E106" s="66">
        <f t="shared" si="48"/>
        <v>80</v>
      </c>
      <c r="F106" s="66">
        <f t="shared" si="48"/>
        <v>150</v>
      </c>
      <c r="G106" s="66">
        <f t="shared" si="48"/>
        <v>250</v>
      </c>
      <c r="H106" s="66">
        <f t="shared" si="48"/>
        <v>350</v>
      </c>
      <c r="I106" s="66">
        <f t="shared" si="48"/>
        <v>450</v>
      </c>
      <c r="J106" s="66">
        <f t="shared" si="48"/>
        <v>550</v>
      </c>
      <c r="K106" s="66">
        <f t="shared" si="48"/>
        <v>650</v>
      </c>
      <c r="L106" s="66">
        <f t="shared" si="48"/>
        <v>750</v>
      </c>
      <c r="M106" s="66">
        <f t="shared" si="48"/>
        <v>850</v>
      </c>
    </row>
    <row r="107" spans="1:13" x14ac:dyDescent="0.25">
      <c r="A107" s="126" t="s">
        <v>45</v>
      </c>
      <c r="B107" s="69" t="s">
        <v>88</v>
      </c>
      <c r="C107" s="189">
        <v>0</v>
      </c>
      <c r="D107" s="173">
        <f>D106/D105</f>
        <v>0.3</v>
      </c>
      <c r="E107" s="173">
        <f>E106/E105</f>
        <v>0.31125740209009339</v>
      </c>
      <c r="F107" s="173">
        <f>F106/F105</f>
        <v>0.31588140512170265</v>
      </c>
      <c r="G107" s="173">
        <f t="shared" ref="E107:M107" si="49">G106/G105</f>
        <v>0.35327521680100293</v>
      </c>
      <c r="H107" s="173">
        <f t="shared" si="49"/>
        <v>0.39285615614507691</v>
      </c>
      <c r="I107" s="173">
        <f t="shared" si="49"/>
        <v>0.42005532026848064</v>
      </c>
      <c r="J107" s="173">
        <f t="shared" si="49"/>
        <v>0.44007271165260059</v>
      </c>
      <c r="K107" s="173">
        <f t="shared" si="49"/>
        <v>0.45820358385121379</v>
      </c>
      <c r="L107" s="173">
        <f t="shared" si="49"/>
        <v>0.47366522758394131</v>
      </c>
      <c r="M107" s="173">
        <f t="shared" si="49"/>
        <v>0.4862704758808794</v>
      </c>
    </row>
    <row r="108" spans="1:13" x14ac:dyDescent="0.25">
      <c r="C108" s="45"/>
      <c r="D108" s="45"/>
      <c r="E108" s="45"/>
      <c r="F108" s="45"/>
      <c r="G108" s="45"/>
      <c r="H108" s="45"/>
      <c r="I108" s="45"/>
      <c r="J108" s="45"/>
      <c r="K108" s="45"/>
      <c r="L108" s="45"/>
      <c r="M108" s="45"/>
    </row>
    <row r="110" spans="1:13" ht="23.25" x14ac:dyDescent="0.35">
      <c r="A110" s="35" t="s">
        <v>23</v>
      </c>
    </row>
    <row r="111" spans="1:13" x14ac:dyDescent="0.25">
      <c r="C111" s="100">
        <v>2012</v>
      </c>
      <c r="D111" s="100">
        <v>2013</v>
      </c>
      <c r="E111" s="100">
        <v>2014</v>
      </c>
      <c r="F111" s="100">
        <v>2015</v>
      </c>
      <c r="G111" s="100">
        <v>2016</v>
      </c>
      <c r="H111" s="100">
        <v>2017</v>
      </c>
      <c r="I111" s="100">
        <v>2018</v>
      </c>
      <c r="J111" s="100">
        <v>2019</v>
      </c>
      <c r="K111" s="100">
        <v>2020</v>
      </c>
      <c r="L111" s="100">
        <v>2021</v>
      </c>
      <c r="M111" s="100">
        <v>2022</v>
      </c>
    </row>
    <row r="113" spans="1:13" x14ac:dyDescent="0.25">
      <c r="A113" s="91" t="s">
        <v>207</v>
      </c>
      <c r="B113" s="69" t="s">
        <v>73</v>
      </c>
      <c r="C113" s="64">
        <f>IF(Inputs!$C$44="After tax", C93, 0)</f>
        <v>0</v>
      </c>
      <c r="D113" s="64">
        <f>IF(Inputs!$C$44="After tax", D93, 0)</f>
        <v>0</v>
      </c>
      <c r="E113" s="64">
        <f>IF(Inputs!$C$44="After tax", E93, 0)</f>
        <v>0</v>
      </c>
      <c r="F113" s="64">
        <f>IF(Inputs!$C$44="After tax", F93, 0)</f>
        <v>0</v>
      </c>
      <c r="G113" s="64">
        <f>IF(Inputs!$C$44="After tax", G93, 0)</f>
        <v>0</v>
      </c>
      <c r="H113" s="64">
        <f>IF(Inputs!$C$44="After tax", H93, 0)</f>
        <v>0</v>
      </c>
      <c r="I113" s="64">
        <f>IF(Inputs!$C$44="After tax", I93, 0)</f>
        <v>0</v>
      </c>
      <c r="J113" s="64">
        <f>IF(Inputs!$C$44="After tax", J93, 0)</f>
        <v>0</v>
      </c>
      <c r="K113" s="64">
        <f>IF(Inputs!$C$44="After tax", K93, 0)</f>
        <v>0</v>
      </c>
      <c r="L113" s="64">
        <f>IF(Inputs!$C$44="After tax", L93, 0)</f>
        <v>0</v>
      </c>
      <c r="M113" s="64">
        <f>IF(Inputs!$C$44="After tax", M93, 0)</f>
        <v>0</v>
      </c>
    </row>
    <row r="115" spans="1:13" x14ac:dyDescent="0.25">
      <c r="A115" s="126" t="s">
        <v>45</v>
      </c>
      <c r="B115" s="69" t="s">
        <v>88</v>
      </c>
      <c r="C115" s="283">
        <f>C107</f>
        <v>0</v>
      </c>
      <c r="D115" s="283">
        <f t="shared" ref="D115:M115" si="50">D107</f>
        <v>0.3</v>
      </c>
      <c r="E115" s="283">
        <f t="shared" si="50"/>
        <v>0.31125740209009339</v>
      </c>
      <c r="F115" s="283">
        <f t="shared" si="50"/>
        <v>0.31588140512170265</v>
      </c>
      <c r="G115" s="283">
        <f t="shared" si="50"/>
        <v>0.35327521680100293</v>
      </c>
      <c r="H115" s="283">
        <f t="shared" si="50"/>
        <v>0.39285615614507691</v>
      </c>
      <c r="I115" s="283">
        <f t="shared" si="50"/>
        <v>0.42005532026848064</v>
      </c>
      <c r="J115" s="283">
        <f t="shared" si="50"/>
        <v>0.44007271165260059</v>
      </c>
      <c r="K115" s="283">
        <f t="shared" si="50"/>
        <v>0.45820358385121379</v>
      </c>
      <c r="L115" s="283">
        <f t="shared" si="50"/>
        <v>0.47366522758394131</v>
      </c>
      <c r="M115" s="283">
        <f t="shared" si="50"/>
        <v>0.4862704758808794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FDFB6-D75D-4FE3-BE8A-2B50F639F676}">
  <sheetPr>
    <tabColor theme="0" tint="-0.14999847407452621"/>
  </sheetPr>
  <dimension ref="A1:T80"/>
  <sheetViews>
    <sheetView showGridLines="0" zoomScale="85" zoomScaleNormal="85" workbookViewId="0"/>
  </sheetViews>
  <sheetFormatPr defaultColWidth="9.140625" defaultRowHeight="15" x14ac:dyDescent="0.25"/>
  <cols>
    <col min="1" max="1" width="91.42578125" style="1" customWidth="1"/>
    <col min="2" max="2" width="15.140625" style="1" customWidth="1"/>
    <col min="3" max="3" width="13.140625" style="1" customWidth="1"/>
    <col min="4" max="7" width="14.28515625" style="1" bestFit="1" customWidth="1"/>
    <col min="8" max="8" width="12.85546875" style="1" customWidth="1"/>
    <col min="9" max="10" width="14.28515625" style="1" bestFit="1" customWidth="1"/>
    <col min="11" max="13" width="12.5703125" style="1" customWidth="1"/>
    <col min="14" max="14" width="7.7109375" style="1" customWidth="1"/>
    <col min="15" max="15" width="22.85546875" style="1" customWidth="1"/>
    <col min="16" max="16" width="9.140625" style="1"/>
    <col min="17" max="17" width="18.7109375" style="1" customWidth="1"/>
    <col min="18" max="18" width="9.140625" style="1"/>
    <col min="19" max="19" width="17.85546875" style="1" customWidth="1"/>
    <col min="20" max="16384" width="9.140625" style="1"/>
  </cols>
  <sheetData>
    <row r="1" spans="1:14" ht="24" customHeight="1" x14ac:dyDescent="0.4">
      <c r="A1" s="16" t="s">
        <v>260</v>
      </c>
      <c r="B1" s="42"/>
    </row>
    <row r="2" spans="1:14" ht="27.75" customHeight="1" x14ac:dyDescent="0.4">
      <c r="A2" s="16" t="s">
        <v>82</v>
      </c>
    </row>
    <row r="3" spans="1:14" ht="18.399999999999999" customHeight="1" x14ac:dyDescent="0.35">
      <c r="A3" s="35"/>
      <c r="B3" s="42"/>
    </row>
    <row r="4" spans="1:14" ht="18.399999999999999" customHeight="1" x14ac:dyDescent="0.25">
      <c r="B4" s="42"/>
    </row>
    <row r="5" spans="1:14" s="102" customFormat="1" ht="12.75" customHeight="1" x14ac:dyDescent="0.25"/>
    <row r="6" spans="1:14" s="102" customFormat="1" ht="18.399999999999999" customHeight="1" x14ac:dyDescent="0.35">
      <c r="A6" s="35" t="s">
        <v>79</v>
      </c>
      <c r="B6" s="42"/>
      <c r="C6" s="42"/>
      <c r="D6" s="42"/>
      <c r="E6" s="42"/>
      <c r="F6" s="42"/>
      <c r="G6" s="42"/>
      <c r="H6" s="42"/>
      <c r="I6" s="42"/>
      <c r="J6" s="42"/>
      <c r="K6" s="42"/>
      <c r="L6" s="42"/>
      <c r="M6" s="42"/>
      <c r="N6" s="42"/>
    </row>
    <row r="7" spans="1:14" s="102" customFormat="1" ht="18.399999999999999" customHeight="1" x14ac:dyDescent="0.25">
      <c r="A7" s="116" t="s">
        <v>166</v>
      </c>
      <c r="B7" s="42"/>
      <c r="C7" s="42"/>
      <c r="D7" s="42"/>
      <c r="E7" s="42"/>
      <c r="F7" s="42"/>
      <c r="G7" s="42"/>
      <c r="H7" s="42"/>
      <c r="I7" s="42"/>
      <c r="J7" s="42"/>
      <c r="K7" s="42"/>
      <c r="L7" s="42"/>
      <c r="M7" s="42"/>
      <c r="N7" s="42"/>
    </row>
    <row r="8" spans="1:14" s="102" customFormat="1" ht="18.399999999999999" customHeight="1" x14ac:dyDescent="0.25">
      <c r="A8" s="42"/>
      <c r="B8" s="42"/>
      <c r="C8" s="42"/>
      <c r="D8" s="42"/>
      <c r="E8" s="42"/>
      <c r="F8" s="42"/>
      <c r="G8" s="42"/>
      <c r="H8" s="42"/>
      <c r="I8" s="42"/>
      <c r="J8" s="42"/>
      <c r="K8" s="42"/>
      <c r="L8" s="42"/>
      <c r="M8" s="42"/>
      <c r="N8" s="42"/>
    </row>
    <row r="9" spans="1:14" s="102" customFormat="1" ht="18.399999999999999" customHeight="1" x14ac:dyDescent="0.25">
      <c r="A9" s="42"/>
      <c r="B9" s="42"/>
      <c r="C9" s="42"/>
      <c r="D9" s="42"/>
      <c r="E9" s="42"/>
      <c r="F9" s="42"/>
      <c r="G9" s="42"/>
      <c r="H9" s="42"/>
      <c r="I9" s="42"/>
      <c r="J9" s="42"/>
      <c r="K9" s="42"/>
      <c r="L9" s="42"/>
      <c r="M9" s="42"/>
      <c r="N9" s="42"/>
    </row>
    <row r="10" spans="1:14" s="102" customFormat="1" ht="18.399999999999999" customHeight="1" x14ac:dyDescent="0.25">
      <c r="A10" s="42"/>
      <c r="B10" s="42"/>
      <c r="C10" s="42"/>
      <c r="D10" s="42"/>
      <c r="E10" s="42"/>
      <c r="F10" s="42"/>
      <c r="G10" s="42"/>
      <c r="H10" s="42"/>
      <c r="I10" s="42"/>
      <c r="J10" s="42"/>
      <c r="K10" s="42"/>
      <c r="L10" s="42"/>
      <c r="M10" s="42"/>
    </row>
    <row r="11" spans="1:14" s="102" customFormat="1" ht="18.399999999999999" customHeight="1" x14ac:dyDescent="0.25">
      <c r="A11" s="42"/>
      <c r="B11" s="42"/>
      <c r="C11" s="42"/>
      <c r="D11" s="42"/>
      <c r="E11" s="42"/>
      <c r="F11" s="42"/>
      <c r="G11" s="42"/>
      <c r="H11" s="42"/>
      <c r="I11" s="42"/>
      <c r="J11" s="42"/>
      <c r="K11" s="42"/>
      <c r="L11" s="42"/>
      <c r="M11" s="42"/>
    </row>
    <row r="12" spans="1:14" ht="18.399999999999999" customHeight="1" x14ac:dyDescent="0.25">
      <c r="A12" s="42"/>
      <c r="B12" s="42"/>
      <c r="C12" s="42"/>
      <c r="D12" s="42"/>
      <c r="E12" s="42"/>
      <c r="F12" s="42"/>
      <c r="G12" s="42"/>
      <c r="H12" s="42"/>
      <c r="I12" s="42"/>
      <c r="J12" s="42"/>
      <c r="K12" s="42"/>
      <c r="L12" s="42"/>
      <c r="M12" s="42"/>
    </row>
    <row r="13" spans="1:14" ht="18.399999999999999" customHeight="1" x14ac:dyDescent="0.35">
      <c r="A13" s="35" t="s">
        <v>108</v>
      </c>
      <c r="B13" s="46"/>
    </row>
    <row r="14" spans="1:14" ht="18.399999999999999" customHeight="1" x14ac:dyDescent="0.25"/>
    <row r="15" spans="1:14" x14ac:dyDescent="0.25">
      <c r="A15" s="56" t="s">
        <v>95</v>
      </c>
      <c r="B15" s="69" t="s">
        <v>251</v>
      </c>
      <c r="C15" s="142">
        <f>Inputs!C10</f>
        <v>30</v>
      </c>
      <c r="D15" s="142">
        <f>Inputs!D10</f>
        <v>30</v>
      </c>
      <c r="E15" s="142">
        <f>Inputs!E10</f>
        <v>30</v>
      </c>
      <c r="F15" s="142">
        <f>Inputs!F10</f>
        <v>30</v>
      </c>
      <c r="G15" s="142">
        <f>Inputs!G10</f>
        <v>30</v>
      </c>
      <c r="H15" s="142">
        <f>Inputs!H10</f>
        <v>30</v>
      </c>
      <c r="I15" s="142">
        <f>Inputs!I10</f>
        <v>30</v>
      </c>
      <c r="J15" s="142">
        <f>Inputs!J10</f>
        <v>30</v>
      </c>
      <c r="K15" s="142">
        <f>Inputs!K10</f>
        <v>30</v>
      </c>
      <c r="L15" s="142">
        <f>Inputs!L10</f>
        <v>30</v>
      </c>
      <c r="M15" s="142">
        <f>Inputs!M10</f>
        <v>30</v>
      </c>
    </row>
    <row r="16" spans="1:14" ht="18.399999999999999" customHeight="1" x14ac:dyDescent="0.25">
      <c r="B16" s="42"/>
    </row>
    <row r="17" spans="1:15" ht="18.399999999999999" customHeight="1" x14ac:dyDescent="0.25">
      <c r="A17" s="42"/>
      <c r="B17" s="42"/>
      <c r="C17" s="98">
        <v>2012</v>
      </c>
      <c r="D17" s="98">
        <v>2013</v>
      </c>
      <c r="E17" s="98">
        <v>2014</v>
      </c>
      <c r="F17" s="98">
        <v>2015</v>
      </c>
      <c r="G17" s="98">
        <v>2016</v>
      </c>
      <c r="H17" s="98">
        <v>2017</v>
      </c>
      <c r="I17" s="98">
        <v>2018</v>
      </c>
      <c r="J17" s="98">
        <v>2019</v>
      </c>
      <c r="K17" s="98">
        <v>2020</v>
      </c>
      <c r="L17" s="98">
        <v>2021</v>
      </c>
      <c r="M17" s="98">
        <v>2022</v>
      </c>
      <c r="O17" s="100" t="s">
        <v>124</v>
      </c>
    </row>
    <row r="18" spans="1:15" ht="18.399999999999999" customHeight="1" x14ac:dyDescent="0.25">
      <c r="A18" s="56" t="s">
        <v>198</v>
      </c>
      <c r="B18" s="69" t="s">
        <v>73</v>
      </c>
      <c r="C18" s="143">
        <f>Inputs!C6</f>
        <v>0</v>
      </c>
      <c r="D18" s="143">
        <f>Inputs!D6</f>
        <v>50</v>
      </c>
      <c r="E18" s="143">
        <f>Inputs!E6</f>
        <v>100</v>
      </c>
      <c r="F18" s="143">
        <f>Inputs!F6</f>
        <v>150</v>
      </c>
      <c r="G18" s="143">
        <f>Inputs!G6</f>
        <v>200</v>
      </c>
      <c r="H18" s="143">
        <f>Inputs!H6</f>
        <v>210</v>
      </c>
      <c r="I18" s="143">
        <f>Inputs!I6</f>
        <v>220</v>
      </c>
      <c r="J18" s="143">
        <f>Inputs!J6</f>
        <v>230</v>
      </c>
      <c r="K18" s="143">
        <f>Inputs!K6</f>
        <v>240</v>
      </c>
      <c r="L18" s="143">
        <f>Inputs!L6</f>
        <v>250</v>
      </c>
      <c r="M18" s="143">
        <f>Inputs!M6</f>
        <v>260</v>
      </c>
      <c r="O18" s="68"/>
    </row>
    <row r="19" spans="1:15" ht="18.399999999999999" customHeight="1" x14ac:dyDescent="0.25">
      <c r="A19" s="56" t="s">
        <v>74</v>
      </c>
      <c r="B19" s="69" t="s">
        <v>73</v>
      </c>
      <c r="C19" s="143">
        <f>Inputs!C7</f>
        <v>50</v>
      </c>
      <c r="D19" s="143">
        <f>Inputs!D7</f>
        <v>100</v>
      </c>
      <c r="E19" s="143">
        <f>Inputs!E7</f>
        <v>150</v>
      </c>
      <c r="F19" s="143">
        <f>Inputs!F7</f>
        <v>200</v>
      </c>
      <c r="G19" s="143">
        <f>Inputs!G7</f>
        <v>200</v>
      </c>
      <c r="H19" s="143">
        <f>Inputs!H7</f>
        <v>200</v>
      </c>
      <c r="I19" s="143">
        <f>Inputs!I7</f>
        <v>200</v>
      </c>
      <c r="J19" s="143">
        <f>Inputs!J7</f>
        <v>200</v>
      </c>
      <c r="K19" s="143">
        <f>Inputs!K7</f>
        <v>200</v>
      </c>
      <c r="L19" s="143">
        <f>Inputs!L7</f>
        <v>200</v>
      </c>
      <c r="M19" s="143">
        <f>Inputs!M7</f>
        <v>200</v>
      </c>
      <c r="O19" s="68"/>
    </row>
    <row r="20" spans="1:15" ht="18.399999999999999" customHeight="1" x14ac:dyDescent="0.25">
      <c r="A20" s="56" t="s">
        <v>144</v>
      </c>
      <c r="B20" s="69" t="s">
        <v>73</v>
      </c>
      <c r="C20" s="143">
        <f>Inputs!C8</f>
        <v>50</v>
      </c>
      <c r="D20" s="143">
        <f>Inputs!D8</f>
        <v>100</v>
      </c>
      <c r="E20" s="143">
        <f>Inputs!E8</f>
        <v>150</v>
      </c>
      <c r="F20" s="143">
        <f>Inputs!F8</f>
        <v>150</v>
      </c>
      <c r="G20" s="143">
        <f>Inputs!G8</f>
        <v>150</v>
      </c>
      <c r="H20" s="143">
        <f>Inputs!H8</f>
        <v>150</v>
      </c>
      <c r="I20" s="143">
        <f>Inputs!I8</f>
        <v>150</v>
      </c>
      <c r="J20" s="143">
        <f>Inputs!J8</f>
        <v>150</v>
      </c>
      <c r="K20" s="143">
        <f>Inputs!K8</f>
        <v>150</v>
      </c>
      <c r="L20" s="143">
        <f>Inputs!L8</f>
        <v>150</v>
      </c>
      <c r="M20" s="143">
        <f>Inputs!M8</f>
        <v>150</v>
      </c>
    </row>
    <row r="21" spans="1:15" x14ac:dyDescent="0.25">
      <c r="C21" s="147"/>
      <c r="D21" s="147"/>
      <c r="E21" s="147"/>
      <c r="F21" s="147"/>
      <c r="G21" s="147"/>
      <c r="H21" s="147"/>
      <c r="I21" s="147"/>
      <c r="J21" s="147"/>
      <c r="K21" s="147"/>
      <c r="L21" s="147"/>
      <c r="M21" s="147"/>
    </row>
    <row r="22" spans="1:15" ht="14.25" customHeight="1" x14ac:dyDescent="0.25">
      <c r="A22" s="56" t="s">
        <v>77</v>
      </c>
      <c r="B22" s="69" t="s">
        <v>73</v>
      </c>
      <c r="C22" s="155">
        <f>'A1 Tax'!C113</f>
        <v>0</v>
      </c>
      <c r="D22" s="155">
        <f>'A1 Tax'!D113</f>
        <v>0</v>
      </c>
      <c r="E22" s="155">
        <f>'A1 Tax'!E113</f>
        <v>0</v>
      </c>
      <c r="F22" s="155">
        <f>'A1 Tax'!F113</f>
        <v>0</v>
      </c>
      <c r="G22" s="155">
        <f>'A1 Tax'!G113</f>
        <v>0</v>
      </c>
      <c r="H22" s="155">
        <f>'A1 Tax'!H113</f>
        <v>0</v>
      </c>
      <c r="I22" s="155">
        <f>'A1 Tax'!I113</f>
        <v>0</v>
      </c>
      <c r="J22" s="155">
        <f>'A1 Tax'!J113</f>
        <v>0</v>
      </c>
      <c r="K22" s="155">
        <f>'A1 Tax'!K113</f>
        <v>0</v>
      </c>
      <c r="L22" s="155">
        <f>'A1 Tax'!L113</f>
        <v>0</v>
      </c>
      <c r="M22" s="155">
        <f>'A1 Tax'!M113</f>
        <v>0</v>
      </c>
      <c r="N22" s="68"/>
    </row>
    <row r="23" spans="1:15" x14ac:dyDescent="0.25">
      <c r="C23" s="149"/>
      <c r="D23" s="149"/>
      <c r="E23" s="149"/>
      <c r="F23" s="149"/>
      <c r="G23" s="149"/>
      <c r="H23" s="149"/>
      <c r="I23" s="149"/>
      <c r="J23" s="149"/>
      <c r="K23" s="149"/>
      <c r="L23" s="149"/>
      <c r="M23" s="149"/>
      <c r="N23" s="68"/>
    </row>
    <row r="24" spans="1:15" ht="18.399999999999999" customHeight="1" x14ac:dyDescent="0.25">
      <c r="A24" s="56" t="s">
        <v>109</v>
      </c>
      <c r="B24" s="138" t="s">
        <v>107</v>
      </c>
      <c r="C24" s="150">
        <f>'Cost of capital'!C45</f>
        <v>1.6038216056088299</v>
      </c>
      <c r="D24" s="150">
        <f>'Cost of capital'!D45</f>
        <v>1.4985905754039637</v>
      </c>
      <c r="E24" s="150">
        <f>'Cost of capital'!E45</f>
        <v>1.4013253310152147</v>
      </c>
      <c r="F24" s="150">
        <f>'Cost of capital'!F45</f>
        <v>1.310781108850454</v>
      </c>
      <c r="G24" s="150">
        <f>'Cost of capital'!G45</f>
        <v>1.2519609285240285</v>
      </c>
      <c r="H24" s="150">
        <f>'Cost of capital'!H45</f>
        <v>1.1976819336564932</v>
      </c>
      <c r="I24" s="150">
        <f>'Cost of capital'!I45</f>
        <v>1.1458020453954443</v>
      </c>
      <c r="J24" s="150">
        <f>'Cost of capital'!J45</f>
        <v>1.1027523573878419</v>
      </c>
      <c r="K24" s="150">
        <f>'Cost of capital'!K45</f>
        <v>1.06172770718493</v>
      </c>
      <c r="L24" s="150">
        <f>'Cost of capital'!L45</f>
        <v>1.0201079505769246</v>
      </c>
      <c r="M24" s="150">
        <f>'Cost of capital'!M45</f>
        <v>1</v>
      </c>
      <c r="N24" s="68"/>
      <c r="O24" s="68"/>
    </row>
    <row r="25" spans="1:15" ht="18.399999999999999" customHeight="1" x14ac:dyDescent="0.25">
      <c r="A25" s="56"/>
      <c r="B25" s="56"/>
      <c r="C25" s="150"/>
      <c r="D25" s="150"/>
      <c r="E25" s="150"/>
      <c r="F25" s="150"/>
      <c r="G25" s="150"/>
      <c r="H25" s="150"/>
      <c r="I25" s="150"/>
      <c r="J25" s="150"/>
      <c r="K25" s="150"/>
      <c r="L25" s="150"/>
      <c r="M25" s="150"/>
      <c r="N25" s="68"/>
      <c r="O25" s="68"/>
    </row>
    <row r="26" spans="1:15" ht="18.399999999999999" customHeight="1" x14ac:dyDescent="0.25">
      <c r="A26" s="56" t="s">
        <v>116</v>
      </c>
      <c r="B26" s="56"/>
      <c r="C26" s="145">
        <f>'Cost of capital'!C62</f>
        <v>1.2831064849130441E-2</v>
      </c>
      <c r="D26" s="145">
        <f>'Cost of capital'!D62</f>
        <v>7.200000000000007E-4</v>
      </c>
      <c r="E26" s="145">
        <f>'Cost of capital'!E62</f>
        <v>-9.0532950486724503E-5</v>
      </c>
      <c r="F26" s="156">
        <f>'Cost of capital'!F62</f>
        <v>-4.2346116876259117E-4</v>
      </c>
      <c r="G26" s="145">
        <f>'Cost of capital'!G62</f>
        <v>-1.8175591056421234E-3</v>
      </c>
      <c r="H26" s="145">
        <f>'Cost of capital'!H62</f>
        <v>-3.4799585580932305E-3</v>
      </c>
      <c r="I26" s="145">
        <f>'Cost of capital'!I62</f>
        <v>-3.5217702485913806E-3</v>
      </c>
      <c r="J26" s="145">
        <f>'Cost of capital'!J62</f>
        <v>-2.8615996563572128E-3</v>
      </c>
      <c r="K26" s="145">
        <f>'Cost of capital'!K62</f>
        <v>-3.2604788447267033E-3</v>
      </c>
      <c r="L26" s="145">
        <f>'Cost of capital'!L62</f>
        <v>-3.6006350068467086E-3</v>
      </c>
      <c r="M26" s="145">
        <f>'Cost of capital'!M62</f>
        <v>-1.928426590352627E-3</v>
      </c>
      <c r="N26" s="68"/>
      <c r="O26" s="68"/>
    </row>
    <row r="27" spans="1:15" ht="18.399999999999999" customHeight="1" x14ac:dyDescent="0.25">
      <c r="A27" s="56" t="s">
        <v>117</v>
      </c>
      <c r="B27" s="56"/>
      <c r="C27" s="145">
        <f>'Cost of capital'!C63</f>
        <v>3.9361437485339434E-2</v>
      </c>
      <c r="D27" s="145">
        <f>'Cost of capital'!D63</f>
        <v>6.9500000000000006E-2</v>
      </c>
      <c r="E27" s="145">
        <f>'Cost of capital'!E63</f>
        <v>6.9500000000000006E-2</v>
      </c>
      <c r="F27" s="145">
        <f>'Cost of capital'!F63</f>
        <v>6.9500000000000006E-2</v>
      </c>
      <c r="G27" s="145">
        <f>'Cost of capital'!G63</f>
        <v>4.8800000000000003E-2</v>
      </c>
      <c r="H27" s="145">
        <f>'Cost of capital'!H63</f>
        <v>4.8800000000000003E-2</v>
      </c>
      <c r="I27" s="145">
        <f>'Cost of capital'!I63</f>
        <v>4.8800000000000003E-2</v>
      </c>
      <c r="J27" s="145">
        <f>'Cost of capital'!J63</f>
        <v>4.1900000000000007E-2</v>
      </c>
      <c r="K27" s="145">
        <f>'Cost of capital'!K63</f>
        <v>4.1900000000000007E-2</v>
      </c>
      <c r="L27" s="145">
        <f>'Cost of capital'!L63</f>
        <v>4.4399999999999995E-2</v>
      </c>
      <c r="M27" s="145">
        <f>'Cost of capital'!M63</f>
        <v>2.2036377167277313E-2</v>
      </c>
      <c r="N27" s="68"/>
      <c r="O27" s="68"/>
    </row>
    <row r="28" spans="1:15" x14ac:dyDescent="0.25">
      <c r="C28" s="149"/>
      <c r="D28" s="149"/>
      <c r="E28" s="149"/>
      <c r="F28" s="149"/>
      <c r="G28" s="149"/>
      <c r="H28" s="149"/>
      <c r="I28" s="149"/>
      <c r="J28" s="149"/>
      <c r="K28" s="149"/>
      <c r="L28" s="149"/>
      <c r="M28" s="149"/>
      <c r="N28" s="68"/>
      <c r="O28" s="68"/>
    </row>
    <row r="29" spans="1:15" x14ac:dyDescent="0.25">
      <c r="C29" s="149"/>
      <c r="D29" s="149"/>
      <c r="E29" s="149"/>
      <c r="F29" s="149"/>
      <c r="G29" s="149"/>
      <c r="H29" s="149"/>
      <c r="I29" s="149"/>
      <c r="J29" s="149"/>
      <c r="K29" s="149"/>
      <c r="L29" s="149"/>
      <c r="M29" s="149"/>
      <c r="O29" s="68"/>
    </row>
    <row r="30" spans="1:15" x14ac:dyDescent="0.25">
      <c r="A30" s="56" t="s">
        <v>89</v>
      </c>
      <c r="B30" s="69" t="s">
        <v>73</v>
      </c>
      <c r="C30" s="146">
        <f>Inputs!C13</f>
        <v>30</v>
      </c>
      <c r="D30" s="146">
        <f>Inputs!D13</f>
        <v>50</v>
      </c>
      <c r="E30" s="146">
        <f>Inputs!E13</f>
        <v>70</v>
      </c>
      <c r="F30" s="146">
        <f>Inputs!F13</f>
        <v>100</v>
      </c>
      <c r="G30" s="146">
        <f>Inputs!G13</f>
        <v>100</v>
      </c>
      <c r="H30" s="146">
        <f>Inputs!H13</f>
        <v>100</v>
      </c>
      <c r="I30" s="146">
        <f>Inputs!I13</f>
        <v>100</v>
      </c>
      <c r="J30" s="146">
        <f>Inputs!J13</f>
        <v>100</v>
      </c>
      <c r="K30" s="146">
        <f>Inputs!K13</f>
        <v>100</v>
      </c>
      <c r="L30" s="146">
        <f>Inputs!L13</f>
        <v>100</v>
      </c>
      <c r="M30" s="146">
        <f>Inputs!M13</f>
        <v>100</v>
      </c>
      <c r="O30" s="68"/>
    </row>
    <row r="31" spans="1:15" x14ac:dyDescent="0.25">
      <c r="A31" s="91" t="s">
        <v>100</v>
      </c>
      <c r="B31" s="69" t="s">
        <v>73</v>
      </c>
      <c r="C31" s="147">
        <f>Inputs!C14</f>
        <v>0</v>
      </c>
      <c r="D31" s="147">
        <f>Inputs!D14</f>
        <v>0</v>
      </c>
      <c r="E31" s="147">
        <f>Inputs!E14</f>
        <v>0</v>
      </c>
      <c r="F31" s="147">
        <f>Inputs!F14</f>
        <v>0</v>
      </c>
      <c r="G31" s="147">
        <f>Inputs!G14</f>
        <v>0</v>
      </c>
      <c r="H31" s="147">
        <f>Inputs!H14</f>
        <v>0</v>
      </c>
      <c r="I31" s="147">
        <f>Inputs!I14</f>
        <v>0</v>
      </c>
      <c r="J31" s="147">
        <f>Inputs!J14</f>
        <v>0</v>
      </c>
      <c r="K31" s="147">
        <f>Inputs!K14</f>
        <v>0</v>
      </c>
      <c r="L31" s="147">
        <f>Inputs!L14</f>
        <v>0</v>
      </c>
      <c r="M31" s="147">
        <f>Inputs!M14</f>
        <v>0</v>
      </c>
      <c r="O31" s="68"/>
    </row>
    <row r="32" spans="1:15" x14ac:dyDescent="0.25">
      <c r="A32" s="77"/>
      <c r="B32" s="73"/>
      <c r="C32" s="94"/>
      <c r="D32" s="94"/>
      <c r="E32" s="94"/>
      <c r="F32" s="94"/>
      <c r="G32" s="94"/>
      <c r="H32" s="94"/>
      <c r="I32" s="94"/>
      <c r="J32" s="94"/>
      <c r="K32" s="94"/>
      <c r="L32" s="94"/>
      <c r="M32" s="94"/>
      <c r="O32" s="68"/>
    </row>
    <row r="33" spans="1:19" ht="23.25" x14ac:dyDescent="0.35">
      <c r="A33" s="35" t="s">
        <v>263</v>
      </c>
      <c r="B33" s="8"/>
      <c r="O33" s="68"/>
    </row>
    <row r="34" spans="1:19" x14ac:dyDescent="0.25">
      <c r="A34" s="126" t="s">
        <v>244</v>
      </c>
      <c r="B34" s="276" t="s">
        <v>259</v>
      </c>
      <c r="C34" s="90">
        <v>365</v>
      </c>
      <c r="D34" s="90">
        <v>365</v>
      </c>
      <c r="E34" s="90">
        <v>365</v>
      </c>
      <c r="F34" s="90">
        <v>365</v>
      </c>
      <c r="G34" s="90">
        <v>365</v>
      </c>
      <c r="H34" s="90">
        <v>365</v>
      </c>
      <c r="I34" s="90">
        <v>365</v>
      </c>
      <c r="J34" s="90">
        <v>365</v>
      </c>
      <c r="K34" s="90">
        <v>365</v>
      </c>
      <c r="L34" s="90">
        <v>365</v>
      </c>
      <c r="M34" s="273">
        <f>Timing!$M$8</f>
        <v>184</v>
      </c>
      <c r="O34" s="68"/>
    </row>
    <row r="35" spans="1:19" ht="18.399999999999999" customHeight="1" x14ac:dyDescent="0.25">
      <c r="A35" s="126" t="s">
        <v>258</v>
      </c>
      <c r="B35" s="276" t="s">
        <v>88</v>
      </c>
      <c r="C35" s="277">
        <f>C34/365</f>
        <v>1</v>
      </c>
      <c r="D35" s="277">
        <f t="shared" ref="D35:M35" si="0">D34/365</f>
        <v>1</v>
      </c>
      <c r="E35" s="277">
        <f t="shared" si="0"/>
        <v>1</v>
      </c>
      <c r="F35" s="277">
        <f t="shared" si="0"/>
        <v>1</v>
      </c>
      <c r="G35" s="277">
        <f t="shared" si="0"/>
        <v>1</v>
      </c>
      <c r="H35" s="277">
        <f t="shared" si="0"/>
        <v>1</v>
      </c>
      <c r="I35" s="277">
        <f t="shared" si="0"/>
        <v>1</v>
      </c>
      <c r="J35" s="277">
        <f t="shared" si="0"/>
        <v>1</v>
      </c>
      <c r="K35" s="277">
        <f t="shared" si="0"/>
        <v>1</v>
      </c>
      <c r="L35" s="277">
        <f t="shared" si="0"/>
        <v>1</v>
      </c>
      <c r="M35" s="277">
        <f t="shared" si="0"/>
        <v>0.50410958904109593</v>
      </c>
      <c r="O35" s="68"/>
    </row>
    <row r="36" spans="1:19" ht="18.399999999999999" customHeight="1" x14ac:dyDescent="0.25">
      <c r="A36" s="126"/>
      <c r="B36" s="276"/>
      <c r="C36" s="90"/>
      <c r="D36" s="90"/>
      <c r="E36" s="90"/>
      <c r="F36" s="90"/>
      <c r="G36" s="90"/>
      <c r="H36" s="90"/>
      <c r="I36" s="90"/>
      <c r="J36" s="90"/>
      <c r="K36" s="90"/>
      <c r="L36" s="90"/>
      <c r="M36" s="90"/>
      <c r="O36" s="68"/>
    </row>
    <row r="37" spans="1:19" ht="18.399999999999999" customHeight="1" x14ac:dyDescent="0.25">
      <c r="A37" s="46"/>
      <c r="B37" s="46"/>
      <c r="C37" s="101">
        <v>2012</v>
      </c>
      <c r="D37" s="101">
        <v>2013</v>
      </c>
      <c r="E37" s="101">
        <v>2014</v>
      </c>
      <c r="F37" s="101">
        <v>2015</v>
      </c>
      <c r="G37" s="101">
        <v>2016</v>
      </c>
      <c r="H37" s="101">
        <v>2017</v>
      </c>
      <c r="I37" s="101">
        <v>2018</v>
      </c>
      <c r="J37" s="101">
        <v>2019</v>
      </c>
      <c r="K37" s="101">
        <v>2020</v>
      </c>
      <c r="L37" s="101">
        <v>2021</v>
      </c>
      <c r="M37" s="101">
        <v>2022</v>
      </c>
      <c r="O37" s="68"/>
    </row>
    <row r="38" spans="1:19" ht="18.399999999999999" customHeight="1" x14ac:dyDescent="0.25">
      <c r="A38" s="56" t="s">
        <v>218</v>
      </c>
      <c r="B38" s="69" t="s">
        <v>73</v>
      </c>
      <c r="C38" s="74"/>
      <c r="D38" s="74">
        <f>C41</f>
        <v>50</v>
      </c>
      <c r="E38" s="74">
        <f t="shared" ref="E38:M38" si="1">D41</f>
        <v>148.33333333333334</v>
      </c>
      <c r="F38" s="74">
        <f t="shared" si="1"/>
        <v>293.38888888888891</v>
      </c>
      <c r="G38" s="74">
        <f t="shared" si="1"/>
        <v>483.60925925925926</v>
      </c>
      <c r="H38" s="74">
        <f t="shared" si="1"/>
        <v>667.48895061728399</v>
      </c>
      <c r="I38" s="74">
        <f t="shared" si="1"/>
        <v>845.23931893004124</v>
      </c>
      <c r="J38" s="74">
        <f t="shared" si="1"/>
        <v>1017.0646749657066</v>
      </c>
      <c r="K38" s="74">
        <f t="shared" si="1"/>
        <v>1183.1625191335165</v>
      </c>
      <c r="L38" s="74">
        <f t="shared" si="1"/>
        <v>1343.7237684957327</v>
      </c>
      <c r="M38" s="74">
        <f t="shared" si="1"/>
        <v>1498.9329762125415</v>
      </c>
      <c r="O38" s="68"/>
    </row>
    <row r="39" spans="1:19" ht="18.399999999999999" customHeight="1" x14ac:dyDescent="0.25">
      <c r="A39" s="56" t="s">
        <v>74</v>
      </c>
      <c r="B39" s="69" t="s">
        <v>73</v>
      </c>
      <c r="C39" s="74">
        <f>C19</f>
        <v>50</v>
      </c>
      <c r="D39" s="74">
        <f>D19</f>
        <v>100</v>
      </c>
      <c r="E39" s="74">
        <f>E19</f>
        <v>150</v>
      </c>
      <c r="F39" s="74">
        <f>F19</f>
        <v>200</v>
      </c>
      <c r="G39" s="74">
        <f>G19</f>
        <v>200</v>
      </c>
      <c r="H39" s="74">
        <f>H19</f>
        <v>200</v>
      </c>
      <c r="I39" s="74">
        <f>I19</f>
        <v>200</v>
      </c>
      <c r="J39" s="74">
        <f>J19</f>
        <v>200</v>
      </c>
      <c r="K39" s="74">
        <f>K19</f>
        <v>200</v>
      </c>
      <c r="L39" s="74">
        <f>L19</f>
        <v>200</v>
      </c>
      <c r="M39" s="74">
        <f>M19</f>
        <v>200</v>
      </c>
      <c r="O39" s="68"/>
    </row>
    <row r="40" spans="1:19" ht="18.399999999999999" customHeight="1" x14ac:dyDescent="0.25">
      <c r="A40" s="56" t="s">
        <v>28</v>
      </c>
      <c r="B40" s="69" t="s">
        <v>73</v>
      </c>
      <c r="C40" s="90">
        <v>0</v>
      </c>
      <c r="D40" s="66">
        <f>-D38/C15*D35</f>
        <v>-1.6666666666666667</v>
      </c>
      <c r="E40" s="66">
        <f t="shared" ref="E40:M40" si="2">-E38/D15*E35</f>
        <v>-4.9444444444444446</v>
      </c>
      <c r="F40" s="66">
        <f t="shared" si="2"/>
        <v>-9.7796296296296301</v>
      </c>
      <c r="G40" s="66">
        <f t="shared" si="2"/>
        <v>-16.12030864197531</v>
      </c>
      <c r="H40" s="66">
        <f t="shared" si="2"/>
        <v>-22.2496316872428</v>
      </c>
      <c r="I40" s="66">
        <f t="shared" si="2"/>
        <v>-28.17464396433471</v>
      </c>
      <c r="J40" s="66">
        <f t="shared" si="2"/>
        <v>-33.902155832190218</v>
      </c>
      <c r="K40" s="66">
        <f t="shared" si="2"/>
        <v>-39.438750637783883</v>
      </c>
      <c r="L40" s="66">
        <f t="shared" si="2"/>
        <v>-44.790792283191088</v>
      </c>
      <c r="M40" s="66">
        <f t="shared" si="2"/>
        <v>-25.187549554621704</v>
      </c>
      <c r="O40" s="68"/>
    </row>
    <row r="41" spans="1:19" ht="18.399999999999999" customHeight="1" x14ac:dyDescent="0.25">
      <c r="A41" s="56" t="s">
        <v>221</v>
      </c>
      <c r="B41" s="69" t="s">
        <v>73</v>
      </c>
      <c r="C41" s="190">
        <f>SUM(C38:C40)</f>
        <v>50</v>
      </c>
      <c r="D41" s="190">
        <f t="shared" ref="D41:M41" si="3">SUM(D38:D40)</f>
        <v>148.33333333333334</v>
      </c>
      <c r="E41" s="190">
        <f t="shared" si="3"/>
        <v>293.38888888888891</v>
      </c>
      <c r="F41" s="190">
        <f t="shared" si="3"/>
        <v>483.60925925925926</v>
      </c>
      <c r="G41" s="190">
        <f t="shared" si="3"/>
        <v>667.48895061728399</v>
      </c>
      <c r="H41" s="190">
        <f t="shared" si="3"/>
        <v>845.23931893004124</v>
      </c>
      <c r="I41" s="190">
        <f t="shared" si="3"/>
        <v>1017.0646749657066</v>
      </c>
      <c r="J41" s="190">
        <f t="shared" si="3"/>
        <v>1183.1625191335165</v>
      </c>
      <c r="K41" s="190">
        <f t="shared" si="3"/>
        <v>1343.7237684957327</v>
      </c>
      <c r="L41" s="190">
        <f t="shared" si="3"/>
        <v>1498.9329762125415</v>
      </c>
      <c r="M41" s="190">
        <f t="shared" si="3"/>
        <v>1673.7454266579198</v>
      </c>
      <c r="O41" s="68"/>
    </row>
    <row r="42" spans="1:19" ht="18.399999999999999" customHeight="1" x14ac:dyDescent="0.25">
      <c r="A42" s="42"/>
      <c r="B42" s="42"/>
      <c r="O42" s="68"/>
    </row>
    <row r="43" spans="1:19" x14ac:dyDescent="0.25">
      <c r="A43" s="8"/>
      <c r="B43" s="8"/>
      <c r="C43" s="182"/>
      <c r="D43" s="172"/>
      <c r="E43" s="182"/>
      <c r="F43" s="182"/>
      <c r="G43" s="182"/>
      <c r="H43" s="182"/>
      <c r="I43" s="182"/>
      <c r="J43" s="182"/>
      <c r="K43" s="182"/>
      <c r="L43" s="182"/>
      <c r="M43" s="182"/>
      <c r="O43" s="68"/>
    </row>
    <row r="44" spans="1:19" ht="23.25" x14ac:dyDescent="0.35">
      <c r="A44" s="35" t="s">
        <v>85</v>
      </c>
      <c r="C44" s="43"/>
      <c r="D44" s="43"/>
      <c r="E44" s="43"/>
      <c r="F44" s="43"/>
      <c r="G44" s="43"/>
      <c r="H44" s="43"/>
      <c r="I44" s="43"/>
      <c r="J44" s="43"/>
      <c r="K44" s="43"/>
      <c r="L44" s="43"/>
      <c r="M44" s="43"/>
      <c r="O44" s="68"/>
    </row>
    <row r="45" spans="1:19" x14ac:dyDescent="0.25">
      <c r="B45" s="42"/>
      <c r="C45" s="100">
        <v>2012</v>
      </c>
      <c r="D45" s="100">
        <v>2013</v>
      </c>
      <c r="E45" s="100">
        <v>2014</v>
      </c>
      <c r="F45" s="100">
        <v>2015</v>
      </c>
      <c r="G45" s="100">
        <v>2016</v>
      </c>
      <c r="H45" s="100">
        <v>2017</v>
      </c>
      <c r="I45" s="100">
        <v>2018</v>
      </c>
      <c r="J45" s="100">
        <v>2019</v>
      </c>
      <c r="K45" s="100">
        <v>2020</v>
      </c>
      <c r="L45" s="100">
        <v>2021</v>
      </c>
      <c r="M45" s="100">
        <v>2022</v>
      </c>
      <c r="O45" s="68"/>
    </row>
    <row r="46" spans="1:19" ht="18.75" x14ac:dyDescent="0.3">
      <c r="A46" s="87" t="s">
        <v>67</v>
      </c>
      <c r="B46" s="71"/>
      <c r="C46" s="71"/>
      <c r="D46" s="71"/>
      <c r="E46" s="71"/>
      <c r="F46" s="71"/>
      <c r="G46" s="71"/>
      <c r="H46" s="71"/>
      <c r="I46" s="71"/>
      <c r="J46" s="71"/>
      <c r="K46" s="71"/>
      <c r="L46" s="71"/>
      <c r="M46" s="71"/>
      <c r="O46" s="68"/>
    </row>
    <row r="47" spans="1:19" x14ac:dyDescent="0.25">
      <c r="A47" s="56" t="s">
        <v>67</v>
      </c>
      <c r="B47" s="69" t="s">
        <v>73</v>
      </c>
      <c r="C47" s="64">
        <f>C18</f>
        <v>0</v>
      </c>
      <c r="D47" s="64">
        <f>D18</f>
        <v>50</v>
      </c>
      <c r="E47" s="64">
        <f>E18</f>
        <v>100</v>
      </c>
      <c r="F47" s="64">
        <f>F18</f>
        <v>150</v>
      </c>
      <c r="G47" s="64">
        <f>G18</f>
        <v>200</v>
      </c>
      <c r="H47" s="64">
        <f>H18</f>
        <v>210</v>
      </c>
      <c r="I47" s="64">
        <f>I18</f>
        <v>220</v>
      </c>
      <c r="J47" s="64">
        <f>J18</f>
        <v>230</v>
      </c>
      <c r="K47" s="64">
        <f>K18</f>
        <v>240</v>
      </c>
      <c r="L47" s="64">
        <f>L18</f>
        <v>250</v>
      </c>
      <c r="M47" s="64">
        <f>M18</f>
        <v>260</v>
      </c>
      <c r="O47" s="68"/>
      <c r="Q47" s="45"/>
      <c r="S47" s="45"/>
    </row>
    <row r="48" spans="1:19" x14ac:dyDescent="0.25">
      <c r="A48" s="56"/>
      <c r="B48" s="63"/>
      <c r="C48" s="157"/>
      <c r="D48" s="157"/>
      <c r="E48" s="157"/>
      <c r="F48" s="157"/>
      <c r="G48" s="157"/>
      <c r="H48" s="157"/>
      <c r="I48" s="157"/>
      <c r="J48" s="157"/>
      <c r="K48" s="157"/>
      <c r="L48" s="157"/>
      <c r="M48" s="157"/>
      <c r="N48" s="68"/>
      <c r="O48" s="68"/>
      <c r="Q48" s="45"/>
      <c r="S48" s="45"/>
    </row>
    <row r="49" spans="1:20" ht="18.75" x14ac:dyDescent="0.3">
      <c r="A49" s="87" t="s">
        <v>84</v>
      </c>
      <c r="B49" s="63"/>
      <c r="N49" s="68"/>
      <c r="O49" s="68"/>
      <c r="Q49" s="45"/>
    </row>
    <row r="50" spans="1:20" x14ac:dyDescent="0.25">
      <c r="A50" s="56" t="s">
        <v>34</v>
      </c>
      <c r="B50" s="69" t="s">
        <v>73</v>
      </c>
      <c r="C50" s="64">
        <f>-C26*C$38</f>
        <v>0</v>
      </c>
      <c r="D50" s="64">
        <f>-D26*D$38</f>
        <v>-3.6000000000000032E-2</v>
      </c>
      <c r="E50" s="64">
        <f>-E26*E$38</f>
        <v>1.3429054322197469E-2</v>
      </c>
      <c r="F50" s="64">
        <f>-F26*F$38</f>
        <v>0.1242388017908469</v>
      </c>
      <c r="G50" s="64">
        <f>-G26*G$38</f>
        <v>0.87898841273950901</v>
      </c>
      <c r="H50" s="64">
        <f>-H26*H$38</f>
        <v>2.3228338861332873</v>
      </c>
      <c r="I50" s="64">
        <f>-I26*I$38</f>
        <v>2.9767386863474607</v>
      </c>
      <c r="J50" s="64">
        <f>-J26*J$38</f>
        <v>2.9104319243749264</v>
      </c>
      <c r="K50" s="64">
        <f>-K26*K$38</f>
        <v>3.8576763635083839</v>
      </c>
      <c r="L50" s="64">
        <f>-L26*L$38</f>
        <v>4.8382588403777174</v>
      </c>
      <c r="M50" s="64">
        <f>-M26*M$38</f>
        <v>2.8905822084846666</v>
      </c>
      <c r="N50" s="68"/>
      <c r="O50" s="68"/>
      <c r="Q50" s="45"/>
      <c r="S50" s="45"/>
      <c r="T50" s="45"/>
    </row>
    <row r="51" spans="1:20" x14ac:dyDescent="0.25">
      <c r="A51" s="56" t="s">
        <v>33</v>
      </c>
      <c r="B51" s="69" t="s">
        <v>73</v>
      </c>
      <c r="C51" s="64">
        <f>-C27*C$38</f>
        <v>0</v>
      </c>
      <c r="D51" s="64">
        <f>-D27*D$38</f>
        <v>-3.4750000000000005</v>
      </c>
      <c r="E51" s="64">
        <f>-E27*E$38</f>
        <v>-10.309166666666668</v>
      </c>
      <c r="F51" s="64">
        <f>-F27*F$38</f>
        <v>-20.39052777777778</v>
      </c>
      <c r="G51" s="64">
        <f>-G27*G$38</f>
        <v>-23.600131851851852</v>
      </c>
      <c r="H51" s="64">
        <f>-H27*H$38</f>
        <v>-32.573460790123463</v>
      </c>
      <c r="I51" s="64">
        <f>-I27*I$38</f>
        <v>-41.247678763786013</v>
      </c>
      <c r="J51" s="64">
        <f>-J27*J$38</f>
        <v>-42.615009881063109</v>
      </c>
      <c r="K51" s="64">
        <f>-K27*K$38</f>
        <v>-49.574509551694348</v>
      </c>
      <c r="L51" s="64">
        <f>-L27*L$38</f>
        <v>-59.661335321210522</v>
      </c>
      <c r="M51" s="64">
        <f>-M27*M$38</f>
        <v>-33.031052412289078</v>
      </c>
      <c r="N51" s="68"/>
      <c r="O51" s="68"/>
      <c r="Q51" s="45"/>
      <c r="S51" s="45"/>
      <c r="T51" s="45"/>
    </row>
    <row r="52" spans="1:20" x14ac:dyDescent="0.25">
      <c r="A52" s="56" t="s">
        <v>144</v>
      </c>
      <c r="B52" s="69" t="s">
        <v>73</v>
      </c>
      <c r="C52" s="64">
        <f>-C20</f>
        <v>-50</v>
      </c>
      <c r="D52" s="64">
        <f>-D20</f>
        <v>-100</v>
      </c>
      <c r="E52" s="64">
        <f>-E20</f>
        <v>-150</v>
      </c>
      <c r="F52" s="64">
        <f>-F20</f>
        <v>-150</v>
      </c>
      <c r="G52" s="64">
        <f>-G20</f>
        <v>-150</v>
      </c>
      <c r="H52" s="64">
        <f>-H20</f>
        <v>-150</v>
      </c>
      <c r="I52" s="64">
        <f>-I20</f>
        <v>-150</v>
      </c>
      <c r="J52" s="64">
        <f>-J20</f>
        <v>-150</v>
      </c>
      <c r="K52" s="64">
        <f>-K20</f>
        <v>-150</v>
      </c>
      <c r="L52" s="64">
        <f>-L20</f>
        <v>-150</v>
      </c>
      <c r="M52" s="64">
        <f>-M20</f>
        <v>-150</v>
      </c>
      <c r="N52" s="68"/>
      <c r="O52" s="68"/>
      <c r="Q52" s="45"/>
      <c r="S52" s="45"/>
      <c r="T52" s="45"/>
    </row>
    <row r="53" spans="1:20" x14ac:dyDescent="0.25">
      <c r="A53" s="56" t="s">
        <v>28</v>
      </c>
      <c r="B53" s="69" t="s">
        <v>73</v>
      </c>
      <c r="C53" s="64">
        <f>C40</f>
        <v>0</v>
      </c>
      <c r="D53" s="64">
        <f t="shared" ref="D53:M53" si="4">D40</f>
        <v>-1.6666666666666667</v>
      </c>
      <c r="E53" s="64">
        <f t="shared" si="4"/>
        <v>-4.9444444444444446</v>
      </c>
      <c r="F53" s="64">
        <f t="shared" si="4"/>
        <v>-9.7796296296296301</v>
      </c>
      <c r="G53" s="64">
        <f t="shared" si="4"/>
        <v>-16.12030864197531</v>
      </c>
      <c r="H53" s="64">
        <f t="shared" si="4"/>
        <v>-22.2496316872428</v>
      </c>
      <c r="I53" s="64">
        <f t="shared" si="4"/>
        <v>-28.17464396433471</v>
      </c>
      <c r="J53" s="64">
        <f t="shared" si="4"/>
        <v>-33.902155832190218</v>
      </c>
      <c r="K53" s="64">
        <f>K40</f>
        <v>-39.438750637783883</v>
      </c>
      <c r="L53" s="64">
        <f t="shared" si="4"/>
        <v>-44.790792283191088</v>
      </c>
      <c r="M53" s="64">
        <f t="shared" si="4"/>
        <v>-25.187549554621704</v>
      </c>
      <c r="N53" s="68"/>
      <c r="O53" s="68"/>
      <c r="Q53" s="45"/>
      <c r="S53" s="45"/>
      <c r="T53" s="45"/>
    </row>
    <row r="54" spans="1:20" x14ac:dyDescent="0.25">
      <c r="A54" s="79" t="s">
        <v>77</v>
      </c>
      <c r="B54" s="69" t="s">
        <v>73</v>
      </c>
      <c r="C54" s="81">
        <f>C22</f>
        <v>0</v>
      </c>
      <c r="D54" s="81">
        <f>D22</f>
        <v>0</v>
      </c>
      <c r="E54" s="81">
        <f>E22</f>
        <v>0</v>
      </c>
      <c r="F54" s="81">
        <f>F22</f>
        <v>0</v>
      </c>
      <c r="G54" s="81">
        <f>G22</f>
        <v>0</v>
      </c>
      <c r="H54" s="81">
        <f>H22</f>
        <v>0</v>
      </c>
      <c r="I54" s="81">
        <f>I22</f>
        <v>0</v>
      </c>
      <c r="J54" s="81">
        <f>J22</f>
        <v>0</v>
      </c>
      <c r="K54" s="81">
        <f>K22</f>
        <v>0</v>
      </c>
      <c r="L54" s="81">
        <f>L22</f>
        <v>0</v>
      </c>
      <c r="M54" s="81">
        <f>M22</f>
        <v>0</v>
      </c>
      <c r="N54" s="68"/>
      <c r="O54" s="68"/>
      <c r="Q54" s="45"/>
      <c r="S54" s="45"/>
      <c r="T54" s="45"/>
    </row>
    <row r="55" spans="1:20" x14ac:dyDescent="0.25">
      <c r="A55" s="82" t="s">
        <v>91</v>
      </c>
      <c r="B55" s="69" t="s">
        <v>73</v>
      </c>
      <c r="C55" s="115">
        <f>SUM(C50:C54)</f>
        <v>-50</v>
      </c>
      <c r="D55" s="115">
        <f t="shared" ref="D55:M55" si="5">SUM(D50:D54)</f>
        <v>-105.17766666666667</v>
      </c>
      <c r="E55" s="115">
        <f t="shared" si="5"/>
        <v>-165.24018205678894</v>
      </c>
      <c r="F55" s="115">
        <f t="shared" si="5"/>
        <v>-180.04591860561655</v>
      </c>
      <c r="G55" s="115">
        <f t="shared" si="5"/>
        <v>-188.84145208108765</v>
      </c>
      <c r="H55" s="115">
        <f t="shared" si="5"/>
        <v>-202.50025859123298</v>
      </c>
      <c r="I55" s="115">
        <f t="shared" si="5"/>
        <v>-216.44558404177326</v>
      </c>
      <c r="J55" s="115">
        <f t="shared" si="5"/>
        <v>-223.60673378887839</v>
      </c>
      <c r="K55" s="115">
        <f t="shared" si="5"/>
        <v>-235.15558382596987</v>
      </c>
      <c r="L55" s="115">
        <f t="shared" si="5"/>
        <v>-249.61386876402389</v>
      </c>
      <c r="M55" s="115">
        <f t="shared" si="5"/>
        <v>-205.32801975842611</v>
      </c>
      <c r="N55" s="68"/>
      <c r="O55" s="68"/>
      <c r="Q55" s="45"/>
    </row>
    <row r="56" spans="1:20" x14ac:dyDescent="0.25">
      <c r="A56" s="77"/>
      <c r="C56" s="45"/>
      <c r="D56" s="45"/>
      <c r="E56" s="45"/>
      <c r="F56" s="45"/>
      <c r="G56" s="45"/>
      <c r="H56" s="45"/>
      <c r="I56" s="45"/>
      <c r="J56" s="45"/>
      <c r="K56" s="45"/>
      <c r="L56" s="45"/>
      <c r="M56" s="45"/>
      <c r="N56" s="68"/>
      <c r="O56" s="68"/>
    </row>
    <row r="57" spans="1:20" ht="14.25" customHeight="1" x14ac:dyDescent="0.25">
      <c r="A57" s="77"/>
      <c r="B57" s="83"/>
      <c r="C57" s="78"/>
      <c r="D57" s="78"/>
      <c r="E57" s="78"/>
      <c r="F57" s="78"/>
      <c r="G57" s="78"/>
      <c r="H57" s="78"/>
      <c r="I57" s="78"/>
      <c r="J57" s="78"/>
      <c r="K57" s="78"/>
      <c r="L57" s="78"/>
      <c r="M57" s="78"/>
      <c r="N57" s="68"/>
      <c r="O57" s="68"/>
    </row>
    <row r="58" spans="1:20" ht="14.25" customHeight="1" x14ac:dyDescent="0.3">
      <c r="A58" s="86" t="s">
        <v>85</v>
      </c>
      <c r="B58" s="83"/>
      <c r="C58" s="78"/>
      <c r="D58" s="78"/>
      <c r="E58" s="78"/>
      <c r="F58" s="78"/>
      <c r="G58" s="78"/>
      <c r="H58" s="78"/>
      <c r="I58" s="78"/>
      <c r="J58" s="78"/>
      <c r="K58" s="78"/>
      <c r="L58" s="78"/>
      <c r="M58" s="78"/>
      <c r="N58" s="68"/>
      <c r="O58" s="68"/>
    </row>
    <row r="59" spans="1:20" x14ac:dyDescent="0.25">
      <c r="A59" s="56" t="s">
        <v>85</v>
      </c>
      <c r="B59" s="84"/>
      <c r="C59" s="85">
        <f t="shared" ref="C59:M59" si="6">C47+C55</f>
        <v>-50</v>
      </c>
      <c r="D59" s="85">
        <f t="shared" si="6"/>
        <v>-55.177666666666667</v>
      </c>
      <c r="E59" s="85">
        <f t="shared" si="6"/>
        <v>-65.240182056788939</v>
      </c>
      <c r="F59" s="85">
        <f t="shared" si="6"/>
        <v>-30.045918605616549</v>
      </c>
      <c r="G59" s="85">
        <f t="shared" si="6"/>
        <v>11.158547918912348</v>
      </c>
      <c r="H59" s="85">
        <f t="shared" si="6"/>
        <v>7.4997414087670222</v>
      </c>
      <c r="I59" s="85">
        <f t="shared" si="6"/>
        <v>3.5544159582267412</v>
      </c>
      <c r="J59" s="85">
        <f t="shared" si="6"/>
        <v>6.3932662111216132</v>
      </c>
      <c r="K59" s="85">
        <f t="shared" si="6"/>
        <v>4.8444161740301297</v>
      </c>
      <c r="L59" s="85">
        <f t="shared" si="6"/>
        <v>0.38613123597610866</v>
      </c>
      <c r="M59" s="85">
        <f t="shared" si="6"/>
        <v>54.671980241573891</v>
      </c>
      <c r="N59" s="68"/>
      <c r="O59" s="68"/>
    </row>
    <row r="60" spans="1:20" x14ac:dyDescent="0.25">
      <c r="C60" s="43"/>
      <c r="D60" s="43"/>
      <c r="E60" s="43"/>
      <c r="F60" s="43"/>
      <c r="G60" s="43"/>
      <c r="H60" s="43"/>
      <c r="I60" s="43"/>
      <c r="J60" s="43"/>
      <c r="K60" s="43"/>
      <c r="L60" s="43"/>
      <c r="M60" s="43"/>
      <c r="N60" s="68"/>
      <c r="O60" s="68"/>
    </row>
    <row r="61" spans="1:20" x14ac:dyDescent="0.25">
      <c r="N61" s="68"/>
      <c r="O61" s="68"/>
    </row>
    <row r="62" spans="1:20" ht="23.25" x14ac:dyDescent="0.35">
      <c r="A62" s="35" t="s">
        <v>76</v>
      </c>
      <c r="C62" s="43"/>
      <c r="D62" s="43"/>
      <c r="E62" s="43"/>
      <c r="F62" s="43"/>
      <c r="G62" s="43"/>
      <c r="H62" s="43"/>
      <c r="I62" s="43"/>
      <c r="J62" s="43"/>
      <c r="K62" s="43"/>
      <c r="L62" s="43"/>
      <c r="M62" s="43"/>
      <c r="N62" s="68"/>
      <c r="O62" s="68"/>
    </row>
    <row r="63" spans="1:20" ht="23.25" x14ac:dyDescent="0.35">
      <c r="A63" s="35"/>
      <c r="C63" s="43"/>
      <c r="D63" s="43"/>
      <c r="E63" s="43"/>
      <c r="F63" s="43"/>
      <c r="G63" s="43"/>
      <c r="H63" s="43"/>
      <c r="I63" s="43"/>
      <c r="J63" s="43"/>
      <c r="K63" s="43"/>
      <c r="L63" s="43"/>
      <c r="M63" s="43"/>
      <c r="N63" s="68"/>
      <c r="O63" s="68"/>
    </row>
    <row r="64" spans="1:20" ht="18.75" x14ac:dyDescent="0.3">
      <c r="A64" s="86" t="s">
        <v>92</v>
      </c>
      <c r="B64" s="42"/>
      <c r="C64" s="100">
        <v>2012</v>
      </c>
      <c r="D64" s="100">
        <v>2013</v>
      </c>
      <c r="E64" s="100">
        <v>2014</v>
      </c>
      <c r="F64" s="100">
        <v>2015</v>
      </c>
      <c r="G64" s="100">
        <v>2016</v>
      </c>
      <c r="H64" s="100">
        <v>2017</v>
      </c>
      <c r="I64" s="100">
        <v>2018</v>
      </c>
      <c r="J64" s="100">
        <v>2019</v>
      </c>
      <c r="K64" s="100">
        <v>2020</v>
      </c>
      <c r="L64" s="100">
        <v>2021</v>
      </c>
      <c r="M64" s="100">
        <v>2022</v>
      </c>
      <c r="N64" s="68"/>
      <c r="O64" s="68"/>
    </row>
    <row r="65" spans="1:15" x14ac:dyDescent="0.25">
      <c r="A65" s="56" t="str">
        <f>A24</f>
        <v>Compounding factor (adjusted WACC)</v>
      </c>
      <c r="B65" s="120" t="s">
        <v>107</v>
      </c>
      <c r="C65" s="72">
        <f>C24</f>
        <v>1.6038216056088299</v>
      </c>
      <c r="D65" s="72">
        <f>D24</f>
        <v>1.4985905754039637</v>
      </c>
      <c r="E65" s="72">
        <f>E24</f>
        <v>1.4013253310152147</v>
      </c>
      <c r="F65" s="72">
        <f>F24</f>
        <v>1.310781108850454</v>
      </c>
      <c r="G65" s="72">
        <f>G24</f>
        <v>1.2519609285240285</v>
      </c>
      <c r="H65" s="72">
        <f>H24</f>
        <v>1.1976819336564932</v>
      </c>
      <c r="I65" s="72">
        <f>I24</f>
        <v>1.1458020453954443</v>
      </c>
      <c r="J65" s="72">
        <f>J24</f>
        <v>1.1027523573878419</v>
      </c>
      <c r="K65" s="72">
        <f>K24</f>
        <v>1.06172770718493</v>
      </c>
      <c r="L65" s="72">
        <f>L24</f>
        <v>1.0201079505769246</v>
      </c>
      <c r="M65" s="72">
        <f>M24</f>
        <v>1</v>
      </c>
      <c r="N65" s="68"/>
      <c r="O65" s="68"/>
    </row>
    <row r="66" spans="1:15" x14ac:dyDescent="0.25">
      <c r="A66" s="56" t="s">
        <v>253</v>
      </c>
      <c r="B66" s="69" t="s">
        <v>73</v>
      </c>
      <c r="C66" s="64">
        <f t="shared" ref="C66:M66" si="7">-C59*C65</f>
        <v>80.191080280441497</v>
      </c>
      <c r="D66" s="64">
        <f t="shared" si="7"/>
        <v>82.688731239448103</v>
      </c>
      <c r="E66" s="64">
        <f t="shared" si="7"/>
        <v>91.42271971622263</v>
      </c>
      <c r="F66" s="64">
        <f t="shared" si="7"/>
        <v>39.383622506300547</v>
      </c>
      <c r="G66" s="64">
        <f t="shared" si="7"/>
        <v>-13.970066013541368</v>
      </c>
      <c r="H66" s="64">
        <f t="shared" si="7"/>
        <v>-8.9823047923757606</v>
      </c>
      <c r="I66" s="64">
        <f t="shared" si="7"/>
        <v>-4.0726570751224083</v>
      </c>
      <c r="J66" s="64">
        <f t="shared" si="7"/>
        <v>-7.050189385722395</v>
      </c>
      <c r="K66" s="64">
        <f t="shared" si="7"/>
        <v>-5.1434508771026008</v>
      </c>
      <c r="L66" s="64">
        <f t="shared" si="7"/>
        <v>-0.39389554378532304</v>
      </c>
      <c r="M66" s="64">
        <f t="shared" si="7"/>
        <v>-54.671980241573891</v>
      </c>
      <c r="N66" s="68"/>
      <c r="O66" s="68"/>
    </row>
    <row r="67" spans="1:15" x14ac:dyDescent="0.25">
      <c r="A67" s="56" t="s">
        <v>254</v>
      </c>
      <c r="B67" s="69" t="s">
        <v>73</v>
      </c>
      <c r="C67" s="64"/>
      <c r="D67" s="64"/>
      <c r="E67" s="64"/>
      <c r="F67" s="64"/>
      <c r="G67" s="64"/>
      <c r="H67" s="64"/>
      <c r="I67" s="64"/>
      <c r="J67" s="64"/>
      <c r="K67" s="64"/>
      <c r="L67" s="64"/>
      <c r="M67" s="122">
        <f>SUM(C66:M66)</f>
        <v>199.40160981318894</v>
      </c>
      <c r="N67" s="68"/>
      <c r="O67" s="68"/>
    </row>
    <row r="68" spans="1:15" x14ac:dyDescent="0.25">
      <c r="O68" s="68"/>
    </row>
    <row r="69" spans="1:15" x14ac:dyDescent="0.25">
      <c r="O69" s="68"/>
    </row>
    <row r="70" spans="1:15" x14ac:dyDescent="0.25">
      <c r="A70" s="56" t="s">
        <v>200</v>
      </c>
      <c r="B70" s="69" t="s">
        <v>73</v>
      </c>
      <c r="C70" s="64">
        <f t="shared" ref="C70:M70" si="8">C$65*C47</f>
        <v>0</v>
      </c>
      <c r="D70" s="64">
        <f t="shared" si="8"/>
        <v>74.929528770198189</v>
      </c>
      <c r="E70" s="64">
        <f t="shared" si="8"/>
        <v>140.13253310152146</v>
      </c>
      <c r="F70" s="64">
        <f t="shared" si="8"/>
        <v>196.6171663275681</v>
      </c>
      <c r="G70" s="64">
        <f t="shared" si="8"/>
        <v>250.39218570480571</v>
      </c>
      <c r="H70" s="64">
        <f t="shared" si="8"/>
        <v>251.51320606786356</v>
      </c>
      <c r="I70" s="64">
        <f t="shared" si="8"/>
        <v>252.07644998699774</v>
      </c>
      <c r="J70" s="64">
        <f t="shared" si="8"/>
        <v>253.63304219920366</v>
      </c>
      <c r="K70" s="64">
        <f t="shared" si="8"/>
        <v>254.8146497243832</v>
      </c>
      <c r="L70" s="64">
        <f t="shared" si="8"/>
        <v>255.02698764423116</v>
      </c>
      <c r="M70" s="64">
        <f t="shared" si="8"/>
        <v>260</v>
      </c>
      <c r="O70" s="68"/>
    </row>
    <row r="71" spans="1:15" x14ac:dyDescent="0.25">
      <c r="A71" s="56" t="s">
        <v>183</v>
      </c>
      <c r="B71" s="69" t="s">
        <v>73</v>
      </c>
      <c r="C71" s="64">
        <f>C55*C65</f>
        <v>-80.191080280441497</v>
      </c>
      <c r="D71" s="64">
        <f t="shared" ref="D71:M71" si="9">D55*D65</f>
        <v>-157.61826000964629</v>
      </c>
      <c r="E71" s="64">
        <f t="shared" si="9"/>
        <v>-231.5552528177441</v>
      </c>
      <c r="F71" s="64">
        <f t="shared" si="9"/>
        <v>-236.00078883386863</v>
      </c>
      <c r="G71" s="64">
        <f t="shared" si="9"/>
        <v>-236.42211969126433</v>
      </c>
      <c r="H71" s="64">
        <f t="shared" si="9"/>
        <v>-242.53090127548782</v>
      </c>
      <c r="I71" s="64">
        <f t="shared" si="9"/>
        <v>-248.00379291187534</v>
      </c>
      <c r="J71" s="64">
        <f t="shared" si="9"/>
        <v>-246.58285281348125</v>
      </c>
      <c r="K71" s="64">
        <f t="shared" si="9"/>
        <v>-249.67119884728061</v>
      </c>
      <c r="L71" s="64">
        <f t="shared" si="9"/>
        <v>-254.63309210044582</v>
      </c>
      <c r="M71" s="64">
        <f t="shared" si="9"/>
        <v>-205.32801975842611</v>
      </c>
      <c r="O71" s="68"/>
    </row>
    <row r="72" spans="1:15" x14ac:dyDescent="0.25">
      <c r="O72" s="68"/>
    </row>
    <row r="73" spans="1:15" ht="23.25" x14ac:dyDescent="0.35">
      <c r="A73" s="35" t="s">
        <v>23</v>
      </c>
      <c r="O73" s="68"/>
    </row>
    <row r="74" spans="1:15" x14ac:dyDescent="0.25">
      <c r="A74" s="174" t="s">
        <v>184</v>
      </c>
      <c r="N74" s="102"/>
      <c r="O74" s="68"/>
    </row>
    <row r="75" spans="1:15" x14ac:dyDescent="0.25">
      <c r="A75" s="56" t="s">
        <v>67</v>
      </c>
      <c r="B75" s="69" t="s">
        <v>73</v>
      </c>
      <c r="C75" s="56"/>
      <c r="D75" s="56"/>
      <c r="E75" s="56"/>
      <c r="F75" s="56"/>
      <c r="G75" s="56"/>
      <c r="H75" s="56"/>
      <c r="I75" s="56"/>
      <c r="J75" s="56"/>
      <c r="K75" s="56"/>
      <c r="L75" s="56"/>
      <c r="M75" s="64">
        <f>SUM(C70:M70)</f>
        <v>2189.1357495267725</v>
      </c>
      <c r="N75" s="102"/>
      <c r="O75" s="68"/>
    </row>
    <row r="76" spans="1:15" x14ac:dyDescent="0.25">
      <c r="A76" s="56" t="s">
        <v>183</v>
      </c>
      <c r="B76" s="69" t="s">
        <v>73</v>
      </c>
      <c r="C76" s="56"/>
      <c r="D76" s="56"/>
      <c r="E76" s="56"/>
      <c r="F76" s="56"/>
      <c r="G76" s="56"/>
      <c r="H76" s="56"/>
      <c r="I76" s="56"/>
      <c r="J76" s="56"/>
      <c r="K76" s="56"/>
      <c r="L76" s="56"/>
      <c r="M76" s="64">
        <f>SUM(C71:M71)</f>
        <v>-2388.5373593399618</v>
      </c>
      <c r="N76" s="102"/>
      <c r="O76" s="68"/>
    </row>
    <row r="77" spans="1:15" x14ac:dyDescent="0.25">
      <c r="A77" s="56" t="s">
        <v>76</v>
      </c>
      <c r="B77" s="69" t="s">
        <v>73</v>
      </c>
      <c r="C77" s="56"/>
      <c r="D77" s="56"/>
      <c r="E77" s="56"/>
      <c r="F77" s="56"/>
      <c r="G77" s="56"/>
      <c r="H77" s="56"/>
      <c r="I77" s="56"/>
      <c r="J77" s="56"/>
      <c r="K77" s="56"/>
      <c r="L77" s="56"/>
      <c r="M77" s="64">
        <f>M67</f>
        <v>199.40160981318894</v>
      </c>
      <c r="N77" s="102"/>
      <c r="O77" s="68"/>
    </row>
    <row r="78" spans="1:15" x14ac:dyDescent="0.25">
      <c r="O78" s="68"/>
    </row>
    <row r="79" spans="1:15" x14ac:dyDescent="0.25">
      <c r="O79" s="68"/>
    </row>
    <row r="80" spans="1:15" x14ac:dyDescent="0.25">
      <c r="O80" s="68"/>
    </row>
  </sheetData>
  <phoneticPr fontId="39"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2BE0D-9AE8-4924-B02D-A90FBDE3EB8C}">
  <sheetPr>
    <tabColor theme="0" tint="-0.499984740745262"/>
  </sheetPr>
  <dimension ref="B2"/>
  <sheetViews>
    <sheetView showGridLines="0" workbookViewId="0"/>
  </sheetViews>
  <sheetFormatPr defaultRowHeight="15" x14ac:dyDescent="0.25"/>
  <sheetData>
    <row r="2" spans="2:2" x14ac:dyDescent="0.25">
      <c r="B2" s="174" t="s">
        <v>126</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0A5B6-6D82-45AE-8ACE-0485336812B1}">
  <sheetPr>
    <tabColor theme="0" tint="-0.14999847407452621"/>
  </sheetPr>
  <dimension ref="A1:O115"/>
  <sheetViews>
    <sheetView showGridLines="0" zoomScale="70" zoomScaleNormal="70" workbookViewId="0"/>
  </sheetViews>
  <sheetFormatPr defaultRowHeight="15" x14ac:dyDescent="0.25"/>
  <cols>
    <col min="1" max="1" width="93.140625" style="1" customWidth="1"/>
    <col min="2" max="2" width="9.140625" style="1"/>
    <col min="3" max="13" width="16.85546875" style="1" customWidth="1"/>
    <col min="14" max="14" width="9.140625" style="1"/>
    <col min="15" max="15" width="15.85546875" style="1" customWidth="1"/>
    <col min="16" max="16384" width="9.140625" style="1"/>
  </cols>
  <sheetData>
    <row r="1" spans="1:13" ht="26.25" x14ac:dyDescent="0.4">
      <c r="A1" s="16" t="s">
        <v>261</v>
      </c>
    </row>
    <row r="2" spans="1:13" ht="26.25" x14ac:dyDescent="0.4">
      <c r="A2" s="16" t="s">
        <v>119</v>
      </c>
    </row>
    <row r="4" spans="1:13" ht="23.25" x14ac:dyDescent="0.35">
      <c r="A4" s="35" t="s">
        <v>20</v>
      </c>
    </row>
    <row r="6" spans="1:13" ht="18.399999999999999" customHeight="1" x14ac:dyDescent="0.25">
      <c r="A6" s="96"/>
      <c r="B6" s="152"/>
      <c r="C6" s="98">
        <v>2012</v>
      </c>
      <c r="D6" s="98">
        <v>2013</v>
      </c>
      <c r="E6" s="98">
        <v>2014</v>
      </c>
      <c r="F6" s="98">
        <v>2015</v>
      </c>
      <c r="G6" s="98">
        <v>2016</v>
      </c>
      <c r="H6" s="98">
        <v>2017</v>
      </c>
      <c r="I6" s="98">
        <v>2018</v>
      </c>
      <c r="J6" s="98">
        <v>2019</v>
      </c>
      <c r="K6" s="98">
        <v>2020</v>
      </c>
      <c r="L6" s="98">
        <v>2021</v>
      </c>
      <c r="M6" s="98">
        <v>2022</v>
      </c>
    </row>
    <row r="7" spans="1:13" x14ac:dyDescent="0.25">
      <c r="A7" s="56" t="s">
        <v>121</v>
      </c>
      <c r="B7" s="56" t="s">
        <v>88</v>
      </c>
      <c r="C7" s="141">
        <f>Inputs!C$19</f>
        <v>0.28000000000000003</v>
      </c>
      <c r="D7" s="141">
        <f>Inputs!D$19</f>
        <v>0.28000000000000003</v>
      </c>
      <c r="E7" s="141">
        <f>Inputs!E$19</f>
        <v>0.28000000000000003</v>
      </c>
      <c r="F7" s="141">
        <f>Inputs!F$19</f>
        <v>0.28000000000000003</v>
      </c>
      <c r="G7" s="141">
        <f>Inputs!G$19</f>
        <v>0.28000000000000003</v>
      </c>
      <c r="H7" s="141">
        <f>Inputs!H$19</f>
        <v>0.28000000000000003</v>
      </c>
      <c r="I7" s="141">
        <f>Inputs!I$19</f>
        <v>0.28000000000000003</v>
      </c>
      <c r="J7" s="141">
        <f>Inputs!J$19</f>
        <v>0.28000000000000003</v>
      </c>
      <c r="K7" s="141">
        <f>Inputs!K$19</f>
        <v>0.28000000000000003</v>
      </c>
      <c r="L7" s="141">
        <f>Inputs!L$19</f>
        <v>0.28000000000000003</v>
      </c>
      <c r="M7" s="141">
        <f>Inputs!M$19</f>
        <v>0.28000000000000003</v>
      </c>
    </row>
    <row r="8" spans="1:13" x14ac:dyDescent="0.25">
      <c r="A8" s="88"/>
      <c r="B8" s="88"/>
      <c r="C8" s="88"/>
      <c r="D8" s="88"/>
      <c r="E8" s="88"/>
      <c r="F8" s="88"/>
      <c r="G8" s="88"/>
      <c r="H8" s="88"/>
      <c r="I8" s="88"/>
      <c r="J8" s="88"/>
      <c r="K8" s="88"/>
      <c r="L8" s="88"/>
      <c r="M8" s="88"/>
    </row>
    <row r="9" spans="1:13" x14ac:dyDescent="0.25">
      <c r="A9" s="88"/>
      <c r="B9" s="88"/>
      <c r="C9" s="88"/>
      <c r="D9" s="88"/>
      <c r="E9" s="88"/>
      <c r="F9" s="88"/>
      <c r="G9" s="88"/>
      <c r="H9" s="88"/>
      <c r="I9" s="88"/>
      <c r="J9" s="88"/>
      <c r="K9" s="88"/>
      <c r="L9" s="88"/>
      <c r="M9" s="88"/>
    </row>
    <row r="10" spans="1:13" x14ac:dyDescent="0.25">
      <c r="A10" s="56" t="s">
        <v>102</v>
      </c>
      <c r="B10" s="69" t="s">
        <v>251</v>
      </c>
      <c r="C10" s="142">
        <f>Inputs!C17</f>
        <v>20</v>
      </c>
      <c r="D10" s="142">
        <f>Inputs!D17</f>
        <v>20</v>
      </c>
      <c r="E10" s="142">
        <f>Inputs!E17</f>
        <v>20</v>
      </c>
      <c r="F10" s="142">
        <f>Inputs!F17</f>
        <v>20</v>
      </c>
      <c r="G10" s="142">
        <f>Inputs!G17</f>
        <v>20</v>
      </c>
      <c r="H10" s="142">
        <f>Inputs!H17</f>
        <v>20</v>
      </c>
      <c r="I10" s="142">
        <f>Inputs!I17</f>
        <v>20</v>
      </c>
      <c r="J10" s="142">
        <f>Inputs!J17</f>
        <v>20</v>
      </c>
      <c r="K10" s="142">
        <f>Inputs!K17</f>
        <v>20</v>
      </c>
      <c r="L10" s="142">
        <f>Inputs!L17</f>
        <v>20</v>
      </c>
      <c r="M10" s="142">
        <f>Inputs!M17</f>
        <v>20</v>
      </c>
    </row>
    <row r="11" spans="1:13" x14ac:dyDescent="0.25">
      <c r="B11" s="69"/>
    </row>
    <row r="12" spans="1:13" x14ac:dyDescent="0.25">
      <c r="A12" s="56" t="str">
        <f>Inputs!A10</f>
        <v>Weighted average asset life</v>
      </c>
      <c r="B12" s="69" t="s">
        <v>251</v>
      </c>
      <c r="C12" s="142">
        <f>Inputs!C10</f>
        <v>30</v>
      </c>
      <c r="D12" s="142">
        <f>Inputs!D10</f>
        <v>30</v>
      </c>
      <c r="E12" s="142">
        <f>Inputs!E10</f>
        <v>30</v>
      </c>
      <c r="F12" s="142">
        <f>Inputs!F10</f>
        <v>30</v>
      </c>
      <c r="G12" s="142">
        <f>Inputs!G10</f>
        <v>30</v>
      </c>
      <c r="H12" s="142">
        <f>Inputs!H10</f>
        <v>30</v>
      </c>
      <c r="I12" s="142">
        <f>Inputs!I10</f>
        <v>30</v>
      </c>
      <c r="J12" s="142">
        <f>Inputs!J10</f>
        <v>30</v>
      </c>
      <c r="K12" s="142">
        <f>Inputs!K10</f>
        <v>30</v>
      </c>
      <c r="L12" s="142">
        <f>Inputs!L10</f>
        <v>30</v>
      </c>
      <c r="M12" s="142">
        <f>Inputs!M10</f>
        <v>30</v>
      </c>
    </row>
    <row r="13" spans="1:13" x14ac:dyDescent="0.25">
      <c r="D13" s="88"/>
      <c r="E13" s="88"/>
      <c r="F13" s="88"/>
      <c r="G13" s="88"/>
      <c r="H13" s="88"/>
      <c r="I13" s="88"/>
      <c r="J13" s="88"/>
      <c r="K13" s="88"/>
      <c r="L13" s="88"/>
      <c r="M13" s="88"/>
    </row>
    <row r="14" spans="1:13" x14ac:dyDescent="0.25">
      <c r="A14" s="56" t="s">
        <v>198</v>
      </c>
      <c r="B14" s="69" t="s">
        <v>73</v>
      </c>
      <c r="C14" s="147">
        <f>Inputs!C6</f>
        <v>0</v>
      </c>
      <c r="D14" s="147">
        <f>Inputs!D6</f>
        <v>50</v>
      </c>
      <c r="E14" s="147">
        <f>Inputs!E6</f>
        <v>100</v>
      </c>
      <c r="F14" s="147">
        <f>Inputs!F6</f>
        <v>150</v>
      </c>
      <c r="G14" s="147">
        <f>Inputs!G6</f>
        <v>200</v>
      </c>
      <c r="H14" s="147">
        <f>Inputs!H6</f>
        <v>210</v>
      </c>
      <c r="I14" s="147">
        <f>Inputs!I6</f>
        <v>220</v>
      </c>
      <c r="J14" s="147">
        <f>Inputs!J6</f>
        <v>230</v>
      </c>
      <c r="K14" s="147">
        <f>Inputs!K6</f>
        <v>240</v>
      </c>
      <c r="L14" s="147">
        <f>Inputs!L6</f>
        <v>250</v>
      </c>
      <c r="M14" s="147">
        <f>Inputs!M6</f>
        <v>260</v>
      </c>
    </row>
    <row r="15" spans="1:13" x14ac:dyDescent="0.25">
      <c r="A15" s="56" t="s">
        <v>144</v>
      </c>
      <c r="B15" s="69" t="s">
        <v>73</v>
      </c>
      <c r="C15" s="147">
        <f>-Inputs!C8</f>
        <v>-50</v>
      </c>
      <c r="D15" s="147">
        <f>-Inputs!D8</f>
        <v>-100</v>
      </c>
      <c r="E15" s="147">
        <f>-Inputs!E8</f>
        <v>-150</v>
      </c>
      <c r="F15" s="147">
        <f>-Inputs!F8</f>
        <v>-150</v>
      </c>
      <c r="G15" s="147">
        <f>-Inputs!G8</f>
        <v>-150</v>
      </c>
      <c r="H15" s="147">
        <f>-Inputs!H8</f>
        <v>-150</v>
      </c>
      <c r="I15" s="147">
        <f>-Inputs!I8</f>
        <v>-150</v>
      </c>
      <c r="J15" s="147">
        <f>-Inputs!J8</f>
        <v>-150</v>
      </c>
      <c r="K15" s="147">
        <f>-Inputs!K8</f>
        <v>-150</v>
      </c>
      <c r="L15" s="147">
        <f>-Inputs!L8</f>
        <v>-150</v>
      </c>
      <c r="M15" s="147">
        <f>-Inputs!M8</f>
        <v>-150</v>
      </c>
    </row>
    <row r="16" spans="1:13" x14ac:dyDescent="0.25">
      <c r="D16" s="88"/>
      <c r="E16" s="88"/>
      <c r="F16" s="88"/>
      <c r="G16" s="88"/>
      <c r="H16" s="88"/>
      <c r="I16" s="88"/>
      <c r="J16" s="88"/>
      <c r="K16" s="88"/>
      <c r="L16" s="88"/>
      <c r="M16" s="88"/>
    </row>
    <row r="17" spans="1:14" x14ac:dyDescent="0.25">
      <c r="A17" s="56" t="s">
        <v>46</v>
      </c>
      <c r="B17" s="56" t="s">
        <v>88</v>
      </c>
      <c r="C17" s="144">
        <f>'Cost of capital'!C69</f>
        <v>0.31</v>
      </c>
      <c r="D17" s="144">
        <f>'Cost of capital'!D69</f>
        <v>0.31</v>
      </c>
      <c r="E17" s="144">
        <f>'Cost of capital'!E69</f>
        <v>0.31</v>
      </c>
      <c r="F17" s="144">
        <f>'Cost of capital'!F69</f>
        <v>0.31</v>
      </c>
      <c r="G17" s="144">
        <f>'Cost of capital'!G69</f>
        <v>0.31</v>
      </c>
      <c r="H17" s="144">
        <f>'Cost of capital'!H69</f>
        <v>0.31</v>
      </c>
      <c r="I17" s="144">
        <f>'Cost of capital'!I69</f>
        <v>0.31</v>
      </c>
      <c r="J17" s="144">
        <f>'Cost of capital'!J69</f>
        <v>0.31</v>
      </c>
      <c r="K17" s="144">
        <f>'Cost of capital'!K69</f>
        <v>0.31</v>
      </c>
      <c r="L17" s="144">
        <f>'Cost of capital'!L69</f>
        <v>0.31</v>
      </c>
      <c r="M17" s="144">
        <f>'Cost of capital'!M69</f>
        <v>0.31</v>
      </c>
    </row>
    <row r="18" spans="1:14" x14ac:dyDescent="0.25">
      <c r="A18" s="56" t="s">
        <v>103</v>
      </c>
      <c r="B18" s="56" t="s">
        <v>88</v>
      </c>
      <c r="C18" s="145">
        <f>'Cost of capital'!C60</f>
        <v>4.1390531771388517E-2</v>
      </c>
      <c r="D18" s="145">
        <f>'Cost of capital'!D60</f>
        <v>7.2000000000000008E-2</v>
      </c>
      <c r="E18" s="145">
        <f>'Cost of capital'!E60</f>
        <v>7.2000000000000008E-2</v>
      </c>
      <c r="F18" s="145">
        <f>'Cost of capital'!F60</f>
        <v>7.2000000000000008E-2</v>
      </c>
      <c r="G18" s="145">
        <f>'Cost of capital'!G60</f>
        <v>4.2000000000000003E-2</v>
      </c>
      <c r="H18" s="145">
        <f>'Cost of capital'!H60</f>
        <v>4.2000000000000003E-2</v>
      </c>
      <c r="I18" s="145">
        <f>'Cost of capital'!I60</f>
        <v>3.2000000000000001E-2</v>
      </c>
      <c r="J18" s="145">
        <f>'Cost of capital'!J60</f>
        <v>2.1999999999999999E-2</v>
      </c>
      <c r="K18" s="145">
        <f>'Cost of capital'!K60</f>
        <v>2.1999999999999999E-2</v>
      </c>
      <c r="L18" s="145">
        <f>'Cost of capital'!L60</f>
        <v>2.1999999999999999E-2</v>
      </c>
      <c r="M18" s="145">
        <f>'Cost of capital'!M60</f>
        <v>1.0940156488008945E-2</v>
      </c>
    </row>
    <row r="19" spans="1:14" x14ac:dyDescent="0.25">
      <c r="A19" s="56" t="s">
        <v>195</v>
      </c>
      <c r="B19" s="56" t="s">
        <v>88</v>
      </c>
      <c r="C19" s="145">
        <f>'Cost of capital'!C57</f>
        <v>0.05</v>
      </c>
      <c r="D19" s="145">
        <f>'Cost of capital'!D57</f>
        <v>0.08</v>
      </c>
      <c r="E19" s="145">
        <f>'Cost of capital'!E57</f>
        <v>0.08</v>
      </c>
      <c r="F19" s="145">
        <f>'Cost of capital'!F57</f>
        <v>0.08</v>
      </c>
      <c r="G19" s="145">
        <f>'Cost of capital'!G57</f>
        <v>0.05</v>
      </c>
      <c r="H19" s="145">
        <f>'Cost of capital'!H57</f>
        <v>0.05</v>
      </c>
      <c r="I19" s="145">
        <f>'Cost of capital'!I57</f>
        <v>0.05</v>
      </c>
      <c r="J19" s="145">
        <f>'Cost of capital'!J57</f>
        <v>0.03</v>
      </c>
      <c r="K19" s="145">
        <f>'Cost of capital'!K57</f>
        <v>0.03</v>
      </c>
      <c r="L19" s="145">
        <f>'Cost of capital'!L57</f>
        <v>0.03</v>
      </c>
      <c r="M19" s="145">
        <f>'Cost of capital'!M57</f>
        <v>0.02</v>
      </c>
    </row>
    <row r="20" spans="1:14" x14ac:dyDescent="0.25">
      <c r="A20" s="56" t="s">
        <v>175</v>
      </c>
      <c r="B20" s="56" t="s">
        <v>88</v>
      </c>
      <c r="C20" s="145">
        <f>'Cost of capital'!C55</f>
        <v>5.2192502334469877E-2</v>
      </c>
      <c r="D20" s="145">
        <f>'Cost of capital'!D55</f>
        <v>9.1820000000000013E-2</v>
      </c>
      <c r="E20" s="145">
        <f>'Cost of capital'!E55</f>
        <v>9.1820000000000013E-2</v>
      </c>
      <c r="F20" s="145">
        <f>'Cost of capital'!F55</f>
        <v>9.1820000000000013E-2</v>
      </c>
      <c r="G20" s="145">
        <f>'Cost of capital'!G55</f>
        <v>6.182E-2</v>
      </c>
      <c r="H20" s="145">
        <f>'Cost of capital'!H55</f>
        <v>6.182E-2</v>
      </c>
      <c r="I20" s="145">
        <f>'Cost of capital'!I55</f>
        <v>5.8720000000000001E-2</v>
      </c>
      <c r="J20" s="145">
        <f>'Cost of capital'!J55</f>
        <v>4.8720000000000006E-2</v>
      </c>
      <c r="K20" s="145">
        <f>'Cost of capital'!K55</f>
        <v>4.8720000000000006E-2</v>
      </c>
      <c r="L20" s="145">
        <f>'Cost of capital'!L55</f>
        <v>5.1219999999999995E-2</v>
      </c>
      <c r="M20" s="145">
        <f>'Cost of capital'!M55</f>
        <v>2.5427825678560084E-2</v>
      </c>
    </row>
    <row r="21" spans="1:14" x14ac:dyDescent="0.25">
      <c r="A21" s="56"/>
      <c r="B21" s="56"/>
      <c r="C21" s="145"/>
      <c r="D21" s="145"/>
      <c r="E21" s="145"/>
      <c r="F21" s="145"/>
      <c r="G21" s="145"/>
      <c r="H21" s="145"/>
      <c r="I21" s="145"/>
      <c r="J21" s="145"/>
      <c r="K21" s="145"/>
      <c r="L21" s="145"/>
      <c r="M21" s="145"/>
    </row>
    <row r="22" spans="1:14" x14ac:dyDescent="0.25">
      <c r="A22" s="126" t="s">
        <v>178</v>
      </c>
      <c r="B22" s="137" t="s">
        <v>107</v>
      </c>
      <c r="C22" s="150">
        <f>'Cost of capital'!C40</f>
        <v>1.8418483538114241</v>
      </c>
      <c r="D22" s="150">
        <f>'Cost of capital'!D40</f>
        <v>1.6869523857517028</v>
      </c>
      <c r="E22" s="150">
        <f>'Cost of capital'!E40</f>
        <v>1.545082876070875</v>
      </c>
      <c r="F22" s="150">
        <f>'Cost of capital'!F40</f>
        <v>1.415144324220911</v>
      </c>
      <c r="G22" s="150">
        <f>'Cost of capital'!G40</f>
        <v>1.3327535026849286</v>
      </c>
      <c r="H22" s="150">
        <f>'Cost of capital'!H40</f>
        <v>1.2551595399266624</v>
      </c>
      <c r="I22" s="150">
        <f>'Cost of capital'!I40</f>
        <v>1.1855443742695542</v>
      </c>
      <c r="J22" s="150">
        <f>'Cost of capital'!J40</f>
        <v>1.1304679745495023</v>
      </c>
      <c r="K22" s="150">
        <f>'Cost of capital'!K40</f>
        <v>1.0779502389098159</v>
      </c>
      <c r="L22" s="150">
        <f>'Cost of capital'!L40</f>
        <v>1.0254278256785601</v>
      </c>
      <c r="M22" s="150">
        <f>'Cost of capital'!M40</f>
        <v>1</v>
      </c>
    </row>
    <row r="23" spans="1:14" x14ac:dyDescent="0.25">
      <c r="A23" s="126" t="s">
        <v>196</v>
      </c>
      <c r="B23" s="137" t="s">
        <v>107</v>
      </c>
      <c r="C23" s="150">
        <f>'Cost of capital'!C$50</f>
        <v>1.6253653965784403</v>
      </c>
      <c r="D23" s="150">
        <f>'Cost of capital'!D$50</f>
        <v>1.504967959794852</v>
      </c>
      <c r="E23" s="150">
        <f>'Cost of capital'!E$50</f>
        <v>1.3934888516619</v>
      </c>
      <c r="F23" s="150">
        <f>'Cost of capital'!F$50</f>
        <v>1.2902674552425</v>
      </c>
      <c r="G23" s="150">
        <f>'Cost of capital'!G$50</f>
        <v>1.22882614785</v>
      </c>
      <c r="H23" s="150">
        <f>'Cost of capital'!H$50</f>
        <v>1.1703106169999999</v>
      </c>
      <c r="I23" s="150">
        <f>'Cost of capital'!I$50</f>
        <v>1.1145815399999999</v>
      </c>
      <c r="J23" s="150">
        <f>'Cost of capital'!J$50</f>
        <v>1.0821179999999999</v>
      </c>
      <c r="K23" s="150">
        <f>'Cost of capital'!K$50</f>
        <v>1.0506</v>
      </c>
      <c r="L23" s="150">
        <f>'Cost of capital'!L$50</f>
        <v>1.02</v>
      </c>
      <c r="M23" s="150">
        <f>'Cost of capital'!M$50</f>
        <v>1</v>
      </c>
    </row>
    <row r="24" spans="1:14" x14ac:dyDescent="0.25">
      <c r="A24" s="73"/>
      <c r="B24" s="73"/>
      <c r="C24" s="183"/>
      <c r="D24" s="183"/>
      <c r="E24" s="183"/>
      <c r="F24" s="183"/>
      <c r="G24" s="183"/>
      <c r="H24" s="183"/>
      <c r="I24" s="183"/>
      <c r="J24" s="183"/>
      <c r="K24" s="183"/>
      <c r="L24" s="183"/>
      <c r="M24" s="183"/>
    </row>
    <row r="25" spans="1:14" s="8" customFormat="1" x14ac:dyDescent="0.25">
      <c r="A25" s="184"/>
      <c r="B25" s="175"/>
      <c r="C25" s="185"/>
      <c r="D25" s="185"/>
      <c r="E25" s="185"/>
      <c r="F25" s="185"/>
      <c r="G25" s="185"/>
      <c r="H25" s="185"/>
      <c r="I25" s="185"/>
      <c r="J25" s="185"/>
      <c r="K25" s="185"/>
      <c r="L25" s="185"/>
      <c r="M25" s="185"/>
      <c r="N25" s="1"/>
    </row>
    <row r="26" spans="1:14" x14ac:dyDescent="0.25">
      <c r="A26" s="56" t="s">
        <v>89</v>
      </c>
      <c r="B26" s="69" t="s">
        <v>73</v>
      </c>
      <c r="C26" s="146">
        <f>Inputs!C13</f>
        <v>30</v>
      </c>
      <c r="D26" s="146">
        <f>Inputs!D13</f>
        <v>50</v>
      </c>
      <c r="E26" s="146">
        <f>Inputs!E13</f>
        <v>70</v>
      </c>
      <c r="F26" s="146">
        <f>Inputs!F13</f>
        <v>100</v>
      </c>
      <c r="G26" s="146">
        <f>Inputs!G13</f>
        <v>100</v>
      </c>
      <c r="H26" s="146">
        <f>Inputs!H13</f>
        <v>100</v>
      </c>
      <c r="I26" s="146">
        <f>Inputs!I13</f>
        <v>100</v>
      </c>
      <c r="J26" s="146">
        <f>Inputs!J13</f>
        <v>100</v>
      </c>
      <c r="K26" s="146">
        <f>Inputs!K13</f>
        <v>100</v>
      </c>
      <c r="L26" s="146">
        <f>Inputs!L13</f>
        <v>100</v>
      </c>
      <c r="M26" s="146">
        <f>Inputs!M13</f>
        <v>100</v>
      </c>
    </row>
    <row r="27" spans="1:14" x14ac:dyDescent="0.25">
      <c r="A27" s="91" t="s">
        <v>100</v>
      </c>
      <c r="B27" s="69" t="s">
        <v>73</v>
      </c>
      <c r="C27" s="92">
        <f>Inputs!C14</f>
        <v>0</v>
      </c>
      <c r="D27" s="92">
        <f>Inputs!D14</f>
        <v>0</v>
      </c>
      <c r="E27" s="92">
        <f>Inputs!E14</f>
        <v>0</v>
      </c>
      <c r="F27" s="92">
        <f>Inputs!F14</f>
        <v>0</v>
      </c>
      <c r="G27" s="92">
        <f>Inputs!G14</f>
        <v>0</v>
      </c>
      <c r="H27" s="92">
        <f>Inputs!H14</f>
        <v>0</v>
      </c>
      <c r="I27" s="92">
        <f>Inputs!I14</f>
        <v>0</v>
      </c>
      <c r="J27" s="92">
        <f>Inputs!J14</f>
        <v>0</v>
      </c>
      <c r="K27" s="92">
        <f>Inputs!K14</f>
        <v>0</v>
      </c>
      <c r="L27" s="92">
        <f>Inputs!L14</f>
        <v>0</v>
      </c>
      <c r="M27" s="92">
        <f>Inputs!M14</f>
        <v>0</v>
      </c>
    </row>
    <row r="28" spans="1:14" x14ac:dyDescent="0.25">
      <c r="A28" s="77"/>
      <c r="B28" s="153"/>
      <c r="C28" s="94"/>
      <c r="D28" s="94"/>
      <c r="E28" s="94"/>
      <c r="F28" s="94"/>
      <c r="G28" s="94"/>
      <c r="H28" s="94"/>
      <c r="I28" s="94"/>
      <c r="J28" s="94"/>
      <c r="K28" s="94"/>
      <c r="L28" s="94"/>
      <c r="M28" s="94"/>
    </row>
    <row r="29" spans="1:14" x14ac:dyDescent="0.25">
      <c r="A29" s="56" t="s">
        <v>74</v>
      </c>
      <c r="B29" s="69" t="s">
        <v>73</v>
      </c>
      <c r="C29" s="146">
        <f>Inputs!C7</f>
        <v>50</v>
      </c>
      <c r="D29" s="146">
        <f>Inputs!D7</f>
        <v>100</v>
      </c>
      <c r="E29" s="146">
        <f>Inputs!E7</f>
        <v>150</v>
      </c>
      <c r="F29" s="146">
        <f>Inputs!F7</f>
        <v>200</v>
      </c>
      <c r="G29" s="146">
        <f>Inputs!G7</f>
        <v>200</v>
      </c>
      <c r="H29" s="146">
        <f>Inputs!H7</f>
        <v>200</v>
      </c>
      <c r="I29" s="146">
        <f>Inputs!I7</f>
        <v>200</v>
      </c>
      <c r="J29" s="146">
        <f>Inputs!J7</f>
        <v>200</v>
      </c>
      <c r="K29" s="146">
        <f>Inputs!K7</f>
        <v>200</v>
      </c>
      <c r="L29" s="146">
        <f>Inputs!L7</f>
        <v>200</v>
      </c>
      <c r="M29" s="146">
        <f>Inputs!M7</f>
        <v>200</v>
      </c>
    </row>
    <row r="30" spans="1:14" x14ac:dyDescent="0.25">
      <c r="D30" s="88"/>
      <c r="E30" s="88"/>
      <c r="F30" s="88"/>
      <c r="G30" s="88"/>
      <c r="H30" s="88"/>
      <c r="I30" s="88"/>
      <c r="J30" s="88"/>
      <c r="K30" s="88"/>
      <c r="L30" s="88"/>
      <c r="M30" s="88"/>
    </row>
    <row r="31" spans="1:14" ht="21" x14ac:dyDescent="0.35">
      <c r="A31" s="178" t="s">
        <v>112</v>
      </c>
      <c r="D31" s="88"/>
      <c r="E31" s="88"/>
      <c r="F31" s="88"/>
      <c r="G31" s="88"/>
      <c r="H31" s="88"/>
      <c r="I31" s="88"/>
      <c r="J31" s="88"/>
      <c r="K31" s="88"/>
      <c r="L31" s="88"/>
      <c r="M31" s="88"/>
    </row>
    <row r="32" spans="1:14" x14ac:dyDescent="0.25">
      <c r="A32" s="126" t="s">
        <v>244</v>
      </c>
      <c r="B32" s="126" t="s">
        <v>259</v>
      </c>
      <c r="C32" s="90">
        <v>365</v>
      </c>
      <c r="D32" s="90">
        <v>365</v>
      </c>
      <c r="E32" s="90">
        <v>365</v>
      </c>
      <c r="F32" s="90">
        <v>365</v>
      </c>
      <c r="G32" s="90">
        <v>365</v>
      </c>
      <c r="H32" s="90">
        <v>365</v>
      </c>
      <c r="I32" s="90">
        <v>365</v>
      </c>
      <c r="J32" s="90">
        <v>365</v>
      </c>
      <c r="K32" s="90">
        <v>365</v>
      </c>
      <c r="L32" s="90">
        <v>365</v>
      </c>
      <c r="M32" s="273">
        <f>Timing!$M$8</f>
        <v>184</v>
      </c>
    </row>
    <row r="33" spans="1:13" x14ac:dyDescent="0.25">
      <c r="A33" s="126" t="s">
        <v>258</v>
      </c>
      <c r="B33" s="126" t="s">
        <v>88</v>
      </c>
      <c r="C33" s="134">
        <f>C32/365</f>
        <v>1</v>
      </c>
      <c r="D33" s="134">
        <f t="shared" ref="D33:M33" si="0">D32/365</f>
        <v>1</v>
      </c>
      <c r="E33" s="134">
        <f t="shared" si="0"/>
        <v>1</v>
      </c>
      <c r="F33" s="134">
        <f t="shared" si="0"/>
        <v>1</v>
      </c>
      <c r="G33" s="134">
        <f t="shared" si="0"/>
        <v>1</v>
      </c>
      <c r="H33" s="134">
        <f t="shared" si="0"/>
        <v>1</v>
      </c>
      <c r="I33" s="134">
        <f t="shared" si="0"/>
        <v>1</v>
      </c>
      <c r="J33" s="134">
        <f t="shared" si="0"/>
        <v>1</v>
      </c>
      <c r="K33" s="134">
        <f t="shared" si="0"/>
        <v>1</v>
      </c>
      <c r="L33" s="134">
        <f t="shared" si="0"/>
        <v>1</v>
      </c>
      <c r="M33" s="134">
        <f t="shared" si="0"/>
        <v>0.50410958904109593</v>
      </c>
    </row>
    <row r="34" spans="1:13" ht="18.399999999999999" customHeight="1" x14ac:dyDescent="0.25">
      <c r="A34" s="77"/>
      <c r="B34" s="77"/>
    </row>
    <row r="35" spans="1:13" ht="18.399999999999999" customHeight="1" x14ac:dyDescent="0.25">
      <c r="B35" s="96"/>
      <c r="C35" s="99">
        <v>2012</v>
      </c>
      <c r="D35" s="99">
        <v>2013</v>
      </c>
      <c r="E35" s="99">
        <v>2014</v>
      </c>
      <c r="F35" s="99">
        <v>2015</v>
      </c>
      <c r="G35" s="99">
        <v>2016</v>
      </c>
      <c r="H35" s="99">
        <v>2017</v>
      </c>
      <c r="I35" s="99">
        <v>2018</v>
      </c>
      <c r="J35" s="99">
        <v>2019</v>
      </c>
      <c r="K35" s="99">
        <v>2020</v>
      </c>
      <c r="L35" s="99">
        <v>2021</v>
      </c>
      <c r="M35" s="99">
        <v>2022</v>
      </c>
    </row>
    <row r="36" spans="1:13" ht="18.399999999999999" customHeight="1" x14ac:dyDescent="0.25">
      <c r="A36" s="118" t="s">
        <v>230</v>
      </c>
      <c r="B36" s="56"/>
      <c r="C36" s="67"/>
      <c r="D36" s="67">
        <f t="shared" ref="D36:M36" si="1">C39</f>
        <v>50</v>
      </c>
      <c r="E36" s="67">
        <f t="shared" si="1"/>
        <v>147.5</v>
      </c>
      <c r="F36" s="67">
        <f t="shared" si="1"/>
        <v>290.125</v>
      </c>
      <c r="G36" s="67">
        <f t="shared" si="1"/>
        <v>475.61874999999998</v>
      </c>
      <c r="H36" s="67">
        <f t="shared" si="1"/>
        <v>651.83781249999993</v>
      </c>
      <c r="I36" s="67">
        <f t="shared" si="1"/>
        <v>819.24592187499991</v>
      </c>
      <c r="J36" s="67">
        <f t="shared" si="1"/>
        <v>978.28362578124995</v>
      </c>
      <c r="K36" s="67">
        <f t="shared" si="1"/>
        <v>1129.3694444921875</v>
      </c>
      <c r="L36" s="67">
        <f t="shared" si="1"/>
        <v>1272.9009722675783</v>
      </c>
      <c r="M36" s="67">
        <f t="shared" si="1"/>
        <v>1409.2559236541993</v>
      </c>
    </row>
    <row r="37" spans="1:13" ht="18.399999999999999" customHeight="1" x14ac:dyDescent="0.25">
      <c r="A37" s="118" t="s">
        <v>74</v>
      </c>
      <c r="B37" s="56"/>
      <c r="C37" s="64">
        <f>C29</f>
        <v>50</v>
      </c>
      <c r="D37" s="64">
        <f t="shared" ref="D37:M37" si="2">D29</f>
        <v>100</v>
      </c>
      <c r="E37" s="64">
        <f t="shared" si="2"/>
        <v>150</v>
      </c>
      <c r="F37" s="64">
        <f t="shared" si="2"/>
        <v>200</v>
      </c>
      <c r="G37" s="64">
        <f t="shared" si="2"/>
        <v>200</v>
      </c>
      <c r="H37" s="64">
        <f t="shared" si="2"/>
        <v>200</v>
      </c>
      <c r="I37" s="64">
        <f t="shared" si="2"/>
        <v>200</v>
      </c>
      <c r="J37" s="64">
        <f t="shared" si="2"/>
        <v>200</v>
      </c>
      <c r="K37" s="64">
        <f t="shared" si="2"/>
        <v>200</v>
      </c>
      <c r="L37" s="64">
        <f t="shared" si="2"/>
        <v>200</v>
      </c>
      <c r="M37" s="64">
        <f t="shared" si="2"/>
        <v>200</v>
      </c>
    </row>
    <row r="38" spans="1:13" ht="18.399999999999999" customHeight="1" x14ac:dyDescent="0.25">
      <c r="A38" s="118" t="s">
        <v>36</v>
      </c>
      <c r="B38" s="280"/>
      <c r="C38" s="281">
        <v>0</v>
      </c>
      <c r="D38" s="282">
        <f>-D36/C10*D33</f>
        <v>-2.5</v>
      </c>
      <c r="E38" s="282">
        <f t="shared" ref="E38:M38" si="3">-E36/D10*E33</f>
        <v>-7.375</v>
      </c>
      <c r="F38" s="282">
        <f t="shared" si="3"/>
        <v>-14.50625</v>
      </c>
      <c r="G38" s="282">
        <f t="shared" si="3"/>
        <v>-23.7809375</v>
      </c>
      <c r="H38" s="282">
        <f t="shared" si="3"/>
        <v>-32.591890624999998</v>
      </c>
      <c r="I38" s="282">
        <f t="shared" si="3"/>
        <v>-40.962296093749998</v>
      </c>
      <c r="J38" s="282">
        <f t="shared" si="3"/>
        <v>-48.914181289062498</v>
      </c>
      <c r="K38" s="282">
        <f t="shared" si="3"/>
        <v>-56.468472224609378</v>
      </c>
      <c r="L38" s="282">
        <f t="shared" si="3"/>
        <v>-63.645048613378911</v>
      </c>
      <c r="M38" s="282">
        <f t="shared" si="3"/>
        <v>-35.520971226352422</v>
      </c>
    </row>
    <row r="39" spans="1:13" ht="18.399999999999999" customHeight="1" x14ac:dyDescent="0.25">
      <c r="A39" s="118" t="s">
        <v>233</v>
      </c>
      <c r="B39" s="56"/>
      <c r="C39" s="114">
        <f t="shared" ref="C39:M39" si="4">SUM(C36:C38)</f>
        <v>50</v>
      </c>
      <c r="D39" s="114">
        <f t="shared" si="4"/>
        <v>147.5</v>
      </c>
      <c r="E39" s="114">
        <f t="shared" si="4"/>
        <v>290.125</v>
      </c>
      <c r="F39" s="114">
        <f t="shared" si="4"/>
        <v>475.61874999999998</v>
      </c>
      <c r="G39" s="114">
        <f t="shared" si="4"/>
        <v>651.83781249999993</v>
      </c>
      <c r="H39" s="114">
        <f t="shared" si="4"/>
        <v>819.24592187499991</v>
      </c>
      <c r="I39" s="114">
        <f t="shared" si="4"/>
        <v>978.28362578124995</v>
      </c>
      <c r="J39" s="114">
        <f t="shared" si="4"/>
        <v>1129.3694444921875</v>
      </c>
      <c r="K39" s="114">
        <f t="shared" si="4"/>
        <v>1272.9009722675783</v>
      </c>
      <c r="L39" s="114">
        <f t="shared" si="4"/>
        <v>1409.2559236541993</v>
      </c>
      <c r="M39" s="114">
        <f t="shared" si="4"/>
        <v>1573.7349524278468</v>
      </c>
    </row>
    <row r="40" spans="1:13" ht="18.399999999999999" customHeight="1" x14ac:dyDescent="0.25">
      <c r="A40" s="73"/>
      <c r="B40" s="73"/>
      <c r="C40" s="80"/>
      <c r="D40" s="80"/>
      <c r="E40" s="80"/>
      <c r="F40" s="80"/>
      <c r="G40" s="80"/>
      <c r="H40" s="80"/>
      <c r="I40" s="80"/>
      <c r="J40" s="80"/>
      <c r="K40" s="80"/>
      <c r="L40" s="80"/>
      <c r="M40" s="80"/>
    </row>
    <row r="41" spans="1:13" ht="18.399999999999999" customHeight="1" x14ac:dyDescent="0.25">
      <c r="B41" s="77"/>
      <c r="C41" s="80"/>
      <c r="D41" s="80"/>
      <c r="E41" s="80"/>
      <c r="F41" s="80"/>
      <c r="G41" s="80"/>
      <c r="H41" s="80"/>
      <c r="I41" s="80"/>
      <c r="J41" s="80"/>
      <c r="K41" s="80"/>
      <c r="L41" s="80"/>
      <c r="M41" s="80"/>
    </row>
    <row r="42" spans="1:13" ht="21" x14ac:dyDescent="0.35">
      <c r="A42" s="178" t="s">
        <v>142</v>
      </c>
      <c r="B42" s="77"/>
      <c r="C42" s="45"/>
      <c r="D42" s="45"/>
      <c r="E42" s="45"/>
      <c r="F42" s="45"/>
      <c r="G42" s="45"/>
      <c r="H42" s="45"/>
      <c r="I42" s="45"/>
      <c r="J42" s="45"/>
      <c r="K42" s="45"/>
      <c r="L42" s="45"/>
      <c r="M42" s="45"/>
    </row>
    <row r="43" spans="1:13" x14ac:dyDescent="0.25">
      <c r="B43" s="96"/>
      <c r="C43" s="99">
        <v>2012</v>
      </c>
      <c r="D43" s="99">
        <v>2013</v>
      </c>
      <c r="E43" s="99">
        <v>2014</v>
      </c>
      <c r="F43" s="99">
        <v>2015</v>
      </c>
      <c r="G43" s="99">
        <v>2016</v>
      </c>
      <c r="H43" s="99">
        <v>2017</v>
      </c>
      <c r="I43" s="99">
        <v>2018</v>
      </c>
      <c r="J43" s="99">
        <v>2019</v>
      </c>
      <c r="K43" s="99">
        <v>2020</v>
      </c>
      <c r="L43" s="99">
        <v>2021</v>
      </c>
      <c r="M43" s="99">
        <v>2022</v>
      </c>
    </row>
    <row r="44" spans="1:13" ht="18.399999999999999" customHeight="1" x14ac:dyDescent="0.25">
      <c r="A44" s="118" t="s">
        <v>225</v>
      </c>
      <c r="B44" s="69" t="s">
        <v>73</v>
      </c>
      <c r="C44" s="122"/>
      <c r="D44" s="123">
        <f>C47</f>
        <v>50</v>
      </c>
      <c r="E44" s="123">
        <f t="shared" ref="E44:M44" si="5">D47</f>
        <v>150.14925373134329</v>
      </c>
      <c r="F44" s="123">
        <f t="shared" si="5"/>
        <v>300.59746045889949</v>
      </c>
      <c r="G44" s="123">
        <f t="shared" si="5"/>
        <v>501.49476631101561</v>
      </c>
      <c r="H44" s="123">
        <f t="shared" si="5"/>
        <v>702.99176561343654</v>
      </c>
      <c r="I44" s="123">
        <f t="shared" si="5"/>
        <v>905.09024849586467</v>
      </c>
      <c r="J44" s="123">
        <f t="shared" si="5"/>
        <v>1107.7920104316731</v>
      </c>
      <c r="K44" s="123">
        <f t="shared" si="5"/>
        <v>1311.0988522538573</v>
      </c>
      <c r="L44" s="123">
        <f t="shared" si="5"/>
        <v>1515.0125801710331</v>
      </c>
      <c r="M44" s="123">
        <f t="shared" si="5"/>
        <v>1719.5350057834839</v>
      </c>
    </row>
    <row r="45" spans="1:13" ht="18.399999999999999" customHeight="1" x14ac:dyDescent="0.25">
      <c r="A45" s="56" t="s">
        <v>74</v>
      </c>
      <c r="B45" s="69" t="s">
        <v>73</v>
      </c>
      <c r="C45" s="64">
        <f t="shared" ref="C45:M45" si="6">C29</f>
        <v>50</v>
      </c>
      <c r="D45" s="64">
        <f t="shared" si="6"/>
        <v>100</v>
      </c>
      <c r="E45" s="64">
        <f t="shared" si="6"/>
        <v>150</v>
      </c>
      <c r="F45" s="64">
        <f t="shared" si="6"/>
        <v>200</v>
      </c>
      <c r="G45" s="64">
        <f t="shared" si="6"/>
        <v>200</v>
      </c>
      <c r="H45" s="64">
        <f t="shared" si="6"/>
        <v>200</v>
      </c>
      <c r="I45" s="64">
        <f t="shared" si="6"/>
        <v>200</v>
      </c>
      <c r="J45" s="64">
        <f t="shared" si="6"/>
        <v>200</v>
      </c>
      <c r="K45" s="64">
        <f t="shared" si="6"/>
        <v>200</v>
      </c>
      <c r="L45" s="64">
        <f t="shared" si="6"/>
        <v>200</v>
      </c>
      <c r="M45" s="64">
        <f t="shared" si="6"/>
        <v>200</v>
      </c>
    </row>
    <row r="46" spans="1:13" ht="18.399999999999999" customHeight="1" x14ac:dyDescent="0.25">
      <c r="A46" s="56" t="s">
        <v>28</v>
      </c>
      <c r="B46" s="69" t="s">
        <v>73</v>
      </c>
      <c r="C46" s="90">
        <v>0</v>
      </c>
      <c r="D46" s="67">
        <f>-D44/($C$12-C$32)/D$33</f>
        <v>0.14925373134328357</v>
      </c>
      <c r="E46" s="67">
        <f>-E44/($C$12-D$32)/E$33</f>
        <v>0.44820672755624863</v>
      </c>
      <c r="F46" s="67">
        <f>-F44/($C$12-E$32)/F$33</f>
        <v>0.89730585211611791</v>
      </c>
      <c r="G46" s="67">
        <f>-G44/($C$12-F$32)/G$33</f>
        <v>1.496999302420942</v>
      </c>
      <c r="H46" s="67">
        <f>-H44/($C$12-G$32)/H$33</f>
        <v>2.0984828824281689</v>
      </c>
      <c r="I46" s="67">
        <f>-I44/($C$12-H$32)/I$33</f>
        <v>2.7017619358085514</v>
      </c>
      <c r="J46" s="67">
        <f>-J44/($C$12-I$32)/J$33</f>
        <v>3.3068418221840989</v>
      </c>
      <c r="K46" s="67">
        <f>-K44/($C$12-J$32)/K$33</f>
        <v>3.9137279171756933</v>
      </c>
      <c r="L46" s="67">
        <f>-L44/($C$12-K$32)/L$33</f>
        <v>4.5224256124508448</v>
      </c>
      <c r="M46" s="67">
        <f>-M44/($C$12-L$32)/M$33</f>
        <v>10.182191387264304</v>
      </c>
    </row>
    <row r="47" spans="1:13" ht="18.399999999999999" customHeight="1" x14ac:dyDescent="0.25">
      <c r="A47" s="118" t="s">
        <v>226</v>
      </c>
      <c r="B47" s="69" t="s">
        <v>73</v>
      </c>
      <c r="C47" s="114">
        <f t="shared" ref="C47:M47" si="7">SUM(C44:C46)</f>
        <v>50</v>
      </c>
      <c r="D47" s="114">
        <f t="shared" si="7"/>
        <v>150.14925373134329</v>
      </c>
      <c r="E47" s="114">
        <f t="shared" si="7"/>
        <v>300.59746045889949</v>
      </c>
      <c r="F47" s="114">
        <f t="shared" si="7"/>
        <v>501.49476631101561</v>
      </c>
      <c r="G47" s="114">
        <f t="shared" si="7"/>
        <v>702.99176561343654</v>
      </c>
      <c r="H47" s="114">
        <f t="shared" si="7"/>
        <v>905.09024849586467</v>
      </c>
      <c r="I47" s="114">
        <f t="shared" si="7"/>
        <v>1107.7920104316731</v>
      </c>
      <c r="J47" s="114">
        <f t="shared" si="7"/>
        <v>1311.0988522538573</v>
      </c>
      <c r="K47" s="114">
        <f t="shared" si="7"/>
        <v>1515.0125801710331</v>
      </c>
      <c r="L47" s="114">
        <f t="shared" si="7"/>
        <v>1719.5350057834839</v>
      </c>
      <c r="M47" s="114">
        <f t="shared" si="7"/>
        <v>1929.7171971707482</v>
      </c>
    </row>
    <row r="48" spans="1:13" ht="18.399999999999999" customHeight="1" x14ac:dyDescent="0.25">
      <c r="B48" s="80"/>
      <c r="C48" s="171"/>
      <c r="D48" s="67"/>
      <c r="E48" s="67"/>
      <c r="F48" s="67"/>
      <c r="G48" s="67"/>
      <c r="H48" s="67"/>
      <c r="I48" s="67"/>
      <c r="J48" s="67"/>
      <c r="K48" s="67"/>
      <c r="L48" s="67"/>
      <c r="M48" s="67"/>
    </row>
    <row r="49" spans="1:14" ht="18.399999999999999" customHeight="1" x14ac:dyDescent="0.25">
      <c r="A49" s="56" t="s">
        <v>228</v>
      </c>
      <c r="B49" s="69" t="s">
        <v>73</v>
      </c>
      <c r="C49" s="90">
        <v>0</v>
      </c>
      <c r="D49" s="123">
        <f>C52</f>
        <v>-50</v>
      </c>
      <c r="E49" s="123">
        <f>D52</f>
        <v>-108.44866666666667</v>
      </c>
      <c r="F49" s="123">
        <f t="shared" ref="F49:M49" si="8">E52</f>
        <v>-180.79810284199007</v>
      </c>
      <c r="G49" s="123">
        <f t="shared" si="8"/>
        <v>-223.01975881290772</v>
      </c>
      <c r="H49" s="123">
        <f t="shared" si="8"/>
        <v>-222.02573896643585</v>
      </c>
      <c r="I49" s="123">
        <f t="shared" si="8"/>
        <v>-225.14337995334481</v>
      </c>
      <c r="J49" s="123">
        <f t="shared" si="8"/>
        <v>-229.18037356574453</v>
      </c>
      <c r="K49" s="123">
        <f t="shared" si="8"/>
        <v>-234.74406846182117</v>
      </c>
      <c r="L49" s="123">
        <f t="shared" si="8"/>
        <v>-244.26083063421757</v>
      </c>
      <c r="M49" s="123">
        <f t="shared" si="8"/>
        <v>-262.37123407469693</v>
      </c>
    </row>
    <row r="50" spans="1:14" ht="18.399999999999999" customHeight="1" x14ac:dyDescent="0.25">
      <c r="A50" s="199" t="s">
        <v>28</v>
      </c>
      <c r="B50" s="69" t="s">
        <v>73</v>
      </c>
      <c r="C50" s="66">
        <f>-C49/C12*C33</f>
        <v>0</v>
      </c>
      <c r="D50" s="66">
        <f t="shared" ref="D50:M50" si="9">-D49/D12*D33</f>
        <v>1.6666666666666667</v>
      </c>
      <c r="E50" s="66">
        <f t="shared" si="9"/>
        <v>3.6149555555555555</v>
      </c>
      <c r="F50" s="66">
        <f t="shared" si="9"/>
        <v>6.0266034280663359</v>
      </c>
      <c r="G50" s="66">
        <f t="shared" si="9"/>
        <v>7.4339919604302578</v>
      </c>
      <c r="H50" s="66">
        <f t="shared" si="9"/>
        <v>7.4008579655478615</v>
      </c>
      <c r="I50" s="66">
        <f t="shared" si="9"/>
        <v>7.5047793317781606</v>
      </c>
      <c r="J50" s="66">
        <f t="shared" si="9"/>
        <v>7.6393457855248181</v>
      </c>
      <c r="K50" s="66">
        <f t="shared" si="9"/>
        <v>7.8248022820607055</v>
      </c>
      <c r="L50" s="66">
        <f t="shared" si="9"/>
        <v>8.1420276878072517</v>
      </c>
      <c r="M50" s="66">
        <f t="shared" si="9"/>
        <v>4.4087951661866889</v>
      </c>
    </row>
    <row r="51" spans="1:14" ht="18.399999999999999" customHeight="1" x14ac:dyDescent="0.25">
      <c r="A51" s="56" t="s">
        <v>128</v>
      </c>
      <c r="B51" s="69" t="s">
        <v>73</v>
      </c>
      <c r="C51" s="200">
        <f t="shared" ref="C51:M51" si="10">C89</f>
        <v>-50</v>
      </c>
      <c r="D51" s="200">
        <f t="shared" si="10"/>
        <v>-60.115333333333332</v>
      </c>
      <c r="E51" s="200">
        <f t="shared" si="10"/>
        <v>-75.964391730878958</v>
      </c>
      <c r="F51" s="200">
        <f t="shared" si="10"/>
        <v>-48.248259398983976</v>
      </c>
      <c r="G51" s="200">
        <f t="shared" si="10"/>
        <v>-6.4399721139583903</v>
      </c>
      <c r="H51" s="200">
        <f t="shared" si="10"/>
        <v>-10.51849895245681</v>
      </c>
      <c r="I51" s="200">
        <f t="shared" si="10"/>
        <v>-11.541772944177893</v>
      </c>
      <c r="J51" s="200">
        <f t="shared" si="10"/>
        <v>-13.203040681601465</v>
      </c>
      <c r="K51" s="200">
        <f t="shared" si="10"/>
        <v>-17.341564454457114</v>
      </c>
      <c r="L51" s="200">
        <f t="shared" si="10"/>
        <v>-26.252431128286617</v>
      </c>
      <c r="M51" s="200">
        <f t="shared" si="10"/>
        <v>43.301168951872626</v>
      </c>
    </row>
    <row r="52" spans="1:14" ht="18.399999999999999" customHeight="1" x14ac:dyDescent="0.25">
      <c r="A52" s="56" t="s">
        <v>227</v>
      </c>
      <c r="B52" s="69" t="s">
        <v>73</v>
      </c>
      <c r="C52" s="114">
        <f>C49+C50+C51</f>
        <v>-50</v>
      </c>
      <c r="D52" s="114">
        <f>D49+D50+D51</f>
        <v>-108.44866666666667</v>
      </c>
      <c r="E52" s="114">
        <f t="shared" ref="E52:M52" si="11">E49+E50+E51</f>
        <v>-180.79810284199007</v>
      </c>
      <c r="F52" s="114">
        <f t="shared" si="11"/>
        <v>-223.01975881290772</v>
      </c>
      <c r="G52" s="114">
        <f t="shared" si="11"/>
        <v>-222.02573896643585</v>
      </c>
      <c r="H52" s="114">
        <f t="shared" si="11"/>
        <v>-225.14337995334481</v>
      </c>
      <c r="I52" s="114">
        <f t="shared" si="11"/>
        <v>-229.18037356574453</v>
      </c>
      <c r="J52" s="114">
        <f t="shared" si="11"/>
        <v>-234.74406846182117</v>
      </c>
      <c r="K52" s="114">
        <f t="shared" si="11"/>
        <v>-244.26083063421757</v>
      </c>
      <c r="L52" s="114">
        <f t="shared" si="11"/>
        <v>-262.37123407469693</v>
      </c>
      <c r="M52" s="114">
        <f t="shared" si="11"/>
        <v>-214.66126995663763</v>
      </c>
    </row>
    <row r="53" spans="1:14" ht="18.399999999999999" customHeight="1" x14ac:dyDescent="0.25">
      <c r="B53" s="80"/>
      <c r="C53" s="171"/>
      <c r="D53" s="67"/>
      <c r="E53" s="67"/>
      <c r="F53" s="67"/>
      <c r="G53" s="67"/>
      <c r="H53" s="67"/>
      <c r="I53" s="67"/>
      <c r="J53" s="67"/>
      <c r="K53" s="67"/>
      <c r="L53" s="67"/>
      <c r="M53" s="67"/>
    </row>
    <row r="54" spans="1:14" ht="18.399999999999999" customHeight="1" x14ac:dyDescent="0.25">
      <c r="A54" s="201"/>
      <c r="B54" s="187"/>
      <c r="C54" s="80"/>
      <c r="D54" s="80"/>
      <c r="E54" s="80"/>
      <c r="F54" s="80"/>
      <c r="G54" s="80"/>
      <c r="H54" s="80"/>
      <c r="I54" s="80"/>
      <c r="J54" s="80"/>
      <c r="K54" s="80"/>
      <c r="L54" s="80"/>
      <c r="M54" s="80"/>
    </row>
    <row r="55" spans="1:14" ht="18.399999999999999" customHeight="1" x14ac:dyDescent="0.25">
      <c r="A55" s="118" t="s">
        <v>141</v>
      </c>
      <c r="B55" s="69" t="s">
        <v>73</v>
      </c>
      <c r="C55" s="123">
        <f>C44-C49</f>
        <v>0</v>
      </c>
      <c r="D55" s="123">
        <f>D44-D49</f>
        <v>100</v>
      </c>
      <c r="E55" s="123">
        <f>E44-E49</f>
        <v>258.59792039800993</v>
      </c>
      <c r="F55" s="123">
        <f t="shared" ref="F55:M55" si="12">F44-F49</f>
        <v>481.39556330088953</v>
      </c>
      <c r="G55" s="123">
        <f t="shared" si="12"/>
        <v>724.51452512392336</v>
      </c>
      <c r="H55" s="123">
        <f t="shared" si="12"/>
        <v>925.01750457987237</v>
      </c>
      <c r="I55" s="123">
        <f t="shared" si="12"/>
        <v>1130.2336284492094</v>
      </c>
      <c r="J55" s="123">
        <f t="shared" si="12"/>
        <v>1336.9723839974176</v>
      </c>
      <c r="K55" s="123">
        <f t="shared" si="12"/>
        <v>1545.8429207156785</v>
      </c>
      <c r="L55" s="123">
        <f t="shared" si="12"/>
        <v>1759.2734108052507</v>
      </c>
      <c r="M55" s="123">
        <f t="shared" si="12"/>
        <v>1981.9062398581809</v>
      </c>
    </row>
    <row r="56" spans="1:14" ht="18.399999999999999" customHeight="1" x14ac:dyDescent="0.25">
      <c r="A56" s="56"/>
      <c r="B56" s="69"/>
      <c r="C56" s="64"/>
      <c r="D56" s="64"/>
      <c r="E56" s="64"/>
      <c r="F56" s="64"/>
      <c r="G56" s="64"/>
      <c r="H56" s="64"/>
      <c r="I56" s="64"/>
      <c r="J56" s="64"/>
      <c r="K56" s="64"/>
      <c r="L56" s="64"/>
      <c r="M56" s="64"/>
    </row>
    <row r="57" spans="1:14" ht="18.399999999999999" customHeight="1" x14ac:dyDescent="0.25">
      <c r="A57" s="56" t="s">
        <v>215</v>
      </c>
      <c r="B57" s="69" t="s">
        <v>73</v>
      </c>
      <c r="C57" s="85">
        <v>0</v>
      </c>
      <c r="D57" s="85">
        <f>-D55/C12*D33</f>
        <v>-3.3333333333333335</v>
      </c>
      <c r="E57" s="85">
        <f t="shared" ref="E57:M57" si="13">-E55/D12*E33</f>
        <v>-8.619930679933665</v>
      </c>
      <c r="F57" s="85">
        <f t="shared" si="13"/>
        <v>-16.046518776696317</v>
      </c>
      <c r="G57" s="85">
        <f t="shared" si="13"/>
        <v>-24.150484170797444</v>
      </c>
      <c r="H57" s="85">
        <f t="shared" si="13"/>
        <v>-30.83391681932908</v>
      </c>
      <c r="I57" s="85">
        <f t="shared" si="13"/>
        <v>-37.674454281640315</v>
      </c>
      <c r="J57" s="85">
        <f t="shared" si="13"/>
        <v>-44.565746133247252</v>
      </c>
      <c r="K57" s="85">
        <f t="shared" si="13"/>
        <v>-51.528097357189282</v>
      </c>
      <c r="L57" s="85">
        <f t="shared" si="13"/>
        <v>-58.642447026841687</v>
      </c>
      <c r="M57" s="85">
        <f t="shared" si="13"/>
        <v>-33.303264669763045</v>
      </c>
      <c r="N57" s="76" t="s">
        <v>143</v>
      </c>
    </row>
    <row r="58" spans="1:14" ht="18.399999999999999" customHeight="1" x14ac:dyDescent="0.25">
      <c r="A58" s="80"/>
      <c r="B58" s="80"/>
      <c r="C58" s="80"/>
      <c r="D58" s="80"/>
      <c r="E58" s="80"/>
      <c r="F58" s="80"/>
      <c r="G58" s="80"/>
      <c r="H58" s="80"/>
      <c r="I58" s="80"/>
      <c r="J58" s="80"/>
      <c r="K58" s="80"/>
      <c r="L58" s="80"/>
      <c r="M58" s="80"/>
    </row>
    <row r="59" spans="1:14" ht="18.399999999999999" customHeight="1" x14ac:dyDescent="0.25">
      <c r="B59" s="80"/>
      <c r="C59" s="171"/>
      <c r="D59" s="67"/>
      <c r="E59" s="67"/>
      <c r="F59" s="67"/>
      <c r="G59" s="67"/>
      <c r="H59" s="67"/>
      <c r="I59" s="67"/>
      <c r="J59" s="67"/>
      <c r="K59" s="67"/>
      <c r="L59" s="67"/>
      <c r="M59" s="67"/>
    </row>
    <row r="60" spans="1:14" ht="21" x14ac:dyDescent="0.35">
      <c r="A60" s="178" t="s">
        <v>127</v>
      </c>
    </row>
    <row r="61" spans="1:14" ht="21" x14ac:dyDescent="0.35">
      <c r="A61" s="178"/>
    </row>
    <row r="62" spans="1:14" x14ac:dyDescent="0.25">
      <c r="C62" s="99">
        <v>2012</v>
      </c>
      <c r="D62" s="99">
        <v>2013</v>
      </c>
      <c r="E62" s="99">
        <v>2014</v>
      </c>
      <c r="F62" s="99">
        <v>2015</v>
      </c>
      <c r="G62" s="99">
        <v>2016</v>
      </c>
      <c r="H62" s="99">
        <v>2017</v>
      </c>
      <c r="I62" s="99">
        <v>2018</v>
      </c>
      <c r="J62" s="99">
        <v>2019</v>
      </c>
      <c r="K62" s="99">
        <v>2020</v>
      </c>
      <c r="L62" s="99">
        <v>2021</v>
      </c>
      <c r="M62" s="99">
        <v>2022</v>
      </c>
    </row>
    <row r="63" spans="1:14" ht="18.75" x14ac:dyDescent="0.3">
      <c r="A63" s="86" t="s">
        <v>101</v>
      </c>
      <c r="B63" s="96"/>
    </row>
    <row r="64" spans="1:14" x14ac:dyDescent="0.25">
      <c r="A64" s="91" t="s">
        <v>90</v>
      </c>
      <c r="B64" s="69" t="s">
        <v>73</v>
      </c>
      <c r="C64" s="176">
        <v>0</v>
      </c>
      <c r="D64" s="122">
        <f>C67</f>
        <v>30</v>
      </c>
      <c r="E64" s="122">
        <f t="shared" ref="E64:M64" si="14">D67</f>
        <v>80</v>
      </c>
      <c r="F64" s="122">
        <f t="shared" si="14"/>
        <v>150</v>
      </c>
      <c r="G64" s="122">
        <f t="shared" si="14"/>
        <v>250</v>
      </c>
      <c r="H64" s="122">
        <f t="shared" si="14"/>
        <v>350</v>
      </c>
      <c r="I64" s="122">
        <f t="shared" si="14"/>
        <v>450</v>
      </c>
      <c r="J64" s="122">
        <f t="shared" si="14"/>
        <v>550</v>
      </c>
      <c r="K64" s="122">
        <f t="shared" si="14"/>
        <v>650</v>
      </c>
      <c r="L64" s="122">
        <f t="shared" si="14"/>
        <v>750</v>
      </c>
      <c r="M64" s="122">
        <f t="shared" si="14"/>
        <v>850</v>
      </c>
      <c r="N64" s="76" t="s">
        <v>137</v>
      </c>
    </row>
    <row r="65" spans="1:15" x14ac:dyDescent="0.25">
      <c r="A65" s="91" t="s">
        <v>89</v>
      </c>
      <c r="B65" s="69" t="s">
        <v>73</v>
      </c>
      <c r="C65" s="64">
        <f t="shared" ref="C65:M65" si="15">C26</f>
        <v>30</v>
      </c>
      <c r="D65" s="64">
        <f t="shared" si="15"/>
        <v>50</v>
      </c>
      <c r="E65" s="64">
        <f t="shared" si="15"/>
        <v>70</v>
      </c>
      <c r="F65" s="64">
        <f t="shared" si="15"/>
        <v>100</v>
      </c>
      <c r="G65" s="64">
        <f t="shared" si="15"/>
        <v>100</v>
      </c>
      <c r="H65" s="64">
        <f t="shared" si="15"/>
        <v>100</v>
      </c>
      <c r="I65" s="64">
        <f t="shared" si="15"/>
        <v>100</v>
      </c>
      <c r="J65" s="64">
        <f t="shared" si="15"/>
        <v>100</v>
      </c>
      <c r="K65" s="64">
        <f t="shared" si="15"/>
        <v>100</v>
      </c>
      <c r="L65" s="64">
        <f t="shared" si="15"/>
        <v>100</v>
      </c>
      <c r="M65" s="64">
        <f t="shared" si="15"/>
        <v>100</v>
      </c>
    </row>
    <row r="66" spans="1:15" x14ac:dyDescent="0.25">
      <c r="A66" s="91" t="s">
        <v>100</v>
      </c>
      <c r="B66" s="69" t="s">
        <v>73</v>
      </c>
      <c r="C66" s="66">
        <f t="shared" ref="C66:M66" si="16">C27</f>
        <v>0</v>
      </c>
      <c r="D66" s="66">
        <f t="shared" si="16"/>
        <v>0</v>
      </c>
      <c r="E66" s="66">
        <f t="shared" si="16"/>
        <v>0</v>
      </c>
      <c r="F66" s="66">
        <f t="shared" si="16"/>
        <v>0</v>
      </c>
      <c r="G66" s="66">
        <f t="shared" si="16"/>
        <v>0</v>
      </c>
      <c r="H66" s="66">
        <f t="shared" si="16"/>
        <v>0</v>
      </c>
      <c r="I66" s="66">
        <f t="shared" si="16"/>
        <v>0</v>
      </c>
      <c r="J66" s="66">
        <f t="shared" si="16"/>
        <v>0</v>
      </c>
      <c r="K66" s="66">
        <f t="shared" si="16"/>
        <v>0</v>
      </c>
      <c r="L66" s="66">
        <f t="shared" si="16"/>
        <v>0</v>
      </c>
      <c r="M66" s="66">
        <f t="shared" si="16"/>
        <v>0</v>
      </c>
    </row>
    <row r="67" spans="1:15" x14ac:dyDescent="0.25">
      <c r="A67" s="91" t="s">
        <v>99</v>
      </c>
      <c r="B67" s="69" t="s">
        <v>73</v>
      </c>
      <c r="C67" s="114">
        <f>SUM(C64:C66)</f>
        <v>30</v>
      </c>
      <c r="D67" s="114">
        <f t="shared" ref="D67:M67" si="17">SUM(D64:D66)</f>
        <v>80</v>
      </c>
      <c r="E67" s="114">
        <f t="shared" si="17"/>
        <v>150</v>
      </c>
      <c r="F67" s="114">
        <f t="shared" si="17"/>
        <v>250</v>
      </c>
      <c r="G67" s="114">
        <f t="shared" si="17"/>
        <v>350</v>
      </c>
      <c r="H67" s="114">
        <f t="shared" si="17"/>
        <v>450</v>
      </c>
      <c r="I67" s="114">
        <f t="shared" si="17"/>
        <v>550</v>
      </c>
      <c r="J67" s="114">
        <f t="shared" si="17"/>
        <v>650</v>
      </c>
      <c r="K67" s="114">
        <f t="shared" si="17"/>
        <v>750</v>
      </c>
      <c r="L67" s="114">
        <f t="shared" si="17"/>
        <v>850</v>
      </c>
      <c r="M67" s="114">
        <f t="shared" si="17"/>
        <v>950</v>
      </c>
    </row>
    <row r="69" spans="1:15" ht="18.75" x14ac:dyDescent="0.3">
      <c r="A69" s="87" t="s">
        <v>67</v>
      </c>
      <c r="B69" s="71"/>
      <c r="C69" s="71"/>
      <c r="D69" s="71"/>
      <c r="E69" s="71"/>
      <c r="F69" s="71"/>
      <c r="G69" s="71"/>
      <c r="H69" s="71"/>
      <c r="I69" s="71"/>
      <c r="J69" s="71"/>
      <c r="K69" s="71"/>
      <c r="L69" s="71"/>
      <c r="M69" s="71"/>
    </row>
    <row r="70" spans="1:15" x14ac:dyDescent="0.25">
      <c r="A70" s="56" t="s">
        <v>67</v>
      </c>
      <c r="B70" s="69" t="s">
        <v>73</v>
      </c>
      <c r="C70" s="64">
        <f t="shared" ref="C70:M70" si="18">C14</f>
        <v>0</v>
      </c>
      <c r="D70" s="64">
        <f t="shared" si="18"/>
        <v>50</v>
      </c>
      <c r="E70" s="64">
        <f t="shared" si="18"/>
        <v>100</v>
      </c>
      <c r="F70" s="64">
        <f t="shared" si="18"/>
        <v>150</v>
      </c>
      <c r="G70" s="64">
        <f t="shared" si="18"/>
        <v>200</v>
      </c>
      <c r="H70" s="64">
        <f t="shared" si="18"/>
        <v>210</v>
      </c>
      <c r="I70" s="64">
        <f t="shared" si="18"/>
        <v>220</v>
      </c>
      <c r="J70" s="64">
        <f t="shared" si="18"/>
        <v>230</v>
      </c>
      <c r="K70" s="64">
        <f t="shared" si="18"/>
        <v>240</v>
      </c>
      <c r="L70" s="64">
        <f t="shared" si="18"/>
        <v>250</v>
      </c>
      <c r="M70" s="64">
        <f t="shared" si="18"/>
        <v>260</v>
      </c>
    </row>
    <row r="71" spans="1:15" x14ac:dyDescent="0.25">
      <c r="A71" s="56"/>
      <c r="B71" s="63"/>
      <c r="C71" s="64"/>
      <c r="D71" s="64"/>
      <c r="E71" s="64"/>
      <c r="F71" s="64"/>
      <c r="G71" s="64"/>
      <c r="H71" s="64"/>
      <c r="I71" s="64"/>
      <c r="J71" s="64"/>
      <c r="K71" s="64"/>
      <c r="L71" s="64"/>
      <c r="M71" s="64"/>
    </row>
    <row r="72" spans="1:15" ht="18.75" x14ac:dyDescent="0.3">
      <c r="A72" s="87" t="s">
        <v>84</v>
      </c>
      <c r="B72" s="69"/>
      <c r="C72" s="64"/>
      <c r="D72" s="64"/>
      <c r="E72" s="64"/>
      <c r="F72" s="64"/>
      <c r="G72" s="64"/>
      <c r="H72" s="64"/>
      <c r="I72" s="64"/>
      <c r="J72" s="64"/>
      <c r="K72" s="64"/>
      <c r="L72" s="64"/>
      <c r="M72" s="64"/>
    </row>
    <row r="73" spans="1:15" x14ac:dyDescent="0.25">
      <c r="A73" s="56" t="s">
        <v>35</v>
      </c>
      <c r="B73" s="69" t="s">
        <v>73</v>
      </c>
      <c r="C73" s="64">
        <f t="shared" ref="C73:M73" si="19">-C20*C55</f>
        <v>0</v>
      </c>
      <c r="D73" s="64">
        <f t="shared" si="19"/>
        <v>-9.1820000000000022</v>
      </c>
      <c r="E73" s="64">
        <f t="shared" si="19"/>
        <v>-23.744461050945276</v>
      </c>
      <c r="F73" s="64">
        <f t="shared" si="19"/>
        <v>-44.20174062228768</v>
      </c>
      <c r="G73" s="64">
        <f t="shared" si="19"/>
        <v>-44.789487943160943</v>
      </c>
      <c r="H73" s="64">
        <f t="shared" si="19"/>
        <v>-57.184582133127712</v>
      </c>
      <c r="I73" s="64">
        <f t="shared" si="19"/>
        <v>-66.367318662537571</v>
      </c>
      <c r="J73" s="64">
        <f t="shared" si="19"/>
        <v>-65.137294548354191</v>
      </c>
      <c r="K73" s="64">
        <f t="shared" si="19"/>
        <v>-75.313467097267861</v>
      </c>
      <c r="L73" s="64">
        <f t="shared" si="19"/>
        <v>-90.109984101444937</v>
      </c>
      <c r="M73" s="64">
        <f t="shared" si="19"/>
        <v>-50.395566378364315</v>
      </c>
    </row>
    <row r="74" spans="1:15" x14ac:dyDescent="0.25">
      <c r="A74" s="56" t="s">
        <v>144</v>
      </c>
      <c r="B74" s="69" t="s">
        <v>73</v>
      </c>
      <c r="C74" s="64">
        <f t="shared" ref="C74:M74" si="20">C15</f>
        <v>-50</v>
      </c>
      <c r="D74" s="64">
        <f t="shared" si="20"/>
        <v>-100</v>
      </c>
      <c r="E74" s="64">
        <f t="shared" si="20"/>
        <v>-150</v>
      </c>
      <c r="F74" s="64">
        <f t="shared" si="20"/>
        <v>-150</v>
      </c>
      <c r="G74" s="64">
        <f t="shared" si="20"/>
        <v>-150</v>
      </c>
      <c r="H74" s="64">
        <f t="shared" si="20"/>
        <v>-150</v>
      </c>
      <c r="I74" s="64">
        <f t="shared" si="20"/>
        <v>-150</v>
      </c>
      <c r="J74" s="64">
        <f t="shared" si="20"/>
        <v>-150</v>
      </c>
      <c r="K74" s="64">
        <f t="shared" si="20"/>
        <v>-150</v>
      </c>
      <c r="L74" s="64">
        <f t="shared" si="20"/>
        <v>-150</v>
      </c>
      <c r="M74" s="64">
        <f t="shared" si="20"/>
        <v>-150</v>
      </c>
    </row>
    <row r="75" spans="1:15" x14ac:dyDescent="0.25">
      <c r="A75" s="56" t="s">
        <v>28</v>
      </c>
      <c r="B75" s="69" t="s">
        <v>73</v>
      </c>
      <c r="C75" s="64">
        <f>C57</f>
        <v>0</v>
      </c>
      <c r="D75" s="64">
        <f>D57</f>
        <v>-3.3333333333333335</v>
      </c>
      <c r="E75" s="64">
        <f t="shared" ref="E75:M75" si="21">E57</f>
        <v>-8.619930679933665</v>
      </c>
      <c r="F75" s="64">
        <f t="shared" si="21"/>
        <v>-16.046518776696317</v>
      </c>
      <c r="G75" s="64">
        <f t="shared" si="21"/>
        <v>-24.150484170797444</v>
      </c>
      <c r="H75" s="64">
        <f t="shared" si="21"/>
        <v>-30.83391681932908</v>
      </c>
      <c r="I75" s="64">
        <f t="shared" si="21"/>
        <v>-37.674454281640315</v>
      </c>
      <c r="J75" s="64">
        <f t="shared" si="21"/>
        <v>-44.565746133247252</v>
      </c>
      <c r="K75" s="64">
        <f t="shared" si="21"/>
        <v>-51.528097357189282</v>
      </c>
      <c r="L75" s="64">
        <f t="shared" si="21"/>
        <v>-58.642447026841687</v>
      </c>
      <c r="M75" s="64">
        <f t="shared" si="21"/>
        <v>-33.303264669763045</v>
      </c>
    </row>
    <row r="76" spans="1:15" x14ac:dyDescent="0.25">
      <c r="A76" s="79" t="s">
        <v>77</v>
      </c>
      <c r="B76" s="69" t="s">
        <v>73</v>
      </c>
      <c r="C76" s="81">
        <f t="shared" ref="C76:M76" si="22">C113</f>
        <v>0</v>
      </c>
      <c r="D76" s="81">
        <f t="shared" si="22"/>
        <v>0</v>
      </c>
      <c r="E76" s="81">
        <f t="shared" si="22"/>
        <v>0</v>
      </c>
      <c r="F76" s="81">
        <f t="shared" si="22"/>
        <v>0</v>
      </c>
      <c r="G76" s="81">
        <f t="shared" si="22"/>
        <v>0</v>
      </c>
      <c r="H76" s="81">
        <f t="shared" si="22"/>
        <v>0</v>
      </c>
      <c r="I76" s="81">
        <f t="shared" si="22"/>
        <v>0</v>
      </c>
      <c r="J76" s="81">
        <f t="shared" si="22"/>
        <v>0</v>
      </c>
      <c r="K76" s="81">
        <f t="shared" si="22"/>
        <v>0</v>
      </c>
      <c r="L76" s="81">
        <f t="shared" si="22"/>
        <v>0</v>
      </c>
      <c r="M76" s="81">
        <f t="shared" si="22"/>
        <v>0</v>
      </c>
      <c r="N76" s="76" t="s">
        <v>134</v>
      </c>
    </row>
    <row r="77" spans="1:15" x14ac:dyDescent="0.25">
      <c r="A77" s="82" t="s">
        <v>91</v>
      </c>
      <c r="B77" s="69" t="s">
        <v>73</v>
      </c>
      <c r="C77" s="115">
        <f>SUM(C73:C76)</f>
        <v>-50</v>
      </c>
      <c r="D77" s="115">
        <f t="shared" ref="D77:M77" si="23">SUM(D73:D76)</f>
        <v>-112.51533333333333</v>
      </c>
      <c r="E77" s="115">
        <f t="shared" si="23"/>
        <v>-182.36439173087896</v>
      </c>
      <c r="F77" s="115">
        <f t="shared" si="23"/>
        <v>-210.24825939898398</v>
      </c>
      <c r="G77" s="115">
        <f t="shared" si="23"/>
        <v>-218.93997211395839</v>
      </c>
      <c r="H77" s="115">
        <f t="shared" si="23"/>
        <v>-238.01849895245681</v>
      </c>
      <c r="I77" s="115">
        <f t="shared" si="23"/>
        <v>-254.04177294417789</v>
      </c>
      <c r="J77" s="115">
        <f t="shared" si="23"/>
        <v>-259.70304068160146</v>
      </c>
      <c r="K77" s="115">
        <f t="shared" si="23"/>
        <v>-276.84156445445711</v>
      </c>
      <c r="L77" s="115">
        <f t="shared" si="23"/>
        <v>-298.75243112828662</v>
      </c>
      <c r="M77" s="115">
        <f t="shared" si="23"/>
        <v>-233.69883104812737</v>
      </c>
    </row>
    <row r="78" spans="1:15" x14ac:dyDescent="0.25">
      <c r="A78" s="77"/>
      <c r="C78" s="45"/>
      <c r="D78" s="45"/>
      <c r="E78" s="45"/>
      <c r="F78" s="45"/>
      <c r="G78" s="45"/>
      <c r="H78" s="45"/>
      <c r="I78" s="45"/>
      <c r="J78" s="45"/>
      <c r="K78" s="45"/>
      <c r="L78" s="45"/>
      <c r="M78" s="45"/>
    </row>
    <row r="79" spans="1:15" x14ac:dyDescent="0.25">
      <c r="A79" s="77"/>
      <c r="B79" s="202"/>
      <c r="C79" s="78"/>
      <c r="D79" s="78"/>
      <c r="E79" s="78"/>
      <c r="F79" s="78"/>
      <c r="G79" s="78"/>
      <c r="H79" s="78"/>
      <c r="I79" s="78"/>
      <c r="J79" s="78"/>
      <c r="K79" s="78"/>
      <c r="L79" s="78"/>
      <c r="M79" s="78"/>
      <c r="N79" s="102"/>
      <c r="O79" s="45"/>
    </row>
    <row r="80" spans="1:15" ht="18.75" x14ac:dyDescent="0.3">
      <c r="A80" s="86" t="s">
        <v>32</v>
      </c>
      <c r="B80" s="187"/>
      <c r="C80" s="231"/>
      <c r="D80" s="231"/>
      <c r="E80" s="231"/>
      <c r="F80" s="231"/>
      <c r="G80" s="231"/>
      <c r="H80" s="231"/>
      <c r="I80" s="231"/>
      <c r="J80" s="231"/>
      <c r="K80" s="231"/>
      <c r="L80" s="231"/>
      <c r="M80" s="231"/>
      <c r="N80" s="102"/>
      <c r="O80" s="45"/>
    </row>
    <row r="81" spans="1:15" x14ac:dyDescent="0.25">
      <c r="A81" s="91" t="s">
        <v>90</v>
      </c>
      <c r="B81" s="69" t="s">
        <v>73</v>
      </c>
      <c r="C81" s="93">
        <v>0</v>
      </c>
      <c r="D81" s="64">
        <f>C84</f>
        <v>30</v>
      </c>
      <c r="E81" s="64">
        <f t="shared" ref="E81:M81" si="24">D84</f>
        <v>80</v>
      </c>
      <c r="F81" s="64">
        <f t="shared" si="24"/>
        <v>150</v>
      </c>
      <c r="G81" s="64">
        <f t="shared" si="24"/>
        <v>250</v>
      </c>
      <c r="H81" s="64">
        <f t="shared" si="24"/>
        <v>350</v>
      </c>
      <c r="I81" s="64">
        <f t="shared" si="24"/>
        <v>450</v>
      </c>
      <c r="J81" s="64">
        <f t="shared" si="24"/>
        <v>550</v>
      </c>
      <c r="K81" s="64">
        <f t="shared" si="24"/>
        <v>650</v>
      </c>
      <c r="L81" s="64">
        <f t="shared" si="24"/>
        <v>750</v>
      </c>
      <c r="M81" s="64">
        <f t="shared" si="24"/>
        <v>850</v>
      </c>
      <c r="N81" s="102"/>
      <c r="O81" s="45"/>
    </row>
    <row r="82" spans="1:15" x14ac:dyDescent="0.25">
      <c r="A82" s="91" t="s">
        <v>89</v>
      </c>
      <c r="B82" s="69" t="s">
        <v>73</v>
      </c>
      <c r="C82" s="64">
        <f t="shared" ref="C82:M82" si="25">C26</f>
        <v>30</v>
      </c>
      <c r="D82" s="64">
        <f t="shared" si="25"/>
        <v>50</v>
      </c>
      <c r="E82" s="64">
        <f t="shared" si="25"/>
        <v>70</v>
      </c>
      <c r="F82" s="64">
        <f t="shared" si="25"/>
        <v>100</v>
      </c>
      <c r="G82" s="64">
        <f t="shared" si="25"/>
        <v>100</v>
      </c>
      <c r="H82" s="64">
        <f t="shared" si="25"/>
        <v>100</v>
      </c>
      <c r="I82" s="64">
        <f t="shared" si="25"/>
        <v>100</v>
      </c>
      <c r="J82" s="64">
        <f t="shared" si="25"/>
        <v>100</v>
      </c>
      <c r="K82" s="64">
        <f t="shared" si="25"/>
        <v>100</v>
      </c>
      <c r="L82" s="64">
        <f t="shared" si="25"/>
        <v>100</v>
      </c>
      <c r="M82" s="64">
        <f t="shared" si="25"/>
        <v>100</v>
      </c>
      <c r="N82" s="102"/>
      <c r="O82" s="45"/>
    </row>
    <row r="83" spans="1:15" x14ac:dyDescent="0.25">
      <c r="A83" s="91" t="s">
        <v>100</v>
      </c>
      <c r="B83" s="69" t="s">
        <v>73</v>
      </c>
      <c r="C83" s="64">
        <f t="shared" ref="C83:M83" si="26">C27</f>
        <v>0</v>
      </c>
      <c r="D83" s="64">
        <f t="shared" si="26"/>
        <v>0</v>
      </c>
      <c r="E83" s="64">
        <f t="shared" si="26"/>
        <v>0</v>
      </c>
      <c r="F83" s="64">
        <f t="shared" si="26"/>
        <v>0</v>
      </c>
      <c r="G83" s="64">
        <f t="shared" si="26"/>
        <v>0</v>
      </c>
      <c r="H83" s="64">
        <f t="shared" si="26"/>
        <v>0</v>
      </c>
      <c r="I83" s="64">
        <f t="shared" si="26"/>
        <v>0</v>
      </c>
      <c r="J83" s="64">
        <f t="shared" si="26"/>
        <v>0</v>
      </c>
      <c r="K83" s="64">
        <f t="shared" si="26"/>
        <v>0</v>
      </c>
      <c r="L83" s="64">
        <f t="shared" si="26"/>
        <v>0</v>
      </c>
      <c r="M83" s="64">
        <f t="shared" si="26"/>
        <v>0</v>
      </c>
      <c r="N83" s="102"/>
      <c r="O83" s="45"/>
    </row>
    <row r="84" spans="1:15" x14ac:dyDescent="0.25">
      <c r="A84" s="91" t="s">
        <v>99</v>
      </c>
      <c r="B84" s="69" t="s">
        <v>73</v>
      </c>
      <c r="C84" s="114">
        <f>SUM(C81:C83)</f>
        <v>30</v>
      </c>
      <c r="D84" s="114">
        <f t="shared" ref="D84:M84" si="27">SUM(D81:D83)</f>
        <v>80</v>
      </c>
      <c r="E84" s="114">
        <f t="shared" si="27"/>
        <v>150</v>
      </c>
      <c r="F84" s="114">
        <f t="shared" si="27"/>
        <v>250</v>
      </c>
      <c r="G84" s="114">
        <f t="shared" si="27"/>
        <v>350</v>
      </c>
      <c r="H84" s="114">
        <f t="shared" si="27"/>
        <v>450</v>
      </c>
      <c r="I84" s="114">
        <f t="shared" si="27"/>
        <v>550</v>
      </c>
      <c r="J84" s="114">
        <f t="shared" si="27"/>
        <v>650</v>
      </c>
      <c r="K84" s="114">
        <f t="shared" si="27"/>
        <v>750</v>
      </c>
      <c r="L84" s="114">
        <f t="shared" si="27"/>
        <v>850</v>
      </c>
      <c r="M84" s="114">
        <f t="shared" si="27"/>
        <v>950</v>
      </c>
      <c r="N84" s="102"/>
      <c r="O84" s="45"/>
    </row>
    <row r="86" spans="1:15" x14ac:dyDescent="0.25">
      <c r="A86" s="91" t="s">
        <v>32</v>
      </c>
      <c r="B86" s="69" t="s">
        <v>73</v>
      </c>
      <c r="C86" s="74">
        <f t="shared" ref="C86:M86" si="28">C81*C19</f>
        <v>0</v>
      </c>
      <c r="D86" s="74">
        <f t="shared" si="28"/>
        <v>2.4</v>
      </c>
      <c r="E86" s="74">
        <f t="shared" si="28"/>
        <v>6.4</v>
      </c>
      <c r="F86" s="74">
        <f t="shared" si="28"/>
        <v>12</v>
      </c>
      <c r="G86" s="74">
        <f t="shared" si="28"/>
        <v>12.5</v>
      </c>
      <c r="H86" s="74">
        <f t="shared" si="28"/>
        <v>17.5</v>
      </c>
      <c r="I86" s="74">
        <f t="shared" si="28"/>
        <v>22.5</v>
      </c>
      <c r="J86" s="74">
        <f t="shared" si="28"/>
        <v>16.5</v>
      </c>
      <c r="K86" s="74">
        <f t="shared" si="28"/>
        <v>19.5</v>
      </c>
      <c r="L86" s="74">
        <f t="shared" si="28"/>
        <v>22.5</v>
      </c>
      <c r="M86" s="74">
        <f t="shared" si="28"/>
        <v>17</v>
      </c>
      <c r="N86" s="76" t="s">
        <v>181</v>
      </c>
    </row>
    <row r="87" spans="1:15" x14ac:dyDescent="0.25">
      <c r="A87" s="77"/>
      <c r="B87" s="202"/>
      <c r="C87" s="181"/>
      <c r="D87" s="181"/>
      <c r="E87" s="181"/>
      <c r="F87" s="181"/>
      <c r="G87" s="181"/>
      <c r="H87" s="181"/>
      <c r="I87" s="181"/>
      <c r="J87" s="181"/>
      <c r="K87" s="181"/>
      <c r="L87" s="181"/>
      <c r="M87" s="181"/>
    </row>
    <row r="88" spans="1:15" ht="18.75" x14ac:dyDescent="0.3">
      <c r="A88" s="86" t="s">
        <v>85</v>
      </c>
      <c r="B88" s="187"/>
      <c r="C88" s="181"/>
      <c r="D88" s="181"/>
      <c r="E88" s="181"/>
      <c r="F88" s="181"/>
      <c r="G88" s="181"/>
      <c r="H88" s="181"/>
      <c r="I88" s="181"/>
      <c r="J88" s="181"/>
      <c r="K88" s="181"/>
      <c r="L88" s="181"/>
      <c r="M88" s="181"/>
      <c r="O88" s="234"/>
    </row>
    <row r="89" spans="1:15" x14ac:dyDescent="0.25">
      <c r="A89" s="56" t="s">
        <v>136</v>
      </c>
      <c r="B89" s="85" t="s">
        <v>73</v>
      </c>
      <c r="C89" s="85">
        <f t="shared" ref="C89:M89" si="29">C70+C77+C86</f>
        <v>-50</v>
      </c>
      <c r="D89" s="85">
        <f t="shared" si="29"/>
        <v>-60.115333333333332</v>
      </c>
      <c r="E89" s="85">
        <f t="shared" si="29"/>
        <v>-75.964391730878958</v>
      </c>
      <c r="F89" s="85">
        <f t="shared" si="29"/>
        <v>-48.248259398983976</v>
      </c>
      <c r="G89" s="85">
        <f t="shared" si="29"/>
        <v>-6.4399721139583903</v>
      </c>
      <c r="H89" s="85">
        <f t="shared" si="29"/>
        <v>-10.51849895245681</v>
      </c>
      <c r="I89" s="85">
        <f t="shared" si="29"/>
        <v>-11.541772944177893</v>
      </c>
      <c r="J89" s="85">
        <f t="shared" si="29"/>
        <v>-13.203040681601465</v>
      </c>
      <c r="K89" s="85">
        <f t="shared" si="29"/>
        <v>-17.341564454457114</v>
      </c>
      <c r="L89" s="85">
        <f t="shared" si="29"/>
        <v>-26.252431128286617</v>
      </c>
      <c r="M89" s="85">
        <f t="shared" si="29"/>
        <v>43.301168951872626</v>
      </c>
      <c r="N89" s="102"/>
      <c r="O89" s="45"/>
    </row>
    <row r="90" spans="1:15" x14ac:dyDescent="0.25">
      <c r="A90" s="77"/>
      <c r="B90" s="153"/>
      <c r="C90" s="180"/>
      <c r="D90" s="180"/>
      <c r="E90" s="180"/>
      <c r="F90" s="180"/>
      <c r="G90" s="180"/>
      <c r="H90" s="180"/>
      <c r="I90" s="180"/>
      <c r="J90" s="180"/>
      <c r="K90" s="180"/>
      <c r="L90" s="180"/>
      <c r="M90" s="180"/>
      <c r="O90" s="45"/>
    </row>
    <row r="91" spans="1:15" ht="23.25" x14ac:dyDescent="0.35">
      <c r="A91" s="177" t="s">
        <v>207</v>
      </c>
      <c r="B91" s="8"/>
      <c r="E91" s="67"/>
      <c r="F91" s="67"/>
      <c r="G91" s="67"/>
      <c r="H91" s="67"/>
      <c r="I91" s="67"/>
      <c r="J91" s="67"/>
      <c r="K91" s="67"/>
      <c r="L91" s="67"/>
      <c r="M91" s="67"/>
    </row>
    <row r="92" spans="1:15" x14ac:dyDescent="0.25">
      <c r="A92" s="76"/>
      <c r="C92" s="67"/>
      <c r="D92" s="67"/>
      <c r="E92" s="67"/>
      <c r="F92" s="67"/>
      <c r="G92" s="67"/>
      <c r="H92" s="67"/>
      <c r="I92" s="67"/>
      <c r="J92" s="67"/>
      <c r="K92" s="67"/>
      <c r="L92" s="67"/>
      <c r="M92" s="67"/>
    </row>
    <row r="93" spans="1:15" x14ac:dyDescent="0.25">
      <c r="C93" s="100">
        <v>2012</v>
      </c>
      <c r="D93" s="100">
        <v>2013</v>
      </c>
      <c r="E93" s="100">
        <v>2014</v>
      </c>
      <c r="F93" s="100">
        <v>2015</v>
      </c>
      <c r="G93" s="100">
        <v>2016</v>
      </c>
      <c r="H93" s="100">
        <v>2017</v>
      </c>
      <c r="I93" s="100">
        <v>2018</v>
      </c>
      <c r="J93" s="100">
        <v>2019</v>
      </c>
      <c r="K93" s="100">
        <v>2020</v>
      </c>
      <c r="L93" s="100">
        <v>2021</v>
      </c>
      <c r="M93" s="100">
        <v>2022</v>
      </c>
    </row>
    <row r="94" spans="1:15" x14ac:dyDescent="0.25">
      <c r="A94" s="56" t="s">
        <v>198</v>
      </c>
      <c r="B94" s="69" t="s">
        <v>73</v>
      </c>
      <c r="C94" s="64">
        <f t="shared" ref="C94:M94" si="30">C14</f>
        <v>0</v>
      </c>
      <c r="D94" s="64">
        <f t="shared" si="30"/>
        <v>50</v>
      </c>
      <c r="E94" s="64">
        <f t="shared" si="30"/>
        <v>100</v>
      </c>
      <c r="F94" s="64">
        <f t="shared" si="30"/>
        <v>150</v>
      </c>
      <c r="G94" s="64">
        <f t="shared" si="30"/>
        <v>200</v>
      </c>
      <c r="H94" s="64">
        <f t="shared" si="30"/>
        <v>210</v>
      </c>
      <c r="I94" s="64">
        <f t="shared" si="30"/>
        <v>220</v>
      </c>
      <c r="J94" s="64">
        <f t="shared" si="30"/>
        <v>230</v>
      </c>
      <c r="K94" s="64">
        <f t="shared" si="30"/>
        <v>240</v>
      </c>
      <c r="L94" s="64">
        <f t="shared" si="30"/>
        <v>250</v>
      </c>
      <c r="M94" s="64">
        <f t="shared" si="30"/>
        <v>260</v>
      </c>
    </row>
    <row r="95" spans="1:15" x14ac:dyDescent="0.25">
      <c r="A95" s="56" t="s">
        <v>144</v>
      </c>
      <c r="B95" s="69" t="s">
        <v>73</v>
      </c>
      <c r="C95" s="64">
        <f t="shared" ref="C95:M95" si="31">C15</f>
        <v>-50</v>
      </c>
      <c r="D95" s="64">
        <f t="shared" si="31"/>
        <v>-100</v>
      </c>
      <c r="E95" s="64">
        <f t="shared" si="31"/>
        <v>-150</v>
      </c>
      <c r="F95" s="64">
        <f t="shared" si="31"/>
        <v>-150</v>
      </c>
      <c r="G95" s="64">
        <f t="shared" si="31"/>
        <v>-150</v>
      </c>
      <c r="H95" s="64">
        <f t="shared" si="31"/>
        <v>-150</v>
      </c>
      <c r="I95" s="64">
        <f t="shared" si="31"/>
        <v>-150</v>
      </c>
      <c r="J95" s="64">
        <f t="shared" si="31"/>
        <v>-150</v>
      </c>
      <c r="K95" s="64">
        <f t="shared" si="31"/>
        <v>-150</v>
      </c>
      <c r="L95" s="64">
        <f t="shared" si="31"/>
        <v>-150</v>
      </c>
      <c r="M95" s="64">
        <f t="shared" si="31"/>
        <v>-150</v>
      </c>
    </row>
    <row r="96" spans="1:15" x14ac:dyDescent="0.25">
      <c r="A96" s="91" t="s">
        <v>36</v>
      </c>
      <c r="B96" s="69" t="s">
        <v>73</v>
      </c>
      <c r="C96" s="64">
        <f t="shared" ref="C96:M96" si="32">C38</f>
        <v>0</v>
      </c>
      <c r="D96" s="64">
        <f t="shared" si="32"/>
        <v>-2.5</v>
      </c>
      <c r="E96" s="64">
        <f t="shared" si="32"/>
        <v>-7.375</v>
      </c>
      <c r="F96" s="64">
        <f t="shared" si="32"/>
        <v>-14.50625</v>
      </c>
      <c r="G96" s="64">
        <f t="shared" si="32"/>
        <v>-23.7809375</v>
      </c>
      <c r="H96" s="64">
        <f t="shared" si="32"/>
        <v>-32.591890624999998</v>
      </c>
      <c r="I96" s="64">
        <f t="shared" si="32"/>
        <v>-40.962296093749998</v>
      </c>
      <c r="J96" s="64">
        <f t="shared" si="32"/>
        <v>-48.914181289062498</v>
      </c>
      <c r="K96" s="64">
        <f t="shared" si="32"/>
        <v>-56.468472224609378</v>
      </c>
      <c r="L96" s="64">
        <f t="shared" si="32"/>
        <v>-63.645048613378911</v>
      </c>
      <c r="M96" s="64">
        <f t="shared" si="32"/>
        <v>-35.520971226352422</v>
      </c>
    </row>
    <row r="97" spans="1:13" x14ac:dyDescent="0.25">
      <c r="A97" s="154" t="s">
        <v>94</v>
      </c>
      <c r="B97" s="69" t="s">
        <v>73</v>
      </c>
      <c r="C97" s="66">
        <f t="shared" ref="C97:M97" si="33">-((C17*C55*C18)-(C19*C64))</f>
        <v>0</v>
      </c>
      <c r="D97" s="66">
        <f t="shared" si="33"/>
        <v>0.16799999999999971</v>
      </c>
      <c r="E97" s="66">
        <f t="shared" si="33"/>
        <v>0.62809441671641775</v>
      </c>
      <c r="F97" s="66">
        <f t="shared" si="33"/>
        <v>1.2552510271241442</v>
      </c>
      <c r="G97" s="66">
        <f t="shared" si="33"/>
        <v>3.0668208828865176</v>
      </c>
      <c r="H97" s="66">
        <f t="shared" si="33"/>
        <v>5.4562720903700601</v>
      </c>
      <c r="I97" s="66">
        <f t="shared" si="33"/>
        <v>11.288082405783843</v>
      </c>
      <c r="J97" s="66">
        <f t="shared" si="33"/>
        <v>7.3818483411376121</v>
      </c>
      <c r="K97" s="66">
        <f t="shared" si="33"/>
        <v>8.9573512807190738</v>
      </c>
      <c r="L97" s="66">
        <f t="shared" si="33"/>
        <v>10.50175533830819</v>
      </c>
      <c r="M97" s="66">
        <f t="shared" si="33"/>
        <v>10.278467033330934</v>
      </c>
    </row>
    <row r="98" spans="1:13" x14ac:dyDescent="0.25">
      <c r="A98" s="91" t="s">
        <v>30</v>
      </c>
      <c r="B98" s="69" t="s">
        <v>73</v>
      </c>
      <c r="C98" s="113">
        <f>SUM(C94:C97)</f>
        <v>-50</v>
      </c>
      <c r="D98" s="113">
        <f t="shared" ref="D98:M98" si="34">SUM(D94:D97)</f>
        <v>-52.332000000000001</v>
      </c>
      <c r="E98" s="113">
        <f t="shared" si="34"/>
        <v>-56.746905583283585</v>
      </c>
      <c r="F98" s="113">
        <f t="shared" si="34"/>
        <v>-13.250998972875855</v>
      </c>
      <c r="G98" s="113">
        <f t="shared" si="34"/>
        <v>29.285883382886517</v>
      </c>
      <c r="H98" s="113">
        <f t="shared" si="34"/>
        <v>32.864381465370059</v>
      </c>
      <c r="I98" s="113">
        <f t="shared" si="34"/>
        <v>40.325786312033841</v>
      </c>
      <c r="J98" s="113">
        <f t="shared" si="34"/>
        <v>38.467667052075114</v>
      </c>
      <c r="K98" s="113">
        <f t="shared" si="34"/>
        <v>42.488879056109695</v>
      </c>
      <c r="L98" s="113">
        <f t="shared" si="34"/>
        <v>46.856706724929282</v>
      </c>
      <c r="M98" s="113">
        <f t="shared" si="34"/>
        <v>84.757495806978511</v>
      </c>
    </row>
    <row r="99" spans="1:13" x14ac:dyDescent="0.25">
      <c r="A99" s="91" t="s">
        <v>133</v>
      </c>
      <c r="B99" s="69" t="s">
        <v>73</v>
      </c>
      <c r="C99" s="64">
        <f t="shared" ref="C99:M99" si="35">-C98*C7</f>
        <v>14.000000000000002</v>
      </c>
      <c r="D99" s="64">
        <f t="shared" si="35"/>
        <v>14.652960000000002</v>
      </c>
      <c r="E99" s="64">
        <f t="shared" si="35"/>
        <v>15.889133563319405</v>
      </c>
      <c r="F99" s="64">
        <f t="shared" si="35"/>
        <v>3.71027971240524</v>
      </c>
      <c r="G99" s="64">
        <f t="shared" si="35"/>
        <v>-8.2000473472082263</v>
      </c>
      <c r="H99" s="64">
        <f t="shared" si="35"/>
        <v>-9.202026810303618</v>
      </c>
      <c r="I99" s="64">
        <f t="shared" si="35"/>
        <v>-11.291220167369477</v>
      </c>
      <c r="J99" s="64">
        <f t="shared" si="35"/>
        <v>-10.770946774581033</v>
      </c>
      <c r="K99" s="64">
        <f t="shared" si="35"/>
        <v>-11.896886135710716</v>
      </c>
      <c r="L99" s="64">
        <f t="shared" si="35"/>
        <v>-13.1198778829802</v>
      </c>
      <c r="M99" s="64">
        <f t="shared" si="35"/>
        <v>-23.732098825953987</v>
      </c>
    </row>
    <row r="100" spans="1:13" x14ac:dyDescent="0.25">
      <c r="A100" s="154" t="s">
        <v>123</v>
      </c>
      <c r="B100" s="69" t="s">
        <v>73</v>
      </c>
      <c r="C100" s="113">
        <f t="shared" ref="C100:M100" si="36">IF(C99&gt;0,0,C99-C106)</f>
        <v>0</v>
      </c>
      <c r="D100" s="113">
        <f t="shared" si="36"/>
        <v>0</v>
      </c>
      <c r="E100" s="113">
        <f t="shared" si="36"/>
        <v>0</v>
      </c>
      <c r="F100" s="113">
        <f t="shared" si="36"/>
        <v>0</v>
      </c>
      <c r="G100" s="113">
        <f t="shared" si="36"/>
        <v>0</v>
      </c>
      <c r="H100" s="113">
        <f t="shared" si="36"/>
        <v>0</v>
      </c>
      <c r="I100" s="113">
        <f t="shared" si="36"/>
        <v>0</v>
      </c>
      <c r="J100" s="113">
        <f t="shared" si="36"/>
        <v>0</v>
      </c>
      <c r="K100" s="113">
        <f t="shared" si="36"/>
        <v>-3.1087539594484195</v>
      </c>
      <c r="L100" s="113">
        <f t="shared" si="36"/>
        <v>-13.1198778829802</v>
      </c>
      <c r="M100" s="113">
        <f t="shared" si="36"/>
        <v>-23.732098825953987</v>
      </c>
    </row>
    <row r="103" spans="1:13" ht="18.75" x14ac:dyDescent="0.3">
      <c r="A103" s="87" t="s">
        <v>125</v>
      </c>
      <c r="C103" s="100">
        <v>2012</v>
      </c>
      <c r="D103" s="100">
        <v>2013</v>
      </c>
      <c r="E103" s="100">
        <v>2014</v>
      </c>
      <c r="F103" s="100">
        <v>2015</v>
      </c>
      <c r="G103" s="100">
        <v>2016</v>
      </c>
      <c r="H103" s="100">
        <v>2017</v>
      </c>
      <c r="I103" s="100">
        <v>2018</v>
      </c>
      <c r="J103" s="100">
        <v>2019</v>
      </c>
      <c r="K103" s="100">
        <v>2020</v>
      </c>
      <c r="L103" s="100">
        <v>2021</v>
      </c>
      <c r="M103" s="100">
        <v>2022</v>
      </c>
    </row>
    <row r="104" spans="1:13" x14ac:dyDescent="0.25">
      <c r="A104" s="91" t="s">
        <v>211</v>
      </c>
      <c r="B104" s="63"/>
      <c r="C104" s="93">
        <v>0</v>
      </c>
      <c r="D104" s="64">
        <f t="shared" ref="D104:M104" si="37">C107</f>
        <v>14.000000000000002</v>
      </c>
      <c r="E104" s="64">
        <f>D107</f>
        <v>28.652960000000004</v>
      </c>
      <c r="F104" s="64">
        <f t="shared" si="37"/>
        <v>44.542093563319412</v>
      </c>
      <c r="G104" s="64">
        <f t="shared" si="37"/>
        <v>48.252373275724651</v>
      </c>
      <c r="H104" s="64">
        <f t="shared" si="37"/>
        <v>40.052325928516424</v>
      </c>
      <c r="I104" s="64">
        <f t="shared" si="37"/>
        <v>30.850299118212806</v>
      </c>
      <c r="J104" s="64">
        <f t="shared" si="37"/>
        <v>19.559078950843329</v>
      </c>
      <c r="K104" s="64">
        <f t="shared" si="37"/>
        <v>8.7881321762622964</v>
      </c>
      <c r="L104" s="64">
        <f t="shared" si="37"/>
        <v>0</v>
      </c>
      <c r="M104" s="64">
        <f t="shared" si="37"/>
        <v>0</v>
      </c>
    </row>
    <row r="105" spans="1:13" x14ac:dyDescent="0.25">
      <c r="A105" s="91" t="s">
        <v>210</v>
      </c>
      <c r="B105" s="63"/>
      <c r="C105" s="64">
        <f t="shared" ref="C105:M105" si="38">IF(C99&gt;0,C99,0)</f>
        <v>14.000000000000002</v>
      </c>
      <c r="D105" s="64">
        <f t="shared" si="38"/>
        <v>14.652960000000002</v>
      </c>
      <c r="E105" s="64">
        <f t="shared" si="38"/>
        <v>15.889133563319405</v>
      </c>
      <c r="F105" s="64">
        <f t="shared" si="38"/>
        <v>3.71027971240524</v>
      </c>
      <c r="G105" s="64">
        <f t="shared" si="38"/>
        <v>0</v>
      </c>
      <c r="H105" s="64">
        <f t="shared" si="38"/>
        <v>0</v>
      </c>
      <c r="I105" s="64">
        <f t="shared" si="38"/>
        <v>0</v>
      </c>
      <c r="J105" s="64">
        <f t="shared" si="38"/>
        <v>0</v>
      </c>
      <c r="K105" s="64">
        <f t="shared" si="38"/>
        <v>0</v>
      </c>
      <c r="L105" s="64">
        <f t="shared" si="38"/>
        <v>0</v>
      </c>
      <c r="M105" s="64">
        <f t="shared" si="38"/>
        <v>0</v>
      </c>
    </row>
    <row r="106" spans="1:13" x14ac:dyDescent="0.25">
      <c r="A106" s="91" t="s">
        <v>209</v>
      </c>
      <c r="B106" s="65"/>
      <c r="C106" s="66">
        <f t="shared" ref="C106:M106" si="39">IF(C105&gt;0,0,IF(C105=0,IF(C104&lt;-C99,-C104,C99)))</f>
        <v>0</v>
      </c>
      <c r="D106" s="66">
        <f t="shared" si="39"/>
        <v>0</v>
      </c>
      <c r="E106" s="66">
        <f t="shared" si="39"/>
        <v>0</v>
      </c>
      <c r="F106" s="66">
        <f t="shared" si="39"/>
        <v>0</v>
      </c>
      <c r="G106" s="66">
        <f t="shared" si="39"/>
        <v>-8.2000473472082263</v>
      </c>
      <c r="H106" s="66">
        <f t="shared" si="39"/>
        <v>-9.202026810303618</v>
      </c>
      <c r="I106" s="66">
        <f t="shared" si="39"/>
        <v>-11.291220167369477</v>
      </c>
      <c r="J106" s="66">
        <f t="shared" si="39"/>
        <v>-10.770946774581033</v>
      </c>
      <c r="K106" s="66">
        <f t="shared" si="39"/>
        <v>-8.7881321762622964</v>
      </c>
      <c r="L106" s="66">
        <f t="shared" si="39"/>
        <v>0</v>
      </c>
      <c r="M106" s="66">
        <f t="shared" si="39"/>
        <v>0</v>
      </c>
    </row>
    <row r="107" spans="1:13" x14ac:dyDescent="0.25">
      <c r="A107" s="91" t="s">
        <v>212</v>
      </c>
      <c r="B107" s="112"/>
      <c r="C107" s="113">
        <f t="shared" ref="C107:M107" si="40">SUM(C104:C106)</f>
        <v>14.000000000000002</v>
      </c>
      <c r="D107" s="113">
        <f t="shared" si="40"/>
        <v>28.652960000000004</v>
      </c>
      <c r="E107" s="113">
        <f t="shared" si="40"/>
        <v>44.542093563319412</v>
      </c>
      <c r="F107" s="113">
        <f t="shared" si="40"/>
        <v>48.252373275724651</v>
      </c>
      <c r="G107" s="113">
        <f t="shared" si="40"/>
        <v>40.052325928516424</v>
      </c>
      <c r="H107" s="113">
        <f t="shared" si="40"/>
        <v>30.850299118212806</v>
      </c>
      <c r="I107" s="113">
        <f t="shared" si="40"/>
        <v>19.559078950843329</v>
      </c>
      <c r="J107" s="113">
        <f t="shared" si="40"/>
        <v>8.7881321762622964</v>
      </c>
      <c r="K107" s="113">
        <f t="shared" si="40"/>
        <v>0</v>
      </c>
      <c r="L107" s="113">
        <f t="shared" si="40"/>
        <v>0</v>
      </c>
      <c r="M107" s="210">
        <f t="shared" si="40"/>
        <v>0</v>
      </c>
    </row>
    <row r="109" spans="1:13" x14ac:dyDescent="0.25">
      <c r="C109" s="45"/>
      <c r="D109" s="45"/>
      <c r="E109" s="45"/>
      <c r="F109" s="45"/>
      <c r="G109" s="45"/>
      <c r="H109" s="45"/>
      <c r="I109" s="45"/>
      <c r="J109" s="45"/>
      <c r="K109" s="45"/>
      <c r="L109" s="45"/>
      <c r="M109" s="45"/>
    </row>
    <row r="110" spans="1:13" ht="23.25" x14ac:dyDescent="0.35">
      <c r="A110" s="35" t="s">
        <v>23</v>
      </c>
    </row>
    <row r="111" spans="1:13" x14ac:dyDescent="0.25">
      <c r="C111" s="100">
        <v>2012</v>
      </c>
      <c r="D111" s="100">
        <v>2013</v>
      </c>
      <c r="E111" s="100">
        <v>2014</v>
      </c>
      <c r="F111" s="100">
        <v>2015</v>
      </c>
      <c r="G111" s="100">
        <v>2016</v>
      </c>
      <c r="H111" s="100">
        <v>2017</v>
      </c>
      <c r="I111" s="100">
        <v>2018</v>
      </c>
      <c r="J111" s="100">
        <v>2019</v>
      </c>
      <c r="K111" s="100">
        <v>2020</v>
      </c>
      <c r="L111" s="100">
        <v>2021</v>
      </c>
      <c r="M111" s="100">
        <v>2022</v>
      </c>
    </row>
    <row r="113" spans="1:13" x14ac:dyDescent="0.25">
      <c r="A113" s="91" t="s">
        <v>207</v>
      </c>
      <c r="B113" s="91"/>
      <c r="C113" s="64">
        <f>IF(Inputs!$C$44="After tax", C100, 0)</f>
        <v>0</v>
      </c>
      <c r="D113" s="64">
        <f>IF(Inputs!$C$44="After tax", D100, 0)</f>
        <v>0</v>
      </c>
      <c r="E113" s="64">
        <f>IF(Inputs!$C$44="After tax", E100, 0)</f>
        <v>0</v>
      </c>
      <c r="F113" s="64">
        <f>IF(Inputs!$C$44="After tax", F100, 0)</f>
        <v>0</v>
      </c>
      <c r="G113" s="64">
        <f>IF(Inputs!$C$44="After tax", G100, 0)</f>
        <v>0</v>
      </c>
      <c r="H113" s="64">
        <f>IF(Inputs!$C$44="After tax", H100, 0)</f>
        <v>0</v>
      </c>
      <c r="I113" s="64">
        <f>IF(Inputs!$C$44="After tax", I100, 0)</f>
        <v>0</v>
      </c>
      <c r="J113" s="64">
        <f>IF(Inputs!$C$44="After tax", J100, 0)</f>
        <v>0</v>
      </c>
      <c r="K113" s="64">
        <f>IF(Inputs!$C$44="After tax", K100, 0)</f>
        <v>0</v>
      </c>
      <c r="L113" s="64">
        <f>IF(Inputs!$C$44="After tax", L100, 0)</f>
        <v>0</v>
      </c>
      <c r="M113" s="64">
        <f>IF(Inputs!$C$44="After tax", M100, 0)</f>
        <v>0</v>
      </c>
    </row>
    <row r="115" spans="1:13" x14ac:dyDescent="0.25">
      <c r="C115" s="45"/>
      <c r="D115" s="45"/>
      <c r="E115" s="45"/>
      <c r="F115" s="45"/>
      <c r="G115" s="45"/>
      <c r="H115" s="45"/>
      <c r="I115" s="45"/>
      <c r="J115" s="45"/>
      <c r="K115" s="45"/>
      <c r="L115" s="45"/>
      <c r="M115" s="45"/>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B2591-B755-4AE8-9406-E75504457483}">
  <sheetPr>
    <tabColor theme="0" tint="-0.14999847407452621"/>
  </sheetPr>
  <dimension ref="A1:P94"/>
  <sheetViews>
    <sheetView showGridLines="0" zoomScale="85" zoomScaleNormal="85" workbookViewId="0"/>
  </sheetViews>
  <sheetFormatPr defaultColWidth="9.140625" defaultRowHeight="15" x14ac:dyDescent="0.25"/>
  <cols>
    <col min="1" max="1" width="71.42578125" style="1" customWidth="1"/>
    <col min="2" max="2" width="15.140625" style="1" customWidth="1"/>
    <col min="3" max="13" width="18.5703125" style="1" customWidth="1"/>
    <col min="14" max="14" width="5.5703125" style="1" customWidth="1"/>
    <col min="15" max="15" width="29.140625" style="1" customWidth="1"/>
    <col min="16" max="16" width="13.5703125" style="1" bestFit="1" customWidth="1"/>
    <col min="17" max="16384" width="9.140625" style="1"/>
  </cols>
  <sheetData>
    <row r="1" spans="1:13" ht="24" customHeight="1" x14ac:dyDescent="0.4">
      <c r="A1" s="16" t="s">
        <v>260</v>
      </c>
      <c r="B1" s="42"/>
    </row>
    <row r="2" spans="1:13" ht="27.75" customHeight="1" x14ac:dyDescent="0.4">
      <c r="A2" s="16" t="s">
        <v>119</v>
      </c>
    </row>
    <row r="3" spans="1:13" ht="18.399999999999999" customHeight="1" x14ac:dyDescent="0.35">
      <c r="A3" s="35"/>
      <c r="B3" s="42"/>
    </row>
    <row r="4" spans="1:13" ht="18.399999999999999" customHeight="1" x14ac:dyDescent="0.25">
      <c r="B4" s="42"/>
    </row>
    <row r="5" spans="1:13" s="102" customFormat="1" ht="12.75" customHeight="1" x14ac:dyDescent="0.25"/>
    <row r="6" spans="1:13" s="102" customFormat="1" ht="18.399999999999999" customHeight="1" x14ac:dyDescent="0.35">
      <c r="A6" s="35" t="s">
        <v>79</v>
      </c>
      <c r="B6" s="117"/>
      <c r="C6" s="116"/>
    </row>
    <row r="7" spans="1:13" s="102" customFormat="1" ht="18.399999999999999" customHeight="1" x14ac:dyDescent="0.25">
      <c r="A7" s="116" t="s">
        <v>166</v>
      </c>
      <c r="B7" s="1"/>
      <c r="C7" s="1"/>
      <c r="D7" s="1"/>
      <c r="E7" s="1"/>
      <c r="F7" s="1"/>
      <c r="G7" s="1"/>
      <c r="H7" s="1"/>
      <c r="I7" s="1"/>
      <c r="J7" s="1"/>
      <c r="K7" s="1"/>
      <c r="L7" s="1"/>
      <c r="M7" s="1"/>
    </row>
    <row r="8" spans="1:13" s="102" customFormat="1" ht="18.399999999999999" customHeight="1" x14ac:dyDescent="0.25">
      <c r="A8" s="1"/>
      <c r="B8" s="1"/>
      <c r="C8" s="1"/>
      <c r="D8" s="1"/>
      <c r="E8" s="1"/>
      <c r="F8" s="1"/>
      <c r="G8" s="1"/>
      <c r="H8" s="1"/>
      <c r="I8" s="1"/>
      <c r="J8" s="1"/>
      <c r="K8" s="1"/>
      <c r="L8" s="1"/>
      <c r="M8" s="1"/>
    </row>
    <row r="9" spans="1:13" s="102" customFormat="1" ht="18.399999999999999" customHeight="1" x14ac:dyDescent="0.25">
      <c r="A9" s="1"/>
      <c r="B9" s="1"/>
      <c r="C9" s="1"/>
      <c r="D9" s="1"/>
      <c r="E9" s="1"/>
      <c r="F9" s="1"/>
      <c r="G9" s="1"/>
      <c r="H9" s="1"/>
      <c r="I9" s="1"/>
      <c r="J9" s="1"/>
      <c r="K9" s="1"/>
      <c r="L9" s="1"/>
      <c r="M9" s="1"/>
    </row>
    <row r="10" spans="1:13" s="102" customFormat="1" ht="18.399999999999999" customHeight="1" x14ac:dyDescent="0.25">
      <c r="A10" s="1"/>
      <c r="B10" s="1"/>
      <c r="C10" s="1"/>
      <c r="D10" s="1"/>
      <c r="E10" s="1"/>
      <c r="F10" s="1"/>
      <c r="G10" s="1"/>
      <c r="H10" s="1"/>
      <c r="I10" s="1"/>
      <c r="J10" s="1"/>
      <c r="K10" s="1"/>
      <c r="L10" s="1"/>
      <c r="M10" s="1"/>
    </row>
    <row r="11" spans="1:13" s="102" customFormat="1" ht="18.399999999999999" customHeight="1" x14ac:dyDescent="0.25">
      <c r="A11" s="1"/>
      <c r="B11" s="1"/>
      <c r="C11" s="1"/>
      <c r="D11" s="1"/>
      <c r="E11" s="1"/>
      <c r="F11" s="1"/>
      <c r="G11" s="1"/>
      <c r="H11" s="1"/>
      <c r="I11" s="1"/>
      <c r="J11" s="1"/>
      <c r="K11" s="1"/>
      <c r="L11" s="1"/>
      <c r="M11" s="1"/>
    </row>
    <row r="12" spans="1:13" ht="18.399999999999999" customHeight="1" x14ac:dyDescent="0.25"/>
    <row r="13" spans="1:13" ht="18.399999999999999" customHeight="1" x14ac:dyDescent="0.35">
      <c r="A13" s="35" t="s">
        <v>108</v>
      </c>
      <c r="B13" s="46"/>
    </row>
    <row r="14" spans="1:13" ht="18.399999999999999" customHeight="1" x14ac:dyDescent="0.25"/>
    <row r="15" spans="1:13" x14ac:dyDescent="0.25">
      <c r="A15" s="56" t="s">
        <v>95</v>
      </c>
      <c r="B15" s="69" t="s">
        <v>251</v>
      </c>
      <c r="C15" s="142">
        <f>Inputs!C10</f>
        <v>30</v>
      </c>
      <c r="D15" s="142">
        <f>Inputs!D10</f>
        <v>30</v>
      </c>
      <c r="E15" s="142">
        <f>Inputs!E10</f>
        <v>30</v>
      </c>
      <c r="F15" s="142">
        <f>Inputs!F10</f>
        <v>30</v>
      </c>
      <c r="G15" s="142">
        <f>Inputs!G10</f>
        <v>30</v>
      </c>
      <c r="H15" s="142">
        <f>Inputs!H10</f>
        <v>30</v>
      </c>
      <c r="I15" s="142">
        <f>Inputs!I10</f>
        <v>30</v>
      </c>
      <c r="J15" s="142">
        <f>Inputs!J10</f>
        <v>30</v>
      </c>
      <c r="K15" s="142">
        <f>Inputs!K10</f>
        <v>30</v>
      </c>
      <c r="L15" s="142">
        <f>Inputs!L10</f>
        <v>30</v>
      </c>
      <c r="M15" s="142">
        <f>Inputs!M10</f>
        <v>30</v>
      </c>
    </row>
    <row r="16" spans="1:13" ht="18.399999999999999" customHeight="1" x14ac:dyDescent="0.25">
      <c r="B16" s="42"/>
    </row>
    <row r="17" spans="1:15" ht="18.399999999999999" customHeight="1" x14ac:dyDescent="0.25">
      <c r="A17" s="42"/>
      <c r="B17" s="42"/>
      <c r="C17" s="98">
        <v>2012</v>
      </c>
      <c r="D17" s="98">
        <v>2013</v>
      </c>
      <c r="E17" s="98">
        <v>2014</v>
      </c>
      <c r="F17" s="98">
        <v>2015</v>
      </c>
      <c r="G17" s="98">
        <v>2016</v>
      </c>
      <c r="H17" s="98">
        <v>2017</v>
      </c>
      <c r="I17" s="98">
        <v>2018</v>
      </c>
      <c r="J17" s="98">
        <v>2019</v>
      </c>
      <c r="K17" s="98">
        <v>2020</v>
      </c>
      <c r="L17" s="98">
        <v>2021</v>
      </c>
      <c r="M17" s="98">
        <v>2022</v>
      </c>
      <c r="O17" s="100" t="s">
        <v>124</v>
      </c>
    </row>
    <row r="18" spans="1:15" ht="18.399999999999999" customHeight="1" x14ac:dyDescent="0.25">
      <c r="A18" s="56" t="s">
        <v>198</v>
      </c>
      <c r="B18" s="69" t="s">
        <v>73</v>
      </c>
      <c r="C18" s="143">
        <f>Inputs!C6</f>
        <v>0</v>
      </c>
      <c r="D18" s="143">
        <f>Inputs!D6</f>
        <v>50</v>
      </c>
      <c r="E18" s="143">
        <f>Inputs!E6</f>
        <v>100</v>
      </c>
      <c r="F18" s="143">
        <f>Inputs!F6</f>
        <v>150</v>
      </c>
      <c r="G18" s="143">
        <f>Inputs!G6</f>
        <v>200</v>
      </c>
      <c r="H18" s="143">
        <f>Inputs!H6</f>
        <v>210</v>
      </c>
      <c r="I18" s="143">
        <f>Inputs!I6</f>
        <v>220</v>
      </c>
      <c r="J18" s="143">
        <f>Inputs!J6</f>
        <v>230</v>
      </c>
      <c r="K18" s="143">
        <f>Inputs!K6</f>
        <v>240</v>
      </c>
      <c r="L18" s="143">
        <f>Inputs!L6</f>
        <v>250</v>
      </c>
      <c r="M18" s="143">
        <f>Inputs!M6</f>
        <v>260</v>
      </c>
    </row>
    <row r="19" spans="1:15" ht="18.399999999999999" customHeight="1" x14ac:dyDescent="0.25">
      <c r="A19" s="56" t="s">
        <v>74</v>
      </c>
      <c r="B19" s="69" t="s">
        <v>73</v>
      </c>
      <c r="C19" s="143">
        <f>Inputs!C7</f>
        <v>50</v>
      </c>
      <c r="D19" s="143">
        <f>Inputs!D7</f>
        <v>100</v>
      </c>
      <c r="E19" s="143">
        <f>Inputs!E7</f>
        <v>150</v>
      </c>
      <c r="F19" s="143">
        <f>Inputs!F7</f>
        <v>200</v>
      </c>
      <c r="G19" s="143">
        <f>Inputs!G7</f>
        <v>200</v>
      </c>
      <c r="H19" s="143">
        <f>Inputs!H7</f>
        <v>200</v>
      </c>
      <c r="I19" s="143">
        <f>Inputs!I7</f>
        <v>200</v>
      </c>
      <c r="J19" s="143">
        <f>Inputs!J7</f>
        <v>200</v>
      </c>
      <c r="K19" s="143">
        <f>Inputs!K7</f>
        <v>200</v>
      </c>
      <c r="L19" s="143">
        <f>Inputs!L7</f>
        <v>200</v>
      </c>
      <c r="M19" s="143">
        <f>Inputs!M7</f>
        <v>200</v>
      </c>
      <c r="N19" s="102"/>
    </row>
    <row r="20" spans="1:15" ht="18.399999999999999" customHeight="1" x14ac:dyDescent="0.25">
      <c r="A20" s="56" t="s">
        <v>144</v>
      </c>
      <c r="B20" s="69" t="s">
        <v>73</v>
      </c>
      <c r="C20" s="143">
        <f>Inputs!C8</f>
        <v>50</v>
      </c>
      <c r="D20" s="143">
        <f>Inputs!D8</f>
        <v>100</v>
      </c>
      <c r="E20" s="143">
        <f>Inputs!E8</f>
        <v>150</v>
      </c>
      <c r="F20" s="143">
        <f>Inputs!F8</f>
        <v>150</v>
      </c>
      <c r="G20" s="143">
        <f>Inputs!G8</f>
        <v>150</v>
      </c>
      <c r="H20" s="143">
        <f>Inputs!H8</f>
        <v>150</v>
      </c>
      <c r="I20" s="143">
        <f>Inputs!I8</f>
        <v>150</v>
      </c>
      <c r="J20" s="143">
        <f>Inputs!J8</f>
        <v>150</v>
      </c>
      <c r="K20" s="143">
        <f>Inputs!K8</f>
        <v>150</v>
      </c>
      <c r="L20" s="143">
        <f>Inputs!L8</f>
        <v>150</v>
      </c>
      <c r="M20" s="143">
        <f>Inputs!M8</f>
        <v>150</v>
      </c>
      <c r="N20" s="102"/>
    </row>
    <row r="21" spans="1:15" x14ac:dyDescent="0.25">
      <c r="C21" s="147"/>
      <c r="D21" s="147"/>
      <c r="E21" s="147"/>
      <c r="F21" s="147"/>
      <c r="G21" s="147"/>
      <c r="H21" s="147"/>
      <c r="I21" s="147"/>
      <c r="J21" s="147"/>
      <c r="K21" s="147"/>
      <c r="L21" s="147"/>
      <c r="M21" s="147"/>
      <c r="N21" s="102"/>
    </row>
    <row r="22" spans="1:15" ht="14.25" customHeight="1" x14ac:dyDescent="0.25">
      <c r="A22" s="56" t="s">
        <v>77</v>
      </c>
      <c r="B22" s="69" t="s">
        <v>73</v>
      </c>
      <c r="C22" s="155">
        <f>'A2 Tax'!C113</f>
        <v>0</v>
      </c>
      <c r="D22" s="155">
        <f>'A2 Tax'!D113</f>
        <v>0</v>
      </c>
      <c r="E22" s="155">
        <f>'A2 Tax'!E113</f>
        <v>0</v>
      </c>
      <c r="F22" s="155">
        <f>'A2 Tax'!F113</f>
        <v>0</v>
      </c>
      <c r="G22" s="155">
        <f>'A2 Tax'!G113</f>
        <v>0</v>
      </c>
      <c r="H22" s="155">
        <f>'A2 Tax'!H113</f>
        <v>0</v>
      </c>
      <c r="I22" s="155">
        <f>'A2 Tax'!I113</f>
        <v>0</v>
      </c>
      <c r="J22" s="155">
        <f>'A2 Tax'!J113</f>
        <v>0</v>
      </c>
      <c r="K22" s="155">
        <f>'A2 Tax'!K113</f>
        <v>0</v>
      </c>
      <c r="L22" s="155">
        <f>'A2 Tax'!L113</f>
        <v>0</v>
      </c>
      <c r="M22" s="155">
        <f>'A2 Tax'!M113</f>
        <v>0</v>
      </c>
      <c r="N22" s="116"/>
    </row>
    <row r="23" spans="1:15" x14ac:dyDescent="0.25">
      <c r="C23" s="149"/>
      <c r="D23" s="149"/>
      <c r="E23" s="149"/>
      <c r="F23" s="149"/>
      <c r="G23" s="149"/>
      <c r="H23" s="149"/>
      <c r="I23" s="149"/>
      <c r="J23" s="149"/>
      <c r="K23" s="149"/>
      <c r="L23" s="149"/>
      <c r="M23" s="149"/>
      <c r="N23" s="102"/>
    </row>
    <row r="24" spans="1:15" ht="18.399999999999999" customHeight="1" x14ac:dyDescent="0.25">
      <c r="A24" s="56" t="s">
        <v>176</v>
      </c>
      <c r="B24" s="137" t="s">
        <v>88</v>
      </c>
      <c r="C24" s="145">
        <f>'Cost of capital'!C55</f>
        <v>5.2192502334469877E-2</v>
      </c>
      <c r="D24" s="145">
        <f>'Cost of capital'!D55</f>
        <v>9.1820000000000013E-2</v>
      </c>
      <c r="E24" s="145">
        <f>'Cost of capital'!E55</f>
        <v>9.1820000000000013E-2</v>
      </c>
      <c r="F24" s="145">
        <f>'Cost of capital'!F55</f>
        <v>9.1820000000000013E-2</v>
      </c>
      <c r="G24" s="145">
        <f>'Cost of capital'!G55</f>
        <v>6.182E-2</v>
      </c>
      <c r="H24" s="145">
        <f>'Cost of capital'!H55</f>
        <v>6.182E-2</v>
      </c>
      <c r="I24" s="145">
        <f>'Cost of capital'!I55</f>
        <v>5.8720000000000001E-2</v>
      </c>
      <c r="J24" s="145">
        <f>'Cost of capital'!J55</f>
        <v>4.8720000000000006E-2</v>
      </c>
      <c r="K24" s="145">
        <f>'Cost of capital'!K55</f>
        <v>4.8720000000000006E-2</v>
      </c>
      <c r="L24" s="145">
        <f>'Cost of capital'!L55</f>
        <v>5.1219999999999995E-2</v>
      </c>
      <c r="M24" s="145">
        <f>'Cost of capital'!M55</f>
        <v>2.5427825678560084E-2</v>
      </c>
      <c r="N24" s="102"/>
    </row>
    <row r="25" spans="1:15" ht="18.399999999999999" customHeight="1" x14ac:dyDescent="0.25">
      <c r="A25" s="56" t="s">
        <v>193</v>
      </c>
      <c r="B25" s="137" t="s">
        <v>88</v>
      </c>
      <c r="C25" s="145">
        <f>'Cost of capital'!C57</f>
        <v>0.05</v>
      </c>
      <c r="D25" s="145">
        <f>'Cost of capital'!D57</f>
        <v>0.08</v>
      </c>
      <c r="E25" s="145">
        <f>'Cost of capital'!E57</f>
        <v>0.08</v>
      </c>
      <c r="F25" s="145">
        <f>'Cost of capital'!F57</f>
        <v>0.08</v>
      </c>
      <c r="G25" s="145">
        <f>'Cost of capital'!G57</f>
        <v>0.05</v>
      </c>
      <c r="H25" s="145">
        <f>'Cost of capital'!H57</f>
        <v>0.05</v>
      </c>
      <c r="I25" s="145">
        <f>'Cost of capital'!I57</f>
        <v>0.05</v>
      </c>
      <c r="J25" s="145">
        <f>'Cost of capital'!J57</f>
        <v>0.03</v>
      </c>
      <c r="K25" s="145">
        <f>'Cost of capital'!K57</f>
        <v>0.03</v>
      </c>
      <c r="L25" s="145">
        <f>'Cost of capital'!L57</f>
        <v>0.03</v>
      </c>
      <c r="M25" s="145">
        <f>'Cost of capital'!M57</f>
        <v>0.02</v>
      </c>
      <c r="N25" s="102"/>
    </row>
    <row r="26" spans="1:15" ht="18.399999999999999" customHeight="1" x14ac:dyDescent="0.25">
      <c r="A26" s="56" t="s">
        <v>177</v>
      </c>
      <c r="B26" s="137" t="s">
        <v>107</v>
      </c>
      <c r="C26" s="151">
        <f>'Cost of capital'!C40</f>
        <v>1.8418483538114241</v>
      </c>
      <c r="D26" s="151">
        <f>'Cost of capital'!D40</f>
        <v>1.6869523857517028</v>
      </c>
      <c r="E26" s="151">
        <f>'Cost of capital'!E40</f>
        <v>1.545082876070875</v>
      </c>
      <c r="F26" s="151">
        <f>'Cost of capital'!F40</f>
        <v>1.415144324220911</v>
      </c>
      <c r="G26" s="151">
        <f>'Cost of capital'!G40</f>
        <v>1.3327535026849286</v>
      </c>
      <c r="H26" s="151">
        <f>'Cost of capital'!H40</f>
        <v>1.2551595399266624</v>
      </c>
      <c r="I26" s="151">
        <f>'Cost of capital'!I40</f>
        <v>1.1855443742695542</v>
      </c>
      <c r="J26" s="151">
        <f>'Cost of capital'!J40</f>
        <v>1.1304679745495023</v>
      </c>
      <c r="K26" s="151">
        <f>'Cost of capital'!K40</f>
        <v>1.0779502389098159</v>
      </c>
      <c r="L26" s="151">
        <f>'Cost of capital'!L40</f>
        <v>1.0254278256785601</v>
      </c>
      <c r="M26" s="151">
        <f>'Cost of capital'!M40</f>
        <v>1</v>
      </c>
      <c r="N26" s="102"/>
    </row>
    <row r="27" spans="1:15" ht="18.399999999999999" customHeight="1" x14ac:dyDescent="0.25">
      <c r="A27" s="126" t="s">
        <v>196</v>
      </c>
      <c r="B27" s="137" t="s">
        <v>107</v>
      </c>
      <c r="C27" s="151">
        <f>'Cost of capital'!C$50</f>
        <v>1.6253653965784403</v>
      </c>
      <c r="D27" s="151">
        <f>'Cost of capital'!D$50</f>
        <v>1.504967959794852</v>
      </c>
      <c r="E27" s="151">
        <f>'Cost of capital'!E$50</f>
        <v>1.3934888516619</v>
      </c>
      <c r="F27" s="151">
        <f>'Cost of capital'!F$50</f>
        <v>1.2902674552425</v>
      </c>
      <c r="G27" s="151">
        <f>'Cost of capital'!G$50</f>
        <v>1.22882614785</v>
      </c>
      <c r="H27" s="151">
        <f>'Cost of capital'!H$50</f>
        <v>1.1703106169999999</v>
      </c>
      <c r="I27" s="151">
        <f>'Cost of capital'!I$50</f>
        <v>1.1145815399999999</v>
      </c>
      <c r="J27" s="151">
        <f>'Cost of capital'!J$50</f>
        <v>1.0821179999999999</v>
      </c>
      <c r="K27" s="151">
        <f>'Cost of capital'!K$50</f>
        <v>1.0506</v>
      </c>
      <c r="L27" s="151">
        <f>'Cost of capital'!L$50</f>
        <v>1.02</v>
      </c>
      <c r="M27" s="151">
        <f>'Cost of capital'!M$50</f>
        <v>1</v>
      </c>
      <c r="N27" s="116"/>
    </row>
    <row r="28" spans="1:15" x14ac:dyDescent="0.25">
      <c r="C28" s="149"/>
      <c r="D28" s="149"/>
      <c r="E28" s="149"/>
      <c r="F28" s="149"/>
      <c r="G28" s="149"/>
      <c r="H28" s="149"/>
      <c r="I28" s="149"/>
      <c r="J28" s="149"/>
      <c r="K28" s="149"/>
      <c r="L28" s="149"/>
      <c r="M28" s="149"/>
      <c r="N28" s="102"/>
    </row>
    <row r="29" spans="1:15" x14ac:dyDescent="0.25">
      <c r="A29" s="56" t="s">
        <v>89</v>
      </c>
      <c r="B29" s="69" t="s">
        <v>73</v>
      </c>
      <c r="C29" s="146">
        <f>Inputs!C13</f>
        <v>30</v>
      </c>
      <c r="D29" s="146">
        <f>Inputs!D13</f>
        <v>50</v>
      </c>
      <c r="E29" s="146">
        <f>Inputs!E13</f>
        <v>70</v>
      </c>
      <c r="F29" s="146">
        <f>Inputs!F13</f>
        <v>100</v>
      </c>
      <c r="G29" s="146">
        <f>Inputs!G13</f>
        <v>100</v>
      </c>
      <c r="H29" s="146">
        <f>Inputs!H13</f>
        <v>100</v>
      </c>
      <c r="I29" s="146">
        <f>Inputs!I13</f>
        <v>100</v>
      </c>
      <c r="J29" s="146">
        <f>Inputs!J13</f>
        <v>100</v>
      </c>
      <c r="K29" s="146">
        <f>Inputs!K13</f>
        <v>100</v>
      </c>
      <c r="L29" s="146">
        <f>Inputs!L13</f>
        <v>100</v>
      </c>
      <c r="M29" s="146">
        <f>Inputs!M13</f>
        <v>100</v>
      </c>
      <c r="N29" s="102"/>
    </row>
    <row r="30" spans="1:15" x14ac:dyDescent="0.25">
      <c r="A30" s="91" t="s">
        <v>100</v>
      </c>
      <c r="B30" s="69" t="s">
        <v>73</v>
      </c>
      <c r="C30" s="147">
        <f>Inputs!C14</f>
        <v>0</v>
      </c>
      <c r="D30" s="147">
        <f>Inputs!D14</f>
        <v>0</v>
      </c>
      <c r="E30" s="147">
        <f>Inputs!E14</f>
        <v>0</v>
      </c>
      <c r="F30" s="147">
        <f>Inputs!F14</f>
        <v>0</v>
      </c>
      <c r="G30" s="147">
        <f>Inputs!G14</f>
        <v>0</v>
      </c>
      <c r="H30" s="147">
        <f>Inputs!H14</f>
        <v>0</v>
      </c>
      <c r="I30" s="147">
        <f>Inputs!I14</f>
        <v>0</v>
      </c>
      <c r="J30" s="147">
        <f>Inputs!J14</f>
        <v>0</v>
      </c>
      <c r="K30" s="147">
        <f>Inputs!K14</f>
        <v>0</v>
      </c>
      <c r="L30" s="147">
        <f>Inputs!L14</f>
        <v>0</v>
      </c>
      <c r="M30" s="147">
        <f>Inputs!M14</f>
        <v>0</v>
      </c>
      <c r="N30" s="102"/>
    </row>
    <row r="31" spans="1:15" x14ac:dyDescent="0.25">
      <c r="A31" s="77"/>
      <c r="B31" s="73"/>
      <c r="C31" s="94"/>
      <c r="D31" s="94"/>
      <c r="E31" s="94"/>
      <c r="F31" s="94"/>
      <c r="G31" s="94"/>
      <c r="H31" s="94"/>
      <c r="I31" s="94"/>
      <c r="J31" s="94"/>
      <c r="K31" s="94"/>
      <c r="L31" s="94"/>
      <c r="M31" s="94"/>
      <c r="N31" s="102"/>
    </row>
    <row r="32" spans="1:15" ht="23.25" x14ac:dyDescent="0.35">
      <c r="A32" s="35" t="s">
        <v>263</v>
      </c>
      <c r="B32" s="8"/>
      <c r="N32" s="102"/>
    </row>
    <row r="33" spans="1:16" x14ac:dyDescent="0.25">
      <c r="A33" s="126" t="s">
        <v>244</v>
      </c>
      <c r="B33" s="276" t="s">
        <v>259</v>
      </c>
      <c r="C33" s="90">
        <v>365</v>
      </c>
      <c r="D33" s="90">
        <v>365</v>
      </c>
      <c r="E33" s="90">
        <v>365</v>
      </c>
      <c r="F33" s="90">
        <v>365</v>
      </c>
      <c r="G33" s="90">
        <v>365</v>
      </c>
      <c r="H33" s="90">
        <v>365</v>
      </c>
      <c r="I33" s="90">
        <v>365</v>
      </c>
      <c r="J33" s="90">
        <v>365</v>
      </c>
      <c r="K33" s="90">
        <v>365</v>
      </c>
      <c r="L33" s="90">
        <v>365</v>
      </c>
      <c r="M33" s="273">
        <f>Timing!$M$8</f>
        <v>184</v>
      </c>
      <c r="N33" s="102"/>
    </row>
    <row r="34" spans="1:16" ht="18.399999999999999" customHeight="1" x14ac:dyDescent="0.25">
      <c r="A34" s="126" t="s">
        <v>258</v>
      </c>
      <c r="B34" s="276" t="s">
        <v>88</v>
      </c>
      <c r="C34" s="277">
        <f>C33/365</f>
        <v>1</v>
      </c>
      <c r="D34" s="277">
        <f t="shared" ref="D34:M34" si="0">D33/365</f>
        <v>1</v>
      </c>
      <c r="E34" s="277">
        <f t="shared" si="0"/>
        <v>1</v>
      </c>
      <c r="F34" s="277">
        <f t="shared" si="0"/>
        <v>1</v>
      </c>
      <c r="G34" s="277">
        <f t="shared" si="0"/>
        <v>1</v>
      </c>
      <c r="H34" s="277">
        <f t="shared" si="0"/>
        <v>1</v>
      </c>
      <c r="I34" s="277">
        <f t="shared" si="0"/>
        <v>1</v>
      </c>
      <c r="J34" s="277">
        <f t="shared" si="0"/>
        <v>1</v>
      </c>
      <c r="K34" s="277">
        <f t="shared" si="0"/>
        <v>1</v>
      </c>
      <c r="L34" s="277">
        <f t="shared" si="0"/>
        <v>1</v>
      </c>
      <c r="M34" s="277">
        <f t="shared" si="0"/>
        <v>0.50410958904109593</v>
      </c>
      <c r="N34" s="102"/>
    </row>
    <row r="35" spans="1:16" ht="18.399999999999999" customHeight="1" x14ac:dyDescent="0.25">
      <c r="A35" s="128"/>
      <c r="B35" s="128"/>
      <c r="C35" s="90"/>
      <c r="D35" s="90"/>
      <c r="E35" s="90"/>
      <c r="F35" s="90"/>
      <c r="G35" s="90"/>
      <c r="H35" s="90"/>
      <c r="I35" s="90"/>
      <c r="J35" s="90"/>
      <c r="K35" s="90"/>
      <c r="L35" s="90"/>
      <c r="M35" s="90"/>
      <c r="N35" s="102"/>
    </row>
    <row r="36" spans="1:16" ht="18.399999999999999" customHeight="1" x14ac:dyDescent="0.25">
      <c r="A36" s="46"/>
      <c r="B36" s="46"/>
      <c r="C36" s="101">
        <v>2012</v>
      </c>
      <c r="D36" s="101">
        <v>2013</v>
      </c>
      <c r="E36" s="101">
        <v>2014</v>
      </c>
      <c r="F36" s="101">
        <v>2015</v>
      </c>
      <c r="G36" s="101">
        <v>2016</v>
      </c>
      <c r="H36" s="101">
        <v>2017</v>
      </c>
      <c r="I36" s="101">
        <v>2018</v>
      </c>
      <c r="J36" s="101">
        <v>2019</v>
      </c>
      <c r="K36" s="101">
        <v>2020</v>
      </c>
      <c r="L36" s="101">
        <v>2021</v>
      </c>
      <c r="M36" s="101">
        <v>2022</v>
      </c>
      <c r="N36" s="102"/>
    </row>
    <row r="37" spans="1:16" ht="18.399999999999999" customHeight="1" x14ac:dyDescent="0.25">
      <c r="A37" s="56" t="s">
        <v>218</v>
      </c>
      <c r="B37" s="69" t="s">
        <v>73</v>
      </c>
      <c r="C37" s="74">
        <v>0</v>
      </c>
      <c r="D37" s="74">
        <f>C40</f>
        <v>50</v>
      </c>
      <c r="E37" s="74">
        <f t="shared" ref="E37:M37" si="1">D40</f>
        <v>148.33333333333334</v>
      </c>
      <c r="F37" s="74">
        <f t="shared" si="1"/>
        <v>293.38888888888891</v>
      </c>
      <c r="G37" s="74">
        <f t="shared" si="1"/>
        <v>483.60925925925926</v>
      </c>
      <c r="H37" s="74">
        <f t="shared" si="1"/>
        <v>667.48895061728399</v>
      </c>
      <c r="I37" s="74">
        <f t="shared" si="1"/>
        <v>845.23931893004124</v>
      </c>
      <c r="J37" s="74">
        <f t="shared" si="1"/>
        <v>1017.0646749657066</v>
      </c>
      <c r="K37" s="74">
        <f t="shared" si="1"/>
        <v>1183.1625191335165</v>
      </c>
      <c r="L37" s="74">
        <f t="shared" si="1"/>
        <v>1343.7237684957327</v>
      </c>
      <c r="M37" s="74">
        <f t="shared" si="1"/>
        <v>1498.9329762125415</v>
      </c>
      <c r="N37" s="102"/>
      <c r="P37" s="68"/>
    </row>
    <row r="38" spans="1:16" ht="18.399999999999999" customHeight="1" x14ac:dyDescent="0.25">
      <c r="A38" s="56" t="s">
        <v>74</v>
      </c>
      <c r="B38" s="69" t="s">
        <v>73</v>
      </c>
      <c r="C38" s="74">
        <f t="shared" ref="C38:M38" si="2">C19</f>
        <v>50</v>
      </c>
      <c r="D38" s="74">
        <f t="shared" si="2"/>
        <v>100</v>
      </c>
      <c r="E38" s="74">
        <f t="shared" si="2"/>
        <v>150</v>
      </c>
      <c r="F38" s="74">
        <f t="shared" si="2"/>
        <v>200</v>
      </c>
      <c r="G38" s="74">
        <f t="shared" si="2"/>
        <v>200</v>
      </c>
      <c r="H38" s="74">
        <f t="shared" si="2"/>
        <v>200</v>
      </c>
      <c r="I38" s="74">
        <f t="shared" si="2"/>
        <v>200</v>
      </c>
      <c r="J38" s="74">
        <f t="shared" si="2"/>
        <v>200</v>
      </c>
      <c r="K38" s="74">
        <f t="shared" si="2"/>
        <v>200</v>
      </c>
      <c r="L38" s="74">
        <f t="shared" si="2"/>
        <v>200</v>
      </c>
      <c r="M38" s="74">
        <f t="shared" si="2"/>
        <v>200</v>
      </c>
      <c r="N38" s="102"/>
      <c r="P38" s="68"/>
    </row>
    <row r="39" spans="1:16" ht="18.399999999999999" customHeight="1" x14ac:dyDescent="0.25">
      <c r="A39" s="56" t="s">
        <v>28</v>
      </c>
      <c r="B39" s="69" t="s">
        <v>73</v>
      </c>
      <c r="C39" s="64">
        <f>-C37/C15*C34</f>
        <v>0</v>
      </c>
      <c r="D39" s="64">
        <f t="shared" ref="D39:M39" si="3">-D37/D15*D34</f>
        <v>-1.6666666666666667</v>
      </c>
      <c r="E39" s="64">
        <f t="shared" si="3"/>
        <v>-4.9444444444444446</v>
      </c>
      <c r="F39" s="64">
        <f t="shared" si="3"/>
        <v>-9.7796296296296301</v>
      </c>
      <c r="G39" s="64">
        <f t="shared" si="3"/>
        <v>-16.12030864197531</v>
      </c>
      <c r="H39" s="64">
        <f t="shared" si="3"/>
        <v>-22.2496316872428</v>
      </c>
      <c r="I39" s="64">
        <f t="shared" si="3"/>
        <v>-28.17464396433471</v>
      </c>
      <c r="J39" s="64">
        <f t="shared" si="3"/>
        <v>-33.902155832190218</v>
      </c>
      <c r="K39" s="64">
        <f t="shared" si="3"/>
        <v>-39.438750637783883</v>
      </c>
      <c r="L39" s="64">
        <f t="shared" si="3"/>
        <v>-44.790792283191088</v>
      </c>
      <c r="M39" s="64">
        <f t="shared" si="3"/>
        <v>-25.187549554621704</v>
      </c>
      <c r="N39" s="102"/>
      <c r="P39" s="68"/>
    </row>
    <row r="40" spans="1:16" ht="18.399999999999999" customHeight="1" x14ac:dyDescent="0.25">
      <c r="A40" s="56" t="s">
        <v>221</v>
      </c>
      <c r="B40" s="69" t="s">
        <v>73</v>
      </c>
      <c r="C40" s="74">
        <f>SUM(C37:C39)</f>
        <v>50</v>
      </c>
      <c r="D40" s="74">
        <f t="shared" ref="D40:M40" si="4">SUM(D37:D39)</f>
        <v>148.33333333333334</v>
      </c>
      <c r="E40" s="74">
        <f t="shared" si="4"/>
        <v>293.38888888888891</v>
      </c>
      <c r="F40" s="74">
        <f t="shared" si="4"/>
        <v>483.60925925925926</v>
      </c>
      <c r="G40" s="74">
        <f t="shared" si="4"/>
        <v>667.48895061728399</v>
      </c>
      <c r="H40" s="74">
        <f t="shared" si="4"/>
        <v>845.23931893004124</v>
      </c>
      <c r="I40" s="74">
        <f t="shared" si="4"/>
        <v>1017.0646749657066</v>
      </c>
      <c r="J40" s="74">
        <f t="shared" si="4"/>
        <v>1183.1625191335165</v>
      </c>
      <c r="K40" s="74">
        <f t="shared" si="4"/>
        <v>1343.7237684957327</v>
      </c>
      <c r="L40" s="74">
        <f t="shared" si="4"/>
        <v>1498.9329762125415</v>
      </c>
      <c r="M40" s="74">
        <f t="shared" si="4"/>
        <v>1673.7454266579198</v>
      </c>
      <c r="N40" s="102"/>
      <c r="P40" s="68"/>
    </row>
    <row r="41" spans="1:16" ht="18.399999999999999" customHeight="1" x14ac:dyDescent="0.25">
      <c r="A41" s="42"/>
      <c r="B41" s="42"/>
      <c r="N41" s="102"/>
      <c r="P41" s="68"/>
    </row>
    <row r="42" spans="1:16" x14ac:dyDescent="0.25">
      <c r="C42" s="43"/>
      <c r="D42" s="172"/>
      <c r="E42" s="43"/>
      <c r="F42" s="43"/>
      <c r="G42" s="43"/>
      <c r="H42" s="43"/>
      <c r="I42" s="43"/>
      <c r="J42" s="43"/>
      <c r="K42" s="43"/>
      <c r="L42" s="43"/>
      <c r="M42" s="43"/>
      <c r="N42" s="102"/>
      <c r="P42" s="68"/>
    </row>
    <row r="43" spans="1:16" ht="23.25" x14ac:dyDescent="0.35">
      <c r="A43" s="35" t="s">
        <v>85</v>
      </c>
      <c r="C43" s="43"/>
      <c r="D43" s="43"/>
      <c r="E43" s="43"/>
      <c r="F43" s="43"/>
      <c r="G43" s="43"/>
      <c r="H43" s="43"/>
      <c r="I43" s="43"/>
      <c r="J43" s="43"/>
      <c r="K43" s="43"/>
      <c r="L43" s="43"/>
      <c r="M43" s="43"/>
      <c r="N43" s="102"/>
      <c r="P43" s="68"/>
    </row>
    <row r="44" spans="1:16" x14ac:dyDescent="0.25">
      <c r="B44" s="42"/>
      <c r="C44" s="100">
        <v>2012</v>
      </c>
      <c r="D44" s="100">
        <v>2013</v>
      </c>
      <c r="E44" s="100">
        <v>2014</v>
      </c>
      <c r="F44" s="100">
        <v>2015</v>
      </c>
      <c r="G44" s="100">
        <v>2016</v>
      </c>
      <c r="H44" s="100">
        <v>2017</v>
      </c>
      <c r="I44" s="100">
        <v>2018</v>
      </c>
      <c r="J44" s="100">
        <v>2019</v>
      </c>
      <c r="K44" s="100">
        <v>2020</v>
      </c>
      <c r="L44" s="100">
        <v>2021</v>
      </c>
      <c r="M44" s="100">
        <v>2022</v>
      </c>
      <c r="N44" s="102"/>
      <c r="P44" s="68"/>
    </row>
    <row r="45" spans="1:16" ht="18.75" x14ac:dyDescent="0.3">
      <c r="A45" s="87" t="s">
        <v>67</v>
      </c>
      <c r="B45" s="71"/>
      <c r="C45" s="71"/>
      <c r="D45" s="71"/>
      <c r="E45" s="71"/>
      <c r="F45" s="71"/>
      <c r="G45" s="71"/>
      <c r="H45" s="71"/>
      <c r="I45" s="71"/>
      <c r="J45" s="71"/>
      <c r="K45" s="71"/>
      <c r="L45" s="71"/>
      <c r="M45" s="71"/>
      <c r="N45" s="102"/>
      <c r="P45" s="68"/>
    </row>
    <row r="46" spans="1:16" x14ac:dyDescent="0.25">
      <c r="A46" s="56" t="s">
        <v>198</v>
      </c>
      <c r="B46" s="69" t="s">
        <v>73</v>
      </c>
      <c r="C46" s="64">
        <f>C18</f>
        <v>0</v>
      </c>
      <c r="D46" s="64">
        <f t="shared" ref="D46:M46" si="5">D18</f>
        <v>50</v>
      </c>
      <c r="E46" s="64">
        <f t="shared" si="5"/>
        <v>100</v>
      </c>
      <c r="F46" s="64">
        <f t="shared" si="5"/>
        <v>150</v>
      </c>
      <c r="G46" s="64">
        <f t="shared" si="5"/>
        <v>200</v>
      </c>
      <c r="H46" s="64">
        <f t="shared" si="5"/>
        <v>210</v>
      </c>
      <c r="I46" s="64">
        <f t="shared" si="5"/>
        <v>220</v>
      </c>
      <c r="J46" s="64">
        <f t="shared" si="5"/>
        <v>230</v>
      </c>
      <c r="K46" s="64">
        <f t="shared" si="5"/>
        <v>240</v>
      </c>
      <c r="L46" s="64">
        <f t="shared" si="5"/>
        <v>250</v>
      </c>
      <c r="M46" s="64">
        <f t="shared" si="5"/>
        <v>260</v>
      </c>
      <c r="N46" s="274"/>
      <c r="P46" s="68"/>
    </row>
    <row r="47" spans="1:16" x14ac:dyDescent="0.25">
      <c r="A47" s="56"/>
      <c r="B47" s="63"/>
      <c r="C47" s="64"/>
      <c r="D47" s="64"/>
      <c r="E47" s="64"/>
      <c r="F47" s="64"/>
      <c r="G47" s="64"/>
      <c r="H47" s="64"/>
      <c r="I47" s="64"/>
      <c r="J47" s="64"/>
      <c r="K47" s="64"/>
      <c r="L47" s="64"/>
      <c r="M47" s="64"/>
      <c r="N47" s="102"/>
      <c r="P47" s="68"/>
    </row>
    <row r="48" spans="1:16" ht="18.75" x14ac:dyDescent="0.3">
      <c r="A48" s="87" t="s">
        <v>84</v>
      </c>
      <c r="B48" s="63"/>
      <c r="C48" s="64"/>
      <c r="D48" s="64"/>
      <c r="E48" s="64"/>
      <c r="F48" s="64"/>
      <c r="G48" s="64"/>
      <c r="H48" s="64"/>
      <c r="I48" s="64"/>
      <c r="J48" s="64"/>
      <c r="K48" s="64"/>
      <c r="L48" s="64"/>
      <c r="M48" s="64"/>
      <c r="N48" s="102"/>
      <c r="P48" s="68"/>
    </row>
    <row r="49" spans="1:16" x14ac:dyDescent="0.25">
      <c r="A49" s="56" t="s">
        <v>35</v>
      </c>
      <c r="B49" s="69" t="s">
        <v>73</v>
      </c>
      <c r="C49" s="64">
        <f t="shared" ref="C49:M49" si="6">-C24*C37</f>
        <v>0</v>
      </c>
      <c r="D49" s="64">
        <f t="shared" si="6"/>
        <v>-4.5910000000000011</v>
      </c>
      <c r="E49" s="64">
        <f t="shared" si="6"/>
        <v>-13.61996666666667</v>
      </c>
      <c r="F49" s="64">
        <f t="shared" si="6"/>
        <v>-26.938967777777783</v>
      </c>
      <c r="G49" s="64">
        <f t="shared" si="6"/>
        <v>-29.896724407407408</v>
      </c>
      <c r="H49" s="64">
        <f t="shared" si="6"/>
        <v>-41.264166927160495</v>
      </c>
      <c r="I49" s="64">
        <f t="shared" si="6"/>
        <v>-49.632452807572022</v>
      </c>
      <c r="J49" s="64">
        <f t="shared" si="6"/>
        <v>-49.551390964329229</v>
      </c>
      <c r="K49" s="64">
        <f t="shared" si="6"/>
        <v>-57.643677932184936</v>
      </c>
      <c r="L49" s="64">
        <f t="shared" si="6"/>
        <v>-68.825531422351418</v>
      </c>
      <c r="M49" s="64">
        <f t="shared" si="6"/>
        <v>-38.114606422977751</v>
      </c>
      <c r="N49" s="274"/>
      <c r="P49" s="68"/>
    </row>
    <row r="50" spans="1:16" x14ac:dyDescent="0.25">
      <c r="A50" s="56" t="s">
        <v>144</v>
      </c>
      <c r="B50" s="69" t="s">
        <v>73</v>
      </c>
      <c r="C50" s="64">
        <f>-C20</f>
        <v>-50</v>
      </c>
      <c r="D50" s="64">
        <f t="shared" ref="D50:M50" si="7">-D20</f>
        <v>-100</v>
      </c>
      <c r="E50" s="64">
        <f t="shared" si="7"/>
        <v>-150</v>
      </c>
      <c r="F50" s="64">
        <f t="shared" si="7"/>
        <v>-150</v>
      </c>
      <c r="G50" s="64">
        <f t="shared" si="7"/>
        <v>-150</v>
      </c>
      <c r="H50" s="64">
        <f t="shared" si="7"/>
        <v>-150</v>
      </c>
      <c r="I50" s="64">
        <f t="shared" si="7"/>
        <v>-150</v>
      </c>
      <c r="J50" s="64">
        <f t="shared" si="7"/>
        <v>-150</v>
      </c>
      <c r="K50" s="64">
        <f t="shared" si="7"/>
        <v>-150</v>
      </c>
      <c r="L50" s="64">
        <f t="shared" si="7"/>
        <v>-150</v>
      </c>
      <c r="M50" s="64">
        <f t="shared" si="7"/>
        <v>-150</v>
      </c>
      <c r="N50" s="274"/>
      <c r="P50" s="68"/>
    </row>
    <row r="51" spans="1:16" x14ac:dyDescent="0.25">
      <c r="A51" s="56" t="s">
        <v>28</v>
      </c>
      <c r="B51" s="69" t="s">
        <v>73</v>
      </c>
      <c r="C51" s="64">
        <f>C39</f>
        <v>0</v>
      </c>
      <c r="D51" s="64">
        <f>D39</f>
        <v>-1.6666666666666667</v>
      </c>
      <c r="E51" s="64">
        <f t="shared" ref="E51:M51" si="8">E39</f>
        <v>-4.9444444444444446</v>
      </c>
      <c r="F51" s="64">
        <f t="shared" si="8"/>
        <v>-9.7796296296296301</v>
      </c>
      <c r="G51" s="64">
        <f t="shared" si="8"/>
        <v>-16.12030864197531</v>
      </c>
      <c r="H51" s="64">
        <f t="shared" si="8"/>
        <v>-22.2496316872428</v>
      </c>
      <c r="I51" s="64">
        <f t="shared" si="8"/>
        <v>-28.17464396433471</v>
      </c>
      <c r="J51" s="64">
        <f t="shared" si="8"/>
        <v>-33.902155832190218</v>
      </c>
      <c r="K51" s="64">
        <f t="shared" si="8"/>
        <v>-39.438750637783883</v>
      </c>
      <c r="L51" s="64">
        <f t="shared" si="8"/>
        <v>-44.790792283191088</v>
      </c>
      <c r="M51" s="64">
        <f t="shared" si="8"/>
        <v>-25.187549554621704</v>
      </c>
      <c r="N51" s="274"/>
      <c r="P51" s="68"/>
    </row>
    <row r="52" spans="1:16" x14ac:dyDescent="0.25">
      <c r="A52" s="79" t="s">
        <v>77</v>
      </c>
      <c r="B52" s="69" t="s">
        <v>73</v>
      </c>
      <c r="C52" s="81">
        <f>C22</f>
        <v>0</v>
      </c>
      <c r="D52" s="81">
        <f t="shared" ref="D52:M52" si="9">D22</f>
        <v>0</v>
      </c>
      <c r="E52" s="81">
        <f t="shared" si="9"/>
        <v>0</v>
      </c>
      <c r="F52" s="81">
        <f t="shared" si="9"/>
        <v>0</v>
      </c>
      <c r="G52" s="81">
        <f t="shared" si="9"/>
        <v>0</v>
      </c>
      <c r="H52" s="81">
        <f t="shared" si="9"/>
        <v>0</v>
      </c>
      <c r="I52" s="81">
        <f t="shared" si="9"/>
        <v>0</v>
      </c>
      <c r="J52" s="81">
        <f t="shared" si="9"/>
        <v>0</v>
      </c>
      <c r="K52" s="81">
        <f t="shared" si="9"/>
        <v>0</v>
      </c>
      <c r="L52" s="81">
        <f t="shared" si="9"/>
        <v>0</v>
      </c>
      <c r="M52" s="81">
        <f t="shared" si="9"/>
        <v>0</v>
      </c>
      <c r="N52" s="274"/>
      <c r="P52" s="68"/>
    </row>
    <row r="53" spans="1:16" x14ac:dyDescent="0.25">
      <c r="A53" s="82" t="s">
        <v>91</v>
      </c>
      <c r="B53" s="69" t="s">
        <v>73</v>
      </c>
      <c r="C53" s="115">
        <f>SUM(C49:C52)</f>
        <v>-50</v>
      </c>
      <c r="D53" s="115">
        <f t="shared" ref="D53:M53" si="10">SUM(D49:D52)</f>
        <v>-106.25766666666668</v>
      </c>
      <c r="E53" s="115">
        <f t="shared" si="10"/>
        <v>-168.56441111111113</v>
      </c>
      <c r="F53" s="115">
        <f t="shared" si="10"/>
        <v>-186.7185974074074</v>
      </c>
      <c r="G53" s="115">
        <f t="shared" si="10"/>
        <v>-196.01703304938272</v>
      </c>
      <c r="H53" s="115">
        <f t="shared" si="10"/>
        <v>-213.5137986144033</v>
      </c>
      <c r="I53" s="115">
        <f t="shared" si="10"/>
        <v>-227.80709677190671</v>
      </c>
      <c r="J53" s="115">
        <f t="shared" si="10"/>
        <v>-233.45354679651945</v>
      </c>
      <c r="K53" s="115">
        <f t="shared" si="10"/>
        <v>-247.08242856996884</v>
      </c>
      <c r="L53" s="115">
        <f t="shared" si="10"/>
        <v>-263.61632370554253</v>
      </c>
      <c r="M53" s="115">
        <f t="shared" si="10"/>
        <v>-213.30215597759945</v>
      </c>
      <c r="N53" s="274"/>
      <c r="P53" s="68"/>
    </row>
    <row r="54" spans="1:16" x14ac:dyDescent="0.25">
      <c r="A54" s="77"/>
      <c r="C54" s="45"/>
      <c r="D54" s="45"/>
      <c r="E54" s="45"/>
      <c r="F54" s="45"/>
      <c r="G54" s="45"/>
      <c r="H54" s="45"/>
      <c r="I54" s="45"/>
      <c r="J54" s="45"/>
      <c r="K54" s="45"/>
      <c r="L54" s="45"/>
      <c r="M54" s="45"/>
      <c r="N54" s="102"/>
      <c r="P54" s="68"/>
    </row>
    <row r="55" spans="1:16" x14ac:dyDescent="0.25">
      <c r="A55" s="77"/>
      <c r="C55" s="45"/>
      <c r="D55" s="45"/>
      <c r="E55" s="45"/>
      <c r="F55" s="45"/>
      <c r="G55" s="45"/>
      <c r="H55" s="45"/>
      <c r="I55" s="45"/>
      <c r="J55" s="45"/>
      <c r="K55" s="45"/>
      <c r="L55" s="45"/>
      <c r="M55" s="45"/>
      <c r="N55" s="102"/>
      <c r="P55" s="68"/>
    </row>
    <row r="56" spans="1:16" ht="14.25" customHeight="1" x14ac:dyDescent="0.25">
      <c r="A56" s="73"/>
      <c r="B56" s="65"/>
      <c r="C56" s="66"/>
      <c r="D56" s="66"/>
      <c r="E56" s="66"/>
      <c r="F56" s="66"/>
      <c r="G56" s="66"/>
      <c r="H56" s="66"/>
      <c r="I56" s="66"/>
      <c r="J56" s="66"/>
      <c r="K56" s="66"/>
      <c r="L56" s="66"/>
      <c r="M56" s="66"/>
      <c r="N56" s="102"/>
      <c r="P56" s="68"/>
    </row>
    <row r="57" spans="1:16" ht="14.25" customHeight="1" x14ac:dyDescent="0.3">
      <c r="A57" s="86" t="s">
        <v>104</v>
      </c>
      <c r="B57" s="83"/>
      <c r="C57" s="78"/>
      <c r="D57" s="78"/>
      <c r="E57" s="78"/>
      <c r="F57" s="78"/>
      <c r="G57" s="78"/>
      <c r="H57" s="78"/>
      <c r="I57" s="78"/>
      <c r="J57" s="78"/>
      <c r="K57" s="78"/>
      <c r="L57" s="78"/>
      <c r="M57" s="78"/>
      <c r="N57" s="102"/>
      <c r="P57" s="68"/>
    </row>
    <row r="58" spans="1:16" x14ac:dyDescent="0.25">
      <c r="A58" s="56" t="s">
        <v>104</v>
      </c>
      <c r="B58" s="84"/>
      <c r="C58" s="85">
        <f>C46+C53</f>
        <v>-50</v>
      </c>
      <c r="D58" s="85">
        <f t="shared" ref="D58:M58" si="11">D46+D53</f>
        <v>-56.25766666666668</v>
      </c>
      <c r="E58" s="85">
        <f t="shared" si="11"/>
        <v>-68.564411111111127</v>
      </c>
      <c r="F58" s="85">
        <f t="shared" si="11"/>
        <v>-36.718597407407401</v>
      </c>
      <c r="G58" s="85">
        <f>G46+G53</f>
        <v>3.982966950617282</v>
      </c>
      <c r="H58" s="85">
        <f t="shared" si="11"/>
        <v>-3.5137986144032993</v>
      </c>
      <c r="I58" s="85">
        <f t="shared" si="11"/>
        <v>-7.8070967719067141</v>
      </c>
      <c r="J58" s="85">
        <f t="shared" si="11"/>
        <v>-3.4535467965194471</v>
      </c>
      <c r="K58" s="85">
        <f t="shared" si="11"/>
        <v>-7.0824285699688403</v>
      </c>
      <c r="L58" s="85">
        <f t="shared" si="11"/>
        <v>-13.616323705542527</v>
      </c>
      <c r="M58" s="85">
        <f t="shared" si="11"/>
        <v>46.697844022400545</v>
      </c>
      <c r="N58" s="116"/>
      <c r="P58" s="68"/>
    </row>
    <row r="59" spans="1:16" x14ac:dyDescent="0.25">
      <c r="C59" s="43"/>
      <c r="D59" s="43"/>
      <c r="E59" s="43"/>
      <c r="F59" s="43"/>
      <c r="G59" s="43"/>
      <c r="H59" s="43"/>
      <c r="I59" s="43"/>
      <c r="J59" s="43"/>
      <c r="K59" s="43"/>
      <c r="L59" s="43"/>
      <c r="M59" s="43"/>
      <c r="N59" s="102"/>
      <c r="P59" s="68"/>
    </row>
    <row r="60" spans="1:16" x14ac:dyDescent="0.25">
      <c r="N60" s="102"/>
      <c r="P60" s="68"/>
    </row>
    <row r="61" spans="1:16" ht="23.25" x14ac:dyDescent="0.35">
      <c r="A61" s="35" t="s">
        <v>76</v>
      </c>
      <c r="C61" s="43"/>
      <c r="D61" s="43"/>
      <c r="E61" s="43"/>
      <c r="F61" s="43"/>
      <c r="G61" s="43"/>
      <c r="H61" s="43"/>
      <c r="I61" s="43"/>
      <c r="J61" s="43"/>
      <c r="K61" s="43"/>
      <c r="L61" s="43"/>
      <c r="M61" s="43"/>
      <c r="N61" s="102"/>
      <c r="P61" s="68"/>
    </row>
    <row r="62" spans="1:16" ht="23.25" x14ac:dyDescent="0.35">
      <c r="A62" s="35"/>
      <c r="C62" s="43"/>
      <c r="D62" s="43"/>
      <c r="E62" s="43"/>
      <c r="F62" s="43"/>
      <c r="G62" s="43"/>
      <c r="H62" s="43"/>
      <c r="I62" s="43"/>
      <c r="J62" s="43"/>
      <c r="K62" s="43"/>
      <c r="L62" s="43"/>
      <c r="M62" s="43"/>
      <c r="N62" s="102"/>
      <c r="P62" s="68"/>
    </row>
    <row r="63" spans="1:16" ht="18.75" x14ac:dyDescent="0.3">
      <c r="A63" s="86" t="s">
        <v>105</v>
      </c>
      <c r="B63" s="42"/>
      <c r="C63" s="100">
        <v>2012</v>
      </c>
      <c r="D63" s="100">
        <v>2013</v>
      </c>
      <c r="E63" s="100">
        <v>2014</v>
      </c>
      <c r="F63" s="100">
        <v>2015</v>
      </c>
      <c r="G63" s="100">
        <v>2016</v>
      </c>
      <c r="H63" s="100">
        <v>2017</v>
      </c>
      <c r="I63" s="100">
        <v>2018</v>
      </c>
      <c r="J63" s="100">
        <v>2019</v>
      </c>
      <c r="K63" s="100">
        <v>2020</v>
      </c>
      <c r="L63" s="100">
        <v>2021</v>
      </c>
      <c r="M63" s="100">
        <v>2022</v>
      </c>
      <c r="N63" s="102"/>
      <c r="P63" s="68"/>
    </row>
    <row r="64" spans="1:16" x14ac:dyDescent="0.25">
      <c r="A64" s="56" t="str">
        <f>A26</f>
        <v>Compounding factor (vanilla WACC)</v>
      </c>
      <c r="B64" s="120" t="s">
        <v>107</v>
      </c>
      <c r="C64" s="72">
        <f>C26</f>
        <v>1.8418483538114241</v>
      </c>
      <c r="D64" s="72">
        <f t="shared" ref="C64:M64" si="12">D26</f>
        <v>1.6869523857517028</v>
      </c>
      <c r="E64" s="72">
        <f t="shared" si="12"/>
        <v>1.545082876070875</v>
      </c>
      <c r="F64" s="72">
        <f t="shared" si="12"/>
        <v>1.415144324220911</v>
      </c>
      <c r="G64" s="72">
        <f t="shared" si="12"/>
        <v>1.3327535026849286</v>
      </c>
      <c r="H64" s="72">
        <f t="shared" si="12"/>
        <v>1.2551595399266624</v>
      </c>
      <c r="I64" s="72">
        <f t="shared" si="12"/>
        <v>1.1855443742695542</v>
      </c>
      <c r="J64" s="72">
        <f t="shared" si="12"/>
        <v>1.1304679745495023</v>
      </c>
      <c r="K64" s="72">
        <f t="shared" si="12"/>
        <v>1.0779502389098159</v>
      </c>
      <c r="L64" s="72">
        <f t="shared" si="12"/>
        <v>1.0254278256785601</v>
      </c>
      <c r="M64" s="72">
        <f t="shared" si="12"/>
        <v>1</v>
      </c>
      <c r="N64" s="116"/>
      <c r="P64" s="68"/>
    </row>
    <row r="65" spans="1:16" x14ac:dyDescent="0.25">
      <c r="A65" s="56" t="s">
        <v>255</v>
      </c>
      <c r="B65" s="69" t="s">
        <v>73</v>
      </c>
      <c r="C65" s="64">
        <f>-C58*C64</f>
        <v>92.09241769057121</v>
      </c>
      <c r="D65" s="64">
        <f t="shared" ref="D65:M65" si="13">-D58*D64</f>
        <v>94.904005000157397</v>
      </c>
      <c r="E65" s="64">
        <f t="shared" si="13"/>
        <v>105.93769751566144</v>
      </c>
      <c r="F65" s="64">
        <f t="shared" si="13"/>
        <v>51.962114714445242</v>
      </c>
      <c r="G65" s="64">
        <f t="shared" si="13"/>
        <v>-5.3083131545134918</v>
      </c>
      <c r="H65" s="64">
        <f t="shared" si="13"/>
        <v>4.4103778522493888</v>
      </c>
      <c r="I65" s="64">
        <f t="shared" si="13"/>
        <v>9.2556596573120018</v>
      </c>
      <c r="J65" s="64">
        <f t="shared" si="13"/>
        <v>3.9041240520732616</v>
      </c>
      <c r="K65" s="64">
        <f t="shared" si="13"/>
        <v>7.6345055690596171</v>
      </c>
      <c r="L65" s="64">
        <f t="shared" si="13"/>
        <v>13.962557211109907</v>
      </c>
      <c r="M65" s="64">
        <f t="shared" si="13"/>
        <v>-46.697844022400545</v>
      </c>
      <c r="N65" s="116"/>
      <c r="P65" s="68"/>
    </row>
    <row r="66" spans="1:16" x14ac:dyDescent="0.25">
      <c r="A66" s="56" t="s">
        <v>256</v>
      </c>
      <c r="B66" s="69" t="s">
        <v>73</v>
      </c>
      <c r="C66" s="64"/>
      <c r="D66" s="64"/>
      <c r="E66" s="64"/>
      <c r="F66" s="64"/>
      <c r="G66" s="64"/>
      <c r="H66" s="64"/>
      <c r="I66" s="64"/>
      <c r="J66" s="64"/>
      <c r="K66" s="64"/>
      <c r="L66" s="64"/>
      <c r="M66" s="123">
        <f>SUM(C65:M65)</f>
        <v>332.05730208572544</v>
      </c>
      <c r="N66" s="116"/>
      <c r="P66" s="68"/>
    </row>
    <row r="67" spans="1:16" x14ac:dyDescent="0.25">
      <c r="A67" s="73"/>
      <c r="B67" s="153"/>
      <c r="C67" s="66"/>
      <c r="D67" s="66"/>
      <c r="E67" s="66"/>
      <c r="F67" s="66"/>
      <c r="G67" s="66"/>
      <c r="H67" s="66"/>
      <c r="I67" s="66"/>
      <c r="J67" s="66"/>
      <c r="K67" s="66"/>
      <c r="L67" s="66"/>
      <c r="M67" s="230"/>
      <c r="N67" s="275"/>
      <c r="P67" s="68"/>
    </row>
    <row r="68" spans="1:16" ht="18.75" x14ac:dyDescent="0.3">
      <c r="A68" s="86" t="s">
        <v>32</v>
      </c>
      <c r="B68" s="187"/>
      <c r="C68" s="231"/>
      <c r="D68" s="231"/>
      <c r="E68" s="231"/>
      <c r="F68" s="231"/>
      <c r="G68" s="231"/>
      <c r="H68" s="231"/>
      <c r="I68" s="231"/>
      <c r="J68" s="231"/>
      <c r="K68" s="231"/>
      <c r="L68" s="231"/>
      <c r="M68" s="232"/>
      <c r="N68" s="275"/>
      <c r="P68" s="68"/>
    </row>
    <row r="69" spans="1:16" x14ac:dyDescent="0.25">
      <c r="A69" s="91" t="s">
        <v>90</v>
      </c>
      <c r="B69" s="69" t="s">
        <v>73</v>
      </c>
      <c r="C69" s="93">
        <v>0</v>
      </c>
      <c r="D69" s="64">
        <f>C72</f>
        <v>30</v>
      </c>
      <c r="E69" s="64">
        <f>D72</f>
        <v>80</v>
      </c>
      <c r="F69" s="64">
        <f>E72</f>
        <v>150</v>
      </c>
      <c r="G69" s="64">
        <f t="shared" ref="E69:M69" si="14">F72</f>
        <v>250</v>
      </c>
      <c r="H69" s="64">
        <f t="shared" si="14"/>
        <v>350</v>
      </c>
      <c r="I69" s="64">
        <f t="shared" si="14"/>
        <v>450</v>
      </c>
      <c r="J69" s="64">
        <f t="shared" si="14"/>
        <v>550</v>
      </c>
      <c r="K69" s="64">
        <f t="shared" si="14"/>
        <v>650</v>
      </c>
      <c r="L69" s="64">
        <f t="shared" si="14"/>
        <v>750</v>
      </c>
      <c r="M69" s="64">
        <f t="shared" si="14"/>
        <v>850</v>
      </c>
      <c r="N69" s="116"/>
      <c r="P69" s="68"/>
    </row>
    <row r="70" spans="1:16" x14ac:dyDescent="0.25">
      <c r="A70" s="91" t="s">
        <v>89</v>
      </c>
      <c r="B70" s="69" t="s">
        <v>73</v>
      </c>
      <c r="C70" s="64">
        <f>C29</f>
        <v>30</v>
      </c>
      <c r="D70" s="64">
        <f>D29</f>
        <v>50</v>
      </c>
      <c r="E70" s="64">
        <f t="shared" ref="D70:M70" si="15">E29</f>
        <v>70</v>
      </c>
      <c r="F70" s="64">
        <f t="shared" si="15"/>
        <v>100</v>
      </c>
      <c r="G70" s="64">
        <f t="shared" si="15"/>
        <v>100</v>
      </c>
      <c r="H70" s="64">
        <f t="shared" si="15"/>
        <v>100</v>
      </c>
      <c r="I70" s="64">
        <f t="shared" si="15"/>
        <v>100</v>
      </c>
      <c r="J70" s="64">
        <f t="shared" si="15"/>
        <v>100</v>
      </c>
      <c r="K70" s="64">
        <f t="shared" si="15"/>
        <v>100</v>
      </c>
      <c r="L70" s="64">
        <f t="shared" si="15"/>
        <v>100</v>
      </c>
      <c r="M70" s="64">
        <f t="shared" si="15"/>
        <v>100</v>
      </c>
      <c r="N70" s="116"/>
      <c r="P70" s="68"/>
    </row>
    <row r="71" spans="1:16" x14ac:dyDescent="0.25">
      <c r="A71" s="91" t="s">
        <v>100</v>
      </c>
      <c r="B71" s="69" t="s">
        <v>73</v>
      </c>
      <c r="C71" s="64">
        <f>C30</f>
        <v>0</v>
      </c>
      <c r="D71" s="64">
        <f t="shared" ref="D71:M71" si="16">D30</f>
        <v>0</v>
      </c>
      <c r="E71" s="64">
        <f t="shared" si="16"/>
        <v>0</v>
      </c>
      <c r="F71" s="64">
        <f t="shared" si="16"/>
        <v>0</v>
      </c>
      <c r="G71" s="64">
        <f t="shared" si="16"/>
        <v>0</v>
      </c>
      <c r="H71" s="64">
        <f t="shared" si="16"/>
        <v>0</v>
      </c>
      <c r="I71" s="64">
        <f t="shared" si="16"/>
        <v>0</v>
      </c>
      <c r="J71" s="64">
        <f t="shared" si="16"/>
        <v>0</v>
      </c>
      <c r="K71" s="64">
        <f t="shared" si="16"/>
        <v>0</v>
      </c>
      <c r="L71" s="64">
        <f t="shared" si="16"/>
        <v>0</v>
      </c>
      <c r="M71" s="64">
        <f t="shared" si="16"/>
        <v>0</v>
      </c>
      <c r="N71" s="116"/>
      <c r="P71" s="68"/>
    </row>
    <row r="72" spans="1:16" x14ac:dyDescent="0.25">
      <c r="A72" s="91" t="s">
        <v>99</v>
      </c>
      <c r="B72" s="69" t="s">
        <v>73</v>
      </c>
      <c r="C72" s="114">
        <f>SUM(C69:C71)</f>
        <v>30</v>
      </c>
      <c r="D72" s="114">
        <f t="shared" ref="D72:M72" si="17">SUM(D69:D71)</f>
        <v>80</v>
      </c>
      <c r="E72" s="114">
        <f t="shared" si="17"/>
        <v>150</v>
      </c>
      <c r="F72" s="114">
        <f t="shared" si="17"/>
        <v>250</v>
      </c>
      <c r="G72" s="114">
        <f t="shared" si="17"/>
        <v>350</v>
      </c>
      <c r="H72" s="114">
        <f t="shared" si="17"/>
        <v>450</v>
      </c>
      <c r="I72" s="114">
        <f t="shared" si="17"/>
        <v>550</v>
      </c>
      <c r="J72" s="114">
        <f t="shared" si="17"/>
        <v>650</v>
      </c>
      <c r="K72" s="114">
        <f t="shared" si="17"/>
        <v>750</v>
      </c>
      <c r="L72" s="114">
        <f t="shared" si="17"/>
        <v>850</v>
      </c>
      <c r="M72" s="114">
        <f t="shared" si="17"/>
        <v>950</v>
      </c>
      <c r="N72" s="116"/>
      <c r="P72" s="68"/>
    </row>
    <row r="73" spans="1:16" ht="18.75" x14ac:dyDescent="0.3">
      <c r="A73" s="127"/>
      <c r="C73" s="45"/>
      <c r="D73" s="45"/>
      <c r="E73" s="45"/>
      <c r="F73" s="45"/>
      <c r="G73" s="45"/>
      <c r="H73" s="45"/>
      <c r="I73" s="45"/>
      <c r="J73" s="45"/>
      <c r="K73" s="45"/>
      <c r="L73" s="45"/>
      <c r="M73" s="45"/>
      <c r="N73" s="275"/>
      <c r="P73" s="68"/>
    </row>
    <row r="74" spans="1:16" ht="18.75" x14ac:dyDescent="0.3">
      <c r="A74" s="86"/>
      <c r="B74" s="187"/>
      <c r="C74" s="231"/>
      <c r="D74" s="231"/>
      <c r="E74" s="231"/>
      <c r="F74" s="231"/>
      <c r="G74" s="231"/>
      <c r="H74" s="231"/>
      <c r="I74" s="231"/>
      <c r="J74" s="231"/>
      <c r="K74" s="231"/>
      <c r="L74" s="231"/>
      <c r="M74" s="232"/>
      <c r="N74" s="275"/>
      <c r="P74" s="68"/>
    </row>
    <row r="75" spans="1:16" x14ac:dyDescent="0.25">
      <c r="A75" s="91" t="s">
        <v>32</v>
      </c>
      <c r="B75" s="69" t="s">
        <v>73</v>
      </c>
      <c r="C75" s="74">
        <f t="shared" ref="C75:M75" si="18">C69*C25</f>
        <v>0</v>
      </c>
      <c r="D75" s="74">
        <f>D69*D25</f>
        <v>2.4</v>
      </c>
      <c r="E75" s="74">
        <f t="shared" si="18"/>
        <v>6.4</v>
      </c>
      <c r="F75" s="74">
        <f t="shared" si="18"/>
        <v>12</v>
      </c>
      <c r="G75" s="74">
        <f t="shared" si="18"/>
        <v>12.5</v>
      </c>
      <c r="H75" s="74">
        <f t="shared" si="18"/>
        <v>17.5</v>
      </c>
      <c r="I75" s="74">
        <f t="shared" si="18"/>
        <v>22.5</v>
      </c>
      <c r="J75" s="74">
        <f t="shared" si="18"/>
        <v>16.5</v>
      </c>
      <c r="K75" s="74">
        <f t="shared" si="18"/>
        <v>19.5</v>
      </c>
      <c r="L75" s="74">
        <f t="shared" si="18"/>
        <v>22.5</v>
      </c>
      <c r="M75" s="74">
        <f t="shared" si="18"/>
        <v>17</v>
      </c>
      <c r="N75" s="116"/>
      <c r="P75" s="68"/>
    </row>
    <row r="76" spans="1:16" x14ac:dyDescent="0.25">
      <c r="A76" s="126" t="s">
        <v>266</v>
      </c>
      <c r="B76" s="229" t="s">
        <v>107</v>
      </c>
      <c r="C76" s="169">
        <f>C27</f>
        <v>1.6253653965784403</v>
      </c>
      <c r="D76" s="169">
        <f t="shared" ref="D76:M76" si="19">D27</f>
        <v>1.504967959794852</v>
      </c>
      <c r="E76" s="169">
        <f t="shared" si="19"/>
        <v>1.3934888516619</v>
      </c>
      <c r="F76" s="169">
        <f t="shared" si="19"/>
        <v>1.2902674552425</v>
      </c>
      <c r="G76" s="169">
        <f t="shared" si="19"/>
        <v>1.22882614785</v>
      </c>
      <c r="H76" s="169">
        <f t="shared" si="19"/>
        <v>1.1703106169999999</v>
      </c>
      <c r="I76" s="169">
        <f t="shared" si="19"/>
        <v>1.1145815399999999</v>
      </c>
      <c r="J76" s="169">
        <f t="shared" si="19"/>
        <v>1.0821179999999999</v>
      </c>
      <c r="K76" s="169">
        <f t="shared" si="19"/>
        <v>1.0506</v>
      </c>
      <c r="L76" s="169">
        <f t="shared" si="19"/>
        <v>1.02</v>
      </c>
      <c r="M76" s="169">
        <f t="shared" si="19"/>
        <v>1</v>
      </c>
      <c r="N76" s="76"/>
      <c r="O76" s="76" t="s">
        <v>262</v>
      </c>
      <c r="P76" s="68"/>
    </row>
    <row r="77" spans="1:16" x14ac:dyDescent="0.25">
      <c r="A77" s="91" t="s">
        <v>179</v>
      </c>
      <c r="B77" s="69" t="s">
        <v>73</v>
      </c>
      <c r="C77" s="67">
        <f>C76*C75</f>
        <v>0</v>
      </c>
      <c r="D77" s="67">
        <f>D76*D75</f>
        <v>3.6119231035076447</v>
      </c>
      <c r="E77" s="67">
        <f t="shared" ref="D77:M77" si="20">E76*E75</f>
        <v>8.9183286506361608</v>
      </c>
      <c r="F77" s="67">
        <f t="shared" si="20"/>
        <v>15.483209462910001</v>
      </c>
      <c r="G77" s="67">
        <f t="shared" si="20"/>
        <v>15.360326848125</v>
      </c>
      <c r="H77" s="67">
        <f t="shared" si="20"/>
        <v>20.4804357975</v>
      </c>
      <c r="I77" s="67">
        <f t="shared" si="20"/>
        <v>25.078084649999997</v>
      </c>
      <c r="J77" s="67">
        <f t="shared" si="20"/>
        <v>17.854946999999999</v>
      </c>
      <c r="K77" s="67">
        <f t="shared" si="20"/>
        <v>20.486699999999999</v>
      </c>
      <c r="L77" s="67">
        <f t="shared" si="20"/>
        <v>22.95</v>
      </c>
      <c r="M77" s="67">
        <f t="shared" si="20"/>
        <v>17</v>
      </c>
      <c r="N77" s="116"/>
      <c r="P77" s="68"/>
    </row>
    <row r="78" spans="1:16" x14ac:dyDescent="0.25">
      <c r="A78" s="91" t="s">
        <v>31</v>
      </c>
      <c r="B78" s="69" t="s">
        <v>73</v>
      </c>
      <c r="C78" s="114"/>
      <c r="D78" s="114"/>
      <c r="E78" s="114"/>
      <c r="F78" s="114"/>
      <c r="G78" s="114"/>
      <c r="H78" s="114"/>
      <c r="I78" s="114"/>
      <c r="J78" s="114"/>
      <c r="K78" s="114"/>
      <c r="L78" s="114"/>
      <c r="M78" s="114">
        <f>SUM(C77:M77)</f>
        <v>167.2239555126788</v>
      </c>
      <c r="N78" s="102"/>
      <c r="P78" s="68"/>
    </row>
    <row r="79" spans="1:16" x14ac:dyDescent="0.25">
      <c r="A79" s="77"/>
      <c r="B79" s="153"/>
      <c r="C79" s="233"/>
      <c r="D79" s="233"/>
      <c r="E79" s="233"/>
      <c r="F79" s="233"/>
      <c r="G79" s="233"/>
      <c r="H79" s="233"/>
      <c r="I79" s="233"/>
      <c r="J79" s="233"/>
      <c r="K79" s="233"/>
      <c r="L79" s="233"/>
      <c r="M79" s="233"/>
      <c r="P79" s="68"/>
    </row>
    <row r="80" spans="1:16" x14ac:dyDescent="0.25">
      <c r="P80" s="68"/>
    </row>
    <row r="81" spans="1:16" ht="18.75" x14ac:dyDescent="0.3">
      <c r="A81" s="86" t="s">
        <v>106</v>
      </c>
      <c r="P81" s="68"/>
    </row>
    <row r="82" spans="1:16" x14ac:dyDescent="0.25">
      <c r="A82" s="56" t="s">
        <v>106</v>
      </c>
      <c r="B82" s="56"/>
      <c r="C82" s="72"/>
      <c r="D82" s="72"/>
      <c r="E82" s="72"/>
      <c r="F82" s="72"/>
      <c r="G82" s="72"/>
      <c r="H82" s="72"/>
      <c r="I82" s="72"/>
      <c r="J82" s="72"/>
      <c r="K82" s="72"/>
      <c r="L82" s="72"/>
      <c r="M82" s="122">
        <f>M66-M78</f>
        <v>164.83334657304664</v>
      </c>
      <c r="P82" s="68"/>
    </row>
    <row r="83" spans="1:16" x14ac:dyDescent="0.25">
      <c r="P83" s="68"/>
    </row>
    <row r="84" spans="1:16" x14ac:dyDescent="0.25">
      <c r="P84" s="68"/>
    </row>
    <row r="85" spans="1:16" x14ac:dyDescent="0.25">
      <c r="P85" s="68"/>
    </row>
    <row r="86" spans="1:16" x14ac:dyDescent="0.25">
      <c r="A86" s="56" t="s">
        <v>200</v>
      </c>
      <c r="B86" s="69" t="s">
        <v>73</v>
      </c>
      <c r="C86" s="64">
        <f t="shared" ref="C86:M86" si="21">C$64*C46</f>
        <v>0</v>
      </c>
      <c r="D86" s="64">
        <f t="shared" si="21"/>
        <v>84.347619287585147</v>
      </c>
      <c r="E86" s="64">
        <f t="shared" si="21"/>
        <v>154.50828760708751</v>
      </c>
      <c r="F86" s="64">
        <f t="shared" si="21"/>
        <v>212.27164863313664</v>
      </c>
      <c r="G86" s="64">
        <f t="shared" si="21"/>
        <v>266.55070053698574</v>
      </c>
      <c r="H86" s="64">
        <f t="shared" si="21"/>
        <v>263.58350338459911</v>
      </c>
      <c r="I86" s="64">
        <f t="shared" si="21"/>
        <v>260.81976233930192</v>
      </c>
      <c r="J86" s="64">
        <f t="shared" si="21"/>
        <v>260.00763414638556</v>
      </c>
      <c r="K86" s="64">
        <f t="shared" si="21"/>
        <v>258.70805733835584</v>
      </c>
      <c r="L86" s="64">
        <f t="shared" si="21"/>
        <v>256.35695641964003</v>
      </c>
      <c r="M86" s="64">
        <f t="shared" si="21"/>
        <v>260</v>
      </c>
      <c r="P86" s="68"/>
    </row>
    <row r="87" spans="1:16" x14ac:dyDescent="0.25">
      <c r="A87" s="56" t="s">
        <v>183</v>
      </c>
      <c r="B87" s="69" t="s">
        <v>73</v>
      </c>
      <c r="C87" s="64">
        <f>C53*C64+C77</f>
        <v>-92.09241769057121</v>
      </c>
      <c r="D87" s="64">
        <f t="shared" ref="D87:M87" si="22">D53*D64+D77</f>
        <v>-175.63970118423489</v>
      </c>
      <c r="E87" s="64">
        <f t="shared" si="22"/>
        <v>-251.52765647211277</v>
      </c>
      <c r="F87" s="64">
        <f t="shared" si="22"/>
        <v>-248.75055388467189</v>
      </c>
      <c r="G87" s="64">
        <f t="shared" si="22"/>
        <v>-245.88206053434726</v>
      </c>
      <c r="H87" s="64">
        <f t="shared" si="22"/>
        <v>-247.51344543934849</v>
      </c>
      <c r="I87" s="64">
        <f t="shared" si="22"/>
        <v>-244.9973373466139</v>
      </c>
      <c r="J87" s="64">
        <f t="shared" si="22"/>
        <v>-246.0568111984588</v>
      </c>
      <c r="K87" s="64">
        <f t="shared" si="22"/>
        <v>-245.85586290741543</v>
      </c>
      <c r="L87" s="64">
        <f t="shared" si="22"/>
        <v>-247.36951363074991</v>
      </c>
      <c r="M87" s="64">
        <f t="shared" si="22"/>
        <v>-196.30215597759945</v>
      </c>
      <c r="P87" s="68"/>
    </row>
    <row r="88" spans="1:16" x14ac:dyDescent="0.25">
      <c r="P88" s="68"/>
    </row>
    <row r="89" spans="1:16" ht="23.25" x14ac:dyDescent="0.35">
      <c r="A89" s="35" t="s">
        <v>23</v>
      </c>
      <c r="P89" s="68"/>
    </row>
    <row r="90" spans="1:16" x14ac:dyDescent="0.25">
      <c r="A90" s="174" t="s">
        <v>184</v>
      </c>
      <c r="P90" s="68"/>
    </row>
    <row r="91" spans="1:16" x14ac:dyDescent="0.25">
      <c r="A91" s="56" t="s">
        <v>198</v>
      </c>
      <c r="B91" s="69" t="s">
        <v>73</v>
      </c>
      <c r="C91" s="64"/>
      <c r="D91" s="64"/>
      <c r="E91" s="64"/>
      <c r="F91" s="64"/>
      <c r="G91" s="64"/>
      <c r="H91" s="64"/>
      <c r="I91" s="64"/>
      <c r="J91" s="64"/>
      <c r="K91" s="64"/>
      <c r="L91" s="64"/>
      <c r="M91" s="64">
        <f>SUM(C86:M86)</f>
        <v>2277.1541696930776</v>
      </c>
      <c r="P91" s="68"/>
    </row>
    <row r="92" spans="1:16" x14ac:dyDescent="0.25">
      <c r="A92" s="56" t="s">
        <v>183</v>
      </c>
      <c r="B92" s="69" t="s">
        <v>73</v>
      </c>
      <c r="C92" s="64"/>
      <c r="D92" s="64"/>
      <c r="E92" s="64"/>
      <c r="F92" s="64"/>
      <c r="G92" s="64"/>
      <c r="H92" s="64"/>
      <c r="I92" s="64"/>
      <c r="J92" s="64"/>
      <c r="K92" s="64"/>
      <c r="L92" s="64"/>
      <c r="M92" s="64">
        <f>SUM(C87:M87)</f>
        <v>-2441.9875162661237</v>
      </c>
      <c r="P92" s="68"/>
    </row>
    <row r="93" spans="1:16" x14ac:dyDescent="0.25">
      <c r="A93" s="56" t="s">
        <v>106</v>
      </c>
      <c r="B93" s="69" t="s">
        <v>73</v>
      </c>
      <c r="C93" s="64"/>
      <c r="D93" s="64"/>
      <c r="E93" s="64"/>
      <c r="F93" s="64"/>
      <c r="G93" s="64"/>
      <c r="H93" s="64"/>
      <c r="I93" s="64"/>
      <c r="J93" s="64"/>
      <c r="K93" s="64"/>
      <c r="L93" s="64"/>
      <c r="M93" s="64">
        <f>M82</f>
        <v>164.83334657304664</v>
      </c>
      <c r="P93" s="68"/>
    </row>
    <row r="94" spans="1:16" x14ac:dyDescent="0.25">
      <c r="P94" s="6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F66"/>
  <sheetViews>
    <sheetView showGridLines="0" view="pageBreakPreview" zoomScale="85" zoomScaleNormal="100" zoomScaleSheetLayoutView="85" workbookViewId="0"/>
  </sheetViews>
  <sheetFormatPr defaultColWidth="9.140625" defaultRowHeight="15" x14ac:dyDescent="0.25"/>
  <cols>
    <col min="1" max="1" width="2.7109375" style="1" customWidth="1"/>
    <col min="2" max="2" width="34.7109375" style="1" customWidth="1"/>
    <col min="3" max="3" width="100.7109375" style="1" customWidth="1"/>
    <col min="4" max="5" width="14.7109375" style="1" customWidth="1"/>
    <col min="6" max="6" width="2.7109375" style="1" customWidth="1"/>
    <col min="7" max="16384" width="9.140625" style="1"/>
  </cols>
  <sheetData>
    <row r="1" spans="1:6" ht="26.25" x14ac:dyDescent="0.4">
      <c r="A1" s="16" t="s">
        <v>0</v>
      </c>
      <c r="B1" s="8"/>
      <c r="C1" s="8"/>
      <c r="D1" s="8"/>
      <c r="E1" s="8"/>
      <c r="F1" s="8"/>
    </row>
    <row r="2" spans="1:6" x14ac:dyDescent="0.25">
      <c r="A2" s="8"/>
      <c r="B2" s="30" t="s">
        <v>26</v>
      </c>
      <c r="C2" s="8"/>
      <c r="D2" s="8"/>
      <c r="E2" s="8"/>
      <c r="F2" s="8"/>
    </row>
    <row r="3" spans="1:6" x14ac:dyDescent="0.25">
      <c r="A3" s="8"/>
      <c r="B3" s="8"/>
      <c r="C3" s="8"/>
      <c r="D3" s="8"/>
      <c r="E3" s="8"/>
      <c r="F3" s="8"/>
    </row>
    <row r="4" spans="1:6" ht="23.25" x14ac:dyDescent="0.35">
      <c r="A4" s="8"/>
      <c r="B4" s="235" t="s">
        <v>149</v>
      </c>
      <c r="C4" s="8"/>
      <c r="D4" s="8"/>
      <c r="E4" s="8"/>
      <c r="F4" s="8"/>
    </row>
    <row r="5" spans="1:6" ht="34.5" customHeight="1" x14ac:dyDescent="0.25">
      <c r="A5" s="8"/>
      <c r="B5" s="242" t="s">
        <v>265</v>
      </c>
      <c r="C5" s="243"/>
      <c r="D5" s="243"/>
      <c r="E5" s="243"/>
      <c r="F5" s="8"/>
    </row>
    <row r="6" spans="1:6" x14ac:dyDescent="0.25">
      <c r="A6" s="8"/>
      <c r="B6" s="244"/>
      <c r="C6" s="244"/>
      <c r="D6" s="244"/>
      <c r="E6" s="244"/>
      <c r="F6" s="8"/>
    </row>
    <row r="7" spans="1:6" x14ac:dyDescent="0.25">
      <c r="A7" s="8"/>
      <c r="B7" s="20"/>
      <c r="C7" s="20"/>
      <c r="D7" s="20"/>
      <c r="E7" s="20"/>
      <c r="F7" s="8"/>
    </row>
    <row r="8" spans="1:6" ht="23.25" x14ac:dyDescent="0.35">
      <c r="A8" s="8"/>
      <c r="B8" s="214" t="s">
        <v>25</v>
      </c>
      <c r="C8" s="31"/>
      <c r="D8" s="32"/>
      <c r="E8" s="33"/>
      <c r="F8" s="8"/>
    </row>
    <row r="9" spans="1:6" ht="409.5" customHeight="1" x14ac:dyDescent="0.25">
      <c r="A9" s="8"/>
      <c r="B9" s="213"/>
      <c r="C9" s="34"/>
      <c r="D9" s="34"/>
      <c r="E9" s="34"/>
      <c r="F9" s="8"/>
    </row>
    <row r="10" spans="1:6" x14ac:dyDescent="0.25">
      <c r="A10" s="8"/>
      <c r="B10" s="40"/>
      <c r="C10" s="40"/>
      <c r="D10" s="40"/>
      <c r="E10" s="40"/>
      <c r="F10" s="8"/>
    </row>
    <row r="11" spans="1:6" x14ac:dyDescent="0.25">
      <c r="A11" s="8"/>
      <c r="B11" s="39"/>
      <c r="C11" s="39"/>
      <c r="D11" s="39"/>
      <c r="E11" s="39"/>
      <c r="F11" s="8"/>
    </row>
    <row r="12" spans="1:6" x14ac:dyDescent="0.25">
      <c r="A12" s="8"/>
      <c r="B12" s="17"/>
      <c r="C12" s="17"/>
      <c r="D12" s="17"/>
      <c r="E12" s="17"/>
      <c r="F12" s="8"/>
    </row>
    <row r="13" spans="1:6" ht="23.25" x14ac:dyDescent="0.35">
      <c r="A13" s="8"/>
      <c r="B13" s="35" t="s">
        <v>150</v>
      </c>
      <c r="F13" s="8"/>
    </row>
    <row r="14" spans="1:6" ht="23.25" x14ac:dyDescent="0.35">
      <c r="A14" s="8"/>
      <c r="B14" s="35"/>
      <c r="F14" s="8"/>
    </row>
    <row r="15" spans="1:6" ht="23.25" x14ac:dyDescent="0.35">
      <c r="A15" s="8"/>
      <c r="B15" s="35"/>
      <c r="F15" s="8"/>
    </row>
    <row r="16" spans="1:6" ht="23.25" x14ac:dyDescent="0.35">
      <c r="A16" s="8"/>
      <c r="B16" s="35"/>
      <c r="F16" s="8"/>
    </row>
    <row r="17" spans="1:6" ht="23.25" x14ac:dyDescent="0.35">
      <c r="A17" s="8"/>
      <c r="B17" s="35"/>
      <c r="F17" s="8"/>
    </row>
    <row r="18" spans="1:6" ht="23.25" x14ac:dyDescent="0.35">
      <c r="A18" s="8"/>
      <c r="B18" s="35"/>
      <c r="F18" s="8"/>
    </row>
    <row r="19" spans="1:6" ht="23.25" x14ac:dyDescent="0.35">
      <c r="A19" s="8"/>
      <c r="B19" s="35"/>
      <c r="F19" s="8"/>
    </row>
    <row r="20" spans="1:6" ht="23.25" x14ac:dyDescent="0.35">
      <c r="A20" s="8"/>
      <c r="B20" s="35"/>
      <c r="F20" s="8"/>
    </row>
    <row r="21" spans="1:6" ht="23.25" x14ac:dyDescent="0.35">
      <c r="A21" s="8"/>
      <c r="B21" s="35"/>
      <c r="F21" s="8"/>
    </row>
    <row r="22" spans="1:6" ht="23.25" x14ac:dyDescent="0.35">
      <c r="A22" s="8"/>
      <c r="B22" s="35" t="s">
        <v>151</v>
      </c>
      <c r="F22" s="8"/>
    </row>
    <row r="23" spans="1:6" ht="23.25" x14ac:dyDescent="0.35">
      <c r="A23" s="8"/>
      <c r="B23" s="35"/>
      <c r="F23" s="8"/>
    </row>
    <row r="24" spans="1:6" ht="23.25" x14ac:dyDescent="0.35">
      <c r="A24" s="8"/>
      <c r="B24" s="35"/>
      <c r="F24" s="8"/>
    </row>
    <row r="25" spans="1:6" ht="23.25" x14ac:dyDescent="0.35">
      <c r="A25" s="8"/>
      <c r="B25" s="35"/>
      <c r="F25" s="8"/>
    </row>
    <row r="26" spans="1:6" ht="23.25" x14ac:dyDescent="0.35">
      <c r="A26" s="8"/>
      <c r="B26" s="35"/>
      <c r="F26" s="8"/>
    </row>
    <row r="27" spans="1:6" ht="23.25" x14ac:dyDescent="0.35">
      <c r="A27" s="8"/>
      <c r="B27" s="35"/>
      <c r="F27" s="8"/>
    </row>
    <row r="28" spans="1:6" ht="23.25" x14ac:dyDescent="0.35">
      <c r="A28" s="8"/>
      <c r="B28" s="35"/>
      <c r="F28" s="8"/>
    </row>
    <row r="29" spans="1:6" ht="23.25" x14ac:dyDescent="0.35">
      <c r="A29" s="8"/>
      <c r="B29" s="35" t="s">
        <v>152</v>
      </c>
      <c r="F29" s="8"/>
    </row>
    <row r="30" spans="1:6" ht="23.25" x14ac:dyDescent="0.35">
      <c r="A30" s="8"/>
      <c r="B30" s="35"/>
      <c r="F30" s="8"/>
    </row>
    <row r="31" spans="1:6" ht="23.25" x14ac:dyDescent="0.35">
      <c r="A31" s="8"/>
      <c r="B31" s="35"/>
      <c r="F31" s="8"/>
    </row>
    <row r="32" spans="1:6" ht="23.25" x14ac:dyDescent="0.35">
      <c r="A32" s="8"/>
      <c r="B32" s="35"/>
      <c r="F32" s="8"/>
    </row>
    <row r="33" spans="1:6" ht="23.25" x14ac:dyDescent="0.35">
      <c r="A33" s="8"/>
      <c r="B33" s="35"/>
      <c r="F33" s="8"/>
    </row>
    <row r="34" spans="1:6" ht="23.25" x14ac:dyDescent="0.35">
      <c r="A34" s="8"/>
      <c r="B34" s="35"/>
      <c r="F34" s="8"/>
    </row>
    <row r="35" spans="1:6" ht="23.25" x14ac:dyDescent="0.35">
      <c r="A35" s="8"/>
      <c r="B35" s="35"/>
      <c r="F35" s="8"/>
    </row>
    <row r="36" spans="1:6" ht="23.25" x14ac:dyDescent="0.35">
      <c r="A36" s="8"/>
      <c r="B36" s="35"/>
      <c r="F36" s="8"/>
    </row>
    <row r="37" spans="1:6" ht="23.25" x14ac:dyDescent="0.35">
      <c r="A37" s="8"/>
      <c r="B37" s="35"/>
      <c r="D37" s="8"/>
      <c r="E37" s="8"/>
      <c r="F37" s="8"/>
    </row>
    <row r="38" spans="1:6" x14ac:dyDescent="0.25">
      <c r="A38" s="8"/>
      <c r="C38" s="36"/>
      <c r="D38" s="8"/>
      <c r="E38" s="8"/>
      <c r="F38" s="8"/>
    </row>
    <row r="39" spans="1:6" ht="26.25" x14ac:dyDescent="0.4">
      <c r="A39" s="8"/>
      <c r="B39" s="41" t="s">
        <v>27</v>
      </c>
      <c r="C39" s="21"/>
      <c r="D39" s="20"/>
      <c r="E39" s="20"/>
      <c r="F39" s="8"/>
    </row>
    <row r="40" spans="1:6" x14ac:dyDescent="0.25">
      <c r="A40" s="8"/>
      <c r="B40" s="22" t="s">
        <v>8</v>
      </c>
      <c r="C40" s="22" t="s">
        <v>0</v>
      </c>
      <c r="D40" s="22" t="s">
        <v>3</v>
      </c>
      <c r="E40" s="22" t="s">
        <v>4</v>
      </c>
      <c r="F40" s="8"/>
    </row>
    <row r="41" spans="1:6" x14ac:dyDescent="0.25">
      <c r="A41" s="8"/>
      <c r="B41" s="18" t="s">
        <v>10</v>
      </c>
      <c r="C41" s="215" t="s">
        <v>153</v>
      </c>
      <c r="D41" s="19"/>
      <c r="E41" s="25" t="str">
        <f t="shared" ref="E41:E42" si="0">IF(ISNUMBER(D41),HYPERLINK("http://mercury/auto.nrl?docnum="&amp;D41&amp;"&amp;ver=0", D41),"")</f>
        <v/>
      </c>
      <c r="F41" s="8"/>
    </row>
    <row r="42" spans="1:6" x14ac:dyDescent="0.25">
      <c r="A42" s="8"/>
      <c r="B42" s="18" t="s">
        <v>9</v>
      </c>
      <c r="C42" s="23" t="s">
        <v>24</v>
      </c>
      <c r="D42" s="19"/>
      <c r="E42" s="25" t="str">
        <f t="shared" si="0"/>
        <v/>
      </c>
      <c r="F42" s="8"/>
    </row>
    <row r="43" spans="1:6" x14ac:dyDescent="0.25">
      <c r="A43" s="8"/>
      <c r="B43" s="18" t="s">
        <v>11</v>
      </c>
      <c r="C43" s="218" t="s">
        <v>167</v>
      </c>
      <c r="D43" s="19">
        <v>3690120</v>
      </c>
      <c r="E43" s="25">
        <f>IF(ISNUMBER(D43),HYPERLINK("http://mercury/auto.nrl?docnum="&amp;D43&amp;"&amp;ver=0", D43),"")</f>
        <v>3690120</v>
      </c>
      <c r="F43" s="8"/>
    </row>
    <row r="44" spans="1:6" x14ac:dyDescent="0.25">
      <c r="A44" s="8"/>
      <c r="B44" s="18" t="s">
        <v>5</v>
      </c>
      <c r="C44" s="18" t="s">
        <v>2</v>
      </c>
      <c r="D44" s="19"/>
      <c r="E44" s="25" t="str">
        <f t="shared" ref="E44:E55" si="1">IF(ISNUMBER(D44),HYPERLINK("http://mercury/auto.nrl?docnum="&amp;D44&amp;"&amp;ver=0", D44),"")</f>
        <v/>
      </c>
      <c r="F44" s="8"/>
    </row>
    <row r="45" spans="1:6" x14ac:dyDescent="0.25">
      <c r="A45" s="8"/>
      <c r="B45" s="18" t="s">
        <v>18</v>
      </c>
      <c r="C45" s="216" t="s">
        <v>158</v>
      </c>
      <c r="D45" s="19"/>
      <c r="E45" s="25" t="str">
        <f t="shared" si="1"/>
        <v/>
      </c>
      <c r="F45" s="8"/>
    </row>
    <row r="46" spans="1:6" x14ac:dyDescent="0.25">
      <c r="A46" s="8"/>
      <c r="B46" s="18" t="s">
        <v>19</v>
      </c>
      <c r="C46" s="216" t="s">
        <v>155</v>
      </c>
      <c r="D46" s="19"/>
      <c r="E46" s="25" t="str">
        <f t="shared" si="1"/>
        <v/>
      </c>
      <c r="F46" s="8"/>
    </row>
    <row r="47" spans="1:6" x14ac:dyDescent="0.25">
      <c r="A47" s="8"/>
      <c r="B47" s="18"/>
      <c r="C47" s="18"/>
      <c r="D47" s="19"/>
      <c r="E47" s="25" t="str">
        <f t="shared" si="1"/>
        <v/>
      </c>
      <c r="F47" s="8"/>
    </row>
    <row r="48" spans="1:6" x14ac:dyDescent="0.25">
      <c r="A48" s="8"/>
      <c r="B48" s="18"/>
      <c r="C48" s="18"/>
      <c r="D48" s="19"/>
      <c r="E48" s="25" t="str">
        <f t="shared" si="1"/>
        <v/>
      </c>
      <c r="F48" s="8"/>
    </row>
    <row r="49" spans="1:6" x14ac:dyDescent="0.25">
      <c r="A49" s="8"/>
      <c r="B49" s="18" t="s">
        <v>12</v>
      </c>
      <c r="C49" s="217" t="s">
        <v>156</v>
      </c>
      <c r="D49" s="19"/>
      <c r="E49" s="25" t="str">
        <f t="shared" si="1"/>
        <v/>
      </c>
      <c r="F49" s="8"/>
    </row>
    <row r="50" spans="1:6" x14ac:dyDescent="0.25">
      <c r="A50" s="8"/>
      <c r="B50" s="18" t="s">
        <v>17</v>
      </c>
      <c r="C50" s="217" t="s">
        <v>157</v>
      </c>
      <c r="D50" s="19">
        <v>111111</v>
      </c>
      <c r="E50" s="25">
        <f>IF(ISNUMBER(D50),HYPERLINK("iwl:dms=COPPER&amp;&amp;lib=iManage&amp;&amp;num="&amp;D50&amp;"&amp;&amp;ver=1&amp;&amp;latest=1", D50),"")</f>
        <v>111111</v>
      </c>
      <c r="F50" s="8"/>
    </row>
    <row r="51" spans="1:6" x14ac:dyDescent="0.25">
      <c r="A51" s="8"/>
      <c r="B51" s="18" t="s">
        <v>16</v>
      </c>
      <c r="C51" s="24">
        <v>43809</v>
      </c>
      <c r="D51" s="19"/>
      <c r="E51" s="25" t="str">
        <f t="shared" si="1"/>
        <v/>
      </c>
      <c r="F51" s="8"/>
    </row>
    <row r="52" spans="1:6" x14ac:dyDescent="0.25">
      <c r="A52" s="8"/>
      <c r="B52" s="18" t="s">
        <v>13</v>
      </c>
      <c r="C52" s="216" t="s">
        <v>154</v>
      </c>
      <c r="D52" s="19"/>
      <c r="E52" s="25" t="str">
        <f t="shared" si="1"/>
        <v/>
      </c>
      <c r="F52" s="8"/>
    </row>
    <row r="53" spans="1:6" x14ac:dyDescent="0.25">
      <c r="A53" s="8"/>
      <c r="B53" s="18" t="s">
        <v>14</v>
      </c>
      <c r="C53" s="18" t="s">
        <v>7</v>
      </c>
      <c r="D53" s="19"/>
      <c r="E53" s="25" t="str">
        <f t="shared" si="1"/>
        <v/>
      </c>
      <c r="F53" s="8"/>
    </row>
    <row r="54" spans="1:6" x14ac:dyDescent="0.25">
      <c r="A54" s="8"/>
      <c r="B54" s="18" t="s">
        <v>15</v>
      </c>
      <c r="C54" s="18" t="s">
        <v>6</v>
      </c>
      <c r="D54" s="19"/>
      <c r="E54" s="25" t="str">
        <f t="shared" si="1"/>
        <v/>
      </c>
      <c r="F54" s="8"/>
    </row>
    <row r="55" spans="1:6" x14ac:dyDescent="0.25">
      <c r="A55" s="8"/>
      <c r="B55" s="18"/>
      <c r="C55" s="18"/>
      <c r="D55" s="19"/>
      <c r="E55" s="25" t="str">
        <f t="shared" si="1"/>
        <v/>
      </c>
      <c r="F55" s="8"/>
    </row>
    <row r="56" spans="1:6" x14ac:dyDescent="0.25">
      <c r="A56" s="8"/>
      <c r="B56" s="8"/>
      <c r="C56" s="8"/>
      <c r="D56" s="8"/>
      <c r="E56" s="8"/>
      <c r="F56" s="8"/>
    </row>
    <row r="57" spans="1:6" x14ac:dyDescent="0.25">
      <c r="A57" s="8"/>
      <c r="B57" s="8"/>
      <c r="C57" s="8"/>
      <c r="D57" s="8"/>
      <c r="E57" s="8"/>
      <c r="F57" s="8"/>
    </row>
    <row r="58" spans="1:6" x14ac:dyDescent="0.25">
      <c r="A58" s="8"/>
      <c r="B58" s="8"/>
      <c r="C58" s="8"/>
      <c r="D58" s="8"/>
      <c r="E58" s="8"/>
      <c r="F58" s="8"/>
    </row>
    <row r="59" spans="1:6" x14ac:dyDescent="0.25">
      <c r="A59" s="8"/>
      <c r="B59" s="8"/>
      <c r="C59" s="8"/>
      <c r="D59" s="8"/>
      <c r="E59" s="8"/>
      <c r="F59" s="8"/>
    </row>
    <row r="60" spans="1:6" x14ac:dyDescent="0.25">
      <c r="A60" s="8"/>
      <c r="B60" s="8"/>
      <c r="C60" s="8"/>
      <c r="D60" s="8"/>
      <c r="E60" s="8"/>
      <c r="F60" s="8"/>
    </row>
    <row r="61" spans="1:6" x14ac:dyDescent="0.25">
      <c r="A61" s="8"/>
      <c r="B61" s="8"/>
      <c r="C61" s="8"/>
      <c r="D61" s="8"/>
      <c r="E61" s="8"/>
      <c r="F61" s="8"/>
    </row>
    <row r="62" spans="1:6" x14ac:dyDescent="0.25">
      <c r="A62" s="8"/>
      <c r="B62" s="8"/>
      <c r="C62" s="8"/>
      <c r="D62" s="8"/>
      <c r="E62" s="8"/>
      <c r="F62" s="8"/>
    </row>
    <row r="63" spans="1:6" x14ac:dyDescent="0.25">
      <c r="A63" s="8"/>
      <c r="B63" s="8"/>
      <c r="C63" s="8"/>
      <c r="D63" s="8"/>
      <c r="E63" s="8"/>
      <c r="F63" s="8"/>
    </row>
    <row r="64" spans="1:6" x14ac:dyDescent="0.25">
      <c r="A64" s="8"/>
      <c r="B64" s="8"/>
      <c r="C64" s="8"/>
      <c r="D64" s="8"/>
      <c r="E64" s="8"/>
      <c r="F64" s="8"/>
    </row>
    <row r="65" spans="1:6" x14ac:dyDescent="0.25">
      <c r="A65" s="8"/>
      <c r="B65" s="8"/>
      <c r="C65" s="8"/>
      <c r="D65" s="8"/>
      <c r="E65" s="8"/>
      <c r="F65" s="8"/>
    </row>
    <row r="66" spans="1:6" x14ac:dyDescent="0.25">
      <c r="A66" s="8"/>
      <c r="B66" s="8"/>
      <c r="C66" s="8"/>
      <c r="D66" s="8"/>
      <c r="E66" s="8"/>
      <c r="F66" s="8"/>
    </row>
  </sheetData>
  <sheetProtection formatColumns="0" formatRows="0"/>
  <mergeCells count="1">
    <mergeCell ref="B5:E6"/>
  </mergeCells>
  <pageMargins left="0.70866141732283472" right="0.70866141732283472" top="0.74803149606299213" bottom="0.74803149606299213" header="0.31496062992125984" footer="0.31496062992125984"/>
  <pageSetup paperSize="9" scale="76" fitToHeight="0" orientation="landscape" r:id="rId1"/>
  <headerFooter>
    <oddFooter>&amp;L&amp;F&amp;C&amp;A&amp;R&amp;P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D20"/>
  <sheetViews>
    <sheetView showGridLines="0" view="pageBreakPreview" zoomScaleNormal="100" zoomScaleSheetLayoutView="100" workbookViewId="0"/>
  </sheetViews>
  <sheetFormatPr defaultColWidth="9.140625" defaultRowHeight="15" x14ac:dyDescent="0.25"/>
  <cols>
    <col min="1" max="1" width="9.140625" style="1"/>
    <col min="2" max="2" width="68.5703125" style="1" customWidth="1"/>
    <col min="3" max="3" width="95.28515625" style="1" customWidth="1"/>
    <col min="4" max="16384" width="9.140625" style="1"/>
  </cols>
  <sheetData>
    <row r="1" spans="1:4" ht="26.25" x14ac:dyDescent="0.4">
      <c r="A1" s="16" t="s">
        <v>174</v>
      </c>
      <c r="B1" s="15"/>
      <c r="C1" s="15"/>
      <c r="D1" s="14"/>
    </row>
    <row r="2" spans="1:4" x14ac:dyDescent="0.25">
      <c r="A2" s="13"/>
      <c r="B2" s="8"/>
      <c r="C2" s="8"/>
      <c r="D2" s="12"/>
    </row>
    <row r="3" spans="1:4" x14ac:dyDescent="0.25">
      <c r="A3" s="13"/>
      <c r="B3" s="8"/>
      <c r="C3" s="8"/>
      <c r="D3" s="12"/>
    </row>
    <row r="4" spans="1:4" ht="15.75" x14ac:dyDescent="0.25">
      <c r="A4" s="13"/>
      <c r="B4" s="220" t="s">
        <v>170</v>
      </c>
      <c r="C4" s="220" t="s">
        <v>1</v>
      </c>
      <c r="D4" s="12"/>
    </row>
    <row r="5" spans="1:4" ht="15.75" x14ac:dyDescent="0.25">
      <c r="A5" s="13"/>
      <c r="B5" s="226" t="s">
        <v>169</v>
      </c>
      <c r="C5" s="221"/>
      <c r="D5" s="12"/>
    </row>
    <row r="6" spans="1:4" x14ac:dyDescent="0.25">
      <c r="A6" s="13"/>
      <c r="B6" s="223" t="s">
        <v>20</v>
      </c>
      <c r="C6" s="224" t="s">
        <v>20</v>
      </c>
      <c r="D6" s="12"/>
    </row>
    <row r="7" spans="1:4" x14ac:dyDescent="0.25">
      <c r="A7" s="13"/>
      <c r="B7" s="223" t="s">
        <v>160</v>
      </c>
      <c r="C7" s="225" t="s">
        <v>160</v>
      </c>
      <c r="D7" s="12"/>
    </row>
    <row r="8" spans="1:4" x14ac:dyDescent="0.25">
      <c r="A8" s="13"/>
      <c r="B8" s="223" t="s">
        <v>161</v>
      </c>
      <c r="C8" s="224" t="s">
        <v>161</v>
      </c>
      <c r="D8" s="12"/>
    </row>
    <row r="9" spans="1:4" x14ac:dyDescent="0.25">
      <c r="A9" s="13"/>
      <c r="B9" s="223" t="s">
        <v>81</v>
      </c>
      <c r="C9" s="224" t="s">
        <v>81</v>
      </c>
      <c r="D9" s="12"/>
    </row>
    <row r="10" spans="1:4" x14ac:dyDescent="0.25">
      <c r="A10" s="13"/>
      <c r="B10" s="227" t="s">
        <v>172</v>
      </c>
      <c r="C10" s="222"/>
      <c r="D10" s="12"/>
    </row>
    <row r="11" spans="1:4" x14ac:dyDescent="0.25">
      <c r="A11" s="13"/>
      <c r="B11" s="223" t="s">
        <v>29</v>
      </c>
      <c r="C11" s="224" t="s">
        <v>29</v>
      </c>
      <c r="D11" s="12"/>
    </row>
    <row r="12" spans="1:4" x14ac:dyDescent="0.25">
      <c r="A12" s="13"/>
      <c r="B12" s="223" t="s">
        <v>76</v>
      </c>
      <c r="C12" s="224" t="s">
        <v>76</v>
      </c>
      <c r="D12" s="12"/>
    </row>
    <row r="13" spans="1:4" x14ac:dyDescent="0.25">
      <c r="A13" s="13"/>
      <c r="B13" s="227" t="s">
        <v>171</v>
      </c>
      <c r="C13" s="222"/>
      <c r="D13" s="12"/>
    </row>
    <row r="14" spans="1:4" x14ac:dyDescent="0.25">
      <c r="A14" s="13"/>
      <c r="B14" s="223" t="s">
        <v>162</v>
      </c>
      <c r="C14" s="224" t="s">
        <v>162</v>
      </c>
      <c r="D14" s="12"/>
    </row>
    <row r="15" spans="1:4" x14ac:dyDescent="0.25">
      <c r="A15" s="13"/>
      <c r="B15" s="223" t="s">
        <v>163</v>
      </c>
      <c r="C15" s="224" t="s">
        <v>163</v>
      </c>
      <c r="D15" s="12"/>
    </row>
    <row r="16" spans="1:4" x14ac:dyDescent="0.25">
      <c r="A16" s="13"/>
      <c r="B16" s="227" t="s">
        <v>173</v>
      </c>
      <c r="C16" s="222"/>
      <c r="D16" s="12"/>
    </row>
    <row r="17" spans="1:4" x14ac:dyDescent="0.25">
      <c r="A17" s="13"/>
      <c r="B17" s="223" t="s">
        <v>164</v>
      </c>
      <c r="C17" s="224" t="s">
        <v>164</v>
      </c>
      <c r="D17" s="12"/>
    </row>
    <row r="18" spans="1:4" x14ac:dyDescent="0.25">
      <c r="A18" s="13"/>
      <c r="B18" s="223" t="s">
        <v>165</v>
      </c>
      <c r="C18" s="224" t="s">
        <v>165</v>
      </c>
      <c r="D18" s="12"/>
    </row>
    <row r="19" spans="1:4" x14ac:dyDescent="0.25">
      <c r="A19" s="13"/>
      <c r="B19"/>
      <c r="C19"/>
      <c r="D19" s="12"/>
    </row>
    <row r="20" spans="1:4" x14ac:dyDescent="0.25">
      <c r="B20"/>
      <c r="C20"/>
    </row>
  </sheetData>
  <sheetProtection formatColumns="0" formatRows="0"/>
  <hyperlinks>
    <hyperlink ref="C6" location="'Inputs'!$A$1" tooltip="Section title. Click once to follow" display="Inputs" xr:uid="{C1DF74F0-8FF9-4B31-8D69-EFDF36048A4D}"/>
    <hyperlink ref="C7" location="'Cost of capital'!A1" display="Cost of capital" xr:uid="{A5FA2568-F3F1-4D0F-8620-3BE7B8171664}"/>
    <hyperlink ref="C8" location="Timing!A1" display="Timing" xr:uid="{EF0BE8F6-0DBE-4A36-A187-20D664A9F44B}"/>
    <hyperlink ref="C11" location="Tax!A1" display="Tax" xr:uid="{3C5FA68A-041A-49F4-89A7-7BDBC0DBC95F}"/>
    <hyperlink ref="C12" location="'Financial loss asset'!A1" display="Financial loss asset" xr:uid="{1F9B111B-245A-47C3-9659-6C556B1ED52F}"/>
    <hyperlink ref="C9" location="Summary!A1" display="Summary" xr:uid="{2D40F6D7-8E27-453A-BDBE-0BAD1BA7EED5}"/>
    <hyperlink ref="C14" location="'A1 Tax'!A1" display="A1 Tax" xr:uid="{8F5C1D4B-E6D0-4139-B66F-CE8982896FAD}"/>
    <hyperlink ref="C15" location="'A1 Financial loss asset'!A1" display="A1 Financial loss asset" xr:uid="{355A80CF-20F6-4687-BE2F-479D9048ED62}"/>
    <hyperlink ref="C17" location="'A2 Tax'!A1" display="A2 Tax" xr:uid="{0681C95B-F719-4746-84D6-C0F2D4020FDD}"/>
    <hyperlink ref="C18" location="'A2 Financial loss asset'!A1" display="A2 Financial loss asset" xr:uid="{3631BA3D-BB85-4C5B-8003-F67040CB96BA}"/>
  </hyperlinks>
  <pageMargins left="0.70866141732283472" right="0.70866141732283472" top="0.74803149606299213" bottom="0.74803149606299213" header="0.31496062992125984" footer="0.31496062992125984"/>
  <pageSetup paperSize="9" scale="47" fitToHeight="0" orientation="portrait" r:id="rId1"/>
  <headerFoot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FB424-5D16-4D32-9A74-D9C94B1BE337}">
  <sheetPr>
    <tabColor theme="6"/>
  </sheetPr>
  <dimension ref="A1:P48"/>
  <sheetViews>
    <sheetView showGridLines="0" zoomScale="85" zoomScaleNormal="85" workbookViewId="0">
      <pane xSplit="1" ySplit="5" topLeftCell="B6" activePane="bottomRight" state="frozen"/>
      <selection activeCell="H9" sqref="H9"/>
      <selection pane="topRight" activeCell="H9" sqref="H9"/>
      <selection pane="bottomLeft" activeCell="H9" sqref="H9"/>
      <selection pane="bottomRight"/>
    </sheetView>
  </sheetViews>
  <sheetFormatPr defaultColWidth="9.140625" defaultRowHeight="15" x14ac:dyDescent="0.25"/>
  <cols>
    <col min="1" max="1" width="73.7109375" style="46" customWidth="1"/>
    <col min="2" max="2" width="9.7109375" style="1" customWidth="1"/>
    <col min="3" max="3" width="23.5703125" style="1" customWidth="1"/>
    <col min="4" max="4" width="13.42578125" style="1" customWidth="1"/>
    <col min="5" max="5" width="25.140625" style="1" customWidth="1"/>
    <col min="6" max="13" width="13.42578125" style="1" customWidth="1"/>
    <col min="14" max="14" width="9.140625" style="1"/>
    <col min="15" max="15" width="17.85546875" style="1" customWidth="1"/>
    <col min="16" max="16" width="28.85546875" style="1" customWidth="1"/>
    <col min="17" max="16384" width="9.140625" style="1"/>
  </cols>
  <sheetData>
    <row r="1" spans="1:16" ht="26.25" x14ac:dyDescent="0.4">
      <c r="A1" s="16" t="s">
        <v>20</v>
      </c>
      <c r="C1" s="162"/>
      <c r="D1" s="162"/>
      <c r="E1" s="162"/>
      <c r="F1" s="162"/>
      <c r="G1" s="162"/>
      <c r="H1" s="162"/>
      <c r="I1" s="162"/>
      <c r="J1" s="162"/>
      <c r="K1" s="163"/>
      <c r="L1" s="163"/>
      <c r="M1" s="163"/>
    </row>
    <row r="2" spans="1:16" x14ac:dyDescent="0.25">
      <c r="A2" s="219" t="s">
        <v>159</v>
      </c>
      <c r="C2" s="162"/>
      <c r="D2" s="162"/>
      <c r="E2" s="162"/>
      <c r="F2" s="162"/>
      <c r="G2" s="162"/>
      <c r="H2" s="162"/>
      <c r="I2" s="162"/>
      <c r="J2" s="162"/>
      <c r="K2" s="162"/>
      <c r="L2" s="162"/>
      <c r="M2" s="162"/>
    </row>
    <row r="3" spans="1:16" x14ac:dyDescent="0.25">
      <c r="A3" s="219" t="s">
        <v>236</v>
      </c>
      <c r="C3" s="162"/>
      <c r="D3" s="162"/>
      <c r="E3" s="162"/>
      <c r="F3" s="162"/>
      <c r="G3" s="162"/>
      <c r="H3" s="162"/>
      <c r="I3" s="162"/>
      <c r="J3" s="162"/>
      <c r="K3" s="162"/>
      <c r="L3" s="162"/>
      <c r="M3" s="162"/>
    </row>
    <row r="4" spans="1:16" ht="18.75" x14ac:dyDescent="0.3">
      <c r="A4" s="263" t="s">
        <v>140</v>
      </c>
      <c r="C4" s="164"/>
      <c r="D4" s="164"/>
      <c r="E4" s="164"/>
      <c r="F4" s="164"/>
      <c r="G4" s="164"/>
      <c r="H4" s="164"/>
      <c r="I4" s="164"/>
      <c r="J4" s="164"/>
      <c r="K4" s="164"/>
      <c r="L4" s="164"/>
      <c r="M4" s="165"/>
      <c r="O4" s="57"/>
    </row>
    <row r="5" spans="1:16" s="46" customFormat="1" x14ac:dyDescent="0.25">
      <c r="A5" s="193"/>
      <c r="C5" s="100">
        <v>2012</v>
      </c>
      <c r="D5" s="100">
        <v>2013</v>
      </c>
      <c r="E5" s="100">
        <v>2014</v>
      </c>
      <c r="F5" s="100">
        <v>2015</v>
      </c>
      <c r="G5" s="100">
        <v>2016</v>
      </c>
      <c r="H5" s="100">
        <v>2017</v>
      </c>
      <c r="I5" s="100">
        <v>2018</v>
      </c>
      <c r="J5" s="100">
        <v>2019</v>
      </c>
      <c r="K5" s="100">
        <v>2020</v>
      </c>
      <c r="L5" s="100">
        <v>2021</v>
      </c>
      <c r="M5" s="100">
        <v>2022</v>
      </c>
      <c r="N5" s="1"/>
      <c r="O5" s="100" t="s">
        <v>182</v>
      </c>
      <c r="P5" s="100" t="s">
        <v>124</v>
      </c>
    </row>
    <row r="6" spans="1:16" x14ac:dyDescent="0.25">
      <c r="A6" s="56" t="s">
        <v>198</v>
      </c>
      <c r="B6" s="137" t="s">
        <v>73</v>
      </c>
      <c r="C6" s="54">
        <v>0</v>
      </c>
      <c r="D6" s="54">
        <v>50</v>
      </c>
      <c r="E6" s="54">
        <v>100</v>
      </c>
      <c r="F6" s="54">
        <v>150</v>
      </c>
      <c r="G6" s="54">
        <v>200</v>
      </c>
      <c r="H6" s="54">
        <v>210</v>
      </c>
      <c r="I6" s="54">
        <v>220</v>
      </c>
      <c r="J6" s="54">
        <v>230</v>
      </c>
      <c r="K6" s="55">
        <v>240</v>
      </c>
      <c r="L6" s="55">
        <v>250</v>
      </c>
      <c r="M6" s="55">
        <v>260</v>
      </c>
      <c r="O6" s="76" t="s">
        <v>192</v>
      </c>
      <c r="P6" s="76" t="s">
        <v>197</v>
      </c>
    </row>
    <row r="7" spans="1:16" x14ac:dyDescent="0.25">
      <c r="A7" s="56" t="s">
        <v>74</v>
      </c>
      <c r="B7" s="137" t="s">
        <v>73</v>
      </c>
      <c r="C7" s="54">
        <v>50</v>
      </c>
      <c r="D7" s="54">
        <v>100</v>
      </c>
      <c r="E7" s="54">
        <v>150</v>
      </c>
      <c r="F7" s="54">
        <v>200</v>
      </c>
      <c r="G7" s="54">
        <v>200</v>
      </c>
      <c r="H7" s="54">
        <v>200</v>
      </c>
      <c r="I7" s="54">
        <v>200</v>
      </c>
      <c r="J7" s="54">
        <v>200</v>
      </c>
      <c r="K7" s="54">
        <v>200</v>
      </c>
      <c r="L7" s="54">
        <v>200</v>
      </c>
      <c r="M7" s="54">
        <v>200</v>
      </c>
      <c r="O7" s="76" t="s">
        <v>201</v>
      </c>
      <c r="P7" s="76" t="s">
        <v>197</v>
      </c>
    </row>
    <row r="8" spans="1:16" x14ac:dyDescent="0.25">
      <c r="A8" s="56" t="s">
        <v>144</v>
      </c>
      <c r="B8" s="137" t="s">
        <v>73</v>
      </c>
      <c r="C8" s="54">
        <v>50</v>
      </c>
      <c r="D8" s="54">
        <v>100</v>
      </c>
      <c r="E8" s="54">
        <v>150</v>
      </c>
      <c r="F8" s="54">
        <v>150</v>
      </c>
      <c r="G8" s="54">
        <v>150</v>
      </c>
      <c r="H8" s="54">
        <v>150</v>
      </c>
      <c r="I8" s="54">
        <v>150</v>
      </c>
      <c r="J8" s="54">
        <v>150</v>
      </c>
      <c r="K8" s="54">
        <v>150</v>
      </c>
      <c r="L8" s="54">
        <v>150</v>
      </c>
      <c r="M8" s="55">
        <v>150</v>
      </c>
      <c r="O8" s="76" t="s">
        <v>192</v>
      </c>
      <c r="P8" s="76" t="s">
        <v>197</v>
      </c>
    </row>
    <row r="9" spans="1:16" x14ac:dyDescent="0.25">
      <c r="A9" s="73"/>
      <c r="B9" s="194"/>
      <c r="C9" s="195"/>
      <c r="D9" s="195"/>
      <c r="E9" s="195"/>
      <c r="F9" s="195"/>
      <c r="G9" s="195"/>
      <c r="H9" s="195"/>
      <c r="I9" s="195"/>
      <c r="J9" s="195"/>
      <c r="K9" s="195"/>
      <c r="L9" s="195"/>
      <c r="M9" s="196"/>
      <c r="O9" s="57"/>
    </row>
    <row r="10" spans="1:16" x14ac:dyDescent="0.25">
      <c r="A10" s="56" t="s">
        <v>95</v>
      </c>
      <c r="B10" s="137" t="s">
        <v>251</v>
      </c>
      <c r="C10" s="89">
        <v>30</v>
      </c>
      <c r="D10" s="89">
        <v>30</v>
      </c>
      <c r="E10" s="89">
        <v>30</v>
      </c>
      <c r="F10" s="89">
        <v>30</v>
      </c>
      <c r="G10" s="89">
        <v>30</v>
      </c>
      <c r="H10" s="89">
        <v>30</v>
      </c>
      <c r="I10" s="89">
        <v>30</v>
      </c>
      <c r="J10" s="89">
        <v>30</v>
      </c>
      <c r="K10" s="89">
        <v>30</v>
      </c>
      <c r="L10" s="89">
        <v>30</v>
      </c>
      <c r="M10" s="89">
        <v>30</v>
      </c>
      <c r="O10" s="197"/>
      <c r="P10" s="76" t="s">
        <v>202</v>
      </c>
    </row>
    <row r="11" spans="1:16" x14ac:dyDescent="0.25">
      <c r="A11" s="73"/>
      <c r="B11" s="198"/>
      <c r="D11" s="76"/>
    </row>
    <row r="12" spans="1:16" ht="18.75" x14ac:dyDescent="0.3">
      <c r="A12" s="86" t="s">
        <v>89</v>
      </c>
      <c r="B12" s="161"/>
    </row>
    <row r="13" spans="1:16" x14ac:dyDescent="0.25">
      <c r="A13" s="56" t="s">
        <v>89</v>
      </c>
      <c r="B13" s="137" t="s">
        <v>73</v>
      </c>
      <c r="C13" s="54">
        <v>30</v>
      </c>
      <c r="D13" s="54">
        <v>50</v>
      </c>
      <c r="E13" s="54">
        <v>70</v>
      </c>
      <c r="F13" s="54">
        <v>100</v>
      </c>
      <c r="G13" s="54">
        <v>100</v>
      </c>
      <c r="H13" s="54">
        <v>100</v>
      </c>
      <c r="I13" s="54">
        <v>100</v>
      </c>
      <c r="J13" s="54">
        <v>100</v>
      </c>
      <c r="K13" s="54">
        <v>100</v>
      </c>
      <c r="L13" s="54">
        <v>100</v>
      </c>
      <c r="M13" s="54">
        <v>100</v>
      </c>
      <c r="O13" s="76" t="s">
        <v>204</v>
      </c>
      <c r="P13" s="76" t="s">
        <v>197</v>
      </c>
    </row>
    <row r="14" spans="1:16" x14ac:dyDescent="0.25">
      <c r="A14" s="91" t="s">
        <v>100</v>
      </c>
      <c r="B14" s="137" t="s">
        <v>73</v>
      </c>
      <c r="C14" s="93">
        <v>0</v>
      </c>
      <c r="D14" s="93">
        <v>0</v>
      </c>
      <c r="E14" s="93">
        <v>0</v>
      </c>
      <c r="F14" s="93">
        <v>0</v>
      </c>
      <c r="G14" s="93">
        <v>0</v>
      </c>
      <c r="H14" s="93">
        <v>0</v>
      </c>
      <c r="I14" s="93">
        <v>0</v>
      </c>
      <c r="J14" s="93">
        <v>0</v>
      </c>
      <c r="K14" s="93">
        <v>0</v>
      </c>
      <c r="L14" s="93">
        <v>0</v>
      </c>
      <c r="M14" s="93">
        <v>0</v>
      </c>
      <c r="P14" s="76" t="s">
        <v>197</v>
      </c>
    </row>
    <row r="16" spans="1:16" ht="18.75" x14ac:dyDescent="0.3">
      <c r="A16" s="86" t="s">
        <v>139</v>
      </c>
    </row>
    <row r="17" spans="1:16" x14ac:dyDescent="0.25">
      <c r="A17" s="56" t="s">
        <v>102</v>
      </c>
      <c r="B17" s="137" t="s">
        <v>251</v>
      </c>
      <c r="C17" s="89">
        <v>20</v>
      </c>
      <c r="D17" s="89">
        <v>20</v>
      </c>
      <c r="E17" s="89">
        <v>20</v>
      </c>
      <c r="F17" s="89">
        <v>20</v>
      </c>
      <c r="G17" s="89">
        <v>20</v>
      </c>
      <c r="H17" s="89">
        <v>20</v>
      </c>
      <c r="I17" s="89">
        <v>20</v>
      </c>
      <c r="J17" s="89">
        <v>20</v>
      </c>
      <c r="K17" s="89">
        <v>20</v>
      </c>
      <c r="L17" s="89">
        <v>20</v>
      </c>
      <c r="M17" s="89">
        <v>20</v>
      </c>
      <c r="P17" s="76" t="s">
        <v>203</v>
      </c>
    </row>
    <row r="19" spans="1:16" x14ac:dyDescent="0.25">
      <c r="A19" s="56" t="s">
        <v>121</v>
      </c>
      <c r="B19" s="56" t="s">
        <v>88</v>
      </c>
      <c r="C19" s="209">
        <v>0.28000000000000003</v>
      </c>
      <c r="D19" s="209">
        <v>0.28000000000000003</v>
      </c>
      <c r="E19" s="209">
        <v>0.28000000000000003</v>
      </c>
      <c r="F19" s="209">
        <v>0.28000000000000003</v>
      </c>
      <c r="G19" s="209">
        <v>0.28000000000000003</v>
      </c>
      <c r="H19" s="209">
        <v>0.28000000000000003</v>
      </c>
      <c r="I19" s="209">
        <v>0.28000000000000003</v>
      </c>
      <c r="J19" s="209">
        <v>0.28000000000000003</v>
      </c>
      <c r="K19" s="209">
        <v>0.28000000000000003</v>
      </c>
      <c r="L19" s="209">
        <v>0.28000000000000003</v>
      </c>
      <c r="M19" s="209">
        <v>0.28000000000000003</v>
      </c>
      <c r="O19" s="76" t="s">
        <v>204</v>
      </c>
      <c r="P19" s="76" t="s">
        <v>197</v>
      </c>
    </row>
    <row r="21" spans="1:16" ht="21" x14ac:dyDescent="0.35">
      <c r="A21" s="178" t="s">
        <v>160</v>
      </c>
    </row>
    <row r="22" spans="1:16" ht="18.75" x14ac:dyDescent="0.3">
      <c r="A22" s="127"/>
      <c r="C22" s="251"/>
      <c r="D22" s="252"/>
      <c r="E22" s="252"/>
      <c r="F22" s="252"/>
      <c r="G22" s="252"/>
      <c r="H22" s="252"/>
      <c r="I22" s="252"/>
      <c r="J22" s="252"/>
      <c r="K22" s="252"/>
      <c r="L22" s="252"/>
      <c r="M22" s="251"/>
    </row>
    <row r="23" spans="1:16" ht="18.75" x14ac:dyDescent="0.3">
      <c r="A23" s="127" t="s">
        <v>115</v>
      </c>
      <c r="C23" s="100">
        <v>2012</v>
      </c>
      <c r="D23" s="100">
        <v>2013</v>
      </c>
      <c r="E23" s="100">
        <v>2014</v>
      </c>
      <c r="F23" s="100">
        <v>2015</v>
      </c>
      <c r="G23" s="100">
        <v>2016</v>
      </c>
      <c r="H23" s="100">
        <v>2017</v>
      </c>
      <c r="I23" s="100">
        <v>2018</v>
      </c>
      <c r="J23" s="100">
        <v>2019</v>
      </c>
      <c r="K23" s="100">
        <v>2020</v>
      </c>
      <c r="L23" s="100">
        <v>2021</v>
      </c>
      <c r="M23" s="100">
        <v>2022</v>
      </c>
    </row>
    <row r="24" spans="1:16" x14ac:dyDescent="0.25">
      <c r="A24" s="126" t="s">
        <v>37</v>
      </c>
      <c r="B24" s="170" t="s">
        <v>88</v>
      </c>
      <c r="C24" s="253">
        <v>0.05</v>
      </c>
      <c r="D24" s="253">
        <v>0.05</v>
      </c>
      <c r="E24" s="253">
        <v>0.05</v>
      </c>
      <c r="F24" s="253">
        <v>0.05</v>
      </c>
      <c r="G24" s="253">
        <v>0.02</v>
      </c>
      <c r="H24" s="253">
        <v>0.02</v>
      </c>
      <c r="I24" s="253">
        <v>0.02</v>
      </c>
      <c r="J24" s="253">
        <v>0.01</v>
      </c>
      <c r="K24" s="253">
        <v>0.01</v>
      </c>
      <c r="L24" s="253">
        <v>0.01</v>
      </c>
      <c r="M24" s="253">
        <v>0.01</v>
      </c>
      <c r="P24" s="76" t="s">
        <v>197</v>
      </c>
    </row>
    <row r="25" spans="1:16" x14ac:dyDescent="0.25">
      <c r="A25" s="126" t="s">
        <v>38</v>
      </c>
      <c r="B25" s="170"/>
      <c r="C25" s="90">
        <v>0.5</v>
      </c>
      <c r="D25" s="90">
        <v>0.5</v>
      </c>
      <c r="E25" s="90">
        <v>0.5</v>
      </c>
      <c r="F25" s="90">
        <v>0.5</v>
      </c>
      <c r="G25" s="90">
        <v>0.5</v>
      </c>
      <c r="H25" s="90">
        <v>0.5</v>
      </c>
      <c r="I25" s="90">
        <v>0.5</v>
      </c>
      <c r="J25" s="90">
        <v>0.5</v>
      </c>
      <c r="K25" s="90">
        <v>0.5</v>
      </c>
      <c r="L25" s="90">
        <v>0.5</v>
      </c>
      <c r="M25" s="90">
        <v>0.5</v>
      </c>
      <c r="P25" s="76" t="s">
        <v>197</v>
      </c>
    </row>
    <row r="26" spans="1:16" x14ac:dyDescent="0.25">
      <c r="A26" s="126"/>
      <c r="B26" s="63"/>
      <c r="C26" s="44"/>
      <c r="D26" s="44"/>
      <c r="E26" s="44"/>
      <c r="F26" s="44"/>
      <c r="G26" s="44"/>
      <c r="H26" s="44"/>
      <c r="I26" s="44"/>
      <c r="J26" s="44"/>
      <c r="K26" s="44"/>
      <c r="L26" s="44"/>
      <c r="M26" s="44"/>
    </row>
    <row r="27" spans="1:16" x14ac:dyDescent="0.25">
      <c r="A27" s="126" t="s">
        <v>40</v>
      </c>
      <c r="B27" s="170" t="s">
        <v>88</v>
      </c>
      <c r="C27" s="253">
        <v>7.0000000000000007E-2</v>
      </c>
      <c r="D27" s="253">
        <v>7.0000000000000007E-2</v>
      </c>
      <c r="E27" s="253">
        <v>7.0000000000000007E-2</v>
      </c>
      <c r="F27" s="253">
        <v>7.0000000000000007E-2</v>
      </c>
      <c r="G27" s="253">
        <v>7.0000000000000007E-2</v>
      </c>
      <c r="H27" s="253">
        <v>7.0000000000000007E-2</v>
      </c>
      <c r="I27" s="253">
        <v>7.0000000000000007E-2</v>
      </c>
      <c r="J27" s="253">
        <v>7.0000000000000007E-2</v>
      </c>
      <c r="K27" s="253">
        <v>7.0000000000000007E-2</v>
      </c>
      <c r="L27" s="253">
        <v>7.4999999999999997E-2</v>
      </c>
      <c r="M27" s="253">
        <v>7.4999999999999997E-2</v>
      </c>
      <c r="P27" s="76" t="s">
        <v>197</v>
      </c>
    </row>
    <row r="28" spans="1:16" x14ac:dyDescent="0.25">
      <c r="A28" s="126" t="s">
        <v>41</v>
      </c>
      <c r="B28" s="170" t="s">
        <v>88</v>
      </c>
      <c r="C28" s="249">
        <v>0.28000000000000003</v>
      </c>
      <c r="D28" s="249">
        <v>0.28000000000000003</v>
      </c>
      <c r="E28" s="249">
        <v>0.28000000000000003</v>
      </c>
      <c r="F28" s="249">
        <v>0.28000000000000003</v>
      </c>
      <c r="G28" s="249">
        <v>0.28000000000000003</v>
      </c>
      <c r="H28" s="249">
        <v>0.28000000000000003</v>
      </c>
      <c r="I28" s="249">
        <v>0.28000000000000003</v>
      </c>
      <c r="J28" s="249">
        <v>0.28000000000000003</v>
      </c>
      <c r="K28" s="249">
        <v>0.28000000000000003</v>
      </c>
      <c r="L28" s="249">
        <v>0.28000000000000003</v>
      </c>
      <c r="M28" s="249">
        <v>0.28000000000000003</v>
      </c>
      <c r="P28" s="76" t="s">
        <v>197</v>
      </c>
    </row>
    <row r="29" spans="1:16" ht="18.75" x14ac:dyDescent="0.3">
      <c r="A29" s="127"/>
    </row>
    <row r="30" spans="1:16" ht="18.75" x14ac:dyDescent="0.3">
      <c r="A30" s="127" t="s">
        <v>103</v>
      </c>
    </row>
    <row r="31" spans="1:16" x14ac:dyDescent="0.25">
      <c r="A31" s="126" t="s">
        <v>42</v>
      </c>
      <c r="B31" s="170" t="s">
        <v>88</v>
      </c>
      <c r="C31" s="253">
        <v>0.02</v>
      </c>
      <c r="D31" s="253">
        <v>0.02</v>
      </c>
      <c r="E31" s="253">
        <v>0.02</v>
      </c>
      <c r="F31" s="253">
        <v>0.02</v>
      </c>
      <c r="G31" s="253">
        <v>0.02</v>
      </c>
      <c r="H31" s="253">
        <v>0.02</v>
      </c>
      <c r="I31" s="253">
        <v>0.01</v>
      </c>
      <c r="J31" s="253">
        <v>0.01</v>
      </c>
      <c r="K31" s="253">
        <v>0.01</v>
      </c>
      <c r="L31" s="253">
        <v>0.01</v>
      </c>
      <c r="M31" s="253">
        <v>0.01</v>
      </c>
      <c r="P31" s="76" t="s">
        <v>197</v>
      </c>
    </row>
    <row r="32" spans="1:16" x14ac:dyDescent="0.25">
      <c r="A32" s="126" t="s">
        <v>43</v>
      </c>
      <c r="B32" s="170" t="s">
        <v>88</v>
      </c>
      <c r="C32" s="253">
        <v>2E-3</v>
      </c>
      <c r="D32" s="253">
        <v>2E-3</v>
      </c>
      <c r="E32" s="253">
        <v>2E-3</v>
      </c>
      <c r="F32" s="253">
        <v>2E-3</v>
      </c>
      <c r="G32" s="253">
        <v>2E-3</v>
      </c>
      <c r="H32" s="253">
        <v>2E-3</v>
      </c>
      <c r="I32" s="253">
        <v>2E-3</v>
      </c>
      <c r="J32" s="253">
        <v>2E-3</v>
      </c>
      <c r="K32" s="253">
        <v>2E-3</v>
      </c>
      <c r="L32" s="253">
        <v>2E-3</v>
      </c>
      <c r="M32" s="253">
        <v>2E-3</v>
      </c>
      <c r="P32" s="76" t="s">
        <v>197</v>
      </c>
    </row>
    <row r="33" spans="1:16" ht="18.75" x14ac:dyDescent="0.3">
      <c r="A33" s="127"/>
    </row>
    <row r="34" spans="1:16" x14ac:dyDescent="0.25">
      <c r="A34" s="126" t="s">
        <v>193</v>
      </c>
      <c r="B34" s="170" t="s">
        <v>88</v>
      </c>
      <c r="C34" s="249">
        <v>0.05</v>
      </c>
      <c r="D34" s="249">
        <v>0.08</v>
      </c>
      <c r="E34" s="249">
        <v>0.08</v>
      </c>
      <c r="F34" s="249">
        <v>0.08</v>
      </c>
      <c r="G34" s="249">
        <v>0.05</v>
      </c>
      <c r="H34" s="249">
        <v>0.05</v>
      </c>
      <c r="I34" s="249">
        <v>0.05</v>
      </c>
      <c r="J34" s="249">
        <v>0.03</v>
      </c>
      <c r="K34" s="249">
        <v>0.03</v>
      </c>
      <c r="L34" s="249">
        <v>0.03</v>
      </c>
      <c r="M34" s="249">
        <v>0.02</v>
      </c>
      <c r="O34" s="76" t="s">
        <v>194</v>
      </c>
      <c r="P34" s="76" t="s">
        <v>250</v>
      </c>
    </row>
    <row r="35" spans="1:16" ht="18.75" x14ac:dyDescent="0.3">
      <c r="A35" s="127"/>
      <c r="C35" s="262"/>
      <c r="D35" s="262"/>
      <c r="E35" s="262"/>
      <c r="F35" s="262"/>
      <c r="G35" s="262"/>
      <c r="H35" s="262"/>
      <c r="I35" s="262"/>
      <c r="J35" s="262"/>
      <c r="K35" s="262"/>
      <c r="L35" s="262"/>
      <c r="M35" s="262"/>
    </row>
    <row r="36" spans="1:16" ht="21" x14ac:dyDescent="0.35">
      <c r="A36" s="178" t="s">
        <v>241</v>
      </c>
    </row>
    <row r="38" spans="1:16" ht="18.75" x14ac:dyDescent="0.3">
      <c r="A38" s="127" t="s">
        <v>240</v>
      </c>
    </row>
    <row r="39" spans="1:16" x14ac:dyDescent="0.25">
      <c r="A39" s="56" t="s">
        <v>113</v>
      </c>
      <c r="C39" s="95" t="s">
        <v>166</v>
      </c>
      <c r="D39" s="76" t="s">
        <v>118</v>
      </c>
      <c r="E39" s="76" t="s">
        <v>242</v>
      </c>
      <c r="M39" s="100" t="s">
        <v>114</v>
      </c>
    </row>
    <row r="40" spans="1:16" x14ac:dyDescent="0.25">
      <c r="A40" s="56" t="s">
        <v>82</v>
      </c>
      <c r="C40" s="76" t="s">
        <v>166</v>
      </c>
      <c r="E40" s="76"/>
      <c r="M40" s="54" t="s">
        <v>168</v>
      </c>
    </row>
    <row r="41" spans="1:16" x14ac:dyDescent="0.25">
      <c r="A41" s="56" t="s">
        <v>110</v>
      </c>
      <c r="C41" s="76" t="s">
        <v>166</v>
      </c>
      <c r="D41" s="116"/>
      <c r="E41" s="76"/>
      <c r="M41" s="54" t="s">
        <v>166</v>
      </c>
    </row>
    <row r="43" spans="1:16" ht="18.75" x14ac:dyDescent="0.3">
      <c r="A43" s="127" t="s">
        <v>129</v>
      </c>
      <c r="M43" s="100" t="s">
        <v>114</v>
      </c>
    </row>
    <row r="44" spans="1:16" x14ac:dyDescent="0.25">
      <c r="A44" s="56" t="s">
        <v>130</v>
      </c>
      <c r="C44" s="95" t="s">
        <v>131</v>
      </c>
      <c r="D44" s="116" t="s">
        <v>118</v>
      </c>
      <c r="M44" s="54" t="s">
        <v>131</v>
      </c>
    </row>
    <row r="45" spans="1:16" x14ac:dyDescent="0.25">
      <c r="A45" s="1"/>
      <c r="M45" s="54" t="s">
        <v>132</v>
      </c>
    </row>
    <row r="48" spans="1:16" x14ac:dyDescent="0.25">
      <c r="E48" s="67"/>
      <c r="F48" s="67"/>
      <c r="G48" s="67"/>
      <c r="H48" s="67"/>
      <c r="I48" s="67"/>
      <c r="J48" s="67"/>
      <c r="K48" s="67"/>
      <c r="L48" s="67"/>
      <c r="M48" s="67"/>
    </row>
  </sheetData>
  <phoneticPr fontId="39" type="noConversion"/>
  <dataValidations disablePrompts="1" count="2">
    <dataValidation type="list" allowBlank="1" showInputMessage="1" showErrorMessage="1" sqref="C39" xr:uid="{3B5C7D17-A994-45EB-8118-E88D8A81A0D8}">
      <formula1>$M$40:$M$41</formula1>
    </dataValidation>
    <dataValidation type="list" allowBlank="1" showInputMessage="1" showErrorMessage="1" sqref="C44" xr:uid="{D3E5E4A2-F772-482E-95D1-E4EEAC578C50}">
      <formula1>$M$44:$M$45</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592EE-CE2B-46F2-A900-BDF0740BBDD2}">
  <sheetPr>
    <tabColor theme="6"/>
  </sheetPr>
  <dimension ref="A1:P89"/>
  <sheetViews>
    <sheetView showGridLines="0" zoomScale="85" zoomScaleNormal="85" workbookViewId="0"/>
  </sheetViews>
  <sheetFormatPr defaultColWidth="9.140625" defaultRowHeight="15" x14ac:dyDescent="0.25"/>
  <cols>
    <col min="1" max="1" width="97.28515625" style="1" customWidth="1"/>
    <col min="2" max="2" width="16" style="1" customWidth="1"/>
    <col min="3" max="3" width="13.85546875" style="1" bestFit="1" customWidth="1"/>
    <col min="4" max="5" width="11.5703125" style="1" bestFit="1" customWidth="1"/>
    <col min="6" max="12" width="13.28515625" style="1" bestFit="1" customWidth="1"/>
    <col min="13" max="13" width="17.5703125" style="1" customWidth="1"/>
    <col min="14" max="14" width="5.5703125" style="1" customWidth="1"/>
    <col min="15" max="15" width="24.140625" style="1" customWidth="1"/>
    <col min="16" max="16" width="31.5703125" style="1" customWidth="1"/>
    <col min="17" max="16384" width="9.140625" style="1"/>
  </cols>
  <sheetData>
    <row r="1" spans="1:16" ht="26.25" x14ac:dyDescent="0.25">
      <c r="A1" s="53" t="s">
        <v>72</v>
      </c>
      <c r="B1" s="42"/>
    </row>
    <row r="2" spans="1:16" x14ac:dyDescent="0.25">
      <c r="A2" s="76" t="s">
        <v>135</v>
      </c>
      <c r="B2" s="42"/>
      <c r="C2" s="167"/>
      <c r="D2" s="167"/>
      <c r="E2" s="167"/>
      <c r="F2" s="167"/>
      <c r="G2" s="167"/>
      <c r="H2" s="167"/>
      <c r="I2" s="167"/>
      <c r="J2" s="167"/>
      <c r="K2" s="167"/>
      <c r="L2" s="167"/>
      <c r="M2" s="167"/>
      <c r="N2" s="167"/>
    </row>
    <row r="3" spans="1:16" x14ac:dyDescent="0.25">
      <c r="A3" s="76" t="s">
        <v>236</v>
      </c>
      <c r="B3" s="42"/>
      <c r="C3" s="167"/>
      <c r="D3" s="167"/>
      <c r="E3" s="167"/>
      <c r="F3" s="167"/>
      <c r="G3" s="167"/>
      <c r="H3" s="167"/>
      <c r="I3" s="167"/>
      <c r="J3" s="167"/>
      <c r="K3" s="167"/>
      <c r="L3" s="167"/>
      <c r="M3" s="167"/>
      <c r="N3" s="167"/>
    </row>
    <row r="4" spans="1:16" x14ac:dyDescent="0.25">
      <c r="C4" s="167"/>
      <c r="D4" s="167"/>
      <c r="E4" s="167"/>
      <c r="F4" s="167"/>
      <c r="G4" s="167"/>
      <c r="H4" s="167"/>
      <c r="I4" s="167"/>
      <c r="J4" s="167"/>
      <c r="K4" s="167"/>
      <c r="L4" s="167"/>
      <c r="M4" s="167"/>
      <c r="N4" s="167"/>
      <c r="O4" s="168"/>
      <c r="P4" s="168"/>
    </row>
    <row r="5" spans="1:16" ht="18.75" x14ac:dyDescent="0.3">
      <c r="A5" s="127" t="s">
        <v>44</v>
      </c>
      <c r="O5" s="100" t="s">
        <v>182</v>
      </c>
      <c r="P5" s="100" t="s">
        <v>124</v>
      </c>
    </row>
    <row r="6" spans="1:16" x14ac:dyDescent="0.25">
      <c r="A6" s="126" t="s">
        <v>45</v>
      </c>
      <c r="B6" s="62" t="s">
        <v>88</v>
      </c>
      <c r="C6" s="144">
        <f>'A1 Tax'!C115</f>
        <v>0</v>
      </c>
      <c r="D6" s="144">
        <f>'A1 Tax'!D115</f>
        <v>0.3</v>
      </c>
      <c r="E6" s="144">
        <f>'A1 Tax'!E115</f>
        <v>0.31125740209009339</v>
      </c>
      <c r="F6" s="144">
        <f>'A1 Tax'!F115</f>
        <v>0.31588140512170265</v>
      </c>
      <c r="G6" s="144">
        <f>'A1 Tax'!G115</f>
        <v>0.35327521680100293</v>
      </c>
      <c r="H6" s="144">
        <f>'A1 Tax'!H115</f>
        <v>0.39285615614507691</v>
      </c>
      <c r="I6" s="144">
        <f>'A1 Tax'!I115</f>
        <v>0.42005532026848064</v>
      </c>
      <c r="J6" s="144">
        <f>'A1 Tax'!J115</f>
        <v>0.44007271165260059</v>
      </c>
      <c r="K6" s="144">
        <f>'A1 Tax'!K115</f>
        <v>0.45820358385121379</v>
      </c>
      <c r="L6" s="144">
        <f>'A1 Tax'!L115</f>
        <v>0.47366522758394131</v>
      </c>
      <c r="M6" s="144">
        <f>'A1 Tax'!M115</f>
        <v>0.4862704758808794</v>
      </c>
      <c r="P6" s="76" t="s">
        <v>205</v>
      </c>
    </row>
    <row r="7" spans="1:16" x14ac:dyDescent="0.25">
      <c r="C7" s="166"/>
      <c r="D7" s="166"/>
      <c r="E7" s="166"/>
      <c r="F7" s="166"/>
      <c r="G7" s="166"/>
      <c r="H7" s="166"/>
      <c r="I7" s="166"/>
      <c r="J7" s="166"/>
      <c r="K7" s="166"/>
      <c r="L7" s="166"/>
      <c r="M7" s="166"/>
    </row>
    <row r="8" spans="1:16" x14ac:dyDescent="0.25">
      <c r="A8" s="126" t="s">
        <v>46</v>
      </c>
      <c r="B8" s="134" t="s">
        <v>88</v>
      </c>
      <c r="C8" s="144">
        <v>0.31</v>
      </c>
      <c r="D8" s="144">
        <v>0.31</v>
      </c>
      <c r="E8" s="144">
        <v>0.31</v>
      </c>
      <c r="F8" s="144">
        <v>0.31</v>
      </c>
      <c r="G8" s="144">
        <v>0.31</v>
      </c>
      <c r="H8" s="144">
        <v>0.31</v>
      </c>
      <c r="I8" s="144">
        <v>0.31</v>
      </c>
      <c r="J8" s="144">
        <v>0.31</v>
      </c>
      <c r="K8" s="144">
        <v>0.31</v>
      </c>
      <c r="L8" s="144">
        <v>0.31</v>
      </c>
      <c r="M8" s="144">
        <v>0.31</v>
      </c>
    </row>
    <row r="10" spans="1:16" x14ac:dyDescent="0.25">
      <c r="A10" s="126" t="s">
        <v>244</v>
      </c>
      <c r="B10" s="126" t="s">
        <v>245</v>
      </c>
      <c r="C10" s="149">
        <f>Timing!C8</f>
        <v>211</v>
      </c>
      <c r="D10" s="149"/>
      <c r="E10" s="149"/>
      <c r="F10" s="149"/>
      <c r="G10" s="149"/>
      <c r="H10" s="149"/>
      <c r="I10" s="149"/>
      <c r="J10" s="149"/>
      <c r="K10" s="149"/>
      <c r="L10" s="149"/>
      <c r="M10" s="149">
        <f>Timing!M8</f>
        <v>184</v>
      </c>
    </row>
    <row r="11" spans="1:16" x14ac:dyDescent="0.25">
      <c r="C11" s="62">
        <f>C10/365</f>
        <v>0.57808219178082187</v>
      </c>
      <c r="M11" s="62">
        <f>M10/365</f>
        <v>0.50410958904109593</v>
      </c>
    </row>
    <row r="12" spans="1:16" ht="18.75" x14ac:dyDescent="0.3">
      <c r="A12" s="127" t="s">
        <v>115</v>
      </c>
      <c r="B12" s="42"/>
      <c r="C12" s="100">
        <v>2012</v>
      </c>
      <c r="D12" s="100">
        <v>2013</v>
      </c>
      <c r="E12" s="100">
        <v>2014</v>
      </c>
      <c r="F12" s="100">
        <v>2015</v>
      </c>
      <c r="G12" s="100">
        <v>2016</v>
      </c>
      <c r="H12" s="100">
        <v>2017</v>
      </c>
      <c r="I12" s="100">
        <v>2018</v>
      </c>
      <c r="J12" s="100">
        <v>2019</v>
      </c>
      <c r="K12" s="100">
        <v>2020</v>
      </c>
      <c r="L12" s="100">
        <v>2021</v>
      </c>
      <c r="M12" s="100">
        <v>2022</v>
      </c>
    </row>
    <row r="13" spans="1:16" x14ac:dyDescent="0.25">
      <c r="A13" s="126" t="s">
        <v>37</v>
      </c>
      <c r="B13" s="170" t="s">
        <v>88</v>
      </c>
      <c r="C13" s="254">
        <f>Inputs!C24</f>
        <v>0.05</v>
      </c>
      <c r="D13" s="254">
        <f>Inputs!D24</f>
        <v>0.05</v>
      </c>
      <c r="E13" s="254">
        <f>Inputs!E24</f>
        <v>0.05</v>
      </c>
      <c r="F13" s="254">
        <f>Inputs!F24</f>
        <v>0.05</v>
      </c>
      <c r="G13" s="254">
        <f>Inputs!G24</f>
        <v>0.02</v>
      </c>
      <c r="H13" s="254">
        <f>Inputs!H24</f>
        <v>0.02</v>
      </c>
      <c r="I13" s="254">
        <f>Inputs!I24</f>
        <v>0.02</v>
      </c>
      <c r="J13" s="254">
        <f>Inputs!J24</f>
        <v>0.01</v>
      </c>
      <c r="K13" s="254">
        <f>Inputs!K24</f>
        <v>0.01</v>
      </c>
      <c r="L13" s="254">
        <f>Inputs!L24</f>
        <v>0.01</v>
      </c>
      <c r="M13" s="254">
        <f>Inputs!M24</f>
        <v>0.01</v>
      </c>
      <c r="P13" s="76"/>
    </row>
    <row r="14" spans="1:16" x14ac:dyDescent="0.25">
      <c r="A14" s="126" t="s">
        <v>38</v>
      </c>
      <c r="B14" s="170"/>
      <c r="C14" s="149">
        <f>Inputs!C25</f>
        <v>0.5</v>
      </c>
      <c r="D14" s="149">
        <f>Inputs!D25</f>
        <v>0.5</v>
      </c>
      <c r="E14" s="149">
        <f>Inputs!E25</f>
        <v>0.5</v>
      </c>
      <c r="F14" s="149">
        <f>Inputs!F25</f>
        <v>0.5</v>
      </c>
      <c r="G14" s="149">
        <f>Inputs!G25</f>
        <v>0.5</v>
      </c>
      <c r="H14" s="149">
        <f>Inputs!H25</f>
        <v>0.5</v>
      </c>
      <c r="I14" s="149">
        <f>Inputs!I25</f>
        <v>0.5</v>
      </c>
      <c r="J14" s="149">
        <f>Inputs!J25</f>
        <v>0.5</v>
      </c>
      <c r="K14" s="149">
        <f>Inputs!K25</f>
        <v>0.5</v>
      </c>
      <c r="L14" s="149">
        <f>Inputs!L25</f>
        <v>0.5</v>
      </c>
      <c r="M14" s="149">
        <f>Inputs!M25</f>
        <v>0.5</v>
      </c>
      <c r="P14" s="76"/>
    </row>
    <row r="15" spans="1:16" x14ac:dyDescent="0.25">
      <c r="A15" s="126" t="s">
        <v>39</v>
      </c>
      <c r="B15" s="170"/>
      <c r="C15" s="44">
        <f t="shared" ref="C15:M15" si="0">C14/(1-C8)</f>
        <v>0.7246376811594204</v>
      </c>
      <c r="D15" s="44">
        <f t="shared" si="0"/>
        <v>0.7246376811594204</v>
      </c>
      <c r="E15" s="44">
        <f t="shared" si="0"/>
        <v>0.7246376811594204</v>
      </c>
      <c r="F15" s="44">
        <f t="shared" si="0"/>
        <v>0.7246376811594204</v>
      </c>
      <c r="G15" s="44">
        <f t="shared" si="0"/>
        <v>0.7246376811594204</v>
      </c>
      <c r="H15" s="44">
        <f t="shared" si="0"/>
        <v>0.7246376811594204</v>
      </c>
      <c r="I15" s="44">
        <f t="shared" si="0"/>
        <v>0.7246376811594204</v>
      </c>
      <c r="J15" s="44">
        <f t="shared" si="0"/>
        <v>0.7246376811594204</v>
      </c>
      <c r="K15" s="44">
        <f t="shared" si="0"/>
        <v>0.7246376811594204</v>
      </c>
      <c r="L15" s="44">
        <f t="shared" si="0"/>
        <v>0.7246376811594204</v>
      </c>
      <c r="M15" s="44">
        <f t="shared" si="0"/>
        <v>0.7246376811594204</v>
      </c>
      <c r="P15" s="76"/>
    </row>
    <row r="16" spans="1:16" x14ac:dyDescent="0.25">
      <c r="A16" s="126" t="s">
        <v>40</v>
      </c>
      <c r="B16" s="170" t="s">
        <v>88</v>
      </c>
      <c r="C16" s="254">
        <f>Inputs!C27</f>
        <v>7.0000000000000007E-2</v>
      </c>
      <c r="D16" s="254">
        <f>Inputs!D27</f>
        <v>7.0000000000000007E-2</v>
      </c>
      <c r="E16" s="254">
        <f>Inputs!E27</f>
        <v>7.0000000000000007E-2</v>
      </c>
      <c r="F16" s="254">
        <f>Inputs!F27</f>
        <v>7.0000000000000007E-2</v>
      </c>
      <c r="G16" s="254">
        <f>Inputs!G27</f>
        <v>7.0000000000000007E-2</v>
      </c>
      <c r="H16" s="254">
        <f>Inputs!H27</f>
        <v>7.0000000000000007E-2</v>
      </c>
      <c r="I16" s="254">
        <f>Inputs!I27</f>
        <v>7.0000000000000007E-2</v>
      </c>
      <c r="J16" s="254">
        <f>Inputs!J27</f>
        <v>7.0000000000000007E-2</v>
      </c>
      <c r="K16" s="254">
        <f>Inputs!K27</f>
        <v>7.0000000000000007E-2</v>
      </c>
      <c r="L16" s="254">
        <f>Inputs!L27</f>
        <v>7.4999999999999997E-2</v>
      </c>
      <c r="M16" s="254">
        <f>Inputs!M27</f>
        <v>7.4999999999999997E-2</v>
      </c>
      <c r="P16" s="76"/>
    </row>
    <row r="17" spans="1:16" x14ac:dyDescent="0.25">
      <c r="A17" s="128" t="s">
        <v>41</v>
      </c>
      <c r="B17" s="170" t="s">
        <v>88</v>
      </c>
      <c r="C17" s="144">
        <f>Inputs!C28</f>
        <v>0.28000000000000003</v>
      </c>
      <c r="D17" s="144">
        <f>Inputs!D28</f>
        <v>0.28000000000000003</v>
      </c>
      <c r="E17" s="144">
        <f>Inputs!E28</f>
        <v>0.28000000000000003</v>
      </c>
      <c r="F17" s="144">
        <f>Inputs!F28</f>
        <v>0.28000000000000003</v>
      </c>
      <c r="G17" s="144">
        <f>Inputs!G28</f>
        <v>0.28000000000000003</v>
      </c>
      <c r="H17" s="144">
        <f>Inputs!H28</f>
        <v>0.28000000000000003</v>
      </c>
      <c r="I17" s="144">
        <f>Inputs!I28</f>
        <v>0.28000000000000003</v>
      </c>
      <c r="J17" s="144">
        <f>Inputs!J28</f>
        <v>0.28000000000000003</v>
      </c>
      <c r="K17" s="144">
        <f>Inputs!K28</f>
        <v>0.28000000000000003</v>
      </c>
      <c r="L17" s="144">
        <f>Inputs!L28</f>
        <v>0.28000000000000003</v>
      </c>
      <c r="M17" s="144">
        <f>Inputs!M28</f>
        <v>0.28000000000000003</v>
      </c>
      <c r="P17" s="76"/>
    </row>
    <row r="18" spans="1:16" x14ac:dyDescent="0.25">
      <c r="A18" s="139" t="s">
        <v>115</v>
      </c>
      <c r="B18" s="112" t="s">
        <v>120</v>
      </c>
      <c r="C18" s="259">
        <f>(((1+(C13+C15*C16))^($C$11)-1))</f>
        <v>5.7045561572955705E-2</v>
      </c>
      <c r="D18" s="260">
        <f t="shared" ref="D18:L18" si="1">D13+D15*D16</f>
        <v>0.10072463768115944</v>
      </c>
      <c r="E18" s="260">
        <f t="shared" si="1"/>
        <v>0.10072463768115944</v>
      </c>
      <c r="F18" s="260">
        <f t="shared" si="1"/>
        <v>0.10072463768115944</v>
      </c>
      <c r="G18" s="260">
        <f t="shared" si="1"/>
        <v>7.0724637681159427E-2</v>
      </c>
      <c r="H18" s="260">
        <f t="shared" si="1"/>
        <v>7.0724637681159427E-2</v>
      </c>
      <c r="I18" s="260">
        <f t="shared" si="1"/>
        <v>7.0724637681159427E-2</v>
      </c>
      <c r="J18" s="260">
        <f t="shared" si="1"/>
        <v>6.0724637681159432E-2</v>
      </c>
      <c r="K18" s="260">
        <f t="shared" si="1"/>
        <v>6.0724637681159432E-2</v>
      </c>
      <c r="L18" s="260">
        <f t="shared" si="1"/>
        <v>6.4347826086956522E-2</v>
      </c>
      <c r="M18" s="261">
        <f>(((1+(M13+M15*M16))^$M$11-1))</f>
        <v>3.1936778503300456E-2</v>
      </c>
      <c r="P18" s="76"/>
    </row>
    <row r="19" spans="1:16" x14ac:dyDescent="0.25">
      <c r="P19" s="76"/>
    </row>
    <row r="20" spans="1:16" ht="18.75" x14ac:dyDescent="0.3">
      <c r="A20" s="127" t="s">
        <v>103</v>
      </c>
      <c r="B20" s="42"/>
      <c r="P20" s="76"/>
    </row>
    <row r="21" spans="1:16" x14ac:dyDescent="0.25">
      <c r="A21" s="126" t="s">
        <v>37</v>
      </c>
      <c r="B21" s="170" t="s">
        <v>88</v>
      </c>
      <c r="C21" s="256">
        <f>C13</f>
        <v>0.05</v>
      </c>
      <c r="D21" s="256">
        <f t="shared" ref="D21:M21" si="2">D13</f>
        <v>0.05</v>
      </c>
      <c r="E21" s="256">
        <f t="shared" si="2"/>
        <v>0.05</v>
      </c>
      <c r="F21" s="256">
        <f t="shared" si="2"/>
        <v>0.05</v>
      </c>
      <c r="G21" s="256">
        <f t="shared" si="2"/>
        <v>0.02</v>
      </c>
      <c r="H21" s="256">
        <f t="shared" si="2"/>
        <v>0.02</v>
      </c>
      <c r="I21" s="256">
        <f t="shared" si="2"/>
        <v>0.02</v>
      </c>
      <c r="J21" s="256">
        <f t="shared" si="2"/>
        <v>0.01</v>
      </c>
      <c r="K21" s="256">
        <f t="shared" si="2"/>
        <v>0.01</v>
      </c>
      <c r="L21" s="256">
        <f t="shared" si="2"/>
        <v>0.01</v>
      </c>
      <c r="M21" s="256">
        <f t="shared" si="2"/>
        <v>0.01</v>
      </c>
      <c r="P21" s="76"/>
    </row>
    <row r="22" spans="1:16" x14ac:dyDescent="0.25">
      <c r="A22" s="126" t="s">
        <v>42</v>
      </c>
      <c r="B22" s="170" t="s">
        <v>88</v>
      </c>
      <c r="C22" s="254">
        <f>Inputs!C31</f>
        <v>0.02</v>
      </c>
      <c r="D22" s="254">
        <f>Inputs!D31</f>
        <v>0.02</v>
      </c>
      <c r="E22" s="254">
        <f>Inputs!E31</f>
        <v>0.02</v>
      </c>
      <c r="F22" s="254">
        <f>Inputs!F31</f>
        <v>0.02</v>
      </c>
      <c r="G22" s="254">
        <f>Inputs!G31</f>
        <v>0.02</v>
      </c>
      <c r="H22" s="254">
        <f>Inputs!H31</f>
        <v>0.02</v>
      </c>
      <c r="I22" s="254">
        <f>Inputs!I31</f>
        <v>0.01</v>
      </c>
      <c r="J22" s="254">
        <f>Inputs!J31</f>
        <v>0.01</v>
      </c>
      <c r="K22" s="254">
        <f>Inputs!K31</f>
        <v>0.01</v>
      </c>
      <c r="L22" s="254">
        <f>Inputs!L31</f>
        <v>0.01</v>
      </c>
      <c r="M22" s="254">
        <f>Inputs!M31</f>
        <v>0.01</v>
      </c>
      <c r="P22" s="76"/>
    </row>
    <row r="23" spans="1:16" x14ac:dyDescent="0.25">
      <c r="A23" s="128" t="s">
        <v>43</v>
      </c>
      <c r="B23" s="170" t="s">
        <v>88</v>
      </c>
      <c r="C23" s="254">
        <f>Inputs!C32</f>
        <v>2E-3</v>
      </c>
      <c r="D23" s="254">
        <f>Inputs!D32</f>
        <v>2E-3</v>
      </c>
      <c r="E23" s="254">
        <f>Inputs!E32</f>
        <v>2E-3</v>
      </c>
      <c r="F23" s="254">
        <f>Inputs!F32</f>
        <v>2E-3</v>
      </c>
      <c r="G23" s="254">
        <f>Inputs!G32</f>
        <v>2E-3</v>
      </c>
      <c r="H23" s="254">
        <f>Inputs!H32</f>
        <v>2E-3</v>
      </c>
      <c r="I23" s="254">
        <f>Inputs!I32</f>
        <v>2E-3</v>
      </c>
      <c r="J23" s="254">
        <f>Inputs!J32</f>
        <v>2E-3</v>
      </c>
      <c r="K23" s="254">
        <f>Inputs!K32</f>
        <v>2E-3</v>
      </c>
      <c r="L23" s="254">
        <f>Inputs!L32</f>
        <v>2E-3</v>
      </c>
      <c r="M23" s="254">
        <f>Inputs!M32</f>
        <v>2E-3</v>
      </c>
      <c r="P23" s="76"/>
    </row>
    <row r="24" spans="1:16" x14ac:dyDescent="0.25">
      <c r="A24" s="139" t="s">
        <v>103</v>
      </c>
      <c r="B24" s="255" t="s">
        <v>88</v>
      </c>
      <c r="C24" s="259">
        <f>(((1+(C21+C22+C23))^(7/12)-1))</f>
        <v>4.1390531771388517E-2</v>
      </c>
      <c r="D24" s="260">
        <f t="shared" ref="D24:L24" si="3">D21+D22+D23</f>
        <v>7.2000000000000008E-2</v>
      </c>
      <c r="E24" s="260">
        <f t="shared" si="3"/>
        <v>7.2000000000000008E-2</v>
      </c>
      <c r="F24" s="260">
        <f t="shared" si="3"/>
        <v>7.2000000000000008E-2</v>
      </c>
      <c r="G24" s="260">
        <f t="shared" si="3"/>
        <v>4.2000000000000003E-2</v>
      </c>
      <c r="H24" s="260">
        <f t="shared" si="3"/>
        <v>4.2000000000000003E-2</v>
      </c>
      <c r="I24" s="260">
        <f t="shared" si="3"/>
        <v>3.2000000000000001E-2</v>
      </c>
      <c r="J24" s="260">
        <f t="shared" si="3"/>
        <v>2.1999999999999999E-2</v>
      </c>
      <c r="K24" s="260">
        <f t="shared" si="3"/>
        <v>2.1999999999999999E-2</v>
      </c>
      <c r="L24" s="260">
        <f t="shared" si="3"/>
        <v>2.1999999999999999E-2</v>
      </c>
      <c r="M24" s="261">
        <f>(((1+(M21+M22+M23))^0.5-1))</f>
        <v>1.0940156488008945E-2</v>
      </c>
      <c r="P24" s="76"/>
    </row>
    <row r="25" spans="1:16" x14ac:dyDescent="0.25">
      <c r="P25" s="76"/>
    </row>
    <row r="26" spans="1:16" x14ac:dyDescent="0.25">
      <c r="O26" s="102"/>
      <c r="P26" s="76"/>
    </row>
    <row r="27" spans="1:16" x14ac:dyDescent="0.25">
      <c r="A27" s="126" t="s">
        <v>175</v>
      </c>
      <c r="B27" s="170" t="s">
        <v>88</v>
      </c>
      <c r="C27" s="135">
        <f>C$24*C$8+C$18*(1-C$8)</f>
        <v>5.2192502334469877E-2</v>
      </c>
      <c r="D27" s="135">
        <f t="shared" ref="C27:M27" si="4">D$24*D$8+D$18*(1-D$8)</f>
        <v>9.1820000000000013E-2</v>
      </c>
      <c r="E27" s="135">
        <f t="shared" si="4"/>
        <v>9.1820000000000013E-2</v>
      </c>
      <c r="F27" s="135">
        <f t="shared" si="4"/>
        <v>9.1820000000000013E-2</v>
      </c>
      <c r="G27" s="135">
        <f t="shared" si="4"/>
        <v>6.182E-2</v>
      </c>
      <c r="H27" s="135">
        <f t="shared" si="4"/>
        <v>6.182E-2</v>
      </c>
      <c r="I27" s="135">
        <f t="shared" si="4"/>
        <v>5.8720000000000001E-2</v>
      </c>
      <c r="J27" s="135">
        <f t="shared" si="4"/>
        <v>4.8720000000000006E-2</v>
      </c>
      <c r="K27" s="135">
        <f t="shared" si="4"/>
        <v>4.8720000000000006E-2</v>
      </c>
      <c r="L27" s="135">
        <f t="shared" si="4"/>
        <v>5.1219999999999995E-2</v>
      </c>
      <c r="M27" s="135">
        <f t="shared" si="4"/>
        <v>2.5427825678560084E-2</v>
      </c>
      <c r="P27" s="76"/>
    </row>
    <row r="28" spans="1:16" x14ac:dyDescent="0.25">
      <c r="C28" s="262"/>
      <c r="D28" s="262"/>
      <c r="E28" s="262"/>
      <c r="F28" s="262"/>
      <c r="G28" s="262"/>
      <c r="H28" s="262"/>
      <c r="I28" s="262"/>
      <c r="J28" s="262"/>
      <c r="K28" s="262"/>
      <c r="L28" s="262"/>
      <c r="M28" s="262"/>
      <c r="P28" s="76"/>
    </row>
    <row r="29" spans="1:16" x14ac:dyDescent="0.25">
      <c r="A29" s="126" t="s">
        <v>193</v>
      </c>
      <c r="B29" s="170" t="s">
        <v>88</v>
      </c>
      <c r="C29" s="145">
        <f>Inputs!C34</f>
        <v>0.05</v>
      </c>
      <c r="D29" s="145">
        <f>Inputs!D34</f>
        <v>0.08</v>
      </c>
      <c r="E29" s="145">
        <f>Inputs!E34</f>
        <v>0.08</v>
      </c>
      <c r="F29" s="145">
        <f>Inputs!F34</f>
        <v>0.08</v>
      </c>
      <c r="G29" s="145">
        <f>Inputs!G34</f>
        <v>0.05</v>
      </c>
      <c r="H29" s="145">
        <f>Inputs!H34</f>
        <v>0.05</v>
      </c>
      <c r="I29" s="145">
        <f>Inputs!I34</f>
        <v>0.05</v>
      </c>
      <c r="J29" s="145">
        <f>Inputs!J34</f>
        <v>0.03</v>
      </c>
      <c r="K29" s="145">
        <f>Inputs!K34</f>
        <v>0.03</v>
      </c>
      <c r="L29" s="145">
        <f>Inputs!L34</f>
        <v>0.03</v>
      </c>
      <c r="M29" s="145">
        <f>Inputs!M34</f>
        <v>0.02</v>
      </c>
      <c r="O29" s="47"/>
      <c r="P29" s="76"/>
    </row>
    <row r="30" spans="1:16" x14ac:dyDescent="0.25">
      <c r="N30" s="116"/>
    </row>
    <row r="31" spans="1:16" x14ac:dyDescent="0.25">
      <c r="A31" s="126" t="s">
        <v>116</v>
      </c>
      <c r="B31" s="170" t="s">
        <v>88</v>
      </c>
      <c r="C31" s="135">
        <f>C$24*(C$8-C$6)</f>
        <v>1.2831064849130441E-2</v>
      </c>
      <c r="D31" s="135">
        <f t="shared" ref="D31:M31" si="5">D$24*(D$8-D$6)</f>
        <v>7.200000000000007E-4</v>
      </c>
      <c r="E31" s="135">
        <f t="shared" si="5"/>
        <v>-9.0532950486724503E-5</v>
      </c>
      <c r="F31" s="135">
        <f>F$24*(F$8-F$6)</f>
        <v>-4.2346116876259117E-4</v>
      </c>
      <c r="G31" s="135">
        <f t="shared" si="5"/>
        <v>-1.8175591056421234E-3</v>
      </c>
      <c r="H31" s="135">
        <f t="shared" si="5"/>
        <v>-3.4799585580932305E-3</v>
      </c>
      <c r="I31" s="135">
        <f t="shared" si="5"/>
        <v>-3.5217702485913806E-3</v>
      </c>
      <c r="J31" s="135">
        <f t="shared" si="5"/>
        <v>-2.8615996563572128E-3</v>
      </c>
      <c r="K31" s="135">
        <f t="shared" si="5"/>
        <v>-3.2604788447267033E-3</v>
      </c>
      <c r="L31" s="135">
        <f t="shared" si="5"/>
        <v>-3.6006350068467086E-3</v>
      </c>
      <c r="M31" s="135">
        <f t="shared" si="5"/>
        <v>-1.928426590352627E-3</v>
      </c>
    </row>
    <row r="32" spans="1:16" x14ac:dyDescent="0.25">
      <c r="A32" s="126" t="s">
        <v>117</v>
      </c>
      <c r="B32" s="170" t="s">
        <v>88</v>
      </c>
      <c r="C32" s="135">
        <f>C$18*(1-C$8)</f>
        <v>3.9361437485339434E-2</v>
      </c>
      <c r="D32" s="135">
        <f t="shared" ref="D32:M32" si="6">D$18*(1-D$8)</f>
        <v>6.9500000000000006E-2</v>
      </c>
      <c r="E32" s="135">
        <f t="shared" si="6"/>
        <v>6.9500000000000006E-2</v>
      </c>
      <c r="F32" s="135">
        <f t="shared" si="6"/>
        <v>6.9500000000000006E-2</v>
      </c>
      <c r="G32" s="135">
        <f t="shared" si="6"/>
        <v>4.8800000000000003E-2</v>
      </c>
      <c r="H32" s="135">
        <f t="shared" si="6"/>
        <v>4.8800000000000003E-2</v>
      </c>
      <c r="I32" s="135">
        <f t="shared" si="6"/>
        <v>4.8800000000000003E-2</v>
      </c>
      <c r="J32" s="135">
        <f t="shared" si="6"/>
        <v>4.1900000000000007E-2</v>
      </c>
      <c r="K32" s="135">
        <f t="shared" si="6"/>
        <v>4.1900000000000007E-2</v>
      </c>
      <c r="L32" s="135">
        <f t="shared" si="6"/>
        <v>4.4399999999999995E-2</v>
      </c>
      <c r="M32" s="135">
        <f t="shared" si="6"/>
        <v>2.2036377167277313E-2</v>
      </c>
    </row>
    <row r="34" spans="1:13" x14ac:dyDescent="0.25">
      <c r="A34" s="126" t="s">
        <v>48</v>
      </c>
      <c r="B34" s="170" t="s">
        <v>88</v>
      </c>
      <c r="C34" s="135">
        <f t="shared" ref="C34:M34" si="7">C$24*(C$8-C$6)+C$18*(1-C$8)</f>
        <v>5.2192502334469877E-2</v>
      </c>
      <c r="D34" s="135">
        <f t="shared" si="7"/>
        <v>7.0220000000000005E-2</v>
      </c>
      <c r="E34" s="135">
        <f t="shared" si="7"/>
        <v>6.9409467049513285E-2</v>
      </c>
      <c r="F34" s="135">
        <f t="shared" si="7"/>
        <v>6.9076538831237419E-2</v>
      </c>
      <c r="G34" s="135">
        <f t="shared" si="7"/>
        <v>4.698244089435788E-2</v>
      </c>
      <c r="H34" s="135">
        <f t="shared" si="7"/>
        <v>4.5320041441906773E-2</v>
      </c>
      <c r="I34" s="135">
        <f t="shared" si="7"/>
        <v>4.5278229751408619E-2</v>
      </c>
      <c r="J34" s="135">
        <f t="shared" si="7"/>
        <v>3.9038400343642796E-2</v>
      </c>
      <c r="K34" s="135">
        <f t="shared" si="7"/>
        <v>3.8639521155273304E-2</v>
      </c>
      <c r="L34" s="135">
        <f t="shared" si="7"/>
        <v>4.0799364993153286E-2</v>
      </c>
      <c r="M34" s="135">
        <f t="shared" si="7"/>
        <v>2.0107950576924685E-2</v>
      </c>
    </row>
    <row r="35" spans="1:13" x14ac:dyDescent="0.25">
      <c r="A35" s="128"/>
      <c r="B35" s="265"/>
      <c r="C35" s="140"/>
      <c r="D35" s="140"/>
      <c r="E35" s="140"/>
      <c r="F35" s="140"/>
      <c r="G35" s="140"/>
      <c r="H35" s="140"/>
      <c r="I35" s="140"/>
      <c r="J35" s="140"/>
      <c r="K35" s="140"/>
      <c r="L35" s="140"/>
      <c r="M35" s="140"/>
    </row>
    <row r="36" spans="1:13" ht="21" x14ac:dyDescent="0.35">
      <c r="A36" s="125" t="s">
        <v>111</v>
      </c>
    </row>
    <row r="38" spans="1:13" ht="18.75" x14ac:dyDescent="0.3">
      <c r="A38" s="127" t="s">
        <v>47</v>
      </c>
      <c r="C38" s="100">
        <v>2012</v>
      </c>
      <c r="D38" s="100">
        <v>2013</v>
      </c>
      <c r="E38" s="100">
        <v>2014</v>
      </c>
      <c r="F38" s="100">
        <v>2015</v>
      </c>
      <c r="G38" s="100">
        <v>2016</v>
      </c>
      <c r="H38" s="100">
        <v>2017</v>
      </c>
      <c r="I38" s="100">
        <v>2018</v>
      </c>
      <c r="J38" s="100">
        <v>2019</v>
      </c>
      <c r="K38" s="100">
        <v>2020</v>
      </c>
      <c r="L38" s="100">
        <v>2021</v>
      </c>
      <c r="M38" s="100">
        <v>2022</v>
      </c>
    </row>
    <row r="39" spans="1:13" x14ac:dyDescent="0.25">
      <c r="A39" s="126" t="s">
        <v>246</v>
      </c>
      <c r="B39" s="170" t="s">
        <v>107</v>
      </c>
      <c r="C39" s="257">
        <f>1+C27</f>
        <v>1.0521925023344698</v>
      </c>
      <c r="D39" s="257">
        <f>1+D27</f>
        <v>1.09182</v>
      </c>
      <c r="E39" s="257">
        <f>1+E27</f>
        <v>1.09182</v>
      </c>
      <c r="F39" s="257">
        <f>1+F27</f>
        <v>1.09182</v>
      </c>
      <c r="G39" s="257">
        <f>1+G27</f>
        <v>1.06182</v>
      </c>
      <c r="H39" s="257">
        <f>1+H27</f>
        <v>1.06182</v>
      </c>
      <c r="I39" s="257">
        <f>1+I27</f>
        <v>1.0587200000000001</v>
      </c>
      <c r="J39" s="257">
        <f>1+J27</f>
        <v>1.0487200000000001</v>
      </c>
      <c r="K39" s="257">
        <f>1+K27</f>
        <v>1.0487200000000001</v>
      </c>
      <c r="L39" s="257">
        <f>1+L27</f>
        <v>1.05122</v>
      </c>
      <c r="M39" s="257">
        <f>1+M27</f>
        <v>1.0254278256785601</v>
      </c>
    </row>
    <row r="40" spans="1:13" x14ac:dyDescent="0.25">
      <c r="A40" s="126" t="s">
        <v>177</v>
      </c>
      <c r="B40" s="170" t="s">
        <v>107</v>
      </c>
      <c r="C40" s="257">
        <f t="shared" ref="C40:J40" si="8">D40*D39</f>
        <v>1.8418483538114241</v>
      </c>
      <c r="D40" s="257">
        <f t="shared" si="8"/>
        <v>1.6869523857517028</v>
      </c>
      <c r="E40" s="257">
        <f t="shared" si="8"/>
        <v>1.545082876070875</v>
      </c>
      <c r="F40" s="257">
        <f t="shared" si="8"/>
        <v>1.415144324220911</v>
      </c>
      <c r="G40" s="257">
        <f t="shared" si="8"/>
        <v>1.3327535026849286</v>
      </c>
      <c r="H40" s="257">
        <f t="shared" si="8"/>
        <v>1.2551595399266624</v>
      </c>
      <c r="I40" s="257">
        <f t="shared" si="8"/>
        <v>1.1855443742695542</v>
      </c>
      <c r="J40" s="257">
        <f t="shared" si="8"/>
        <v>1.1304679745495023</v>
      </c>
      <c r="K40" s="257">
        <f>L40*L39</f>
        <v>1.0779502389098159</v>
      </c>
      <c r="L40" s="257">
        <f>M40*M39</f>
        <v>1.0254278256785601</v>
      </c>
      <c r="M40" s="258">
        <v>1</v>
      </c>
    </row>
    <row r="41" spans="1:13" x14ac:dyDescent="0.25">
      <c r="A41" s="128"/>
      <c r="B41" s="129"/>
      <c r="C41" s="129"/>
      <c r="D41" s="129"/>
      <c r="E41" s="129"/>
      <c r="F41" s="129"/>
      <c r="G41" s="129"/>
      <c r="H41" s="129"/>
      <c r="I41" s="129"/>
      <c r="J41" s="129"/>
      <c r="K41" s="129"/>
      <c r="L41" s="129"/>
      <c r="M41" s="129"/>
    </row>
    <row r="42" spans="1:13" x14ac:dyDescent="0.25">
      <c r="B42" s="132"/>
      <c r="C42" s="130"/>
      <c r="D42" s="130"/>
      <c r="E42" s="130"/>
      <c r="F42" s="130"/>
      <c r="G42" s="130"/>
      <c r="H42" s="130"/>
      <c r="I42" s="130"/>
      <c r="J42" s="130"/>
      <c r="K42" s="130"/>
      <c r="L42" s="130"/>
      <c r="M42" s="130"/>
    </row>
    <row r="43" spans="1:13" ht="18.75" x14ac:dyDescent="0.3">
      <c r="A43" s="127" t="s">
        <v>48</v>
      </c>
      <c r="B43" s="131"/>
      <c r="C43" s="100">
        <v>2012</v>
      </c>
      <c r="D43" s="100">
        <v>2013</v>
      </c>
      <c r="E43" s="100">
        <v>2014</v>
      </c>
      <c r="F43" s="100">
        <v>2015</v>
      </c>
      <c r="G43" s="100">
        <v>2016</v>
      </c>
      <c r="H43" s="100">
        <v>2017</v>
      </c>
      <c r="I43" s="100">
        <v>2018</v>
      </c>
      <c r="J43" s="100">
        <v>2019</v>
      </c>
      <c r="K43" s="100">
        <v>2020</v>
      </c>
      <c r="L43" s="100">
        <v>2021</v>
      </c>
      <c r="M43" s="100">
        <v>2022</v>
      </c>
    </row>
    <row r="44" spans="1:13" x14ac:dyDescent="0.25">
      <c r="A44" s="126" t="s">
        <v>247</v>
      </c>
      <c r="B44" s="170" t="s">
        <v>107</v>
      </c>
      <c r="C44" s="257">
        <f>1+C34</f>
        <v>1.0521925023344698</v>
      </c>
      <c r="D44" s="257">
        <f>1+D34</f>
        <v>1.0702199999999999</v>
      </c>
      <c r="E44" s="257">
        <f>1+E34</f>
        <v>1.0694094670495133</v>
      </c>
      <c r="F44" s="257">
        <f>1+F34</f>
        <v>1.0690765388312373</v>
      </c>
      <c r="G44" s="257">
        <f>1+G34</f>
        <v>1.0469824408943578</v>
      </c>
      <c r="H44" s="257">
        <f>1+H34</f>
        <v>1.0453200414419068</v>
      </c>
      <c r="I44" s="257">
        <f>1+I34</f>
        <v>1.0452782297514087</v>
      </c>
      <c r="J44" s="257">
        <f>1+J34</f>
        <v>1.0390384003436428</v>
      </c>
      <c r="K44" s="257">
        <f>1+K34</f>
        <v>1.0386395211552732</v>
      </c>
      <c r="L44" s="257">
        <f>1+L34</f>
        <v>1.0407993649931533</v>
      </c>
      <c r="M44" s="257">
        <f>1+M34</f>
        <v>1.0201079505769246</v>
      </c>
    </row>
    <row r="45" spans="1:13" x14ac:dyDescent="0.25">
      <c r="A45" s="126" t="s">
        <v>109</v>
      </c>
      <c r="B45" s="170" t="s">
        <v>107</v>
      </c>
      <c r="C45" s="257">
        <f t="shared" ref="C45:J45" si="9">D45*D44</f>
        <v>1.6038216056088299</v>
      </c>
      <c r="D45" s="257">
        <f t="shared" si="9"/>
        <v>1.4985905754039637</v>
      </c>
      <c r="E45" s="257">
        <f t="shared" si="9"/>
        <v>1.4013253310152147</v>
      </c>
      <c r="F45" s="257">
        <f t="shared" si="9"/>
        <v>1.310781108850454</v>
      </c>
      <c r="G45" s="257">
        <f t="shared" si="9"/>
        <v>1.2519609285240285</v>
      </c>
      <c r="H45" s="257">
        <f t="shared" si="9"/>
        <v>1.1976819336564932</v>
      </c>
      <c r="I45" s="257">
        <f t="shared" si="9"/>
        <v>1.1458020453954443</v>
      </c>
      <c r="J45" s="257">
        <f t="shared" si="9"/>
        <v>1.1027523573878419</v>
      </c>
      <c r="K45" s="257">
        <f>L45*L44</f>
        <v>1.06172770718493</v>
      </c>
      <c r="L45" s="257">
        <f>M45*M44</f>
        <v>1.0201079505769246</v>
      </c>
      <c r="M45" s="258">
        <v>1</v>
      </c>
    </row>
    <row r="48" spans="1:13" ht="18.75" x14ac:dyDescent="0.3">
      <c r="A48" s="127" t="s">
        <v>193</v>
      </c>
      <c r="C48" s="100">
        <v>2012</v>
      </c>
      <c r="D48" s="100">
        <v>2013</v>
      </c>
      <c r="E48" s="100">
        <v>2014</v>
      </c>
      <c r="F48" s="100">
        <v>2015</v>
      </c>
      <c r="G48" s="100">
        <v>2016</v>
      </c>
      <c r="H48" s="100">
        <v>2017</v>
      </c>
      <c r="I48" s="100">
        <v>2018</v>
      </c>
      <c r="J48" s="100">
        <v>2019</v>
      </c>
      <c r="K48" s="100">
        <v>2020</v>
      </c>
      <c r="L48" s="100">
        <v>2021</v>
      </c>
      <c r="M48" s="100">
        <v>2022</v>
      </c>
    </row>
    <row r="49" spans="1:16" x14ac:dyDescent="0.25">
      <c r="A49" s="126" t="s">
        <v>248</v>
      </c>
      <c r="B49" s="170" t="s">
        <v>107</v>
      </c>
      <c r="C49" s="257">
        <f>1+C29</f>
        <v>1.05</v>
      </c>
      <c r="D49" s="257">
        <f>1+D29</f>
        <v>1.08</v>
      </c>
      <c r="E49" s="257">
        <f>1+E29</f>
        <v>1.08</v>
      </c>
      <c r="F49" s="257">
        <f>1+F29</f>
        <v>1.08</v>
      </c>
      <c r="G49" s="257">
        <f>1+G29</f>
        <v>1.05</v>
      </c>
      <c r="H49" s="257">
        <f>1+H29</f>
        <v>1.05</v>
      </c>
      <c r="I49" s="257">
        <f>1+I29</f>
        <v>1.05</v>
      </c>
      <c r="J49" s="257">
        <f>1+J29</f>
        <v>1.03</v>
      </c>
      <c r="K49" s="257">
        <f>1+K29</f>
        <v>1.03</v>
      </c>
      <c r="L49" s="257">
        <f>1+L29</f>
        <v>1.03</v>
      </c>
      <c r="M49" s="257">
        <f>1+M29</f>
        <v>1.02</v>
      </c>
    </row>
    <row r="50" spans="1:16" ht="15" customHeight="1" x14ac:dyDescent="0.25">
      <c r="A50" s="126" t="s">
        <v>196</v>
      </c>
      <c r="B50" s="170" t="s">
        <v>107</v>
      </c>
      <c r="C50" s="62">
        <f t="shared" ref="C50:J50" si="10">D50*D49</f>
        <v>1.6253653965784403</v>
      </c>
      <c r="D50" s="62">
        <f t="shared" si="10"/>
        <v>1.504967959794852</v>
      </c>
      <c r="E50" s="62">
        <f t="shared" si="10"/>
        <v>1.3934888516619</v>
      </c>
      <c r="F50" s="62">
        <f t="shared" si="10"/>
        <v>1.2902674552425</v>
      </c>
      <c r="G50" s="62">
        <f t="shared" si="10"/>
        <v>1.22882614785</v>
      </c>
      <c r="H50" s="62">
        <f t="shared" si="10"/>
        <v>1.1703106169999999</v>
      </c>
      <c r="I50" s="62">
        <f t="shared" si="10"/>
        <v>1.1145815399999999</v>
      </c>
      <c r="J50" s="62">
        <f t="shared" si="10"/>
        <v>1.0821179999999999</v>
      </c>
      <c r="K50" s="62">
        <f>L50*L49</f>
        <v>1.0506</v>
      </c>
      <c r="L50" s="62">
        <f>M50*M49</f>
        <v>1.02</v>
      </c>
      <c r="M50" s="228">
        <v>1</v>
      </c>
    </row>
    <row r="53" spans="1:16" ht="23.25" x14ac:dyDescent="0.35">
      <c r="A53" s="35" t="s">
        <v>22</v>
      </c>
      <c r="C53" s="241" t="s">
        <v>237</v>
      </c>
      <c r="D53" s="241"/>
      <c r="E53" s="241"/>
      <c r="F53" s="241"/>
      <c r="G53" s="241"/>
      <c r="H53" s="241"/>
      <c r="I53" s="241"/>
      <c r="J53" s="241"/>
      <c r="K53" s="241"/>
      <c r="L53" s="241"/>
      <c r="M53" s="241" t="s">
        <v>237</v>
      </c>
    </row>
    <row r="54" spans="1:16" x14ac:dyDescent="0.25">
      <c r="C54" s="100">
        <v>2012</v>
      </c>
      <c r="D54" s="100">
        <v>2013</v>
      </c>
      <c r="E54" s="100">
        <v>2014</v>
      </c>
      <c r="F54" s="100">
        <v>2015</v>
      </c>
      <c r="G54" s="100">
        <v>2016</v>
      </c>
      <c r="H54" s="100">
        <v>2017</v>
      </c>
      <c r="I54" s="100">
        <v>2018</v>
      </c>
      <c r="J54" s="100">
        <v>2019</v>
      </c>
      <c r="K54" s="100">
        <v>2020</v>
      </c>
      <c r="L54" s="100">
        <v>2021</v>
      </c>
      <c r="M54" s="100">
        <v>2022</v>
      </c>
    </row>
    <row r="55" spans="1:16" x14ac:dyDescent="0.25">
      <c r="A55" s="126" t="s">
        <v>175</v>
      </c>
      <c r="B55" s="136" t="s">
        <v>88</v>
      </c>
      <c r="C55" s="135">
        <f>C27</f>
        <v>5.2192502334469877E-2</v>
      </c>
      <c r="D55" s="135">
        <f>D27</f>
        <v>9.1820000000000013E-2</v>
      </c>
      <c r="E55" s="135">
        <f>E27</f>
        <v>9.1820000000000013E-2</v>
      </c>
      <c r="F55" s="135">
        <f>F27</f>
        <v>9.1820000000000013E-2</v>
      </c>
      <c r="G55" s="135">
        <f>G27</f>
        <v>6.182E-2</v>
      </c>
      <c r="H55" s="135">
        <f>H27</f>
        <v>6.182E-2</v>
      </c>
      <c r="I55" s="135">
        <f>I27</f>
        <v>5.8720000000000001E-2</v>
      </c>
      <c r="J55" s="135">
        <f>J27</f>
        <v>4.8720000000000006E-2</v>
      </c>
      <c r="K55" s="135">
        <f>K27</f>
        <v>4.8720000000000006E-2</v>
      </c>
      <c r="L55" s="135">
        <f>L27</f>
        <v>5.1219999999999995E-2</v>
      </c>
      <c r="M55" s="135">
        <f>M27</f>
        <v>2.5427825678560084E-2</v>
      </c>
      <c r="O55" s="76" t="s">
        <v>249</v>
      </c>
    </row>
    <row r="57" spans="1:16" x14ac:dyDescent="0.25">
      <c r="A57" s="56" t="s">
        <v>193</v>
      </c>
      <c r="B57" s="56" t="s">
        <v>88</v>
      </c>
      <c r="C57" s="135">
        <f>C29</f>
        <v>0.05</v>
      </c>
      <c r="D57" s="135">
        <f>D29</f>
        <v>0.08</v>
      </c>
      <c r="E57" s="135">
        <f>E29</f>
        <v>0.08</v>
      </c>
      <c r="F57" s="135">
        <f>F29</f>
        <v>0.08</v>
      </c>
      <c r="G57" s="135">
        <f>G29</f>
        <v>0.05</v>
      </c>
      <c r="H57" s="135">
        <f>H29</f>
        <v>0.05</v>
      </c>
      <c r="I57" s="135">
        <f>I29</f>
        <v>0.05</v>
      </c>
      <c r="J57" s="135">
        <f>J29</f>
        <v>0.03</v>
      </c>
      <c r="K57" s="135">
        <f>K29</f>
        <v>0.03</v>
      </c>
      <c r="L57" s="135">
        <f>L29</f>
        <v>0.03</v>
      </c>
      <c r="M57" s="135">
        <f>M29</f>
        <v>0.02</v>
      </c>
    </row>
    <row r="58" spans="1:16" x14ac:dyDescent="0.25">
      <c r="A58" s="46"/>
      <c r="B58" s="56"/>
      <c r="C58" s="63"/>
      <c r="D58" s="63"/>
      <c r="E58" s="63"/>
      <c r="F58" s="63"/>
      <c r="G58" s="63"/>
      <c r="H58" s="63"/>
      <c r="I58" s="63"/>
      <c r="J58" s="63"/>
      <c r="K58" s="63"/>
      <c r="L58" s="63"/>
      <c r="M58" s="63"/>
    </row>
    <row r="59" spans="1:16" x14ac:dyDescent="0.25">
      <c r="A59" s="56" t="s">
        <v>115</v>
      </c>
      <c r="B59" s="56" t="s">
        <v>88</v>
      </c>
      <c r="C59" s="135">
        <f>C18</f>
        <v>5.7045561572955705E-2</v>
      </c>
      <c r="D59" s="135">
        <f>D18</f>
        <v>0.10072463768115944</v>
      </c>
      <c r="E59" s="135">
        <f>E18</f>
        <v>0.10072463768115944</v>
      </c>
      <c r="F59" s="135">
        <f>F18</f>
        <v>0.10072463768115944</v>
      </c>
      <c r="G59" s="135">
        <f>G18</f>
        <v>7.0724637681159427E-2</v>
      </c>
      <c r="H59" s="135">
        <f>H18</f>
        <v>7.0724637681159427E-2</v>
      </c>
      <c r="I59" s="135">
        <f>I18</f>
        <v>7.0724637681159427E-2</v>
      </c>
      <c r="J59" s="135">
        <f>J18</f>
        <v>6.0724637681159432E-2</v>
      </c>
      <c r="K59" s="135">
        <f>K18</f>
        <v>6.0724637681159432E-2</v>
      </c>
      <c r="L59" s="135">
        <f>L18</f>
        <v>6.4347826086956522E-2</v>
      </c>
      <c r="M59" s="135">
        <f>M18</f>
        <v>3.1936778503300456E-2</v>
      </c>
    </row>
    <row r="60" spans="1:16" x14ac:dyDescent="0.25">
      <c r="A60" s="56" t="s">
        <v>103</v>
      </c>
      <c r="B60" s="56" t="s">
        <v>88</v>
      </c>
      <c r="C60" s="135">
        <f>C24</f>
        <v>4.1390531771388517E-2</v>
      </c>
      <c r="D60" s="135">
        <f>D24</f>
        <v>7.2000000000000008E-2</v>
      </c>
      <c r="E60" s="135">
        <f>E24</f>
        <v>7.2000000000000008E-2</v>
      </c>
      <c r="F60" s="135">
        <f>F24</f>
        <v>7.2000000000000008E-2</v>
      </c>
      <c r="G60" s="135">
        <f>G24</f>
        <v>4.2000000000000003E-2</v>
      </c>
      <c r="H60" s="135">
        <f>H24</f>
        <v>4.2000000000000003E-2</v>
      </c>
      <c r="I60" s="135">
        <f>I24</f>
        <v>3.2000000000000001E-2</v>
      </c>
      <c r="J60" s="135">
        <f>J24</f>
        <v>2.1999999999999999E-2</v>
      </c>
      <c r="K60" s="135">
        <f>K24</f>
        <v>2.1999999999999999E-2</v>
      </c>
      <c r="L60" s="135">
        <f>L24</f>
        <v>2.1999999999999999E-2</v>
      </c>
      <c r="M60" s="135">
        <f>M24</f>
        <v>1.0940156488008945E-2</v>
      </c>
    </row>
    <row r="61" spans="1:16" x14ac:dyDescent="0.25">
      <c r="A61" s="56"/>
      <c r="B61" s="56"/>
      <c r="C61" s="140"/>
      <c r="D61" s="140"/>
      <c r="E61" s="140"/>
      <c r="F61" s="140"/>
      <c r="G61" s="140"/>
      <c r="H61" s="140"/>
      <c r="I61" s="140"/>
      <c r="J61" s="140"/>
      <c r="K61" s="140"/>
      <c r="L61" s="140"/>
      <c r="M61" s="140"/>
    </row>
    <row r="62" spans="1:16" x14ac:dyDescent="0.25">
      <c r="A62" s="126" t="s">
        <v>116</v>
      </c>
      <c r="B62" s="56" t="s">
        <v>88</v>
      </c>
      <c r="C62" s="135">
        <f>C31</f>
        <v>1.2831064849130441E-2</v>
      </c>
      <c r="D62" s="135">
        <f t="shared" ref="D62:M62" si="11">D31</f>
        <v>7.200000000000007E-4</v>
      </c>
      <c r="E62" s="135">
        <f t="shared" si="11"/>
        <v>-9.0532950486724503E-5</v>
      </c>
      <c r="F62" s="135">
        <f t="shared" si="11"/>
        <v>-4.2346116876259117E-4</v>
      </c>
      <c r="G62" s="135">
        <f t="shared" si="11"/>
        <v>-1.8175591056421234E-3</v>
      </c>
      <c r="H62" s="135">
        <f t="shared" si="11"/>
        <v>-3.4799585580932305E-3</v>
      </c>
      <c r="I62" s="135">
        <f t="shared" si="11"/>
        <v>-3.5217702485913806E-3</v>
      </c>
      <c r="J62" s="135">
        <f t="shared" si="11"/>
        <v>-2.8615996563572128E-3</v>
      </c>
      <c r="K62" s="135">
        <f t="shared" si="11"/>
        <v>-3.2604788447267033E-3</v>
      </c>
      <c r="L62" s="135">
        <f t="shared" si="11"/>
        <v>-3.6006350068467086E-3</v>
      </c>
      <c r="M62" s="135">
        <f t="shared" si="11"/>
        <v>-1.928426590352627E-3</v>
      </c>
      <c r="P62" s="76"/>
    </row>
    <row r="63" spans="1:16" x14ac:dyDescent="0.25">
      <c r="A63" s="126" t="s">
        <v>117</v>
      </c>
      <c r="B63" s="56" t="s">
        <v>88</v>
      </c>
      <c r="C63" s="135">
        <f>C32</f>
        <v>3.9361437485339434E-2</v>
      </c>
      <c r="D63" s="135">
        <f t="shared" ref="D63:M63" si="12">D32</f>
        <v>6.9500000000000006E-2</v>
      </c>
      <c r="E63" s="135">
        <f t="shared" si="12"/>
        <v>6.9500000000000006E-2</v>
      </c>
      <c r="F63" s="135">
        <f t="shared" si="12"/>
        <v>6.9500000000000006E-2</v>
      </c>
      <c r="G63" s="135">
        <f t="shared" si="12"/>
        <v>4.8800000000000003E-2</v>
      </c>
      <c r="H63" s="135">
        <f t="shared" si="12"/>
        <v>4.8800000000000003E-2</v>
      </c>
      <c r="I63" s="135">
        <f t="shared" si="12"/>
        <v>4.8800000000000003E-2</v>
      </c>
      <c r="J63" s="135">
        <f t="shared" si="12"/>
        <v>4.1900000000000007E-2</v>
      </c>
      <c r="K63" s="135">
        <f t="shared" si="12"/>
        <v>4.1900000000000007E-2</v>
      </c>
      <c r="L63" s="135">
        <f t="shared" si="12"/>
        <v>4.4399999999999995E-2</v>
      </c>
      <c r="M63" s="135">
        <f t="shared" si="12"/>
        <v>2.2036377167277313E-2</v>
      </c>
      <c r="P63" s="76"/>
    </row>
    <row r="65" spans="1:16" x14ac:dyDescent="0.25">
      <c r="A65" s="126" t="s">
        <v>177</v>
      </c>
      <c r="B65" s="137" t="s">
        <v>107</v>
      </c>
      <c r="C65" s="133">
        <f>C40</f>
        <v>1.8418483538114241</v>
      </c>
      <c r="D65" s="133">
        <f t="shared" ref="D65:M65" si="13">D40</f>
        <v>1.6869523857517028</v>
      </c>
      <c r="E65" s="133">
        <f t="shared" si="13"/>
        <v>1.545082876070875</v>
      </c>
      <c r="F65" s="133">
        <f t="shared" si="13"/>
        <v>1.415144324220911</v>
      </c>
      <c r="G65" s="133">
        <f t="shared" si="13"/>
        <v>1.3327535026849286</v>
      </c>
      <c r="H65" s="133">
        <f t="shared" si="13"/>
        <v>1.2551595399266624</v>
      </c>
      <c r="I65" s="133">
        <f t="shared" si="13"/>
        <v>1.1855443742695542</v>
      </c>
      <c r="J65" s="133">
        <f t="shared" si="13"/>
        <v>1.1304679745495023</v>
      </c>
      <c r="K65" s="133">
        <f t="shared" si="13"/>
        <v>1.0779502389098159</v>
      </c>
      <c r="L65" s="133">
        <f t="shared" si="13"/>
        <v>1.0254278256785601</v>
      </c>
      <c r="M65" s="133">
        <f t="shared" si="13"/>
        <v>1</v>
      </c>
    </row>
    <row r="66" spans="1:16" x14ac:dyDescent="0.25">
      <c r="A66" s="126" t="s">
        <v>109</v>
      </c>
      <c r="B66" s="137" t="s">
        <v>107</v>
      </c>
      <c r="C66" s="133">
        <f>C45</f>
        <v>1.6038216056088299</v>
      </c>
      <c r="D66" s="133">
        <f t="shared" ref="D66:M66" si="14">D45</f>
        <v>1.4985905754039637</v>
      </c>
      <c r="E66" s="133">
        <f t="shared" si="14"/>
        <v>1.4013253310152147</v>
      </c>
      <c r="F66" s="133">
        <f t="shared" si="14"/>
        <v>1.310781108850454</v>
      </c>
      <c r="G66" s="133">
        <f t="shared" si="14"/>
        <v>1.2519609285240285</v>
      </c>
      <c r="H66" s="133">
        <f t="shared" si="14"/>
        <v>1.1976819336564932</v>
      </c>
      <c r="I66" s="133">
        <f t="shared" si="14"/>
        <v>1.1458020453954443</v>
      </c>
      <c r="J66" s="133">
        <f t="shared" si="14"/>
        <v>1.1027523573878419</v>
      </c>
      <c r="K66" s="133">
        <f t="shared" si="14"/>
        <v>1.06172770718493</v>
      </c>
      <c r="L66" s="133">
        <f t="shared" si="14"/>
        <v>1.0201079505769246</v>
      </c>
      <c r="M66" s="133">
        <f t="shared" si="14"/>
        <v>1</v>
      </c>
      <c r="P66" s="76"/>
    </row>
    <row r="67" spans="1:16" x14ac:dyDescent="0.25">
      <c r="A67" s="126" t="s">
        <v>238</v>
      </c>
      <c r="B67" s="137" t="s">
        <v>107</v>
      </c>
      <c r="C67" s="133">
        <f>C50</f>
        <v>1.6253653965784403</v>
      </c>
      <c r="D67" s="133">
        <f t="shared" ref="D67:M67" si="15">D50</f>
        <v>1.504967959794852</v>
      </c>
      <c r="E67" s="133">
        <f t="shared" si="15"/>
        <v>1.3934888516619</v>
      </c>
      <c r="F67" s="133">
        <f t="shared" si="15"/>
        <v>1.2902674552425</v>
      </c>
      <c r="G67" s="133">
        <f t="shared" si="15"/>
        <v>1.22882614785</v>
      </c>
      <c r="H67" s="133">
        <f t="shared" si="15"/>
        <v>1.1703106169999999</v>
      </c>
      <c r="I67" s="133">
        <f t="shared" si="15"/>
        <v>1.1145815399999999</v>
      </c>
      <c r="J67" s="133">
        <f t="shared" si="15"/>
        <v>1.0821179999999999</v>
      </c>
      <c r="K67" s="133">
        <f t="shared" si="15"/>
        <v>1.0506</v>
      </c>
      <c r="L67" s="133">
        <f t="shared" si="15"/>
        <v>1.02</v>
      </c>
      <c r="M67" s="133">
        <f t="shared" si="15"/>
        <v>1</v>
      </c>
    </row>
    <row r="69" spans="1:16" x14ac:dyDescent="0.25">
      <c r="A69" s="56" t="s">
        <v>46</v>
      </c>
      <c r="B69" s="56" t="s">
        <v>88</v>
      </c>
      <c r="C69" s="134">
        <f>C8</f>
        <v>0.31</v>
      </c>
      <c r="D69" s="134">
        <f>D8</f>
        <v>0.31</v>
      </c>
      <c r="E69" s="134">
        <f>E8</f>
        <v>0.31</v>
      </c>
      <c r="F69" s="134">
        <f>F8</f>
        <v>0.31</v>
      </c>
      <c r="G69" s="134">
        <f>G8</f>
        <v>0.31</v>
      </c>
      <c r="H69" s="134">
        <f>H8</f>
        <v>0.31</v>
      </c>
      <c r="I69" s="134">
        <f>I8</f>
        <v>0.31</v>
      </c>
      <c r="J69" s="134">
        <f>J8</f>
        <v>0.31</v>
      </c>
      <c r="K69" s="134">
        <f>K8</f>
        <v>0.31</v>
      </c>
      <c r="L69" s="134">
        <f>L8</f>
        <v>0.31</v>
      </c>
      <c r="M69" s="134">
        <f>M8</f>
        <v>0.31</v>
      </c>
      <c r="N69" s="44"/>
    </row>
    <row r="70" spans="1:16" x14ac:dyDescent="0.25">
      <c r="A70" s="56" t="s">
        <v>41</v>
      </c>
      <c r="B70" s="56" t="s">
        <v>88</v>
      </c>
      <c r="C70" s="134">
        <f>C17</f>
        <v>0.28000000000000003</v>
      </c>
      <c r="D70" s="134">
        <f>D17</f>
        <v>0.28000000000000003</v>
      </c>
      <c r="E70" s="134">
        <f>E17</f>
        <v>0.28000000000000003</v>
      </c>
      <c r="F70" s="134">
        <f>F17</f>
        <v>0.28000000000000003</v>
      </c>
      <c r="G70" s="134">
        <f>G17</f>
        <v>0.28000000000000003</v>
      </c>
      <c r="H70" s="134">
        <f>H17</f>
        <v>0.28000000000000003</v>
      </c>
      <c r="I70" s="134">
        <f>I17</f>
        <v>0.28000000000000003</v>
      </c>
      <c r="J70" s="134">
        <f>J17</f>
        <v>0.28000000000000003</v>
      </c>
      <c r="K70" s="134">
        <f>K17</f>
        <v>0.28000000000000003</v>
      </c>
      <c r="L70" s="134">
        <f>L17</f>
        <v>0.28000000000000003</v>
      </c>
      <c r="M70" s="134">
        <f>M17</f>
        <v>0.28000000000000003</v>
      </c>
    </row>
    <row r="74" spans="1:16" x14ac:dyDescent="0.25">
      <c r="C74" s="167"/>
      <c r="D74" s="167"/>
      <c r="E74" s="167"/>
      <c r="F74" s="167"/>
      <c r="G74" s="167"/>
      <c r="H74" s="167"/>
      <c r="I74" s="167"/>
      <c r="J74" s="167"/>
      <c r="K74" s="167"/>
      <c r="L74" s="167"/>
      <c r="M74" s="167"/>
    </row>
    <row r="75" spans="1:16" x14ac:dyDescent="0.25">
      <c r="C75" s="167"/>
      <c r="D75" s="167"/>
      <c r="E75" s="167"/>
      <c r="F75" s="167"/>
      <c r="G75" s="167"/>
      <c r="H75" s="167"/>
      <c r="I75" s="167"/>
      <c r="J75" s="167"/>
      <c r="K75" s="167"/>
      <c r="L75" s="167"/>
      <c r="M75" s="167"/>
    </row>
    <row r="76" spans="1:16" x14ac:dyDescent="0.25">
      <c r="C76" s="167"/>
      <c r="D76" s="167"/>
      <c r="E76" s="167"/>
      <c r="F76" s="167"/>
      <c r="G76" s="167"/>
      <c r="H76" s="167"/>
      <c r="I76" s="167"/>
      <c r="J76" s="167"/>
      <c r="K76" s="167"/>
      <c r="L76" s="167"/>
      <c r="M76" s="167"/>
    </row>
    <row r="77" spans="1:16" x14ac:dyDescent="0.25">
      <c r="C77" s="167"/>
      <c r="D77" s="167"/>
      <c r="E77" s="167"/>
      <c r="F77" s="167"/>
      <c r="G77" s="167"/>
      <c r="H77" s="167"/>
      <c r="I77" s="167"/>
      <c r="J77" s="167"/>
      <c r="K77" s="167"/>
      <c r="L77" s="167"/>
      <c r="M77" s="167"/>
    </row>
    <row r="78" spans="1:16" x14ac:dyDescent="0.25">
      <c r="C78" s="167"/>
      <c r="D78" s="167"/>
      <c r="E78" s="167"/>
      <c r="F78" s="167"/>
      <c r="G78" s="167"/>
      <c r="H78" s="167"/>
      <c r="I78" s="167"/>
      <c r="J78" s="167"/>
      <c r="K78" s="167"/>
      <c r="L78" s="167"/>
      <c r="M78" s="167"/>
    </row>
    <row r="79" spans="1:16" x14ac:dyDescent="0.25">
      <c r="C79" s="167"/>
      <c r="D79" s="167"/>
      <c r="E79" s="167"/>
      <c r="F79" s="167"/>
      <c r="G79" s="167"/>
      <c r="H79" s="167"/>
      <c r="I79" s="167"/>
      <c r="J79" s="167"/>
      <c r="K79" s="167"/>
      <c r="L79" s="167"/>
      <c r="M79" s="167"/>
    </row>
    <row r="80" spans="1:16" x14ac:dyDescent="0.25">
      <c r="C80" s="167"/>
      <c r="D80" s="167"/>
      <c r="E80" s="167"/>
      <c r="F80" s="167"/>
      <c r="G80" s="167"/>
      <c r="H80" s="167"/>
      <c r="I80" s="167"/>
      <c r="J80" s="167"/>
      <c r="K80" s="167"/>
      <c r="L80" s="167"/>
      <c r="M80" s="167"/>
    </row>
    <row r="81" spans="3:13" x14ac:dyDescent="0.25">
      <c r="C81" s="167"/>
      <c r="D81" s="167"/>
      <c r="E81" s="167"/>
      <c r="F81" s="167"/>
      <c r="G81" s="167"/>
      <c r="H81" s="167"/>
      <c r="I81" s="167"/>
      <c r="J81" s="167"/>
      <c r="K81" s="167"/>
      <c r="L81" s="167"/>
      <c r="M81" s="167"/>
    </row>
    <row r="82" spans="3:13" x14ac:dyDescent="0.25">
      <c r="C82" s="167"/>
      <c r="D82" s="167"/>
      <c r="E82" s="167"/>
      <c r="F82" s="167"/>
      <c r="G82" s="167"/>
      <c r="H82" s="167"/>
      <c r="I82" s="167"/>
      <c r="J82" s="167"/>
      <c r="K82" s="167"/>
      <c r="L82" s="167"/>
      <c r="M82" s="167"/>
    </row>
    <row r="83" spans="3:13" x14ac:dyDescent="0.25">
      <c r="C83" s="250"/>
      <c r="D83" s="250"/>
      <c r="E83" s="250"/>
      <c r="F83" s="250"/>
      <c r="G83" s="250"/>
      <c r="H83" s="250"/>
      <c r="I83" s="250"/>
      <c r="J83" s="250"/>
      <c r="K83" s="250"/>
      <c r="L83" s="250"/>
      <c r="M83" s="250"/>
    </row>
    <row r="84" spans="3:13" x14ac:dyDescent="0.25">
      <c r="C84" s="250"/>
      <c r="D84" s="250"/>
      <c r="E84" s="250"/>
      <c r="F84" s="250"/>
      <c r="G84" s="250"/>
      <c r="H84" s="250"/>
      <c r="I84" s="250"/>
      <c r="J84" s="250"/>
      <c r="K84" s="250"/>
      <c r="L84" s="250"/>
      <c r="M84" s="250"/>
    </row>
    <row r="85" spans="3:13" x14ac:dyDescent="0.25">
      <c r="C85" s="250"/>
      <c r="D85" s="250"/>
      <c r="E85" s="250"/>
      <c r="F85" s="250"/>
      <c r="G85" s="250"/>
      <c r="H85" s="250"/>
      <c r="I85" s="250"/>
      <c r="J85" s="250"/>
      <c r="K85" s="250"/>
      <c r="L85" s="250"/>
      <c r="M85" s="250"/>
    </row>
    <row r="86" spans="3:13" x14ac:dyDescent="0.25">
      <c r="C86" s="250"/>
      <c r="D86" s="250"/>
      <c r="E86" s="250"/>
      <c r="F86" s="250"/>
      <c r="G86" s="250"/>
      <c r="H86" s="250"/>
      <c r="I86" s="250"/>
      <c r="J86" s="250"/>
      <c r="K86" s="250"/>
      <c r="L86" s="250"/>
      <c r="M86" s="250"/>
    </row>
    <row r="87" spans="3:13" x14ac:dyDescent="0.25">
      <c r="C87" s="250"/>
      <c r="D87" s="250"/>
      <c r="E87" s="250"/>
      <c r="F87" s="250"/>
      <c r="G87" s="250"/>
      <c r="H87" s="250"/>
      <c r="I87" s="250"/>
      <c r="J87" s="250"/>
      <c r="K87" s="250"/>
      <c r="L87" s="250"/>
      <c r="M87" s="250"/>
    </row>
    <row r="88" spans="3:13" x14ac:dyDescent="0.25">
      <c r="C88" s="250"/>
      <c r="D88" s="250"/>
      <c r="E88" s="250"/>
      <c r="F88" s="250"/>
      <c r="G88" s="250"/>
      <c r="H88" s="250"/>
      <c r="I88" s="250"/>
      <c r="J88" s="250"/>
      <c r="K88" s="250"/>
      <c r="L88" s="250"/>
      <c r="M88" s="250"/>
    </row>
    <row r="89" spans="3:13" x14ac:dyDescent="0.25">
      <c r="C89" s="250"/>
      <c r="D89" s="250"/>
      <c r="E89" s="250"/>
      <c r="F89" s="250"/>
      <c r="G89" s="250"/>
      <c r="H89" s="250"/>
      <c r="I89" s="250"/>
      <c r="J89" s="250"/>
      <c r="K89" s="250"/>
      <c r="L89" s="250"/>
      <c r="M89" s="250"/>
    </row>
  </sheetData>
  <phoneticPr fontId="3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DDBE4-8074-44E6-A1D6-E00F794219F1}">
  <sheetPr>
    <tabColor theme="6"/>
  </sheetPr>
  <dimension ref="A1:P34"/>
  <sheetViews>
    <sheetView showGridLines="0" zoomScale="85" zoomScaleNormal="85" workbookViewId="0"/>
  </sheetViews>
  <sheetFormatPr defaultColWidth="9.140625" defaultRowHeight="15" x14ac:dyDescent="0.25"/>
  <cols>
    <col min="1" max="1" width="57.7109375" style="1" bestFit="1" customWidth="1"/>
    <col min="2" max="2" width="9.7109375" style="1" bestFit="1" customWidth="1"/>
    <col min="3" max="4" width="9.5703125" style="1" bestFit="1" customWidth="1"/>
    <col min="5" max="14" width="9.140625" style="1"/>
    <col min="15" max="15" width="17.7109375" style="1" customWidth="1"/>
    <col min="16" max="16" width="18.42578125" style="1" customWidth="1"/>
    <col min="17" max="16384" width="9.140625" style="1"/>
  </cols>
  <sheetData>
    <row r="1" spans="1:15" ht="26.25" x14ac:dyDescent="0.25">
      <c r="A1" s="53" t="s">
        <v>49</v>
      </c>
    </row>
    <row r="2" spans="1:15" x14ac:dyDescent="0.25">
      <c r="A2" s="240" t="s">
        <v>190</v>
      </c>
    </row>
    <row r="3" spans="1:15" ht="15.75" x14ac:dyDescent="0.25">
      <c r="A3" s="70" t="s">
        <v>191</v>
      </c>
      <c r="B3" s="48"/>
    </row>
    <row r="4" spans="1:15" ht="15.75" x14ac:dyDescent="0.25">
      <c r="A4" s="70"/>
      <c r="B4" s="48"/>
    </row>
    <row r="5" spans="1:15" ht="23.25" x14ac:dyDescent="0.35">
      <c r="A5" s="35" t="s">
        <v>20</v>
      </c>
    </row>
    <row r="6" spans="1:15" x14ac:dyDescent="0.25">
      <c r="A6" s="8" t="s">
        <v>50</v>
      </c>
      <c r="C6" s="104"/>
      <c r="D6" s="105" t="s">
        <v>51</v>
      </c>
    </row>
    <row r="7" spans="1:15" x14ac:dyDescent="0.25">
      <c r="A7" s="106" t="s">
        <v>52</v>
      </c>
      <c r="B7" s="124">
        <v>40878</v>
      </c>
      <c r="C7" s="107">
        <v>41090</v>
      </c>
      <c r="D7" s="107">
        <v>41455</v>
      </c>
      <c r="E7" s="103">
        <f>+D7+365</f>
        <v>41820</v>
      </c>
      <c r="F7" s="103">
        <f t="shared" ref="F7:L7" si="0">+E7+365</f>
        <v>42185</v>
      </c>
      <c r="G7" s="103">
        <f>+F7+366</f>
        <v>42551</v>
      </c>
      <c r="H7" s="103">
        <f t="shared" si="0"/>
        <v>42916</v>
      </c>
      <c r="I7" s="103">
        <f t="shared" si="0"/>
        <v>43281</v>
      </c>
      <c r="J7" s="103">
        <f t="shared" si="0"/>
        <v>43646</v>
      </c>
      <c r="K7" s="103">
        <f>+J7+366</f>
        <v>44012</v>
      </c>
      <c r="L7" s="103">
        <f t="shared" si="0"/>
        <v>44377</v>
      </c>
      <c r="M7" s="103">
        <v>44561</v>
      </c>
      <c r="N7" s="49"/>
      <c r="O7" s="49"/>
    </row>
    <row r="8" spans="1:15" x14ac:dyDescent="0.25">
      <c r="A8" s="59" t="s">
        <v>53</v>
      </c>
      <c r="B8" s="59" t="s">
        <v>146</v>
      </c>
      <c r="C8" s="266">
        <f>C7-1-B7</f>
        <v>211</v>
      </c>
      <c r="D8" s="60">
        <f>D7-C7</f>
        <v>365</v>
      </c>
      <c r="E8" s="60">
        <f t="shared" ref="E8:L8" si="1">E7-D7</f>
        <v>365</v>
      </c>
      <c r="F8" s="60">
        <f t="shared" si="1"/>
        <v>365</v>
      </c>
      <c r="G8" s="60">
        <f t="shared" si="1"/>
        <v>366</v>
      </c>
      <c r="H8" s="60">
        <f t="shared" si="1"/>
        <v>365</v>
      </c>
      <c r="I8" s="60">
        <f t="shared" si="1"/>
        <v>365</v>
      </c>
      <c r="J8" s="60">
        <f t="shared" si="1"/>
        <v>365</v>
      </c>
      <c r="K8" s="60">
        <f t="shared" si="1"/>
        <v>366</v>
      </c>
      <c r="L8" s="60">
        <f t="shared" si="1"/>
        <v>365</v>
      </c>
      <c r="M8" s="267">
        <f>M7-L7</f>
        <v>184</v>
      </c>
    </row>
    <row r="9" spans="1:15" x14ac:dyDescent="0.25">
      <c r="A9" s="59" t="s">
        <v>54</v>
      </c>
      <c r="B9" s="59" t="s">
        <v>146</v>
      </c>
      <c r="C9" s="60">
        <f>ROUNDDOWN((C8/2),0)</f>
        <v>105</v>
      </c>
      <c r="D9" s="60">
        <f t="shared" ref="D9:M9" si="2">ROUNDDOWN((D8/2),0)</f>
        <v>182</v>
      </c>
      <c r="E9" s="60">
        <f t="shared" si="2"/>
        <v>182</v>
      </c>
      <c r="F9" s="60">
        <f t="shared" si="2"/>
        <v>182</v>
      </c>
      <c r="G9" s="60">
        <f t="shared" si="2"/>
        <v>183</v>
      </c>
      <c r="H9" s="60">
        <f t="shared" si="2"/>
        <v>182</v>
      </c>
      <c r="I9" s="60">
        <f t="shared" si="2"/>
        <v>182</v>
      </c>
      <c r="J9" s="60">
        <f t="shared" si="2"/>
        <v>182</v>
      </c>
      <c r="K9" s="60">
        <f t="shared" si="2"/>
        <v>183</v>
      </c>
      <c r="L9" s="60">
        <f t="shared" si="2"/>
        <v>182</v>
      </c>
      <c r="M9" s="60">
        <f t="shared" si="2"/>
        <v>92</v>
      </c>
    </row>
    <row r="10" spans="1:15" x14ac:dyDescent="0.25">
      <c r="A10" s="59" t="s">
        <v>55</v>
      </c>
      <c r="B10" s="59" t="s">
        <v>146</v>
      </c>
      <c r="C10" s="269">
        <f>ROUNDDOWN((C7-C17),0)</f>
        <v>71</v>
      </c>
      <c r="D10" s="269">
        <f t="shared" ref="D10:M10" si="3">ROUNDDOWN((D7-D17),0)</f>
        <v>148</v>
      </c>
      <c r="E10" s="269">
        <f t="shared" si="3"/>
        <v>148</v>
      </c>
      <c r="F10" s="269">
        <f t="shared" si="3"/>
        <v>148</v>
      </c>
      <c r="G10" s="269">
        <f t="shared" si="3"/>
        <v>148</v>
      </c>
      <c r="H10" s="269">
        <f t="shared" si="3"/>
        <v>148</v>
      </c>
      <c r="I10" s="269">
        <f t="shared" si="3"/>
        <v>148</v>
      </c>
      <c r="J10" s="269">
        <f t="shared" si="3"/>
        <v>148</v>
      </c>
      <c r="K10" s="269">
        <f t="shared" si="3"/>
        <v>148</v>
      </c>
      <c r="L10" s="269">
        <f t="shared" si="3"/>
        <v>148</v>
      </c>
      <c r="M10" s="269">
        <f t="shared" si="3"/>
        <v>55</v>
      </c>
    </row>
    <row r="11" spans="1:15" x14ac:dyDescent="0.25">
      <c r="A11" s="59" t="s">
        <v>47</v>
      </c>
      <c r="B11" s="59" t="s">
        <v>88</v>
      </c>
      <c r="C11" s="206">
        <f>'Cost of capital'!C55</f>
        <v>5.2192502334469877E-2</v>
      </c>
      <c r="D11" s="206">
        <f>'Cost of capital'!D55</f>
        <v>9.1820000000000013E-2</v>
      </c>
      <c r="E11" s="206">
        <f>'Cost of capital'!E55</f>
        <v>9.1820000000000013E-2</v>
      </c>
      <c r="F11" s="206">
        <f>'Cost of capital'!F55</f>
        <v>9.1820000000000013E-2</v>
      </c>
      <c r="G11" s="206">
        <f>'Cost of capital'!G55</f>
        <v>6.182E-2</v>
      </c>
      <c r="H11" s="206">
        <f>'Cost of capital'!H55</f>
        <v>6.182E-2</v>
      </c>
      <c r="I11" s="206">
        <f>'Cost of capital'!I55</f>
        <v>5.8720000000000001E-2</v>
      </c>
      <c r="J11" s="206">
        <f>'Cost of capital'!J55</f>
        <v>4.8720000000000006E-2</v>
      </c>
      <c r="K11" s="206">
        <f>'Cost of capital'!K55</f>
        <v>4.8720000000000006E-2</v>
      </c>
      <c r="L11" s="206">
        <f>'Cost of capital'!L55</f>
        <v>5.1219999999999995E-2</v>
      </c>
      <c r="M11" s="206">
        <f>'Cost of capital'!M55</f>
        <v>2.5427825678560084E-2</v>
      </c>
    </row>
    <row r="12" spans="1:15" x14ac:dyDescent="0.25">
      <c r="A12" s="264"/>
      <c r="B12" s="204"/>
      <c r="C12" s="205"/>
      <c r="D12" s="205"/>
      <c r="E12" s="205"/>
      <c r="F12" s="205"/>
      <c r="G12" s="205"/>
      <c r="H12" s="205"/>
      <c r="I12" s="205"/>
      <c r="J12" s="205"/>
      <c r="K12" s="205"/>
      <c r="L12" s="205"/>
      <c r="M12" s="205"/>
    </row>
    <row r="13" spans="1:15" ht="23.25" x14ac:dyDescent="0.35">
      <c r="A13" s="35" t="s">
        <v>21</v>
      </c>
      <c r="B13" s="8"/>
      <c r="C13" s="8"/>
      <c r="D13" s="8"/>
    </row>
    <row r="14" spans="1:15" x14ac:dyDescent="0.25">
      <c r="B14" s="8"/>
      <c r="C14" s="8"/>
      <c r="D14" s="8"/>
    </row>
    <row r="15" spans="1:15" x14ac:dyDescent="0.25">
      <c r="A15" s="50"/>
      <c r="B15" s="50"/>
      <c r="C15" s="108">
        <v>41090</v>
      </c>
      <c r="D15" s="108">
        <v>41455</v>
      </c>
      <c r="E15" s="108">
        <f>+D15+365</f>
        <v>41820</v>
      </c>
      <c r="F15" s="108">
        <f t="shared" ref="F15" si="4">+E15+365</f>
        <v>42185</v>
      </c>
      <c r="G15" s="108">
        <f>+F15+366</f>
        <v>42551</v>
      </c>
      <c r="H15" s="108">
        <f t="shared" ref="H15" si="5">+G15+365</f>
        <v>42916</v>
      </c>
      <c r="I15" s="108">
        <f t="shared" ref="I15" si="6">+H15+365</f>
        <v>43281</v>
      </c>
      <c r="J15" s="108">
        <f t="shared" ref="J15" si="7">+I15+365</f>
        <v>43646</v>
      </c>
      <c r="K15" s="108">
        <f>+J15+366</f>
        <v>44012</v>
      </c>
      <c r="L15" s="108">
        <f t="shared" ref="L15" si="8">+K15+365</f>
        <v>44377</v>
      </c>
      <c r="M15" s="108">
        <v>44561</v>
      </c>
    </row>
    <row r="16" spans="1:15" x14ac:dyDescent="0.25">
      <c r="A16" s="59" t="s">
        <v>56</v>
      </c>
      <c r="B16" s="59"/>
      <c r="C16" s="270">
        <f>C7-C9</f>
        <v>40985</v>
      </c>
      <c r="D16" s="270">
        <f>D7-D9</f>
        <v>41273</v>
      </c>
      <c r="E16" s="270">
        <f t="shared" ref="E16:M16" si="9">E7-E9</f>
        <v>41638</v>
      </c>
      <c r="F16" s="270">
        <f t="shared" si="9"/>
        <v>42003</v>
      </c>
      <c r="G16" s="270">
        <f t="shared" si="9"/>
        <v>42368</v>
      </c>
      <c r="H16" s="270">
        <f t="shared" si="9"/>
        <v>42734</v>
      </c>
      <c r="I16" s="270">
        <f t="shared" si="9"/>
        <v>43099</v>
      </c>
      <c r="J16" s="270">
        <f t="shared" si="9"/>
        <v>43464</v>
      </c>
      <c r="K16" s="270">
        <f t="shared" si="9"/>
        <v>43829</v>
      </c>
      <c r="L16" s="270">
        <f t="shared" si="9"/>
        <v>44195</v>
      </c>
      <c r="M16" s="270">
        <f t="shared" si="9"/>
        <v>44469</v>
      </c>
    </row>
    <row r="17" spans="1:16" x14ac:dyDescent="0.25">
      <c r="A17" s="59" t="s">
        <v>57</v>
      </c>
      <c r="B17" s="59"/>
      <c r="C17" s="268">
        <v>41019</v>
      </c>
      <c r="D17" s="268">
        <v>41307</v>
      </c>
      <c r="E17" s="268">
        <v>41672</v>
      </c>
      <c r="F17" s="268">
        <v>42037</v>
      </c>
      <c r="G17" s="268">
        <v>42403</v>
      </c>
      <c r="H17" s="268">
        <v>42768</v>
      </c>
      <c r="I17" s="268">
        <v>43133</v>
      </c>
      <c r="J17" s="268">
        <v>43498</v>
      </c>
      <c r="K17" s="268">
        <v>43864</v>
      </c>
      <c r="L17" s="268">
        <v>44229</v>
      </c>
      <c r="M17" s="268">
        <v>44506</v>
      </c>
      <c r="P17" s="51" t="s">
        <v>257</v>
      </c>
    </row>
    <row r="18" spans="1:16" x14ac:dyDescent="0.25">
      <c r="A18" s="59" t="s">
        <v>58</v>
      </c>
      <c r="B18" s="59"/>
      <c r="C18" s="109">
        <f>C16</f>
        <v>40985</v>
      </c>
      <c r="D18" s="109">
        <f>D16</f>
        <v>41273</v>
      </c>
      <c r="E18" s="109">
        <f t="shared" ref="E18:M18" si="10">E16</f>
        <v>41638</v>
      </c>
      <c r="F18" s="109">
        <f t="shared" si="10"/>
        <v>42003</v>
      </c>
      <c r="G18" s="109">
        <f t="shared" si="10"/>
        <v>42368</v>
      </c>
      <c r="H18" s="109">
        <f t="shared" si="10"/>
        <v>42734</v>
      </c>
      <c r="I18" s="109">
        <f t="shared" si="10"/>
        <v>43099</v>
      </c>
      <c r="J18" s="109">
        <f t="shared" si="10"/>
        <v>43464</v>
      </c>
      <c r="K18" s="109">
        <f t="shared" si="10"/>
        <v>43829</v>
      </c>
      <c r="L18" s="109">
        <f t="shared" si="10"/>
        <v>44195</v>
      </c>
      <c r="M18" s="109">
        <f t="shared" si="10"/>
        <v>44469</v>
      </c>
      <c r="P18" s="51" t="s">
        <v>59</v>
      </c>
    </row>
    <row r="19" spans="1:16" x14ac:dyDescent="0.25">
      <c r="A19" s="59" t="s">
        <v>60</v>
      </c>
      <c r="B19" s="59"/>
      <c r="C19" s="109">
        <f>C16</f>
        <v>40985</v>
      </c>
      <c r="D19" s="109">
        <f>D16</f>
        <v>41273</v>
      </c>
      <c r="E19" s="109">
        <f t="shared" ref="E19:M19" si="11">E16</f>
        <v>41638</v>
      </c>
      <c r="F19" s="109">
        <f t="shared" si="11"/>
        <v>42003</v>
      </c>
      <c r="G19" s="109">
        <f t="shared" si="11"/>
        <v>42368</v>
      </c>
      <c r="H19" s="109">
        <f t="shared" si="11"/>
        <v>42734</v>
      </c>
      <c r="I19" s="109">
        <f t="shared" si="11"/>
        <v>43099</v>
      </c>
      <c r="J19" s="109">
        <f t="shared" si="11"/>
        <v>43464</v>
      </c>
      <c r="K19" s="109">
        <f t="shared" si="11"/>
        <v>43829</v>
      </c>
      <c r="L19" s="109">
        <f t="shared" si="11"/>
        <v>44195</v>
      </c>
      <c r="M19" s="109">
        <f t="shared" si="11"/>
        <v>44469</v>
      </c>
      <c r="P19" s="51" t="s">
        <v>59</v>
      </c>
    </row>
    <row r="20" spans="1:16" x14ac:dyDescent="0.25">
      <c r="A20" s="59" t="s">
        <v>61</v>
      </c>
      <c r="B20" s="59"/>
      <c r="C20" s="109">
        <f>C16</f>
        <v>40985</v>
      </c>
      <c r="D20" s="109">
        <f>D16</f>
        <v>41273</v>
      </c>
      <c r="E20" s="109">
        <f t="shared" ref="E20:M20" si="12">E16</f>
        <v>41638</v>
      </c>
      <c r="F20" s="109">
        <f t="shared" si="12"/>
        <v>42003</v>
      </c>
      <c r="G20" s="109">
        <f t="shared" si="12"/>
        <v>42368</v>
      </c>
      <c r="H20" s="109">
        <f t="shared" si="12"/>
        <v>42734</v>
      </c>
      <c r="I20" s="109">
        <f t="shared" si="12"/>
        <v>43099</v>
      </c>
      <c r="J20" s="109">
        <f t="shared" si="12"/>
        <v>43464</v>
      </c>
      <c r="K20" s="109">
        <f t="shared" si="12"/>
        <v>43829</v>
      </c>
      <c r="L20" s="109">
        <f t="shared" si="12"/>
        <v>44195</v>
      </c>
      <c r="M20" s="109">
        <f t="shared" si="12"/>
        <v>44469</v>
      </c>
      <c r="P20" s="51" t="s">
        <v>59</v>
      </c>
    </row>
    <row r="21" spans="1:16" x14ac:dyDescent="0.25">
      <c r="A21" s="59" t="s">
        <v>62</v>
      </c>
      <c r="B21" s="59"/>
      <c r="C21" s="109">
        <f>C16</f>
        <v>40985</v>
      </c>
      <c r="D21" s="109">
        <f>D16</f>
        <v>41273</v>
      </c>
      <c r="E21" s="109">
        <f t="shared" ref="E21:M21" si="13">E16</f>
        <v>41638</v>
      </c>
      <c r="F21" s="109">
        <f t="shared" si="13"/>
        <v>42003</v>
      </c>
      <c r="G21" s="109">
        <f t="shared" si="13"/>
        <v>42368</v>
      </c>
      <c r="H21" s="109">
        <f t="shared" si="13"/>
        <v>42734</v>
      </c>
      <c r="I21" s="109">
        <f t="shared" si="13"/>
        <v>43099</v>
      </c>
      <c r="J21" s="109">
        <f t="shared" si="13"/>
        <v>43464</v>
      </c>
      <c r="K21" s="109">
        <f t="shared" si="13"/>
        <v>43829</v>
      </c>
      <c r="L21" s="109">
        <f t="shared" si="13"/>
        <v>44195</v>
      </c>
      <c r="M21" s="109">
        <f t="shared" si="13"/>
        <v>44469</v>
      </c>
      <c r="P21" s="51" t="s">
        <v>59</v>
      </c>
    </row>
    <row r="22" spans="1:16" x14ac:dyDescent="0.25">
      <c r="P22" s="51" t="s">
        <v>64</v>
      </c>
    </row>
    <row r="23" spans="1:16" x14ac:dyDescent="0.25">
      <c r="A23" s="76" t="s">
        <v>147</v>
      </c>
      <c r="P23" s="51"/>
    </row>
    <row r="24" spans="1:16" x14ac:dyDescent="0.25">
      <c r="A24" s="56" t="s">
        <v>63</v>
      </c>
      <c r="B24" s="59"/>
      <c r="C24" s="110">
        <f t="shared" ref="C24:M24" si="14">(1+C$11)^(C9/C8)</f>
        <v>1.0256406921705767</v>
      </c>
      <c r="D24" s="110">
        <f t="shared" si="14"/>
        <v>1.0447761764495409</v>
      </c>
      <c r="E24" s="110">
        <f t="shared" si="14"/>
        <v>1.0447761764495409</v>
      </c>
      <c r="F24" s="110">
        <f t="shared" si="14"/>
        <v>1.0447761764495409</v>
      </c>
      <c r="G24" s="110">
        <f t="shared" si="14"/>
        <v>1.0304465051617187</v>
      </c>
      <c r="H24" s="110">
        <f t="shared" si="14"/>
        <v>1.0303618364037039</v>
      </c>
      <c r="I24" s="110">
        <f t="shared" si="14"/>
        <v>1.0288607790721969</v>
      </c>
      <c r="J24" s="110">
        <f t="shared" si="14"/>
        <v>1.0240035788268604</v>
      </c>
      <c r="K24" s="110">
        <f t="shared" si="14"/>
        <v>1.0240703100861777</v>
      </c>
      <c r="L24" s="110">
        <f t="shared" si="14"/>
        <v>1.0252200481313896</v>
      </c>
      <c r="M24" s="110">
        <f t="shared" si="14"/>
        <v>1.0126341025654626</v>
      </c>
      <c r="P24" s="51" t="s">
        <v>65</v>
      </c>
    </row>
    <row r="25" spans="1:16" x14ac:dyDescent="0.25">
      <c r="A25" s="56" t="s">
        <v>71</v>
      </c>
      <c r="B25" s="59"/>
      <c r="C25" s="111">
        <f t="shared" ref="C25:M25" si="15">(1+C$11)^(C10/C8)</f>
        <v>1.0172668182162874</v>
      </c>
      <c r="D25" s="111">
        <f t="shared" si="15"/>
        <v>1.0362617429166321</v>
      </c>
      <c r="E25" s="111">
        <f t="shared" si="15"/>
        <v>1.0362617429166321</v>
      </c>
      <c r="F25" s="111">
        <f t="shared" si="15"/>
        <v>1.0362617429166321</v>
      </c>
      <c r="G25" s="111">
        <f t="shared" si="15"/>
        <v>1.0245525633557446</v>
      </c>
      <c r="H25" s="111">
        <f t="shared" si="15"/>
        <v>1.0246206520306043</v>
      </c>
      <c r="I25" s="111">
        <f t="shared" si="15"/>
        <v>1.0234066481478485</v>
      </c>
      <c r="J25" s="111">
        <f t="shared" si="15"/>
        <v>1.0194760396950402</v>
      </c>
      <c r="K25" s="111">
        <f t="shared" si="15"/>
        <v>1.0194223130278846</v>
      </c>
      <c r="L25" s="111">
        <f t="shared" si="15"/>
        <v>1.0204607735300335</v>
      </c>
      <c r="M25" s="111">
        <f t="shared" si="15"/>
        <v>1.0075339197689863</v>
      </c>
      <c r="P25" s="51"/>
    </row>
    <row r="26" spans="1:16" x14ac:dyDescent="0.25">
      <c r="A26" s="77"/>
      <c r="B26" s="208"/>
      <c r="C26" s="207"/>
      <c r="D26" s="207"/>
      <c r="E26" s="207"/>
      <c r="F26" s="207"/>
      <c r="G26" s="207"/>
      <c r="H26" s="207"/>
      <c r="I26" s="207"/>
      <c r="J26" s="207"/>
      <c r="K26" s="207"/>
      <c r="L26" s="207"/>
      <c r="M26" s="207"/>
      <c r="P26" s="51"/>
    </row>
    <row r="27" spans="1:16" x14ac:dyDescent="0.25">
      <c r="A27" s="77"/>
      <c r="B27" s="208"/>
      <c r="C27" s="207"/>
      <c r="D27" s="207"/>
      <c r="E27" s="207"/>
      <c r="F27" s="207"/>
      <c r="G27" s="207"/>
      <c r="H27" s="207"/>
      <c r="I27" s="207"/>
      <c r="J27" s="207"/>
      <c r="K27" s="207"/>
      <c r="L27" s="207"/>
      <c r="M27" s="207"/>
      <c r="P27" s="51"/>
    </row>
    <row r="28" spans="1:16" ht="23.25" x14ac:dyDescent="0.35">
      <c r="A28" s="35" t="s">
        <v>22</v>
      </c>
      <c r="B28" s="208"/>
      <c r="C28" s="207"/>
      <c r="D28" s="207"/>
      <c r="E28" s="207"/>
      <c r="F28" s="207"/>
      <c r="G28" s="207"/>
      <c r="H28" s="207"/>
      <c r="I28" s="207"/>
      <c r="J28" s="207"/>
      <c r="K28" s="207"/>
      <c r="L28" s="207"/>
      <c r="M28" s="207"/>
      <c r="P28" s="51"/>
    </row>
    <row r="29" spans="1:16" x14ac:dyDescent="0.25">
      <c r="A29" s="76"/>
      <c r="B29" s="8"/>
      <c r="C29" s="8"/>
      <c r="D29" s="8"/>
    </row>
    <row r="30" spans="1:16" x14ac:dyDescent="0.25">
      <c r="A30" s="52"/>
      <c r="B30" s="61"/>
      <c r="C30" s="108">
        <v>41090</v>
      </c>
      <c r="D30" s="108">
        <v>41455</v>
      </c>
      <c r="E30" s="108">
        <f>+D30+365</f>
        <v>41820</v>
      </c>
      <c r="F30" s="108">
        <f t="shared" ref="F30" si="16">+E30+365</f>
        <v>42185</v>
      </c>
      <c r="G30" s="108">
        <f>+F30+366</f>
        <v>42551</v>
      </c>
      <c r="H30" s="108">
        <f t="shared" ref="H30" si="17">+G30+365</f>
        <v>42916</v>
      </c>
      <c r="I30" s="108">
        <f t="shared" ref="I30" si="18">+H30+365</f>
        <v>43281</v>
      </c>
      <c r="J30" s="108">
        <f t="shared" ref="J30" si="19">+I30+365</f>
        <v>43646</v>
      </c>
      <c r="K30" s="108">
        <f>+J30+366</f>
        <v>44012</v>
      </c>
      <c r="L30" s="108">
        <f t="shared" ref="L30" si="20">+K30+365</f>
        <v>44377</v>
      </c>
      <c r="M30" s="108">
        <v>44561</v>
      </c>
      <c r="O30" s="100" t="s">
        <v>182</v>
      </c>
      <c r="P30" s="100" t="s">
        <v>124</v>
      </c>
    </row>
    <row r="31" spans="1:16" x14ac:dyDescent="0.25">
      <c r="A31" s="56" t="s">
        <v>68</v>
      </c>
      <c r="B31" s="58"/>
      <c r="C31" s="58">
        <f t="shared" ref="C31:M32" si="21">C$24</f>
        <v>1.0256406921705767</v>
      </c>
      <c r="D31" s="58">
        <f t="shared" si="21"/>
        <v>1.0447761764495409</v>
      </c>
      <c r="E31" s="58">
        <f t="shared" si="21"/>
        <v>1.0447761764495409</v>
      </c>
      <c r="F31" s="58">
        <f t="shared" si="21"/>
        <v>1.0447761764495409</v>
      </c>
      <c r="G31" s="58">
        <f t="shared" si="21"/>
        <v>1.0304465051617187</v>
      </c>
      <c r="H31" s="58">
        <f t="shared" si="21"/>
        <v>1.0303618364037039</v>
      </c>
      <c r="I31" s="58">
        <f t="shared" si="21"/>
        <v>1.0288607790721969</v>
      </c>
      <c r="J31" s="58">
        <f t="shared" si="21"/>
        <v>1.0240035788268604</v>
      </c>
      <c r="K31" s="58">
        <f t="shared" si="21"/>
        <v>1.0240703100861777</v>
      </c>
      <c r="L31" s="58">
        <f t="shared" si="21"/>
        <v>1.0252200481313896</v>
      </c>
      <c r="M31" s="58">
        <f t="shared" si="21"/>
        <v>1.0126341025654626</v>
      </c>
      <c r="O31" s="76" t="s">
        <v>229</v>
      </c>
    </row>
    <row r="32" spans="1:16" x14ac:dyDescent="0.25">
      <c r="A32" s="56" t="s">
        <v>69</v>
      </c>
      <c r="B32" s="58"/>
      <c r="C32" s="58">
        <f t="shared" si="21"/>
        <v>1.0256406921705767</v>
      </c>
      <c r="D32" s="58">
        <f t="shared" si="21"/>
        <v>1.0447761764495409</v>
      </c>
      <c r="E32" s="58">
        <f t="shared" si="21"/>
        <v>1.0447761764495409</v>
      </c>
      <c r="F32" s="58">
        <f t="shared" si="21"/>
        <v>1.0447761764495409</v>
      </c>
      <c r="G32" s="58">
        <f t="shared" si="21"/>
        <v>1.0304465051617187</v>
      </c>
      <c r="H32" s="58">
        <f t="shared" si="21"/>
        <v>1.0303618364037039</v>
      </c>
      <c r="I32" s="58">
        <f t="shared" si="21"/>
        <v>1.0288607790721969</v>
      </c>
      <c r="J32" s="58">
        <f t="shared" si="21"/>
        <v>1.0240035788268604</v>
      </c>
      <c r="K32" s="58">
        <f t="shared" si="21"/>
        <v>1.0240703100861777</v>
      </c>
      <c r="L32" s="58">
        <f t="shared" si="21"/>
        <v>1.0252200481313896</v>
      </c>
      <c r="M32" s="58">
        <f t="shared" si="21"/>
        <v>1.0126341025654626</v>
      </c>
      <c r="O32" s="76" t="s">
        <v>229</v>
      </c>
    </row>
    <row r="33" spans="1:15" x14ac:dyDescent="0.25">
      <c r="A33" s="56" t="s">
        <v>70</v>
      </c>
      <c r="B33" s="119"/>
      <c r="C33" s="58">
        <f t="shared" ref="C33:M33" si="22">C$24</f>
        <v>1.0256406921705767</v>
      </c>
      <c r="D33" s="58">
        <f t="shared" si="22"/>
        <v>1.0447761764495409</v>
      </c>
      <c r="E33" s="58">
        <f t="shared" si="22"/>
        <v>1.0447761764495409</v>
      </c>
      <c r="F33" s="58">
        <f t="shared" si="22"/>
        <v>1.0447761764495409</v>
      </c>
      <c r="G33" s="58">
        <f t="shared" si="22"/>
        <v>1.0304465051617187</v>
      </c>
      <c r="H33" s="58">
        <f t="shared" si="22"/>
        <v>1.0303618364037039</v>
      </c>
      <c r="I33" s="58">
        <f t="shared" si="22"/>
        <v>1.0288607790721969</v>
      </c>
      <c r="J33" s="58">
        <f t="shared" si="22"/>
        <v>1.0240035788268604</v>
      </c>
      <c r="K33" s="58">
        <f t="shared" si="22"/>
        <v>1.0240703100861777</v>
      </c>
      <c r="L33" s="58">
        <f t="shared" si="22"/>
        <v>1.0252200481313896</v>
      </c>
      <c r="M33" s="58">
        <f t="shared" si="22"/>
        <v>1.0126341025654626</v>
      </c>
      <c r="O33" s="76" t="s">
        <v>229</v>
      </c>
    </row>
    <row r="34" spans="1:15" x14ac:dyDescent="0.25">
      <c r="A34" s="56" t="s">
        <v>71</v>
      </c>
      <c r="B34" s="58"/>
      <c r="C34" s="58">
        <f t="shared" ref="C34:M34" si="23">C$25</f>
        <v>1.0172668182162874</v>
      </c>
      <c r="D34" s="58">
        <f t="shared" si="23"/>
        <v>1.0362617429166321</v>
      </c>
      <c r="E34" s="58">
        <f t="shared" si="23"/>
        <v>1.0362617429166321</v>
      </c>
      <c r="F34" s="58">
        <f t="shared" si="23"/>
        <v>1.0362617429166321</v>
      </c>
      <c r="G34" s="58">
        <f t="shared" si="23"/>
        <v>1.0245525633557446</v>
      </c>
      <c r="H34" s="58">
        <f t="shared" si="23"/>
        <v>1.0246206520306043</v>
      </c>
      <c r="I34" s="58">
        <f t="shared" si="23"/>
        <v>1.0234066481478485</v>
      </c>
      <c r="J34" s="58">
        <f t="shared" si="23"/>
        <v>1.0194760396950402</v>
      </c>
      <c r="K34" s="58">
        <f t="shared" si="23"/>
        <v>1.0194223130278846</v>
      </c>
      <c r="L34" s="58">
        <f t="shared" si="23"/>
        <v>1.0204607735300335</v>
      </c>
      <c r="M34" s="58">
        <f t="shared" si="23"/>
        <v>1.0075339197689863</v>
      </c>
      <c r="O34" s="76" t="s">
        <v>229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F8A08-DCF2-4195-A9BE-63A68B7F3633}">
  <sheetPr>
    <tabColor theme="3" tint="0.39997558519241921"/>
  </sheetPr>
  <dimension ref="A1:Q104"/>
  <sheetViews>
    <sheetView showGridLines="0" zoomScale="85" zoomScaleNormal="85" workbookViewId="0"/>
  </sheetViews>
  <sheetFormatPr defaultRowHeight="15" x14ac:dyDescent="0.25"/>
  <cols>
    <col min="1" max="1" width="93.140625" customWidth="1"/>
    <col min="3" max="13" width="16.85546875" customWidth="1"/>
    <col min="15" max="15" width="31.7109375" customWidth="1"/>
  </cols>
  <sheetData>
    <row r="1" spans="1:16" ht="26.25" x14ac:dyDescent="0.4">
      <c r="A1" s="16" t="s">
        <v>261</v>
      </c>
    </row>
    <row r="2" spans="1:16" ht="26.25" x14ac:dyDescent="0.4">
      <c r="A2" s="16" t="s">
        <v>113</v>
      </c>
    </row>
    <row r="4" spans="1:16" ht="23.25" x14ac:dyDescent="0.35">
      <c r="A4" s="35" t="s">
        <v>20</v>
      </c>
    </row>
    <row r="5" spans="1:16" s="1" customFormat="1" x14ac:dyDescent="0.25">
      <c r="O5" s="100" t="s">
        <v>182</v>
      </c>
      <c r="P5" s="100" t="s">
        <v>124</v>
      </c>
    </row>
    <row r="6" spans="1:16" s="1" customFormat="1" x14ac:dyDescent="0.25">
      <c r="A6" s="56" t="s">
        <v>102</v>
      </c>
      <c r="B6" s="69" t="s">
        <v>251</v>
      </c>
      <c r="C6" s="142">
        <f>Inputs!C17</f>
        <v>20</v>
      </c>
      <c r="D6" s="142">
        <f>Inputs!D17</f>
        <v>20</v>
      </c>
      <c r="E6" s="142">
        <f>Inputs!E17</f>
        <v>20</v>
      </c>
      <c r="F6" s="142">
        <f>Inputs!F17</f>
        <v>20</v>
      </c>
      <c r="G6" s="142">
        <f>Inputs!G17</f>
        <v>20</v>
      </c>
      <c r="H6" s="142">
        <f>Inputs!H17</f>
        <v>20</v>
      </c>
      <c r="I6" s="142">
        <f>Inputs!I17</f>
        <v>20</v>
      </c>
      <c r="J6" s="142">
        <f>Inputs!J17</f>
        <v>20</v>
      </c>
      <c r="K6" s="142">
        <f>Inputs!K17</f>
        <v>20</v>
      </c>
      <c r="L6" s="142">
        <f>Inputs!L17</f>
        <v>20</v>
      </c>
      <c r="M6" s="142">
        <f>Inputs!M17</f>
        <v>20</v>
      </c>
    </row>
    <row r="7" spans="1:16" s="1" customFormat="1" x14ac:dyDescent="0.25">
      <c r="A7" s="56"/>
      <c r="B7" s="69"/>
      <c r="C7" s="142"/>
      <c r="D7" s="88"/>
      <c r="E7" s="88"/>
      <c r="F7" s="88"/>
      <c r="G7" s="88"/>
      <c r="H7" s="88"/>
      <c r="I7" s="88"/>
      <c r="J7" s="88"/>
      <c r="K7" s="88"/>
      <c r="L7" s="88"/>
      <c r="M7" s="88"/>
    </row>
    <row r="8" spans="1:16" s="1" customFormat="1" x14ac:dyDescent="0.25">
      <c r="A8" s="56" t="str">
        <f>Inputs!A10</f>
        <v>Weighted average asset life</v>
      </c>
      <c r="B8" s="69" t="s">
        <v>251</v>
      </c>
      <c r="C8" s="142">
        <f>Inputs!C10</f>
        <v>30</v>
      </c>
      <c r="D8" s="142">
        <f>Inputs!D10</f>
        <v>30</v>
      </c>
      <c r="E8" s="142">
        <f>Inputs!E10</f>
        <v>30</v>
      </c>
      <c r="F8" s="142">
        <f>Inputs!F10</f>
        <v>30</v>
      </c>
      <c r="G8" s="142">
        <f>Inputs!G10</f>
        <v>30</v>
      </c>
      <c r="H8" s="142">
        <f>Inputs!H10</f>
        <v>30</v>
      </c>
      <c r="I8" s="142">
        <f>Inputs!I10</f>
        <v>30</v>
      </c>
      <c r="J8" s="142">
        <f>Inputs!J10</f>
        <v>30</v>
      </c>
      <c r="K8" s="142">
        <f>Inputs!K10</f>
        <v>30</v>
      </c>
      <c r="L8" s="142">
        <f>Inputs!L10</f>
        <v>30</v>
      </c>
      <c r="M8" s="142">
        <f>Inputs!M10</f>
        <v>30</v>
      </c>
    </row>
    <row r="9" spans="1:16" x14ac:dyDescent="0.25">
      <c r="C9" s="192"/>
    </row>
    <row r="10" spans="1:16" s="1" customFormat="1" x14ac:dyDescent="0.25">
      <c r="A10" s="96"/>
      <c r="B10" s="152"/>
      <c r="C10" s="98">
        <v>2012</v>
      </c>
      <c r="D10" s="98">
        <v>2013</v>
      </c>
      <c r="E10" s="98">
        <v>2014</v>
      </c>
      <c r="F10" s="98">
        <v>2015</v>
      </c>
      <c r="G10" s="98">
        <v>2016</v>
      </c>
      <c r="H10" s="98">
        <v>2017</v>
      </c>
      <c r="I10" s="98">
        <v>2018</v>
      </c>
      <c r="J10" s="98">
        <v>2019</v>
      </c>
      <c r="K10" s="98">
        <v>2020</v>
      </c>
      <c r="L10" s="98">
        <v>2021</v>
      </c>
      <c r="M10" s="98">
        <v>2022</v>
      </c>
    </row>
    <row r="11" spans="1:16" s="1" customFormat="1" x14ac:dyDescent="0.25">
      <c r="A11" s="56" t="s">
        <v>198</v>
      </c>
      <c r="B11" s="69" t="s">
        <v>73</v>
      </c>
      <c r="C11" s="147">
        <f>Inputs!C6</f>
        <v>0</v>
      </c>
      <c r="D11" s="147">
        <f>Inputs!D6</f>
        <v>50</v>
      </c>
      <c r="E11" s="147">
        <f>Inputs!E6</f>
        <v>100</v>
      </c>
      <c r="F11" s="147">
        <f>Inputs!F6</f>
        <v>150</v>
      </c>
      <c r="G11" s="147">
        <f>Inputs!G6</f>
        <v>200</v>
      </c>
      <c r="H11" s="147">
        <f>Inputs!H6</f>
        <v>210</v>
      </c>
      <c r="I11" s="147">
        <f>Inputs!I6</f>
        <v>220</v>
      </c>
      <c r="J11" s="147">
        <f>Inputs!J6</f>
        <v>230</v>
      </c>
      <c r="K11" s="147">
        <f>Inputs!K6</f>
        <v>240</v>
      </c>
      <c r="L11" s="147">
        <f>Inputs!L6</f>
        <v>250</v>
      </c>
      <c r="M11" s="147">
        <f>Inputs!M6</f>
        <v>260</v>
      </c>
    </row>
    <row r="12" spans="1:16" s="1" customFormat="1" x14ac:dyDescent="0.25">
      <c r="A12" s="56" t="s">
        <v>74</v>
      </c>
      <c r="B12" s="69" t="s">
        <v>73</v>
      </c>
      <c r="C12" s="146">
        <f>Inputs!C7</f>
        <v>50</v>
      </c>
      <c r="D12" s="146">
        <f>Inputs!D7</f>
        <v>100</v>
      </c>
      <c r="E12" s="146">
        <f>Inputs!E7</f>
        <v>150</v>
      </c>
      <c r="F12" s="146">
        <f>Inputs!F7</f>
        <v>200</v>
      </c>
      <c r="G12" s="146">
        <f>Inputs!G7</f>
        <v>200</v>
      </c>
      <c r="H12" s="146">
        <f>Inputs!H7</f>
        <v>200</v>
      </c>
      <c r="I12" s="146">
        <f>Inputs!I7</f>
        <v>200</v>
      </c>
      <c r="J12" s="146">
        <f>Inputs!J7</f>
        <v>200</v>
      </c>
      <c r="K12" s="146">
        <f>Inputs!K7</f>
        <v>200</v>
      </c>
      <c r="L12" s="146">
        <f>Inputs!L7</f>
        <v>200</v>
      </c>
      <c r="M12" s="146">
        <f>Inputs!M7</f>
        <v>200</v>
      </c>
    </row>
    <row r="13" spans="1:16" s="1" customFormat="1" x14ac:dyDescent="0.25">
      <c r="A13" s="56" t="s">
        <v>144</v>
      </c>
      <c r="B13" s="69" t="s">
        <v>73</v>
      </c>
      <c r="C13" s="147">
        <f>-Inputs!C8</f>
        <v>-50</v>
      </c>
      <c r="D13" s="147">
        <f>-Inputs!D8</f>
        <v>-100</v>
      </c>
      <c r="E13" s="147">
        <f>-Inputs!E8</f>
        <v>-150</v>
      </c>
      <c r="F13" s="147">
        <f>-Inputs!F8</f>
        <v>-150</v>
      </c>
      <c r="G13" s="147">
        <f>-Inputs!G8</f>
        <v>-150</v>
      </c>
      <c r="H13" s="147">
        <f>-Inputs!H8</f>
        <v>-150</v>
      </c>
      <c r="I13" s="147">
        <f>-Inputs!I8</f>
        <v>-150</v>
      </c>
      <c r="J13" s="147">
        <f>-Inputs!J8</f>
        <v>-150</v>
      </c>
      <c r="K13" s="147">
        <f>-Inputs!K8</f>
        <v>-150</v>
      </c>
      <c r="L13" s="147">
        <f>-Inputs!L8</f>
        <v>-150</v>
      </c>
      <c r="M13" s="147">
        <f>-Inputs!M8</f>
        <v>-150</v>
      </c>
    </row>
    <row r="14" spans="1:16" s="1" customFormat="1" x14ac:dyDescent="0.25">
      <c r="A14" s="56"/>
      <c r="B14" s="69"/>
      <c r="C14" s="147"/>
      <c r="D14" s="147"/>
      <c r="E14" s="147"/>
      <c r="F14" s="147"/>
      <c r="G14" s="147"/>
      <c r="H14" s="147"/>
      <c r="I14" s="147"/>
      <c r="J14" s="147"/>
      <c r="K14" s="147"/>
      <c r="L14" s="147"/>
      <c r="M14" s="147"/>
    </row>
    <row r="15" spans="1:16" s="1" customFormat="1" x14ac:dyDescent="0.25">
      <c r="A15" s="56" t="s">
        <v>89</v>
      </c>
      <c r="B15" s="69" t="s">
        <v>73</v>
      </c>
      <c r="C15" s="146">
        <f>Inputs!C13</f>
        <v>30</v>
      </c>
      <c r="D15" s="146">
        <f>Inputs!D13</f>
        <v>50</v>
      </c>
      <c r="E15" s="146">
        <f>Inputs!E13</f>
        <v>70</v>
      </c>
      <c r="F15" s="146">
        <f>Inputs!F13</f>
        <v>100</v>
      </c>
      <c r="G15" s="146">
        <f>Inputs!G13</f>
        <v>100</v>
      </c>
      <c r="H15" s="146">
        <f>Inputs!H13</f>
        <v>100</v>
      </c>
      <c r="I15" s="146">
        <f>Inputs!I13</f>
        <v>100</v>
      </c>
      <c r="J15" s="146">
        <f>Inputs!J13</f>
        <v>100</v>
      </c>
      <c r="K15" s="146">
        <f>Inputs!K13</f>
        <v>100</v>
      </c>
      <c r="L15" s="146">
        <f>Inputs!L13</f>
        <v>100</v>
      </c>
      <c r="M15" s="146">
        <f>Inputs!M13</f>
        <v>100</v>
      </c>
    </row>
    <row r="16" spans="1:16" s="1" customFormat="1" x14ac:dyDescent="0.25">
      <c r="A16" s="91" t="s">
        <v>100</v>
      </c>
      <c r="B16" s="69" t="s">
        <v>73</v>
      </c>
      <c r="C16" s="92">
        <f>Inputs!C14</f>
        <v>0</v>
      </c>
      <c r="D16" s="92">
        <f>Inputs!D14</f>
        <v>0</v>
      </c>
      <c r="E16" s="92">
        <f>Inputs!E14</f>
        <v>0</v>
      </c>
      <c r="F16" s="92">
        <f>Inputs!F14</f>
        <v>0</v>
      </c>
      <c r="G16" s="92">
        <f>Inputs!G14</f>
        <v>0</v>
      </c>
      <c r="H16" s="92">
        <f>Inputs!H14</f>
        <v>0</v>
      </c>
      <c r="I16" s="92">
        <f>Inputs!I14</f>
        <v>0</v>
      </c>
      <c r="J16" s="92">
        <f>Inputs!J14</f>
        <v>0</v>
      </c>
      <c r="K16" s="92">
        <f>Inputs!K14</f>
        <v>0</v>
      </c>
      <c r="L16" s="92">
        <f>Inputs!L14</f>
        <v>0</v>
      </c>
      <c r="M16" s="92">
        <f>Inputs!M14</f>
        <v>0</v>
      </c>
    </row>
    <row r="17" spans="1:15" s="1" customFormat="1" x14ac:dyDescent="0.25">
      <c r="A17" s="77"/>
      <c r="B17" s="69"/>
      <c r="C17" s="92"/>
      <c r="D17" s="92"/>
      <c r="E17" s="92"/>
      <c r="F17" s="92"/>
      <c r="G17" s="92"/>
      <c r="H17" s="92"/>
      <c r="I17" s="92"/>
      <c r="J17" s="92"/>
      <c r="K17" s="92"/>
      <c r="L17" s="92"/>
      <c r="M17" s="92"/>
    </row>
    <row r="18" spans="1:15" s="1" customFormat="1" x14ac:dyDescent="0.25">
      <c r="A18" s="56" t="s">
        <v>121</v>
      </c>
      <c r="B18" s="56" t="s">
        <v>88</v>
      </c>
      <c r="C18" s="141">
        <f>Inputs!C$19</f>
        <v>0.28000000000000003</v>
      </c>
      <c r="D18" s="141">
        <f>Inputs!D$19</f>
        <v>0.28000000000000003</v>
      </c>
      <c r="E18" s="141">
        <f>Inputs!E$19</f>
        <v>0.28000000000000003</v>
      </c>
      <c r="F18" s="141">
        <f>Inputs!F$19</f>
        <v>0.28000000000000003</v>
      </c>
      <c r="G18" s="141">
        <f>Inputs!G$19</f>
        <v>0.28000000000000003</v>
      </c>
      <c r="H18" s="141">
        <f>Inputs!H$19</f>
        <v>0.28000000000000003</v>
      </c>
      <c r="I18" s="141">
        <f>Inputs!I$19</f>
        <v>0.28000000000000003</v>
      </c>
      <c r="J18" s="141">
        <f>Inputs!J$19</f>
        <v>0.28000000000000003</v>
      </c>
      <c r="K18" s="141">
        <f>Inputs!K$19</f>
        <v>0.28000000000000003</v>
      </c>
      <c r="L18" s="141">
        <f>Inputs!L$19</f>
        <v>0.28000000000000003</v>
      </c>
      <c r="M18" s="141">
        <f>Inputs!M$19</f>
        <v>0.28000000000000003</v>
      </c>
    </row>
    <row r="19" spans="1:15" s="1" customFormat="1" x14ac:dyDescent="0.25">
      <c r="A19" s="77"/>
      <c r="B19" s="153"/>
      <c r="C19" s="186"/>
      <c r="D19" s="186"/>
      <c r="E19" s="186"/>
      <c r="F19" s="186"/>
      <c r="G19" s="186"/>
      <c r="H19" s="186"/>
      <c r="I19" s="186"/>
      <c r="J19" s="186"/>
      <c r="K19" s="186"/>
      <c r="L19" s="186"/>
      <c r="M19" s="186"/>
    </row>
    <row r="20" spans="1:15" s="1" customFormat="1" x14ac:dyDescent="0.25">
      <c r="A20" s="77"/>
      <c r="B20" s="187"/>
      <c r="C20" s="188"/>
      <c r="D20" s="188"/>
      <c r="E20" s="188"/>
      <c r="F20" s="188"/>
      <c r="G20" s="188"/>
      <c r="H20" s="188"/>
      <c r="I20" s="188"/>
      <c r="J20" s="188"/>
      <c r="K20" s="188"/>
      <c r="L20" s="188"/>
      <c r="M20" s="188"/>
    </row>
    <row r="21" spans="1:15" s="1" customFormat="1" x14ac:dyDescent="0.25">
      <c r="A21" s="56" t="s">
        <v>46</v>
      </c>
      <c r="B21" s="56" t="s">
        <v>88</v>
      </c>
      <c r="C21" s="144">
        <f>'Cost of capital'!C69</f>
        <v>0.31</v>
      </c>
      <c r="D21" s="144">
        <f>'Cost of capital'!D69</f>
        <v>0.31</v>
      </c>
      <c r="E21" s="144">
        <f>'Cost of capital'!E69</f>
        <v>0.31</v>
      </c>
      <c r="F21" s="144">
        <f>'Cost of capital'!F69</f>
        <v>0.31</v>
      </c>
      <c r="G21" s="144">
        <f>'Cost of capital'!G69</f>
        <v>0.31</v>
      </c>
      <c r="H21" s="144">
        <f>'Cost of capital'!H69</f>
        <v>0.31</v>
      </c>
      <c r="I21" s="144">
        <f>'Cost of capital'!I69</f>
        <v>0.31</v>
      </c>
      <c r="J21" s="144">
        <f>'Cost of capital'!J69</f>
        <v>0.31</v>
      </c>
      <c r="K21" s="144">
        <f>'Cost of capital'!K69</f>
        <v>0.31</v>
      </c>
      <c r="L21" s="144">
        <f>'Cost of capital'!L69</f>
        <v>0.31</v>
      </c>
      <c r="M21" s="144">
        <f>'Cost of capital'!M69</f>
        <v>0.31</v>
      </c>
    </row>
    <row r="22" spans="1:15" s="1" customFormat="1" x14ac:dyDescent="0.25">
      <c r="A22" s="56" t="s">
        <v>103</v>
      </c>
      <c r="B22" s="56" t="s">
        <v>88</v>
      </c>
      <c r="C22" s="145">
        <f>'Cost of capital'!C60</f>
        <v>4.1390531771388517E-2</v>
      </c>
      <c r="D22" s="145">
        <f>'Cost of capital'!D60</f>
        <v>7.2000000000000008E-2</v>
      </c>
      <c r="E22" s="145">
        <f>'Cost of capital'!E60</f>
        <v>7.2000000000000008E-2</v>
      </c>
      <c r="F22" s="145">
        <f>'Cost of capital'!F60</f>
        <v>7.2000000000000008E-2</v>
      </c>
      <c r="G22" s="145">
        <f>'Cost of capital'!G60</f>
        <v>4.2000000000000003E-2</v>
      </c>
      <c r="H22" s="145">
        <f>'Cost of capital'!H60</f>
        <v>4.2000000000000003E-2</v>
      </c>
      <c r="I22" s="145">
        <f>'Cost of capital'!I60</f>
        <v>3.2000000000000001E-2</v>
      </c>
      <c r="J22" s="145">
        <f>'Cost of capital'!J60</f>
        <v>2.1999999999999999E-2</v>
      </c>
      <c r="K22" s="145">
        <f>'Cost of capital'!K60</f>
        <v>2.1999999999999999E-2</v>
      </c>
      <c r="L22" s="145">
        <f>'Cost of capital'!L60</f>
        <v>2.1999999999999999E-2</v>
      </c>
      <c r="M22" s="145">
        <f>'Cost of capital'!M60</f>
        <v>1.0940156488008945E-2</v>
      </c>
    </row>
    <row r="23" spans="1:15" s="1" customFormat="1" x14ac:dyDescent="0.25">
      <c r="A23" s="56" t="s">
        <v>193</v>
      </c>
      <c r="B23" s="56" t="s">
        <v>88</v>
      </c>
      <c r="C23" s="145">
        <f>'Cost of capital'!C57</f>
        <v>0.05</v>
      </c>
      <c r="D23" s="145">
        <f>'Cost of capital'!D57</f>
        <v>0.08</v>
      </c>
      <c r="E23" s="145">
        <f>'Cost of capital'!E57</f>
        <v>0.08</v>
      </c>
      <c r="F23" s="145">
        <f>'Cost of capital'!F57</f>
        <v>0.08</v>
      </c>
      <c r="G23" s="145">
        <f>'Cost of capital'!G57</f>
        <v>0.05</v>
      </c>
      <c r="H23" s="145">
        <f>'Cost of capital'!H57</f>
        <v>0.05</v>
      </c>
      <c r="I23" s="145">
        <f>'Cost of capital'!I57</f>
        <v>0.05</v>
      </c>
      <c r="J23" s="145">
        <f>'Cost of capital'!J57</f>
        <v>0.03</v>
      </c>
      <c r="K23" s="145">
        <f>'Cost of capital'!K57</f>
        <v>0.03</v>
      </c>
      <c r="L23" s="145">
        <f>'Cost of capital'!L57</f>
        <v>0.03</v>
      </c>
      <c r="M23" s="145">
        <f>'Cost of capital'!M57</f>
        <v>0.02</v>
      </c>
    </row>
    <row r="24" spans="1:15" s="1" customFormat="1" x14ac:dyDescent="0.25">
      <c r="A24" s="56" t="s">
        <v>47</v>
      </c>
      <c r="B24" s="56" t="s">
        <v>88</v>
      </c>
      <c r="C24" s="145">
        <f>'Cost of capital'!C55</f>
        <v>5.2192502334469877E-2</v>
      </c>
      <c r="D24" s="145">
        <f>'Cost of capital'!D55</f>
        <v>9.1820000000000013E-2</v>
      </c>
      <c r="E24" s="145">
        <f>'Cost of capital'!E55</f>
        <v>9.1820000000000013E-2</v>
      </c>
      <c r="F24" s="145">
        <f>'Cost of capital'!F55</f>
        <v>9.1820000000000013E-2</v>
      </c>
      <c r="G24" s="145">
        <f>'Cost of capital'!G55</f>
        <v>6.182E-2</v>
      </c>
      <c r="H24" s="145">
        <f>'Cost of capital'!H55</f>
        <v>6.182E-2</v>
      </c>
      <c r="I24" s="145">
        <f>'Cost of capital'!I55</f>
        <v>5.8720000000000001E-2</v>
      </c>
      <c r="J24" s="145">
        <f>'Cost of capital'!J55</f>
        <v>4.8720000000000006E-2</v>
      </c>
      <c r="K24" s="145">
        <f>'Cost of capital'!K55</f>
        <v>4.8720000000000006E-2</v>
      </c>
      <c r="L24" s="145">
        <f>'Cost of capital'!L55</f>
        <v>5.1219999999999995E-2</v>
      </c>
      <c r="M24" s="145">
        <f>'Cost of capital'!M55</f>
        <v>2.5427825678560084E-2</v>
      </c>
    </row>
    <row r="25" spans="1:15" s="1" customFormat="1" x14ac:dyDescent="0.25">
      <c r="A25" s="46"/>
      <c r="B25" s="42"/>
      <c r="C25" s="183"/>
      <c r="D25" s="183"/>
      <c r="E25" s="183"/>
      <c r="F25" s="183"/>
      <c r="G25" s="183"/>
      <c r="H25" s="183"/>
      <c r="I25" s="183"/>
      <c r="J25" s="183"/>
      <c r="K25" s="183"/>
      <c r="L25" s="183"/>
      <c r="M25" s="183"/>
    </row>
    <row r="26" spans="1:15" s="1" customFormat="1" ht="21" x14ac:dyDescent="0.35">
      <c r="A26" s="178" t="s">
        <v>112</v>
      </c>
      <c r="D26" s="88"/>
      <c r="E26" s="88"/>
      <c r="F26" s="88"/>
      <c r="G26" s="88"/>
      <c r="H26" s="88"/>
      <c r="I26" s="88"/>
      <c r="J26" s="88"/>
      <c r="K26" s="88"/>
      <c r="L26" s="88"/>
      <c r="M26" s="88"/>
    </row>
    <row r="27" spans="1:15" s="1" customFormat="1" x14ac:dyDescent="0.25">
      <c r="D27" s="88"/>
      <c r="E27" s="88"/>
      <c r="F27" s="88"/>
      <c r="G27" s="88"/>
      <c r="H27" s="88"/>
      <c r="I27" s="88"/>
      <c r="J27" s="88"/>
      <c r="K27" s="88"/>
      <c r="L27" s="88"/>
      <c r="M27" s="88"/>
    </row>
    <row r="28" spans="1:15" s="1" customFormat="1" x14ac:dyDescent="0.25">
      <c r="A28" s="126" t="s">
        <v>244</v>
      </c>
      <c r="B28" s="126" t="s">
        <v>259</v>
      </c>
      <c r="C28" s="90">
        <v>365</v>
      </c>
      <c r="D28" s="90">
        <v>365</v>
      </c>
      <c r="E28" s="90">
        <v>365</v>
      </c>
      <c r="F28" s="90">
        <v>365</v>
      </c>
      <c r="G28" s="90">
        <v>365</v>
      </c>
      <c r="H28" s="90">
        <v>365</v>
      </c>
      <c r="I28" s="90">
        <v>365</v>
      </c>
      <c r="J28" s="90">
        <v>365</v>
      </c>
      <c r="K28" s="90">
        <v>365</v>
      </c>
      <c r="L28" s="90">
        <v>365</v>
      </c>
      <c r="M28" s="273">
        <f>Timing!$M$8</f>
        <v>184</v>
      </c>
    </row>
    <row r="29" spans="1:15" s="1" customFormat="1" x14ac:dyDescent="0.25">
      <c r="A29" s="126" t="s">
        <v>258</v>
      </c>
      <c r="B29" s="126" t="s">
        <v>88</v>
      </c>
      <c r="C29" s="134">
        <f>C28/365</f>
        <v>1</v>
      </c>
      <c r="D29" s="134">
        <f t="shared" ref="D29:M29" si="0">D28/365</f>
        <v>1</v>
      </c>
      <c r="E29" s="134">
        <f t="shared" si="0"/>
        <v>1</v>
      </c>
      <c r="F29" s="134">
        <f t="shared" si="0"/>
        <v>1</v>
      </c>
      <c r="G29" s="134">
        <f t="shared" si="0"/>
        <v>1</v>
      </c>
      <c r="H29" s="134">
        <f t="shared" si="0"/>
        <v>1</v>
      </c>
      <c r="I29" s="134">
        <f t="shared" si="0"/>
        <v>1</v>
      </c>
      <c r="J29" s="134">
        <f t="shared" si="0"/>
        <v>1</v>
      </c>
      <c r="K29" s="134">
        <f t="shared" si="0"/>
        <v>1</v>
      </c>
      <c r="L29" s="134">
        <f t="shared" si="0"/>
        <v>1</v>
      </c>
      <c r="M29" s="134">
        <f t="shared" si="0"/>
        <v>0.50410958904109593</v>
      </c>
    </row>
    <row r="30" spans="1:15" s="1" customFormat="1" ht="18.399999999999999" customHeight="1" x14ac:dyDescent="0.25">
      <c r="A30" s="77"/>
      <c r="B30" s="77"/>
    </row>
    <row r="31" spans="1:15" s="1" customFormat="1" ht="18.399999999999999" customHeight="1" x14ac:dyDescent="0.25">
      <c r="B31" s="96"/>
      <c r="C31" s="99">
        <v>2012</v>
      </c>
      <c r="D31" s="99">
        <v>2013</v>
      </c>
      <c r="E31" s="99">
        <v>2014</v>
      </c>
      <c r="F31" s="99">
        <v>2015</v>
      </c>
      <c r="G31" s="99">
        <v>2016</v>
      </c>
      <c r="H31" s="99">
        <v>2017</v>
      </c>
      <c r="I31" s="99">
        <v>2018</v>
      </c>
      <c r="J31" s="99">
        <v>2019</v>
      </c>
      <c r="K31" s="99">
        <v>2020</v>
      </c>
      <c r="L31" s="99">
        <v>2021</v>
      </c>
      <c r="M31" s="99">
        <v>2022</v>
      </c>
    </row>
    <row r="32" spans="1:15" s="1" customFormat="1" ht="18.399999999999999" customHeight="1" x14ac:dyDescent="0.25">
      <c r="A32" s="118" t="s">
        <v>230</v>
      </c>
      <c r="B32" s="69" t="s">
        <v>73</v>
      </c>
      <c r="C32" s="191">
        <v>0</v>
      </c>
      <c r="D32" s="67">
        <f t="shared" ref="D32:M32" si="1">C35</f>
        <v>50</v>
      </c>
      <c r="E32" s="67">
        <f t="shared" si="1"/>
        <v>147.5</v>
      </c>
      <c r="F32" s="67">
        <f t="shared" si="1"/>
        <v>290.125</v>
      </c>
      <c r="G32" s="67">
        <f t="shared" si="1"/>
        <v>475.61874999999998</v>
      </c>
      <c r="H32" s="67">
        <f t="shared" si="1"/>
        <v>651.83781249999993</v>
      </c>
      <c r="I32" s="67">
        <f t="shared" si="1"/>
        <v>819.24592187499991</v>
      </c>
      <c r="J32" s="67">
        <f t="shared" si="1"/>
        <v>978.28362578124995</v>
      </c>
      <c r="K32" s="67">
        <f t="shared" si="1"/>
        <v>1129.3694444921875</v>
      </c>
      <c r="L32" s="67">
        <f t="shared" si="1"/>
        <v>1272.9009722675783</v>
      </c>
      <c r="M32" s="67">
        <f t="shared" si="1"/>
        <v>1409.2559236541993</v>
      </c>
      <c r="O32" s="76" t="s">
        <v>231</v>
      </c>
    </row>
    <row r="33" spans="1:16" s="1" customFormat="1" ht="18.399999999999999" customHeight="1" x14ac:dyDescent="0.25">
      <c r="A33" s="118" t="s">
        <v>74</v>
      </c>
      <c r="B33" s="69" t="s">
        <v>73</v>
      </c>
      <c r="C33" s="64">
        <f t="shared" ref="C33:M33" si="2">C12</f>
        <v>50</v>
      </c>
      <c r="D33" s="64">
        <f t="shared" si="2"/>
        <v>100</v>
      </c>
      <c r="E33" s="64">
        <f t="shared" si="2"/>
        <v>150</v>
      </c>
      <c r="F33" s="64">
        <f t="shared" si="2"/>
        <v>200</v>
      </c>
      <c r="G33" s="64">
        <f t="shared" si="2"/>
        <v>200</v>
      </c>
      <c r="H33" s="64">
        <f t="shared" si="2"/>
        <v>200</v>
      </c>
      <c r="I33" s="64">
        <f t="shared" si="2"/>
        <v>200</v>
      </c>
      <c r="J33" s="64">
        <f t="shared" si="2"/>
        <v>200</v>
      </c>
      <c r="K33" s="64">
        <f t="shared" si="2"/>
        <v>200</v>
      </c>
      <c r="L33" s="64">
        <f t="shared" si="2"/>
        <v>200</v>
      </c>
      <c r="M33" s="64">
        <f t="shared" si="2"/>
        <v>200</v>
      </c>
    </row>
    <row r="34" spans="1:16" s="1" customFormat="1" ht="18.399999999999999" customHeight="1" x14ac:dyDescent="0.25">
      <c r="A34" s="118" t="s">
        <v>36</v>
      </c>
      <c r="B34" s="69" t="s">
        <v>73</v>
      </c>
      <c r="C34" s="247">
        <v>0</v>
      </c>
      <c r="D34" s="279">
        <f>-D32/C6*D29</f>
        <v>-2.5</v>
      </c>
      <c r="E34" s="279">
        <f t="shared" ref="E34:M34" si="3">-E32/D6*E29</f>
        <v>-7.375</v>
      </c>
      <c r="F34" s="279">
        <f t="shared" si="3"/>
        <v>-14.50625</v>
      </c>
      <c r="G34" s="279">
        <f t="shared" si="3"/>
        <v>-23.7809375</v>
      </c>
      <c r="H34" s="279">
        <f t="shared" si="3"/>
        <v>-32.591890624999998</v>
      </c>
      <c r="I34" s="279">
        <f t="shared" si="3"/>
        <v>-40.962296093749998</v>
      </c>
      <c r="J34" s="279">
        <f t="shared" si="3"/>
        <v>-48.914181289062498</v>
      </c>
      <c r="K34" s="279">
        <f t="shared" si="3"/>
        <v>-56.468472224609378</v>
      </c>
      <c r="L34" s="279">
        <f t="shared" si="3"/>
        <v>-63.645048613378911</v>
      </c>
      <c r="M34" s="279">
        <f t="shared" si="3"/>
        <v>-35.520971226352422</v>
      </c>
      <c r="O34" s="76" t="s">
        <v>232</v>
      </c>
      <c r="P34" s="76" t="s">
        <v>220</v>
      </c>
    </row>
    <row r="35" spans="1:16" s="1" customFormat="1" ht="18.399999999999999" customHeight="1" x14ac:dyDescent="0.25">
      <c r="A35" s="118" t="s">
        <v>233</v>
      </c>
      <c r="B35" s="69" t="s">
        <v>73</v>
      </c>
      <c r="C35" s="114">
        <f t="shared" ref="C35:M35" si="4">SUM(C32:C34)</f>
        <v>50</v>
      </c>
      <c r="D35" s="114">
        <f t="shared" si="4"/>
        <v>147.5</v>
      </c>
      <c r="E35" s="114">
        <f t="shared" si="4"/>
        <v>290.125</v>
      </c>
      <c r="F35" s="114">
        <f t="shared" si="4"/>
        <v>475.61874999999998</v>
      </c>
      <c r="G35" s="114">
        <f t="shared" si="4"/>
        <v>651.83781249999993</v>
      </c>
      <c r="H35" s="114">
        <f t="shared" si="4"/>
        <v>819.24592187499991</v>
      </c>
      <c r="I35" s="114">
        <f t="shared" si="4"/>
        <v>978.28362578124995</v>
      </c>
      <c r="J35" s="114">
        <f t="shared" si="4"/>
        <v>1129.3694444921875</v>
      </c>
      <c r="K35" s="114">
        <f t="shared" si="4"/>
        <v>1272.9009722675783</v>
      </c>
      <c r="L35" s="114">
        <f t="shared" si="4"/>
        <v>1409.2559236541993</v>
      </c>
      <c r="M35" s="114">
        <f t="shared" si="4"/>
        <v>1573.7349524278468</v>
      </c>
    </row>
    <row r="36" spans="1:16" s="1" customFormat="1" ht="18.399999999999999" customHeight="1" x14ac:dyDescent="0.25">
      <c r="A36" s="73"/>
      <c r="B36" s="73"/>
      <c r="C36" s="80"/>
      <c r="D36" s="80"/>
      <c r="E36" s="80"/>
      <c r="F36" s="80"/>
      <c r="G36" s="80"/>
      <c r="H36" s="80"/>
      <c r="I36" s="80"/>
      <c r="J36" s="80"/>
      <c r="K36" s="80"/>
      <c r="L36" s="80"/>
      <c r="M36" s="80"/>
    </row>
    <row r="37" spans="1:16" s="1" customFormat="1" ht="18.399999999999999" customHeight="1" x14ac:dyDescent="0.25">
      <c r="B37" s="77"/>
      <c r="C37" s="80"/>
      <c r="D37" s="80"/>
      <c r="E37" s="80"/>
      <c r="F37" s="80"/>
      <c r="G37" s="80"/>
      <c r="H37" s="80"/>
      <c r="I37" s="80"/>
      <c r="J37" s="80"/>
      <c r="K37" s="80"/>
      <c r="L37" s="80"/>
      <c r="M37" s="80"/>
    </row>
    <row r="38" spans="1:16" ht="21" x14ac:dyDescent="0.35">
      <c r="A38" s="178" t="s">
        <v>142</v>
      </c>
      <c r="B38" s="77"/>
      <c r="C38" s="45"/>
      <c r="D38" s="45"/>
      <c r="E38" s="45"/>
      <c r="F38" s="45"/>
      <c r="G38" s="45"/>
      <c r="H38" s="45"/>
      <c r="I38" s="45"/>
      <c r="J38" s="45"/>
      <c r="K38" s="45"/>
      <c r="L38" s="45"/>
      <c r="M38" s="45"/>
      <c r="N38" s="1"/>
      <c r="O38" s="1"/>
    </row>
    <row r="39" spans="1:16" s="1" customFormat="1" ht="15.75" customHeight="1" x14ac:dyDescent="0.25">
      <c r="B39" s="96"/>
      <c r="C39" s="99">
        <v>2012</v>
      </c>
      <c r="D39" s="99">
        <v>2013</v>
      </c>
      <c r="E39" s="99">
        <v>2014</v>
      </c>
      <c r="F39" s="99">
        <v>2015</v>
      </c>
      <c r="G39" s="99">
        <v>2016</v>
      </c>
      <c r="H39" s="99">
        <v>2017</v>
      </c>
      <c r="I39" s="99">
        <v>2018</v>
      </c>
      <c r="J39" s="99">
        <v>2019</v>
      </c>
      <c r="K39" s="99">
        <v>2020</v>
      </c>
      <c r="L39" s="99">
        <v>2021</v>
      </c>
      <c r="M39" s="99">
        <v>2022</v>
      </c>
    </row>
    <row r="40" spans="1:16" s="1" customFormat="1" ht="18.399999999999999" customHeight="1" x14ac:dyDescent="0.25">
      <c r="A40" s="56" t="s">
        <v>218</v>
      </c>
      <c r="B40" s="69" t="s">
        <v>73</v>
      </c>
      <c r="C40" s="90">
        <v>0</v>
      </c>
      <c r="D40" s="64">
        <f t="shared" ref="D40" si="5">C43</f>
        <v>50</v>
      </c>
      <c r="E40" s="64">
        <f t="shared" ref="E40" si="6">D43</f>
        <v>148.33333333333334</v>
      </c>
      <c r="F40" s="64">
        <f t="shared" ref="F40" si="7">E43</f>
        <v>293.38888888888891</v>
      </c>
      <c r="G40" s="64">
        <f t="shared" ref="G40" si="8">F43</f>
        <v>483.60925925925926</v>
      </c>
      <c r="H40" s="64">
        <f t="shared" ref="H40" si="9">G43</f>
        <v>667.48895061728399</v>
      </c>
      <c r="I40" s="64">
        <f t="shared" ref="I40" si="10">H43</f>
        <v>845.23931893004124</v>
      </c>
      <c r="J40" s="64">
        <f t="shared" ref="J40" si="11">I43</f>
        <v>1017.0646749657066</v>
      </c>
      <c r="K40" s="64">
        <f t="shared" ref="K40" si="12">J43</f>
        <v>1183.1625191335165</v>
      </c>
      <c r="L40" s="64">
        <f t="shared" ref="L40" si="13">K43</f>
        <v>1343.7237684957327</v>
      </c>
      <c r="M40" s="64">
        <f t="shared" ref="M40" si="14">L43</f>
        <v>1498.9329762125415</v>
      </c>
      <c r="O40" s="76" t="s">
        <v>219</v>
      </c>
    </row>
    <row r="41" spans="1:16" s="1" customFormat="1" ht="18.399999999999999" customHeight="1" x14ac:dyDescent="0.25">
      <c r="A41" s="56" t="s">
        <v>74</v>
      </c>
      <c r="B41" s="69" t="s">
        <v>73</v>
      </c>
      <c r="C41" s="64">
        <f t="shared" ref="C41:M41" si="15">C12</f>
        <v>50</v>
      </c>
      <c r="D41" s="64">
        <f t="shared" si="15"/>
        <v>100</v>
      </c>
      <c r="E41" s="64">
        <f t="shared" si="15"/>
        <v>150</v>
      </c>
      <c r="F41" s="64">
        <f t="shared" si="15"/>
        <v>200</v>
      </c>
      <c r="G41" s="64">
        <f t="shared" si="15"/>
        <v>200</v>
      </c>
      <c r="H41" s="64">
        <f t="shared" si="15"/>
        <v>200</v>
      </c>
      <c r="I41" s="64">
        <f t="shared" si="15"/>
        <v>200</v>
      </c>
      <c r="J41" s="64">
        <f t="shared" si="15"/>
        <v>200</v>
      </c>
      <c r="K41" s="64">
        <f t="shared" si="15"/>
        <v>200</v>
      </c>
      <c r="L41" s="64">
        <f t="shared" si="15"/>
        <v>200</v>
      </c>
      <c r="M41" s="64">
        <f t="shared" si="15"/>
        <v>200</v>
      </c>
    </row>
    <row r="42" spans="1:16" s="1" customFormat="1" ht="18.399999999999999" customHeight="1" x14ac:dyDescent="0.25">
      <c r="A42" s="56" t="s">
        <v>28</v>
      </c>
      <c r="B42" s="69" t="s">
        <v>73</v>
      </c>
      <c r="C42" s="284">
        <v>0</v>
      </c>
      <c r="D42" s="285">
        <f>-D40/C8*D29</f>
        <v>-1.6666666666666667</v>
      </c>
      <c r="E42" s="285">
        <f t="shared" ref="E42:M42" si="16">-E40/D8*E29</f>
        <v>-4.9444444444444446</v>
      </c>
      <c r="F42" s="285">
        <f t="shared" si="16"/>
        <v>-9.7796296296296301</v>
      </c>
      <c r="G42" s="285">
        <f t="shared" si="16"/>
        <v>-16.12030864197531</v>
      </c>
      <c r="H42" s="285">
        <f t="shared" si="16"/>
        <v>-22.2496316872428</v>
      </c>
      <c r="I42" s="285">
        <f t="shared" si="16"/>
        <v>-28.17464396433471</v>
      </c>
      <c r="J42" s="285">
        <f t="shared" si="16"/>
        <v>-33.902155832190218</v>
      </c>
      <c r="K42" s="285">
        <f t="shared" si="16"/>
        <v>-39.438750637783883</v>
      </c>
      <c r="L42" s="285">
        <f t="shared" si="16"/>
        <v>-44.790792283191088</v>
      </c>
      <c r="M42" s="285">
        <f t="shared" si="16"/>
        <v>-25.187549554621704</v>
      </c>
    </row>
    <row r="43" spans="1:16" s="1" customFormat="1" ht="18.399999999999999" customHeight="1" x14ac:dyDescent="0.25">
      <c r="A43" s="56" t="s">
        <v>221</v>
      </c>
      <c r="B43" s="69" t="s">
        <v>73</v>
      </c>
      <c r="C43" s="286">
        <f t="shared" ref="C43:M43" si="17">SUM(C40:C42)</f>
        <v>50</v>
      </c>
      <c r="D43" s="286">
        <f t="shared" si="17"/>
        <v>148.33333333333334</v>
      </c>
      <c r="E43" s="286">
        <f t="shared" si="17"/>
        <v>293.38888888888891</v>
      </c>
      <c r="F43" s="286">
        <f t="shared" si="17"/>
        <v>483.60925925925926</v>
      </c>
      <c r="G43" s="286">
        <f t="shared" si="17"/>
        <v>667.48895061728399</v>
      </c>
      <c r="H43" s="286">
        <f t="shared" si="17"/>
        <v>845.23931893004124</v>
      </c>
      <c r="I43" s="286">
        <f t="shared" si="17"/>
        <v>1017.0646749657066</v>
      </c>
      <c r="J43" s="286">
        <f t="shared" si="17"/>
        <v>1183.1625191335165</v>
      </c>
      <c r="K43" s="286">
        <f t="shared" si="17"/>
        <v>1343.7237684957327</v>
      </c>
      <c r="L43" s="286">
        <f t="shared" si="17"/>
        <v>1498.9329762125415</v>
      </c>
      <c r="M43" s="286">
        <f t="shared" si="17"/>
        <v>1673.7454266579198</v>
      </c>
      <c r="O43" s="76" t="s">
        <v>219</v>
      </c>
    </row>
    <row r="44" spans="1:16" s="1" customFormat="1" ht="18.399999999999999" customHeight="1" x14ac:dyDescent="0.25">
      <c r="B44" s="80"/>
      <c r="C44" s="171"/>
      <c r="D44" s="67"/>
      <c r="E44" s="67"/>
      <c r="F44" s="67"/>
      <c r="G44" s="67"/>
      <c r="H44" s="67"/>
      <c r="I44" s="67"/>
      <c r="J44" s="67"/>
      <c r="K44" s="67"/>
      <c r="L44" s="67"/>
      <c r="M44" s="67"/>
    </row>
    <row r="45" spans="1:16" s="1" customFormat="1" ht="18.399999999999999" customHeight="1" x14ac:dyDescent="0.25">
      <c r="B45" s="80"/>
      <c r="C45" s="171"/>
      <c r="D45" s="67"/>
      <c r="E45" s="67"/>
      <c r="F45" s="67"/>
      <c r="G45" s="67"/>
      <c r="H45" s="67"/>
      <c r="I45" s="67"/>
      <c r="J45" s="67"/>
      <c r="K45" s="67"/>
      <c r="L45" s="67"/>
      <c r="M45" s="67"/>
    </row>
    <row r="46" spans="1:16" s="1" customFormat="1" ht="18.399999999999999" customHeight="1" x14ac:dyDescent="0.25">
      <c r="A46" s="56" t="s">
        <v>228</v>
      </c>
      <c r="B46" s="69" t="s">
        <v>73</v>
      </c>
      <c r="C46" s="122">
        <v>0</v>
      </c>
      <c r="D46" s="123">
        <f>C49</f>
        <v>-50</v>
      </c>
      <c r="E46" s="123">
        <f>D49</f>
        <v>-111.782</v>
      </c>
      <c r="F46" s="123">
        <f t="shared" ref="F46:M46" si="18">E49</f>
        <v>-191.66236768444446</v>
      </c>
      <c r="G46" s="123">
        <f t="shared" si="18"/>
        <v>-246.75689487160054</v>
      </c>
      <c r="H46" s="123">
        <f t="shared" si="18"/>
        <v>-261.97889882005228</v>
      </c>
      <c r="I46" s="123">
        <f t="shared" si="18"/>
        <v>-281.65349288084803</v>
      </c>
      <c r="J46" s="123">
        <f t="shared" si="18"/>
        <v>-302.27618228010806</v>
      </c>
      <c r="K46" s="123">
        <f t="shared" si="18"/>
        <v>-324.10837016265492</v>
      </c>
      <c r="L46" s="123">
        <f t="shared" si="18"/>
        <v>-349.08858320445859</v>
      </c>
      <c r="M46" s="123">
        <f t="shared" si="18"/>
        <v>-381.35779635536409</v>
      </c>
      <c r="O46" s="76" t="s">
        <v>216</v>
      </c>
    </row>
    <row r="47" spans="1:16" s="1" customFormat="1" ht="18.399999999999999" customHeight="1" x14ac:dyDescent="0.25">
      <c r="A47" s="199" t="s">
        <v>28</v>
      </c>
      <c r="B47" s="69" t="s">
        <v>73</v>
      </c>
      <c r="C47" s="66">
        <f>C46/C8*C29</f>
        <v>0</v>
      </c>
      <c r="D47" s="66">
        <f>D46/D8*D29</f>
        <v>-1.6666666666666667</v>
      </c>
      <c r="E47" s="66">
        <f t="shared" ref="E47:M47" si="19">E46/E8*E29</f>
        <v>-3.7260666666666666</v>
      </c>
      <c r="F47" s="66">
        <f t="shared" si="19"/>
        <v>-6.3887455894814824</v>
      </c>
      <c r="G47" s="66">
        <f t="shared" si="19"/>
        <v>-8.225229829053351</v>
      </c>
      <c r="H47" s="66">
        <f t="shared" si="19"/>
        <v>-8.7326299606684099</v>
      </c>
      <c r="I47" s="66">
        <f t="shared" si="19"/>
        <v>-9.3884497626949344</v>
      </c>
      <c r="J47" s="66">
        <f t="shared" si="19"/>
        <v>-10.075872742670269</v>
      </c>
      <c r="K47" s="66">
        <f t="shared" si="19"/>
        <v>-10.803612338755164</v>
      </c>
      <c r="L47" s="66">
        <f t="shared" si="19"/>
        <v>-11.636286106815286</v>
      </c>
      <c r="M47" s="66">
        <f t="shared" si="19"/>
        <v>-6.4082040666106854</v>
      </c>
    </row>
    <row r="48" spans="1:16" s="1" customFormat="1" ht="18.399999999999999" customHeight="1" x14ac:dyDescent="0.25">
      <c r="A48" s="56" t="s">
        <v>128</v>
      </c>
      <c r="B48" s="69" t="s">
        <v>73</v>
      </c>
      <c r="C48" s="200">
        <f>C79</f>
        <v>-50</v>
      </c>
      <c r="D48" s="200">
        <f>D79</f>
        <v>-60.115333333333332</v>
      </c>
      <c r="E48" s="200">
        <f t="shared" ref="E48:M48" si="20">E79</f>
        <v>-76.154301017777783</v>
      </c>
      <c r="F48" s="200">
        <f t="shared" si="20"/>
        <v>-48.705781597674587</v>
      </c>
      <c r="G48" s="200">
        <f t="shared" si="20"/>
        <v>-6.9967741193983954</v>
      </c>
      <c r="H48" s="200">
        <f t="shared" si="20"/>
        <v>-10.941964100127336</v>
      </c>
      <c r="I48" s="200">
        <f t="shared" si="20"/>
        <v>-11.234239636565064</v>
      </c>
      <c r="J48" s="200">
        <f t="shared" si="20"/>
        <v>-11.756315139876619</v>
      </c>
      <c r="K48" s="200">
        <f t="shared" si="20"/>
        <v>-14.176600703048507</v>
      </c>
      <c r="L48" s="200">
        <f t="shared" si="20"/>
        <v>-20.632927044090195</v>
      </c>
      <c r="M48" s="200">
        <f t="shared" si="20"/>
        <v>47.59254038890586</v>
      </c>
    </row>
    <row r="49" spans="1:16" s="1" customFormat="1" ht="18.399999999999999" customHeight="1" x14ac:dyDescent="0.25">
      <c r="A49" s="56" t="s">
        <v>227</v>
      </c>
      <c r="B49" s="69" t="s">
        <v>73</v>
      </c>
      <c r="C49" s="114">
        <f>C46+C47+C48</f>
        <v>-50</v>
      </c>
      <c r="D49" s="114">
        <f>D46+D47+D48</f>
        <v>-111.782</v>
      </c>
      <c r="E49" s="114">
        <f t="shared" ref="E49:M49" si="21">E46+E47+E48</f>
        <v>-191.66236768444446</v>
      </c>
      <c r="F49" s="114">
        <f t="shared" si="21"/>
        <v>-246.75689487160054</v>
      </c>
      <c r="G49" s="114">
        <f t="shared" si="21"/>
        <v>-261.97889882005228</v>
      </c>
      <c r="H49" s="114">
        <f t="shared" si="21"/>
        <v>-281.65349288084803</v>
      </c>
      <c r="I49" s="114">
        <f t="shared" si="21"/>
        <v>-302.27618228010806</v>
      </c>
      <c r="J49" s="114">
        <f t="shared" si="21"/>
        <v>-324.10837016265492</v>
      </c>
      <c r="K49" s="114">
        <f t="shared" si="21"/>
        <v>-349.08858320445859</v>
      </c>
      <c r="L49" s="114">
        <f t="shared" si="21"/>
        <v>-381.35779635536409</v>
      </c>
      <c r="M49" s="114">
        <f t="shared" si="21"/>
        <v>-340.17346003306886</v>
      </c>
      <c r="O49" s="76" t="s">
        <v>217</v>
      </c>
    </row>
    <row r="50" spans="1:16" s="1" customFormat="1" ht="18.399999999999999" customHeight="1" x14ac:dyDescent="0.25">
      <c r="B50" s="80"/>
      <c r="C50" s="171"/>
      <c r="D50" s="67"/>
      <c r="E50" s="67"/>
      <c r="F50" s="67"/>
      <c r="G50" s="67"/>
      <c r="H50" s="67"/>
      <c r="I50" s="67"/>
      <c r="J50" s="67"/>
      <c r="K50" s="67"/>
      <c r="L50" s="67"/>
      <c r="M50" s="67"/>
    </row>
    <row r="51" spans="1:16" s="1" customFormat="1" ht="18.399999999999999" customHeight="1" x14ac:dyDescent="0.25">
      <c r="A51" s="201"/>
      <c r="B51" s="187"/>
      <c r="C51" s="80"/>
      <c r="D51" s="80"/>
      <c r="E51" s="80"/>
      <c r="F51" s="80"/>
      <c r="G51" s="80"/>
      <c r="H51" s="80"/>
      <c r="I51" s="80"/>
      <c r="J51" s="80"/>
      <c r="K51" s="80"/>
      <c r="L51" s="80"/>
      <c r="M51" s="80"/>
    </row>
    <row r="52" spans="1:16" x14ac:dyDescent="0.25">
      <c r="A52" s="118" t="s">
        <v>141</v>
      </c>
      <c r="B52" s="69" t="s">
        <v>73</v>
      </c>
      <c r="C52" s="123">
        <f>C40-C46</f>
        <v>0</v>
      </c>
      <c r="D52" s="123">
        <f t="shared" ref="D52:M52" si="22">D40-D46</f>
        <v>100</v>
      </c>
      <c r="E52" s="123">
        <f t="shared" si="22"/>
        <v>260.11533333333335</v>
      </c>
      <c r="F52" s="123">
        <f t="shared" si="22"/>
        <v>485.05125657333338</v>
      </c>
      <c r="G52" s="123">
        <f t="shared" si="22"/>
        <v>730.36615413085974</v>
      </c>
      <c r="H52" s="123">
        <f t="shared" si="22"/>
        <v>929.46784943733633</v>
      </c>
      <c r="I52" s="123">
        <f t="shared" si="22"/>
        <v>1126.8928118108893</v>
      </c>
      <c r="J52" s="123">
        <f t="shared" si="22"/>
        <v>1319.3408572458147</v>
      </c>
      <c r="K52" s="123">
        <f t="shared" si="22"/>
        <v>1507.2708892961714</v>
      </c>
      <c r="L52" s="123">
        <f t="shared" si="22"/>
        <v>1692.8123517001914</v>
      </c>
      <c r="M52" s="123">
        <f t="shared" si="22"/>
        <v>1880.2907725679056</v>
      </c>
      <c r="O52" s="76" t="s">
        <v>214</v>
      </c>
    </row>
    <row r="53" spans="1:16" x14ac:dyDescent="0.25">
      <c r="A53" s="56"/>
      <c r="B53" s="69"/>
      <c r="C53" s="64"/>
      <c r="D53" s="64"/>
      <c r="E53" s="64"/>
      <c r="F53" s="64"/>
      <c r="G53" s="64"/>
      <c r="H53" s="64"/>
      <c r="I53" s="64"/>
      <c r="J53" s="64"/>
      <c r="K53" s="64"/>
      <c r="L53" s="64"/>
      <c r="M53" s="64"/>
    </row>
    <row r="54" spans="1:16" s="1" customFormat="1" ht="18.399999999999999" customHeight="1" x14ac:dyDescent="0.25">
      <c r="A54" s="56" t="s">
        <v>215</v>
      </c>
      <c r="B54" s="69" t="s">
        <v>73</v>
      </c>
      <c r="C54" s="90">
        <v>0</v>
      </c>
      <c r="D54" s="85">
        <f>-D52/C8*D$29</f>
        <v>-3.3333333333333335</v>
      </c>
      <c r="E54" s="85">
        <f t="shared" ref="E54:M54" si="23">-E52/D8*E$29</f>
        <v>-8.6705111111111126</v>
      </c>
      <c r="F54" s="85">
        <f t="shared" si="23"/>
        <v>-16.168375219111113</v>
      </c>
      <c r="G54" s="85">
        <f t="shared" si="23"/>
        <v>-24.345538471028657</v>
      </c>
      <c r="H54" s="85">
        <f t="shared" si="23"/>
        <v>-30.982261647911212</v>
      </c>
      <c r="I54" s="85">
        <f t="shared" si="23"/>
        <v>-37.563093727029646</v>
      </c>
      <c r="J54" s="85">
        <f t="shared" si="23"/>
        <v>-43.978028574860488</v>
      </c>
      <c r="K54" s="85">
        <f t="shared" si="23"/>
        <v>-50.242362976539049</v>
      </c>
      <c r="L54" s="85">
        <f t="shared" si="23"/>
        <v>-56.427078390006379</v>
      </c>
      <c r="M54" s="85">
        <f t="shared" si="23"/>
        <v>-31.595753621232387</v>
      </c>
      <c r="P54" s="76" t="s">
        <v>143</v>
      </c>
    </row>
    <row r="55" spans="1:16" s="1" customFormat="1" ht="18.399999999999999" customHeight="1" x14ac:dyDescent="0.25">
      <c r="A55" s="73"/>
      <c r="B55" s="153"/>
      <c r="C55" s="80"/>
      <c r="D55" s="80"/>
      <c r="E55" s="80"/>
      <c r="F55" s="80"/>
      <c r="G55" s="80"/>
      <c r="H55" s="80"/>
      <c r="I55" s="80"/>
      <c r="J55" s="80"/>
      <c r="K55" s="80"/>
      <c r="L55" s="80"/>
      <c r="M55" s="80"/>
    </row>
    <row r="56" spans="1:16" s="1" customFormat="1" ht="18.399999999999999" customHeight="1" x14ac:dyDescent="0.25">
      <c r="B56" s="80"/>
      <c r="C56" s="171"/>
      <c r="D56" s="67"/>
      <c r="E56" s="67"/>
      <c r="F56" s="67"/>
      <c r="G56" s="67"/>
      <c r="H56" s="67"/>
      <c r="I56" s="67"/>
      <c r="J56" s="67"/>
      <c r="K56" s="67"/>
      <c r="L56" s="67"/>
      <c r="M56" s="67"/>
    </row>
    <row r="57" spans="1:16" s="1" customFormat="1" ht="21" x14ac:dyDescent="0.35">
      <c r="A57" s="178" t="s">
        <v>127</v>
      </c>
    </row>
    <row r="58" spans="1:16" x14ac:dyDescent="0.25">
      <c r="C58" s="99">
        <v>2012</v>
      </c>
      <c r="D58" s="99">
        <v>2013</v>
      </c>
      <c r="E58" s="99">
        <v>2014</v>
      </c>
      <c r="F58" s="99">
        <v>2015</v>
      </c>
      <c r="G58" s="99">
        <v>2016</v>
      </c>
      <c r="H58" s="99">
        <v>2017</v>
      </c>
      <c r="I58" s="99">
        <v>2018</v>
      </c>
      <c r="J58" s="99">
        <v>2019</v>
      </c>
      <c r="K58" s="99">
        <v>2020</v>
      </c>
      <c r="L58" s="99">
        <v>2021</v>
      </c>
      <c r="M58" s="99">
        <v>2022</v>
      </c>
    </row>
    <row r="59" spans="1:16" s="1" customFormat="1" ht="18.75" x14ac:dyDescent="0.3">
      <c r="A59" s="86" t="s">
        <v>101</v>
      </c>
      <c r="B59" s="96"/>
    </row>
    <row r="60" spans="1:16" s="1" customFormat="1" x14ac:dyDescent="0.25">
      <c r="A60" s="91" t="s">
        <v>90</v>
      </c>
      <c r="B60" s="69" t="s">
        <v>73</v>
      </c>
      <c r="C60" s="176">
        <v>0</v>
      </c>
      <c r="D60" s="123">
        <f>C63</f>
        <v>30</v>
      </c>
      <c r="E60" s="123">
        <f>D63</f>
        <v>80</v>
      </c>
      <c r="F60" s="123">
        <f t="shared" ref="F60:M60" si="24">E63</f>
        <v>150</v>
      </c>
      <c r="G60" s="123">
        <f t="shared" si="24"/>
        <v>250</v>
      </c>
      <c r="H60" s="123">
        <f t="shared" si="24"/>
        <v>350</v>
      </c>
      <c r="I60" s="123">
        <f t="shared" si="24"/>
        <v>450</v>
      </c>
      <c r="J60" s="123">
        <f t="shared" si="24"/>
        <v>550</v>
      </c>
      <c r="K60" s="123">
        <f>J63</f>
        <v>650</v>
      </c>
      <c r="L60" s="123">
        <f t="shared" si="24"/>
        <v>750</v>
      </c>
      <c r="M60" s="123">
        <f t="shared" si="24"/>
        <v>850</v>
      </c>
    </row>
    <row r="61" spans="1:16" s="1" customFormat="1" x14ac:dyDescent="0.25">
      <c r="A61" s="91" t="s">
        <v>89</v>
      </c>
      <c r="B61" s="69" t="s">
        <v>73</v>
      </c>
      <c r="C61" s="64">
        <f>C15</f>
        <v>30</v>
      </c>
      <c r="D61" s="64">
        <f t="shared" ref="D61:M61" si="25">D15</f>
        <v>50</v>
      </c>
      <c r="E61" s="64">
        <f t="shared" si="25"/>
        <v>70</v>
      </c>
      <c r="F61" s="64">
        <f t="shared" si="25"/>
        <v>100</v>
      </c>
      <c r="G61" s="64">
        <f t="shared" si="25"/>
        <v>100</v>
      </c>
      <c r="H61" s="64">
        <f t="shared" si="25"/>
        <v>100</v>
      </c>
      <c r="I61" s="64">
        <f t="shared" si="25"/>
        <v>100</v>
      </c>
      <c r="J61" s="64">
        <f t="shared" si="25"/>
        <v>100</v>
      </c>
      <c r="K61" s="64">
        <f t="shared" si="25"/>
        <v>100</v>
      </c>
      <c r="L61" s="64">
        <f t="shared" si="25"/>
        <v>100</v>
      </c>
      <c r="M61" s="64">
        <f t="shared" si="25"/>
        <v>100</v>
      </c>
    </row>
    <row r="62" spans="1:16" s="1" customFormat="1" x14ac:dyDescent="0.25">
      <c r="A62" s="91" t="s">
        <v>100</v>
      </c>
      <c r="B62" s="69" t="s">
        <v>73</v>
      </c>
      <c r="C62" s="66">
        <f t="shared" ref="C62:M62" si="26">C16</f>
        <v>0</v>
      </c>
      <c r="D62" s="66">
        <f t="shared" si="26"/>
        <v>0</v>
      </c>
      <c r="E62" s="66">
        <f t="shared" si="26"/>
        <v>0</v>
      </c>
      <c r="F62" s="66">
        <f t="shared" si="26"/>
        <v>0</v>
      </c>
      <c r="G62" s="66">
        <f t="shared" si="26"/>
        <v>0</v>
      </c>
      <c r="H62" s="66">
        <f t="shared" si="26"/>
        <v>0</v>
      </c>
      <c r="I62" s="66">
        <f t="shared" si="26"/>
        <v>0</v>
      </c>
      <c r="J62" s="66">
        <f t="shared" si="26"/>
        <v>0</v>
      </c>
      <c r="K62" s="66">
        <f t="shared" si="26"/>
        <v>0</v>
      </c>
      <c r="L62" s="66">
        <f t="shared" si="26"/>
        <v>0</v>
      </c>
      <c r="M62" s="66">
        <f t="shared" si="26"/>
        <v>0</v>
      </c>
    </row>
    <row r="63" spans="1:16" s="1" customFormat="1" x14ac:dyDescent="0.25">
      <c r="A63" s="91" t="s">
        <v>99</v>
      </c>
      <c r="B63" s="69" t="s">
        <v>73</v>
      </c>
      <c r="C63" s="114">
        <f>SUM(C60:C62)</f>
        <v>30</v>
      </c>
      <c r="D63" s="114">
        <f t="shared" ref="D63:M63" si="27">SUM(D60:D62)</f>
        <v>80</v>
      </c>
      <c r="E63" s="114">
        <f t="shared" si="27"/>
        <v>150</v>
      </c>
      <c r="F63" s="114">
        <f t="shared" si="27"/>
        <v>250</v>
      </c>
      <c r="G63" s="114">
        <f t="shared" si="27"/>
        <v>350</v>
      </c>
      <c r="H63" s="114">
        <f t="shared" si="27"/>
        <v>450</v>
      </c>
      <c r="I63" s="114">
        <f t="shared" si="27"/>
        <v>550</v>
      </c>
      <c r="J63" s="114">
        <f t="shared" si="27"/>
        <v>650</v>
      </c>
      <c r="K63" s="114">
        <f t="shared" si="27"/>
        <v>750</v>
      </c>
      <c r="L63" s="114">
        <f t="shared" si="27"/>
        <v>850</v>
      </c>
      <c r="M63" s="114">
        <f t="shared" si="27"/>
        <v>950</v>
      </c>
    </row>
    <row r="64" spans="1:16" s="1" customFormat="1" x14ac:dyDescent="0.25"/>
    <row r="65" spans="1:16" ht="18.75" x14ac:dyDescent="0.3">
      <c r="A65" s="87" t="s">
        <v>67</v>
      </c>
      <c r="B65" s="71"/>
      <c r="C65" s="71"/>
      <c r="D65" s="71"/>
      <c r="E65" s="71"/>
      <c r="F65" s="71"/>
      <c r="G65" s="71"/>
      <c r="H65" s="71"/>
      <c r="I65" s="71"/>
      <c r="J65" s="71"/>
      <c r="K65" s="71"/>
      <c r="L65" s="71"/>
      <c r="M65" s="71"/>
    </row>
    <row r="66" spans="1:16" x14ac:dyDescent="0.25">
      <c r="A66" s="56" t="s">
        <v>67</v>
      </c>
      <c r="B66" s="69" t="s">
        <v>73</v>
      </c>
      <c r="C66" s="64">
        <f t="shared" ref="C66:M66" si="28">C11</f>
        <v>0</v>
      </c>
      <c r="D66" s="64">
        <f t="shared" si="28"/>
        <v>50</v>
      </c>
      <c r="E66" s="64">
        <f t="shared" si="28"/>
        <v>100</v>
      </c>
      <c r="F66" s="64">
        <f t="shared" si="28"/>
        <v>150</v>
      </c>
      <c r="G66" s="64">
        <f t="shared" si="28"/>
        <v>200</v>
      </c>
      <c r="H66" s="64">
        <f t="shared" si="28"/>
        <v>210</v>
      </c>
      <c r="I66" s="64">
        <f t="shared" si="28"/>
        <v>220</v>
      </c>
      <c r="J66" s="64">
        <f t="shared" si="28"/>
        <v>230</v>
      </c>
      <c r="K66" s="64">
        <f t="shared" si="28"/>
        <v>240</v>
      </c>
      <c r="L66" s="64">
        <f t="shared" si="28"/>
        <v>250</v>
      </c>
      <c r="M66" s="64">
        <f t="shared" si="28"/>
        <v>260</v>
      </c>
    </row>
    <row r="67" spans="1:16" x14ac:dyDescent="0.25">
      <c r="A67" s="56"/>
      <c r="B67" s="63"/>
      <c r="C67" s="64"/>
      <c r="D67" s="64"/>
      <c r="E67" s="64"/>
      <c r="F67" s="64"/>
      <c r="G67" s="64"/>
      <c r="H67" s="64"/>
      <c r="I67" s="64"/>
      <c r="J67" s="64"/>
      <c r="K67" s="64"/>
      <c r="L67" s="64"/>
      <c r="M67" s="64"/>
    </row>
    <row r="68" spans="1:16" s="1" customFormat="1" ht="18.75" x14ac:dyDescent="0.3">
      <c r="A68" s="87" t="s">
        <v>84</v>
      </c>
      <c r="B68" s="69"/>
      <c r="C68" s="64"/>
      <c r="D68" s="64"/>
      <c r="E68" s="64"/>
      <c r="F68" s="64"/>
      <c r="G68" s="64"/>
      <c r="H68" s="64"/>
      <c r="I68" s="64"/>
      <c r="J68" s="64"/>
      <c r="K68" s="64"/>
      <c r="L68" s="64"/>
      <c r="M68" s="64"/>
    </row>
    <row r="69" spans="1:16" s="1" customFormat="1" x14ac:dyDescent="0.25">
      <c r="A69" s="56" t="s">
        <v>35</v>
      </c>
      <c r="B69" s="69" t="s">
        <v>73</v>
      </c>
      <c r="C69" s="64">
        <f>-C24*C52</f>
        <v>0</v>
      </c>
      <c r="D69" s="64">
        <f t="shared" ref="D69:M69" si="29">-D24*D52</f>
        <v>-9.1820000000000022</v>
      </c>
      <c r="E69" s="64">
        <f t="shared" si="29"/>
        <v>-23.883789906666671</v>
      </c>
      <c r="F69" s="64">
        <f t="shared" si="29"/>
        <v>-44.537406378563475</v>
      </c>
      <c r="G69" s="64">
        <f t="shared" si="29"/>
        <v>-45.151235648369749</v>
      </c>
      <c r="H69" s="64">
        <f t="shared" si="29"/>
        <v>-57.459702452216135</v>
      </c>
      <c r="I69" s="64">
        <f t="shared" si="29"/>
        <v>-66.171145909535426</v>
      </c>
      <c r="J69" s="64">
        <f t="shared" si="29"/>
        <v>-64.278286565016103</v>
      </c>
      <c r="K69" s="64">
        <f t="shared" si="29"/>
        <v>-73.43423772650948</v>
      </c>
      <c r="L69" s="64">
        <f t="shared" si="29"/>
        <v>-86.705848654083795</v>
      </c>
      <c r="M69" s="64">
        <f t="shared" si="29"/>
        <v>-47.811705989861771</v>
      </c>
    </row>
    <row r="70" spans="1:16" s="1" customFormat="1" x14ac:dyDescent="0.25">
      <c r="A70" s="56" t="s">
        <v>144</v>
      </c>
      <c r="B70" s="69" t="s">
        <v>73</v>
      </c>
      <c r="C70" s="64">
        <f t="shared" ref="C70:M70" si="30">C13</f>
        <v>-50</v>
      </c>
      <c r="D70" s="64">
        <f t="shared" si="30"/>
        <v>-100</v>
      </c>
      <c r="E70" s="64">
        <f t="shared" si="30"/>
        <v>-150</v>
      </c>
      <c r="F70" s="64">
        <f t="shared" si="30"/>
        <v>-150</v>
      </c>
      <c r="G70" s="64">
        <f t="shared" si="30"/>
        <v>-150</v>
      </c>
      <c r="H70" s="64">
        <f t="shared" si="30"/>
        <v>-150</v>
      </c>
      <c r="I70" s="64">
        <f t="shared" si="30"/>
        <v>-150</v>
      </c>
      <c r="J70" s="64">
        <f t="shared" si="30"/>
        <v>-150</v>
      </c>
      <c r="K70" s="64">
        <f t="shared" si="30"/>
        <v>-150</v>
      </c>
      <c r="L70" s="64">
        <f t="shared" si="30"/>
        <v>-150</v>
      </c>
      <c r="M70" s="64">
        <f t="shared" si="30"/>
        <v>-150</v>
      </c>
    </row>
    <row r="71" spans="1:16" s="1" customFormat="1" x14ac:dyDescent="0.25">
      <c r="A71" s="56" t="s">
        <v>28</v>
      </c>
      <c r="B71" s="69" t="s">
        <v>73</v>
      </c>
      <c r="C71" s="64">
        <f>C54</f>
        <v>0</v>
      </c>
      <c r="D71" s="64">
        <f>D54</f>
        <v>-3.3333333333333335</v>
      </c>
      <c r="E71" s="64">
        <f t="shared" ref="E71:M71" si="31">E54</f>
        <v>-8.6705111111111126</v>
      </c>
      <c r="F71" s="64">
        <f t="shared" si="31"/>
        <v>-16.168375219111113</v>
      </c>
      <c r="G71" s="64">
        <f t="shared" si="31"/>
        <v>-24.345538471028657</v>
      </c>
      <c r="H71" s="64">
        <f t="shared" si="31"/>
        <v>-30.982261647911212</v>
      </c>
      <c r="I71" s="64">
        <f t="shared" si="31"/>
        <v>-37.563093727029646</v>
      </c>
      <c r="J71" s="64">
        <f t="shared" si="31"/>
        <v>-43.978028574860488</v>
      </c>
      <c r="K71" s="64">
        <f t="shared" si="31"/>
        <v>-50.242362976539049</v>
      </c>
      <c r="L71" s="64">
        <f t="shared" si="31"/>
        <v>-56.427078390006379</v>
      </c>
      <c r="M71" s="64">
        <f t="shared" si="31"/>
        <v>-31.595753621232387</v>
      </c>
    </row>
    <row r="72" spans="1:16" s="1" customFormat="1" x14ac:dyDescent="0.25">
      <c r="A72" s="79" t="s">
        <v>207</v>
      </c>
      <c r="B72" s="69" t="s">
        <v>73</v>
      </c>
      <c r="C72" s="81">
        <f>C102</f>
        <v>0</v>
      </c>
      <c r="D72" s="81">
        <f t="shared" ref="D72:M72" si="32">D102</f>
        <v>0</v>
      </c>
      <c r="E72" s="81">
        <f t="shared" si="32"/>
        <v>0</v>
      </c>
      <c r="F72" s="81">
        <f t="shared" si="32"/>
        <v>0</v>
      </c>
      <c r="G72" s="81">
        <f t="shared" si="32"/>
        <v>0</v>
      </c>
      <c r="H72" s="81">
        <f t="shared" si="32"/>
        <v>0</v>
      </c>
      <c r="I72" s="81">
        <f t="shared" si="32"/>
        <v>0</v>
      </c>
      <c r="J72" s="81">
        <f t="shared" si="32"/>
        <v>0</v>
      </c>
      <c r="K72" s="81">
        <f t="shared" si="32"/>
        <v>0</v>
      </c>
      <c r="L72" s="81">
        <f t="shared" si="32"/>
        <v>0</v>
      </c>
      <c r="M72" s="81">
        <f t="shared" si="32"/>
        <v>0</v>
      </c>
      <c r="O72" s="76"/>
      <c r="P72" s="76" t="s">
        <v>134</v>
      </c>
    </row>
    <row r="73" spans="1:16" x14ac:dyDescent="0.25">
      <c r="A73" s="82" t="s">
        <v>91</v>
      </c>
      <c r="B73" s="69" t="s">
        <v>73</v>
      </c>
      <c r="C73" s="115">
        <f>SUM(C69:C72)</f>
        <v>-50</v>
      </c>
      <c r="D73" s="115">
        <f t="shared" ref="D73:M73" si="33">SUM(D69:D72)</f>
        <v>-112.51533333333333</v>
      </c>
      <c r="E73" s="115">
        <f t="shared" si="33"/>
        <v>-182.55430101777779</v>
      </c>
      <c r="F73" s="115">
        <f t="shared" si="33"/>
        <v>-210.70578159767459</v>
      </c>
      <c r="G73" s="115">
        <f t="shared" si="33"/>
        <v>-219.4967741193984</v>
      </c>
      <c r="H73" s="115">
        <f t="shared" si="33"/>
        <v>-238.44196410012734</v>
      </c>
      <c r="I73" s="115">
        <f t="shared" si="33"/>
        <v>-253.73423963656506</v>
      </c>
      <c r="J73" s="115">
        <f t="shared" si="33"/>
        <v>-258.25631513987662</v>
      </c>
      <c r="K73" s="115">
        <f t="shared" si="33"/>
        <v>-273.67660070304851</v>
      </c>
      <c r="L73" s="115">
        <f t="shared" si="33"/>
        <v>-293.1329270440902</v>
      </c>
      <c r="M73" s="115">
        <f t="shared" si="33"/>
        <v>-229.40745961109414</v>
      </c>
    </row>
    <row r="74" spans="1:16" s="1" customFormat="1" x14ac:dyDescent="0.25">
      <c r="A74" s="77"/>
      <c r="C74" s="45"/>
      <c r="D74" s="45"/>
      <c r="E74" s="45"/>
      <c r="F74" s="45"/>
      <c r="G74" s="45"/>
      <c r="H74" s="45"/>
      <c r="I74" s="45"/>
      <c r="J74" s="45"/>
      <c r="K74" s="45"/>
      <c r="L74" s="45"/>
      <c r="M74" s="45"/>
    </row>
    <row r="75" spans="1:16" s="1" customFormat="1" ht="18.75" x14ac:dyDescent="0.3">
      <c r="A75" s="86" t="s">
        <v>86</v>
      </c>
      <c r="C75" s="45"/>
      <c r="D75" s="45"/>
      <c r="E75" s="45"/>
      <c r="F75" s="45"/>
      <c r="G75" s="45"/>
      <c r="H75" s="45"/>
      <c r="I75" s="45"/>
      <c r="J75" s="45"/>
      <c r="K75" s="45"/>
      <c r="L75" s="45"/>
      <c r="M75" s="45"/>
    </row>
    <row r="76" spans="1:16" s="1" customFormat="1" x14ac:dyDescent="0.25">
      <c r="A76" s="56" t="s">
        <v>180</v>
      </c>
      <c r="B76" s="69" t="s">
        <v>73</v>
      </c>
      <c r="C76" s="64">
        <f>C23*C60</f>
        <v>0</v>
      </c>
      <c r="D76" s="64">
        <f t="shared" ref="D76:M76" si="34">D23*D60</f>
        <v>2.4</v>
      </c>
      <c r="E76" s="64">
        <f t="shared" si="34"/>
        <v>6.4</v>
      </c>
      <c r="F76" s="64">
        <f t="shared" si="34"/>
        <v>12</v>
      </c>
      <c r="G76" s="64">
        <f t="shared" si="34"/>
        <v>12.5</v>
      </c>
      <c r="H76" s="64">
        <f t="shared" si="34"/>
        <v>17.5</v>
      </c>
      <c r="I76" s="64">
        <f t="shared" si="34"/>
        <v>22.5</v>
      </c>
      <c r="J76" s="64">
        <f t="shared" si="34"/>
        <v>16.5</v>
      </c>
      <c r="K76" s="64">
        <f t="shared" si="34"/>
        <v>19.5</v>
      </c>
      <c r="L76" s="64">
        <f t="shared" si="34"/>
        <v>22.5</v>
      </c>
      <c r="M76" s="64">
        <f t="shared" si="34"/>
        <v>17</v>
      </c>
    </row>
    <row r="77" spans="1:16" s="1" customFormat="1" x14ac:dyDescent="0.25">
      <c r="A77" s="73"/>
      <c r="B77" s="65"/>
      <c r="C77" s="66"/>
      <c r="D77" s="66"/>
      <c r="E77" s="66"/>
      <c r="F77" s="66"/>
      <c r="G77" s="66"/>
      <c r="H77" s="66"/>
      <c r="I77" s="66"/>
      <c r="J77" s="66"/>
      <c r="K77" s="66"/>
      <c r="L77" s="66"/>
      <c r="M77" s="66"/>
    </row>
    <row r="78" spans="1:16" s="1" customFormat="1" ht="18.75" x14ac:dyDescent="0.3">
      <c r="A78" s="86" t="s">
        <v>85</v>
      </c>
      <c r="B78" s="83"/>
      <c r="C78" s="78"/>
      <c r="D78" s="78"/>
      <c r="E78" s="78"/>
      <c r="F78" s="78"/>
      <c r="G78" s="78"/>
      <c r="H78" s="78"/>
      <c r="I78" s="78"/>
      <c r="J78" s="78"/>
      <c r="K78" s="78"/>
      <c r="L78" s="78"/>
      <c r="M78" s="78"/>
    </row>
    <row r="79" spans="1:16" s="1" customFormat="1" x14ac:dyDescent="0.25">
      <c r="A79" s="56" t="s">
        <v>128</v>
      </c>
      <c r="B79" s="69" t="s">
        <v>73</v>
      </c>
      <c r="C79" s="85">
        <f t="shared" ref="C79:M79" si="35">C66+C73+C76</f>
        <v>-50</v>
      </c>
      <c r="D79" s="85">
        <f t="shared" si="35"/>
        <v>-60.115333333333332</v>
      </c>
      <c r="E79" s="85">
        <f t="shared" si="35"/>
        <v>-76.154301017777783</v>
      </c>
      <c r="F79" s="85">
        <f t="shared" si="35"/>
        <v>-48.705781597674587</v>
      </c>
      <c r="G79" s="85">
        <f t="shared" si="35"/>
        <v>-6.9967741193983954</v>
      </c>
      <c r="H79" s="85">
        <f t="shared" si="35"/>
        <v>-10.941964100127336</v>
      </c>
      <c r="I79" s="85">
        <f t="shared" si="35"/>
        <v>-11.234239636565064</v>
      </c>
      <c r="J79" s="85">
        <f t="shared" si="35"/>
        <v>-11.756315139876619</v>
      </c>
      <c r="K79" s="85">
        <f t="shared" si="35"/>
        <v>-14.176600703048507</v>
      </c>
      <c r="L79" s="85">
        <f t="shared" si="35"/>
        <v>-20.632927044090195</v>
      </c>
      <c r="M79" s="85">
        <f t="shared" si="35"/>
        <v>47.59254038890586</v>
      </c>
    </row>
    <row r="80" spans="1:16" s="1" customFormat="1" x14ac:dyDescent="0.25">
      <c r="A80" s="73"/>
      <c r="B80" s="153"/>
      <c r="C80" s="78"/>
      <c r="D80" s="78"/>
      <c r="E80" s="78"/>
      <c r="F80" s="78"/>
      <c r="G80" s="78"/>
      <c r="H80" s="78"/>
      <c r="I80" s="78"/>
      <c r="J80" s="78"/>
      <c r="K80" s="78"/>
      <c r="L80" s="78"/>
      <c r="M80" s="78"/>
    </row>
    <row r="81" spans="1:17" s="1" customFormat="1" ht="23.25" x14ac:dyDescent="0.35">
      <c r="A81" s="177" t="s">
        <v>207</v>
      </c>
      <c r="B81"/>
      <c r="C81" s="67"/>
      <c r="D81" s="67"/>
      <c r="E81" s="67"/>
      <c r="F81" s="67"/>
      <c r="G81" s="67"/>
      <c r="H81" s="67"/>
      <c r="I81" s="67"/>
      <c r="J81" s="67"/>
      <c r="K81" s="67"/>
      <c r="L81" s="67"/>
      <c r="M81" s="67"/>
      <c r="N81"/>
      <c r="O81"/>
      <c r="P81"/>
      <c r="Q81"/>
    </row>
    <row r="82" spans="1:17" x14ac:dyDescent="0.25">
      <c r="A82" s="1"/>
      <c r="B82" s="1"/>
      <c r="C82" s="100">
        <v>2012</v>
      </c>
      <c r="D82" s="100">
        <v>2013</v>
      </c>
      <c r="E82" s="100">
        <v>2014</v>
      </c>
      <c r="F82" s="100">
        <v>2015</v>
      </c>
      <c r="G82" s="100">
        <v>2016</v>
      </c>
      <c r="H82" s="100">
        <v>2017</v>
      </c>
      <c r="I82" s="100">
        <v>2018</v>
      </c>
      <c r="J82" s="100">
        <v>2019</v>
      </c>
      <c r="K82" s="100">
        <v>2020</v>
      </c>
      <c r="L82" s="100">
        <v>2021</v>
      </c>
      <c r="M82" s="100">
        <v>2022</v>
      </c>
    </row>
    <row r="83" spans="1:17" x14ac:dyDescent="0.25">
      <c r="A83" s="56" t="s">
        <v>67</v>
      </c>
      <c r="B83" s="69" t="s">
        <v>73</v>
      </c>
      <c r="C83" s="64">
        <f t="shared" ref="C83:M83" si="36">C11</f>
        <v>0</v>
      </c>
      <c r="D83" s="64">
        <f t="shared" si="36"/>
        <v>50</v>
      </c>
      <c r="E83" s="64">
        <f t="shared" si="36"/>
        <v>100</v>
      </c>
      <c r="F83" s="64">
        <f t="shared" si="36"/>
        <v>150</v>
      </c>
      <c r="G83" s="64">
        <f t="shared" si="36"/>
        <v>200</v>
      </c>
      <c r="H83" s="64">
        <f t="shared" si="36"/>
        <v>210</v>
      </c>
      <c r="I83" s="64">
        <f t="shared" si="36"/>
        <v>220</v>
      </c>
      <c r="J83" s="64">
        <f t="shared" si="36"/>
        <v>230</v>
      </c>
      <c r="K83" s="64">
        <f t="shared" si="36"/>
        <v>240</v>
      </c>
      <c r="L83" s="64">
        <f t="shared" si="36"/>
        <v>250</v>
      </c>
      <c r="M83" s="64">
        <f t="shared" si="36"/>
        <v>260</v>
      </c>
    </row>
    <row r="84" spans="1:17" x14ac:dyDescent="0.25">
      <c r="A84" s="56" t="s">
        <v>144</v>
      </c>
      <c r="B84" s="69" t="s">
        <v>73</v>
      </c>
      <c r="C84" s="64">
        <f t="shared" ref="C84:M84" si="37">C13</f>
        <v>-50</v>
      </c>
      <c r="D84" s="64">
        <f t="shared" si="37"/>
        <v>-100</v>
      </c>
      <c r="E84" s="64">
        <f t="shared" si="37"/>
        <v>-150</v>
      </c>
      <c r="F84" s="64">
        <f t="shared" si="37"/>
        <v>-150</v>
      </c>
      <c r="G84" s="64">
        <f t="shared" si="37"/>
        <v>-150</v>
      </c>
      <c r="H84" s="64">
        <f t="shared" si="37"/>
        <v>-150</v>
      </c>
      <c r="I84" s="64">
        <f t="shared" si="37"/>
        <v>-150</v>
      </c>
      <c r="J84" s="64">
        <f t="shared" si="37"/>
        <v>-150</v>
      </c>
      <c r="K84" s="64">
        <f t="shared" si="37"/>
        <v>-150</v>
      </c>
      <c r="L84" s="64">
        <f t="shared" si="37"/>
        <v>-150</v>
      </c>
      <c r="M84" s="64">
        <f t="shared" si="37"/>
        <v>-150</v>
      </c>
      <c r="N84" s="1"/>
      <c r="O84" s="1"/>
      <c r="P84" s="1"/>
      <c r="Q84" s="1"/>
    </row>
    <row r="85" spans="1:17" x14ac:dyDescent="0.25">
      <c r="A85" s="91" t="s">
        <v>36</v>
      </c>
      <c r="B85" s="69" t="s">
        <v>73</v>
      </c>
      <c r="C85" s="64">
        <f t="shared" ref="C85:M85" si="38">C34</f>
        <v>0</v>
      </c>
      <c r="D85" s="64">
        <f t="shared" si="38"/>
        <v>-2.5</v>
      </c>
      <c r="E85" s="64">
        <f t="shared" si="38"/>
        <v>-7.375</v>
      </c>
      <c r="F85" s="64">
        <f t="shared" si="38"/>
        <v>-14.50625</v>
      </c>
      <c r="G85" s="64">
        <f t="shared" si="38"/>
        <v>-23.7809375</v>
      </c>
      <c r="H85" s="64">
        <f t="shared" si="38"/>
        <v>-32.591890624999998</v>
      </c>
      <c r="I85" s="64">
        <f t="shared" si="38"/>
        <v>-40.962296093749998</v>
      </c>
      <c r="J85" s="64">
        <f t="shared" si="38"/>
        <v>-48.914181289062498</v>
      </c>
      <c r="K85" s="64">
        <f t="shared" si="38"/>
        <v>-56.468472224609378</v>
      </c>
      <c r="L85" s="64">
        <f t="shared" si="38"/>
        <v>-63.645048613378911</v>
      </c>
      <c r="M85" s="64">
        <f t="shared" si="38"/>
        <v>-35.520971226352422</v>
      </c>
      <c r="N85" s="1"/>
      <c r="O85" s="1"/>
      <c r="P85" s="1"/>
      <c r="Q85" s="1"/>
    </row>
    <row r="86" spans="1:17" x14ac:dyDescent="0.25">
      <c r="A86" s="154" t="s">
        <v>94</v>
      </c>
      <c r="B86" s="69" t="s">
        <v>73</v>
      </c>
      <c r="C86" s="66">
        <f>-((C21*C52*C22)-(C23*C60))</f>
        <v>0</v>
      </c>
      <c r="D86" s="66">
        <f t="shared" ref="D86:M86" si="39">-((D21*D52*D22)-(D23*D60))</f>
        <v>0.16799999999999971</v>
      </c>
      <c r="E86" s="66">
        <f t="shared" si="39"/>
        <v>0.59422575999999871</v>
      </c>
      <c r="F86" s="66">
        <f t="shared" si="39"/>
        <v>1.1736559532831965</v>
      </c>
      <c r="G86" s="66">
        <f t="shared" si="39"/>
        <v>2.9906326732162061</v>
      </c>
      <c r="H86" s="66">
        <f t="shared" si="39"/>
        <v>5.398328600325879</v>
      </c>
      <c r="I86" s="66">
        <f t="shared" si="39"/>
        <v>11.321223306835979</v>
      </c>
      <c r="J86" s="66">
        <f t="shared" si="39"/>
        <v>7.5020953535835435</v>
      </c>
      <c r="K86" s="66">
        <f t="shared" si="39"/>
        <v>9.2204125350001114</v>
      </c>
      <c r="L86" s="66">
        <f t="shared" si="39"/>
        <v>10.955019761404696</v>
      </c>
      <c r="M86" s="66">
        <f t="shared" si="39"/>
        <v>10.623090658595842</v>
      </c>
      <c r="N86" s="76"/>
      <c r="O86" s="76" t="s">
        <v>206</v>
      </c>
      <c r="P86" s="1"/>
      <c r="Q86" s="1"/>
    </row>
    <row r="87" spans="1:17" x14ac:dyDescent="0.25">
      <c r="A87" s="91" t="s">
        <v>30</v>
      </c>
      <c r="B87" s="69" t="s">
        <v>73</v>
      </c>
      <c r="C87" s="113">
        <f>SUM(C83:C86)</f>
        <v>-50</v>
      </c>
      <c r="D87" s="113">
        <f t="shared" ref="D87:M87" si="40">SUM(D83:D86)</f>
        <v>-52.332000000000001</v>
      </c>
      <c r="E87" s="113">
        <f t="shared" si="40"/>
        <v>-56.78077424</v>
      </c>
      <c r="F87" s="113">
        <f t="shared" si="40"/>
        <v>-13.332594046716803</v>
      </c>
      <c r="G87" s="113">
        <f t="shared" si="40"/>
        <v>29.209695173216204</v>
      </c>
      <c r="H87" s="113">
        <f t="shared" si="40"/>
        <v>32.806437975325878</v>
      </c>
      <c r="I87" s="113">
        <f t="shared" si="40"/>
        <v>40.358927213085977</v>
      </c>
      <c r="J87" s="113">
        <f t="shared" si="40"/>
        <v>38.587914064521044</v>
      </c>
      <c r="K87" s="113">
        <f t="shared" si="40"/>
        <v>42.751940310390736</v>
      </c>
      <c r="L87" s="113">
        <f t="shared" si="40"/>
        <v>47.309971148025781</v>
      </c>
      <c r="M87" s="113">
        <f t="shared" si="40"/>
        <v>85.102119432243413</v>
      </c>
      <c r="N87" s="1"/>
      <c r="O87" s="1"/>
      <c r="P87" s="1"/>
      <c r="Q87" s="1"/>
    </row>
    <row r="88" spans="1:17" x14ac:dyDescent="0.25">
      <c r="A88" s="91" t="s">
        <v>133</v>
      </c>
      <c r="B88" s="69" t="s">
        <v>73</v>
      </c>
      <c r="C88" s="64">
        <f t="shared" ref="C88:M88" si="41">-C87*C18</f>
        <v>14.000000000000002</v>
      </c>
      <c r="D88" s="64">
        <f t="shared" si="41"/>
        <v>14.652960000000002</v>
      </c>
      <c r="E88" s="64">
        <f t="shared" si="41"/>
        <v>15.898616787200002</v>
      </c>
      <c r="F88" s="64">
        <f t="shared" si="41"/>
        <v>3.7331263330807052</v>
      </c>
      <c r="G88" s="64">
        <f t="shared" si="41"/>
        <v>-8.178714648500538</v>
      </c>
      <c r="H88" s="64">
        <f t="shared" si="41"/>
        <v>-9.1858026330912459</v>
      </c>
      <c r="I88" s="64">
        <f t="shared" si="41"/>
        <v>-11.300499619664075</v>
      </c>
      <c r="J88" s="64">
        <f t="shared" si="41"/>
        <v>-10.804615938065893</v>
      </c>
      <c r="K88" s="64">
        <f t="shared" si="41"/>
        <v>-11.970543286909407</v>
      </c>
      <c r="L88" s="64">
        <f t="shared" si="41"/>
        <v>-13.246791921447221</v>
      </c>
      <c r="M88" s="64">
        <f t="shared" si="41"/>
        <v>-23.828593441028158</v>
      </c>
      <c r="N88" s="1"/>
      <c r="O88" s="1"/>
      <c r="P88" s="1"/>
      <c r="Q88" s="1"/>
    </row>
    <row r="89" spans="1:17" x14ac:dyDescent="0.25">
      <c r="A89" s="154" t="s">
        <v>207</v>
      </c>
      <c r="B89" s="69" t="s">
        <v>73</v>
      </c>
      <c r="C89" s="113">
        <f t="shared" ref="C89:M89" si="42">IF(C88&gt;0,0,C88-C95)</f>
        <v>0</v>
      </c>
      <c r="D89" s="113">
        <f t="shared" si="42"/>
        <v>0</v>
      </c>
      <c r="E89" s="113">
        <f t="shared" si="42"/>
        <v>0</v>
      </c>
      <c r="F89" s="113">
        <f t="shared" si="42"/>
        <v>0</v>
      </c>
      <c r="G89" s="113">
        <f t="shared" si="42"/>
        <v>0</v>
      </c>
      <c r="H89" s="113">
        <f t="shared" si="42"/>
        <v>0</v>
      </c>
      <c r="I89" s="113">
        <f t="shared" si="42"/>
        <v>0</v>
      </c>
      <c r="J89" s="113">
        <f t="shared" si="42"/>
        <v>0</v>
      </c>
      <c r="K89" s="113">
        <f t="shared" si="42"/>
        <v>-3.1554730059504514</v>
      </c>
      <c r="L89" s="113">
        <f t="shared" si="42"/>
        <v>-13.246791921447221</v>
      </c>
      <c r="M89" s="113">
        <f t="shared" si="42"/>
        <v>-23.828593441028158</v>
      </c>
      <c r="N89" s="1"/>
      <c r="O89" s="76" t="s">
        <v>208</v>
      </c>
      <c r="P89" s="1"/>
      <c r="Q89" s="1"/>
    </row>
    <row r="90" spans="1:17" x14ac:dyDescent="0.25">
      <c r="A90" s="1"/>
      <c r="B90" s="1"/>
      <c r="C90" s="1"/>
      <c r="D90" s="1"/>
      <c r="E90" s="1"/>
      <c r="F90" s="1"/>
      <c r="G90" s="1"/>
      <c r="H90" s="1"/>
      <c r="I90" s="1"/>
      <c r="J90" s="1"/>
      <c r="K90" s="1"/>
      <c r="L90" s="1"/>
      <c r="M90" s="1"/>
      <c r="N90" s="1"/>
      <c r="O90" s="1"/>
      <c r="P90" s="1"/>
      <c r="Q90" s="1"/>
    </row>
    <row r="91" spans="1:17" x14ac:dyDescent="0.25">
      <c r="A91" s="1"/>
      <c r="B91" s="1"/>
      <c r="C91" s="1"/>
      <c r="D91" s="1"/>
      <c r="E91" s="1"/>
      <c r="F91" s="1"/>
      <c r="G91" s="1"/>
      <c r="H91" s="1"/>
      <c r="I91" s="1"/>
      <c r="J91" s="1"/>
      <c r="K91" s="1"/>
      <c r="L91" s="1"/>
      <c r="M91" s="1"/>
      <c r="N91" s="1"/>
      <c r="O91" s="1"/>
      <c r="P91" s="1"/>
      <c r="Q91" s="1"/>
    </row>
    <row r="92" spans="1:17" ht="18.75" x14ac:dyDescent="0.3">
      <c r="A92" s="87" t="s">
        <v>125</v>
      </c>
      <c r="B92" s="1"/>
      <c r="C92" s="100">
        <v>2012</v>
      </c>
      <c r="D92" s="100">
        <v>2013</v>
      </c>
      <c r="E92" s="100">
        <v>2014</v>
      </c>
      <c r="F92" s="100">
        <v>2015</v>
      </c>
      <c r="G92" s="100">
        <v>2016</v>
      </c>
      <c r="H92" s="100">
        <v>2017</v>
      </c>
      <c r="I92" s="100">
        <v>2018</v>
      </c>
      <c r="J92" s="100">
        <v>2019</v>
      </c>
      <c r="K92" s="100">
        <v>2020</v>
      </c>
      <c r="L92" s="100">
        <v>2021</v>
      </c>
      <c r="M92" s="100">
        <v>2022</v>
      </c>
      <c r="N92" s="1"/>
      <c r="O92" s="1"/>
      <c r="P92" s="1"/>
      <c r="Q92" s="1"/>
    </row>
    <row r="93" spans="1:17" x14ac:dyDescent="0.25">
      <c r="A93" s="91" t="s">
        <v>211</v>
      </c>
      <c r="B93" s="69" t="s">
        <v>73</v>
      </c>
      <c r="C93" s="93">
        <v>0</v>
      </c>
      <c r="D93" s="64">
        <f t="shared" ref="D93:M93" si="43">C96</f>
        <v>14.000000000000002</v>
      </c>
      <c r="E93" s="64">
        <f t="shared" si="43"/>
        <v>28.652960000000004</v>
      </c>
      <c r="F93" s="64">
        <f t="shared" si="43"/>
        <v>44.551576787200005</v>
      </c>
      <c r="G93" s="64">
        <f t="shared" si="43"/>
        <v>48.28470312028071</v>
      </c>
      <c r="H93" s="64">
        <f t="shared" si="43"/>
        <v>40.105988471780172</v>
      </c>
      <c r="I93" s="64">
        <f t="shared" si="43"/>
        <v>30.920185838688926</v>
      </c>
      <c r="J93" s="64">
        <f t="shared" si="43"/>
        <v>19.61968621902485</v>
      </c>
      <c r="K93" s="64">
        <f t="shared" si="43"/>
        <v>8.8150702809589561</v>
      </c>
      <c r="L93" s="64">
        <f t="shared" si="43"/>
        <v>0</v>
      </c>
      <c r="M93" s="64">
        <f t="shared" si="43"/>
        <v>0</v>
      </c>
      <c r="N93" s="1"/>
      <c r="O93" s="76" t="s">
        <v>213</v>
      </c>
      <c r="P93" s="1"/>
      <c r="Q93" s="1"/>
    </row>
    <row r="94" spans="1:17" x14ac:dyDescent="0.25">
      <c r="A94" s="91" t="s">
        <v>210</v>
      </c>
      <c r="B94" s="69" t="s">
        <v>73</v>
      </c>
      <c r="C94" s="64">
        <f t="shared" ref="C94:M94" si="44">IF(C88&gt;0,C88,0)</f>
        <v>14.000000000000002</v>
      </c>
      <c r="D94" s="64">
        <f t="shared" si="44"/>
        <v>14.652960000000002</v>
      </c>
      <c r="E94" s="64">
        <f t="shared" si="44"/>
        <v>15.898616787200002</v>
      </c>
      <c r="F94" s="64">
        <f t="shared" si="44"/>
        <v>3.7331263330807052</v>
      </c>
      <c r="G94" s="64">
        <f t="shared" si="44"/>
        <v>0</v>
      </c>
      <c r="H94" s="64">
        <f t="shared" si="44"/>
        <v>0</v>
      </c>
      <c r="I94" s="64">
        <f t="shared" si="44"/>
        <v>0</v>
      </c>
      <c r="J94" s="64">
        <f t="shared" si="44"/>
        <v>0</v>
      </c>
      <c r="K94" s="64">
        <f t="shared" si="44"/>
        <v>0</v>
      </c>
      <c r="L94" s="64">
        <f t="shared" si="44"/>
        <v>0</v>
      </c>
      <c r="M94" s="64">
        <f t="shared" si="44"/>
        <v>0</v>
      </c>
      <c r="N94" s="1"/>
      <c r="O94" s="76" t="s">
        <v>213</v>
      </c>
      <c r="P94" s="1"/>
      <c r="Q94" s="1"/>
    </row>
    <row r="95" spans="1:17" x14ac:dyDescent="0.25">
      <c r="A95" s="91" t="s">
        <v>209</v>
      </c>
      <c r="B95" s="69" t="s">
        <v>73</v>
      </c>
      <c r="C95" s="66">
        <f t="shared" ref="C95:M95" si="45">IF(C94&gt;0,0,IF(C94=0,IF(C93&lt;-C88,-C93,C88)))</f>
        <v>0</v>
      </c>
      <c r="D95" s="66">
        <f t="shared" si="45"/>
        <v>0</v>
      </c>
      <c r="E95" s="66">
        <f t="shared" si="45"/>
        <v>0</v>
      </c>
      <c r="F95" s="66">
        <f t="shared" si="45"/>
        <v>0</v>
      </c>
      <c r="G95" s="66">
        <f t="shared" si="45"/>
        <v>-8.178714648500538</v>
      </c>
      <c r="H95" s="66">
        <f t="shared" si="45"/>
        <v>-9.1858026330912459</v>
      </c>
      <c r="I95" s="66">
        <f t="shared" si="45"/>
        <v>-11.300499619664075</v>
      </c>
      <c r="J95" s="66">
        <f t="shared" si="45"/>
        <v>-10.804615938065893</v>
      </c>
      <c r="K95" s="66">
        <f t="shared" si="45"/>
        <v>-8.8150702809589561</v>
      </c>
      <c r="L95" s="66">
        <f t="shared" si="45"/>
        <v>0</v>
      </c>
      <c r="M95" s="66">
        <f t="shared" si="45"/>
        <v>0</v>
      </c>
      <c r="N95" s="1"/>
      <c r="O95" s="76" t="s">
        <v>213</v>
      </c>
      <c r="P95" s="1"/>
      <c r="Q95" s="1"/>
    </row>
    <row r="96" spans="1:17" x14ac:dyDescent="0.25">
      <c r="A96" s="91" t="s">
        <v>212</v>
      </c>
      <c r="B96" s="69" t="s">
        <v>73</v>
      </c>
      <c r="C96" s="113">
        <f t="shared" ref="C96:M96" si="46">SUM(C93:C95)</f>
        <v>14.000000000000002</v>
      </c>
      <c r="D96" s="113">
        <f t="shared" si="46"/>
        <v>28.652960000000004</v>
      </c>
      <c r="E96" s="113">
        <f t="shared" si="46"/>
        <v>44.551576787200005</v>
      </c>
      <c r="F96" s="113">
        <f t="shared" si="46"/>
        <v>48.28470312028071</v>
      </c>
      <c r="G96" s="113">
        <f t="shared" si="46"/>
        <v>40.105988471780172</v>
      </c>
      <c r="H96" s="113">
        <f t="shared" si="46"/>
        <v>30.920185838688926</v>
      </c>
      <c r="I96" s="113">
        <f t="shared" si="46"/>
        <v>19.61968621902485</v>
      </c>
      <c r="J96" s="113">
        <f t="shared" si="46"/>
        <v>8.8150702809589561</v>
      </c>
      <c r="K96" s="113">
        <f t="shared" si="46"/>
        <v>0</v>
      </c>
      <c r="L96" s="113">
        <f t="shared" si="46"/>
        <v>0</v>
      </c>
      <c r="M96" s="210">
        <f t="shared" si="46"/>
        <v>0</v>
      </c>
      <c r="N96" s="1"/>
      <c r="O96" s="76" t="s">
        <v>213</v>
      </c>
      <c r="P96" s="1"/>
      <c r="Q96" s="1"/>
    </row>
    <row r="97" spans="1:17" x14ac:dyDescent="0.25">
      <c r="A97" s="1"/>
      <c r="B97" s="1"/>
      <c r="C97" s="1"/>
      <c r="D97" s="1"/>
      <c r="E97" s="1"/>
      <c r="F97" s="1"/>
      <c r="G97" s="1"/>
      <c r="H97" s="1"/>
      <c r="I97" s="1"/>
      <c r="J97" s="1"/>
      <c r="K97" s="1"/>
      <c r="L97" s="1"/>
      <c r="M97" s="1"/>
      <c r="N97" s="1"/>
      <c r="O97" s="1"/>
      <c r="P97" s="1"/>
      <c r="Q97" s="1"/>
    </row>
    <row r="98" spans="1:17" x14ac:dyDescent="0.25">
      <c r="C98" s="45"/>
      <c r="D98" s="45"/>
      <c r="E98" s="45"/>
      <c r="F98" s="45"/>
      <c r="G98" s="45"/>
      <c r="H98" s="45"/>
      <c r="I98" s="45"/>
      <c r="J98" s="45"/>
      <c r="K98" s="45"/>
      <c r="L98" s="45"/>
      <c r="M98" s="45"/>
    </row>
    <row r="99" spans="1:17" ht="23.25" x14ac:dyDescent="0.35">
      <c r="A99" s="35" t="s">
        <v>23</v>
      </c>
    </row>
    <row r="100" spans="1:17" x14ac:dyDescent="0.25">
      <c r="C100" s="100">
        <v>2012</v>
      </c>
      <c r="D100" s="100">
        <v>2013</v>
      </c>
      <c r="E100" s="100">
        <v>2014</v>
      </c>
      <c r="F100" s="100">
        <v>2015</v>
      </c>
      <c r="G100" s="100">
        <v>2016</v>
      </c>
      <c r="H100" s="100">
        <v>2017</v>
      </c>
      <c r="I100" s="100">
        <v>2018</v>
      </c>
      <c r="J100" s="100">
        <v>2019</v>
      </c>
      <c r="K100" s="100">
        <v>2020</v>
      </c>
      <c r="L100" s="100">
        <v>2021</v>
      </c>
      <c r="M100" s="100">
        <v>2022</v>
      </c>
      <c r="N100" s="1"/>
      <c r="O100" s="1"/>
    </row>
    <row r="101" spans="1:17" x14ac:dyDescent="0.25">
      <c r="N101" s="1"/>
      <c r="O101" s="1"/>
    </row>
    <row r="102" spans="1:17" x14ac:dyDescent="0.25">
      <c r="A102" s="91" t="s">
        <v>207</v>
      </c>
      <c r="B102" s="69" t="s">
        <v>73</v>
      </c>
      <c r="C102" s="64">
        <f>IF(Inputs!$C$44="After tax", C89, 0)</f>
        <v>0</v>
      </c>
      <c r="D102" s="64">
        <f>IF(Inputs!$C$44="After tax", D89, 0)</f>
        <v>0</v>
      </c>
      <c r="E102" s="64">
        <f>IF(Inputs!$C$44="After tax", E89, 0)</f>
        <v>0</v>
      </c>
      <c r="F102" s="64">
        <f>IF(Inputs!$C$44="After tax", F89, 0)</f>
        <v>0</v>
      </c>
      <c r="G102" s="64">
        <f>IF(Inputs!$C$44="After tax", G89, 0)</f>
        <v>0</v>
      </c>
      <c r="H102" s="64">
        <f>IF(Inputs!$C$44="After tax", H89, 0)</f>
        <v>0</v>
      </c>
      <c r="I102" s="64">
        <f>IF(Inputs!$C$44="After tax", I89, 0)</f>
        <v>0</v>
      </c>
      <c r="J102" s="64">
        <f>IF(Inputs!$C$44="After tax", J89, 0)</f>
        <v>0</v>
      </c>
      <c r="K102" s="64">
        <f>IF(Inputs!$C$44="After tax", K89, 0)</f>
        <v>0</v>
      </c>
      <c r="L102" s="64">
        <f>IF(Inputs!$C$44="After tax", L89, 0)</f>
        <v>0</v>
      </c>
      <c r="M102" s="64">
        <f>IF(Inputs!$C$44="After tax", M89, 0)</f>
        <v>0</v>
      </c>
      <c r="N102" s="1"/>
      <c r="O102" s="1"/>
    </row>
    <row r="104" spans="1:17" x14ac:dyDescent="0.25">
      <c r="C104" s="45"/>
      <c r="D104" s="45"/>
      <c r="E104" s="45"/>
      <c r="F104" s="45"/>
      <c r="G104" s="45"/>
      <c r="H104" s="45"/>
      <c r="I104" s="45"/>
      <c r="J104" s="45"/>
      <c r="K104" s="45"/>
      <c r="L104" s="45"/>
      <c r="M104" s="4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00072-4D1A-4AE5-9D1D-35D7FEF16719}">
  <sheetPr>
    <tabColor theme="3" tint="0.39997558519241921"/>
  </sheetPr>
  <dimension ref="A1:P105"/>
  <sheetViews>
    <sheetView showGridLines="0" zoomScale="70" zoomScaleNormal="70" workbookViewId="0"/>
  </sheetViews>
  <sheetFormatPr defaultColWidth="9.140625" defaultRowHeight="15" x14ac:dyDescent="0.25"/>
  <cols>
    <col min="1" max="1" width="57.7109375" style="1" customWidth="1"/>
    <col min="2" max="2" width="15.140625" style="1" customWidth="1"/>
    <col min="3" max="3" width="19.140625" style="1" customWidth="1"/>
    <col min="4" max="7" width="14.28515625" style="1" bestFit="1" customWidth="1"/>
    <col min="8" max="8" width="12.85546875" style="1" customWidth="1"/>
    <col min="9" max="10" width="14.28515625" style="1" bestFit="1" customWidth="1"/>
    <col min="11" max="13" width="12.5703125" style="1" customWidth="1"/>
    <col min="14" max="14" width="8" style="1" customWidth="1"/>
    <col min="15" max="15" width="22" style="1" customWidth="1"/>
    <col min="16" max="16" width="33.5703125" style="1" customWidth="1"/>
    <col min="17" max="16384" width="9.140625" style="1"/>
  </cols>
  <sheetData>
    <row r="1" spans="1:16" ht="24" customHeight="1" x14ac:dyDescent="0.4">
      <c r="A1" s="16" t="s">
        <v>260</v>
      </c>
      <c r="B1" s="42"/>
    </row>
    <row r="2" spans="1:16" ht="28.5" customHeight="1" x14ac:dyDescent="0.4">
      <c r="A2" s="16" t="s">
        <v>113</v>
      </c>
    </row>
    <row r="3" spans="1:16" ht="18.399999999999999" customHeight="1" x14ac:dyDescent="0.35">
      <c r="A3" s="35"/>
      <c r="B3" s="42"/>
    </row>
    <row r="4" spans="1:16" ht="12.75" customHeight="1" x14ac:dyDescent="0.25"/>
    <row r="5" spans="1:16" ht="18.399999999999999" customHeight="1" x14ac:dyDescent="0.35">
      <c r="A5" s="35" t="s">
        <v>79</v>
      </c>
      <c r="B5" s="42"/>
      <c r="C5" s="76" t="str">
        <f>Inputs!C39</f>
        <v>No timing factors applied</v>
      </c>
    </row>
    <row r="6" spans="1:16" ht="18.399999999999999" customHeight="1" x14ac:dyDescent="0.25">
      <c r="A6" s="52"/>
      <c r="B6" s="61"/>
      <c r="C6" s="98">
        <v>2012</v>
      </c>
      <c r="D6" s="98">
        <v>2013</v>
      </c>
      <c r="E6" s="98">
        <v>2014</v>
      </c>
      <c r="F6" s="98">
        <v>2015</v>
      </c>
      <c r="G6" s="98">
        <v>2016</v>
      </c>
      <c r="H6" s="98">
        <v>2017</v>
      </c>
      <c r="I6" s="98">
        <v>2018</v>
      </c>
      <c r="J6" s="98">
        <v>2019</v>
      </c>
      <c r="K6" s="98">
        <v>2020</v>
      </c>
      <c r="L6" s="98">
        <v>2021</v>
      </c>
      <c r="M6" s="98">
        <v>2022</v>
      </c>
      <c r="O6" s="100" t="s">
        <v>182</v>
      </c>
      <c r="P6" s="100" t="s">
        <v>124</v>
      </c>
    </row>
    <row r="7" spans="1:16" ht="18.399999999999999" customHeight="1" x14ac:dyDescent="0.25">
      <c r="A7" s="56" t="s">
        <v>68</v>
      </c>
      <c r="B7" s="58"/>
      <c r="C7" s="148">
        <f>IF(Inputs!$C$39="Timing factors applied", Timing!C31,1)</f>
        <v>1</v>
      </c>
      <c r="D7" s="148">
        <f>IF(Inputs!$C$39="Timing factors applied", Timing!D31,1)</f>
        <v>1</v>
      </c>
      <c r="E7" s="148">
        <f>IF(Inputs!$C$39="Timing factors applied", Timing!E31,1)</f>
        <v>1</v>
      </c>
      <c r="F7" s="148">
        <f>IF(Inputs!$C$39="Timing factors applied", Timing!F31,1)</f>
        <v>1</v>
      </c>
      <c r="G7" s="148">
        <f>IF(Inputs!$C$39="Timing factors applied", Timing!G31,1)</f>
        <v>1</v>
      </c>
      <c r="H7" s="148">
        <f>IF(Inputs!$C$39="Timing factors applied", Timing!H31,1)</f>
        <v>1</v>
      </c>
      <c r="I7" s="148">
        <f>IF(Inputs!$C$39="Timing factors applied", Timing!I31,1)</f>
        <v>1</v>
      </c>
      <c r="J7" s="148">
        <f>IF(Inputs!$C$39="Timing factors applied", Timing!J31,1)</f>
        <v>1</v>
      </c>
      <c r="K7" s="148">
        <f>IF(Inputs!$C$39="Timing factors applied", Timing!K31,1)</f>
        <v>1</v>
      </c>
      <c r="L7" s="148">
        <f>IF(Inputs!$C$39="Timing factors applied", Timing!L31,1)</f>
        <v>1</v>
      </c>
      <c r="M7" s="148">
        <f>IF(Inputs!$C$39="Timing factors applied", Timing!M31,1)</f>
        <v>1</v>
      </c>
    </row>
    <row r="8" spans="1:16" ht="18.399999999999999" customHeight="1" x14ac:dyDescent="0.25">
      <c r="A8" s="56" t="s">
        <v>69</v>
      </c>
      <c r="B8" s="58"/>
      <c r="C8" s="148">
        <f>IF(Inputs!$C$39="Timing factors applied", Timing!C32,1)</f>
        <v>1</v>
      </c>
      <c r="D8" s="148">
        <f>IF(Inputs!$C$39="Timing factors applied", Timing!D32,1)</f>
        <v>1</v>
      </c>
      <c r="E8" s="148">
        <f>IF(Inputs!$C$39="Timing factors applied", Timing!E32,1)</f>
        <v>1</v>
      </c>
      <c r="F8" s="148">
        <f>IF(Inputs!$C$39="Timing factors applied", Timing!F32,1)</f>
        <v>1</v>
      </c>
      <c r="G8" s="148">
        <f>IF(Inputs!$C$39="Timing factors applied", Timing!G32,1)</f>
        <v>1</v>
      </c>
      <c r="H8" s="148">
        <f>IF(Inputs!$C$39="Timing factors applied", Timing!H32,1)</f>
        <v>1</v>
      </c>
      <c r="I8" s="148">
        <f>IF(Inputs!$C$39="Timing factors applied", Timing!I32,1)</f>
        <v>1</v>
      </c>
      <c r="J8" s="148">
        <f>IF(Inputs!$C$39="Timing factors applied", Timing!J32,1)</f>
        <v>1</v>
      </c>
      <c r="K8" s="148">
        <f>IF(Inputs!$C$39="Timing factors applied", Timing!K32,1)</f>
        <v>1</v>
      </c>
      <c r="L8" s="148">
        <f>IF(Inputs!$C$39="Timing factors applied", Timing!L32,1)</f>
        <v>1</v>
      </c>
      <c r="M8" s="148">
        <f>IF(Inputs!$C$39="Timing factors applied", Timing!M32,1)</f>
        <v>1</v>
      </c>
    </row>
    <row r="9" spans="1:16" ht="18.399999999999999" customHeight="1" x14ac:dyDescent="0.25">
      <c r="A9" s="56" t="s">
        <v>70</v>
      </c>
      <c r="B9" s="58"/>
      <c r="C9" s="148">
        <f>IF(Inputs!$C$39="Timing factors applied", Timing!C33,1)</f>
        <v>1</v>
      </c>
      <c r="D9" s="148">
        <f>IF(Inputs!$C$39="Timing factors applied", Timing!D33,1)</f>
        <v>1</v>
      </c>
      <c r="E9" s="148">
        <f>IF(Inputs!$C$39="Timing factors applied", Timing!E33,1)</f>
        <v>1</v>
      </c>
      <c r="F9" s="148">
        <f>IF(Inputs!$C$39="Timing factors applied", Timing!F33,1)</f>
        <v>1</v>
      </c>
      <c r="G9" s="148">
        <f>IF(Inputs!$C$39="Timing factors applied", Timing!G33,1)</f>
        <v>1</v>
      </c>
      <c r="H9" s="148">
        <f>IF(Inputs!$C$39="Timing factors applied", Timing!H33,1)</f>
        <v>1</v>
      </c>
      <c r="I9" s="148">
        <f>IF(Inputs!$C$39="Timing factors applied", Timing!I33,1)</f>
        <v>1</v>
      </c>
      <c r="J9" s="148">
        <f>IF(Inputs!$C$39="Timing factors applied", Timing!J33,1)</f>
        <v>1</v>
      </c>
      <c r="K9" s="148">
        <f>IF(Inputs!$C$39="Timing factors applied", Timing!K33,1)</f>
        <v>1</v>
      </c>
      <c r="L9" s="148">
        <f>IF(Inputs!$C$39="Timing factors applied", Timing!L33,1)</f>
        <v>1</v>
      </c>
      <c r="M9" s="148">
        <f>IF(Inputs!$C$39="Timing factors applied", Timing!M33,1)</f>
        <v>1</v>
      </c>
    </row>
    <row r="10" spans="1:16" ht="18.399999999999999" customHeight="1" x14ac:dyDescent="0.25">
      <c r="A10" s="56" t="s">
        <v>71</v>
      </c>
      <c r="B10" s="58"/>
      <c r="C10" s="148">
        <f>IF(Inputs!$C$39="Timing factors applied", Timing!C34,1)</f>
        <v>1</v>
      </c>
      <c r="D10" s="148">
        <f>IF(Inputs!$C$39="Timing factors applied", Timing!D34,1)</f>
        <v>1</v>
      </c>
      <c r="E10" s="148">
        <f>IF(Inputs!$C$39="Timing factors applied", Timing!E34,1)</f>
        <v>1</v>
      </c>
      <c r="F10" s="148">
        <f>IF(Inputs!$C$39="Timing factors applied", Timing!F34,1)</f>
        <v>1</v>
      </c>
      <c r="G10" s="148">
        <f>IF(Inputs!$C$39="Timing factors applied", Timing!G34,1)</f>
        <v>1</v>
      </c>
      <c r="H10" s="148">
        <f>IF(Inputs!$C$39="Timing factors applied", Timing!H34,1)</f>
        <v>1</v>
      </c>
      <c r="I10" s="148">
        <f>IF(Inputs!$C$39="Timing factors applied", Timing!I34,1)</f>
        <v>1</v>
      </c>
      <c r="J10" s="148">
        <f>IF(Inputs!$C$39="Timing factors applied", Timing!J34,1)</f>
        <v>1</v>
      </c>
      <c r="K10" s="148">
        <f>IF(Inputs!$C$39="Timing factors applied", Timing!K34,1)</f>
        <v>1</v>
      </c>
      <c r="L10" s="148">
        <f>IF(Inputs!$C$39="Timing factors applied", Timing!L34,1)</f>
        <v>1</v>
      </c>
      <c r="M10" s="148">
        <f>IF(Inputs!$C$39="Timing factors applied", Timing!M34,1)</f>
        <v>1</v>
      </c>
    </row>
    <row r="11" spans="1:16" ht="18.399999999999999" customHeight="1" x14ac:dyDescent="0.25"/>
    <row r="12" spans="1:16" ht="18.399999999999999" customHeight="1" x14ac:dyDescent="0.35">
      <c r="A12" s="35" t="s">
        <v>108</v>
      </c>
      <c r="B12" s="42"/>
      <c r="C12" s="45"/>
      <c r="D12" s="45"/>
      <c r="E12" s="45"/>
      <c r="F12" s="45"/>
      <c r="G12" s="45"/>
      <c r="H12" s="45"/>
      <c r="I12" s="45"/>
      <c r="J12" s="45"/>
      <c r="K12" s="45"/>
      <c r="L12" s="45"/>
      <c r="M12" s="45"/>
    </row>
    <row r="13" spans="1:16" ht="18.399999999999999" customHeight="1" x14ac:dyDescent="0.35">
      <c r="A13" s="35"/>
      <c r="B13" s="42"/>
    </row>
    <row r="14" spans="1:16" x14ac:dyDescent="0.25">
      <c r="A14" s="56" t="s">
        <v>95</v>
      </c>
      <c r="B14" s="69" t="s">
        <v>251</v>
      </c>
      <c r="C14" s="89">
        <f>Inputs!C10</f>
        <v>30</v>
      </c>
      <c r="D14" s="89">
        <f>Inputs!D10</f>
        <v>30</v>
      </c>
      <c r="E14" s="89">
        <f>Inputs!E10</f>
        <v>30</v>
      </c>
      <c r="F14" s="89">
        <f>Inputs!F10</f>
        <v>30</v>
      </c>
      <c r="G14" s="89">
        <f>Inputs!G10</f>
        <v>30</v>
      </c>
      <c r="H14" s="89">
        <f>Inputs!H10</f>
        <v>30</v>
      </c>
      <c r="I14" s="89">
        <f>Inputs!I10</f>
        <v>30</v>
      </c>
      <c r="J14" s="89">
        <f>Inputs!J10</f>
        <v>30</v>
      </c>
      <c r="K14" s="89">
        <f>Inputs!K10</f>
        <v>30</v>
      </c>
      <c r="L14" s="89">
        <f>Inputs!L10</f>
        <v>30</v>
      </c>
      <c r="M14" s="89">
        <f>Inputs!M10</f>
        <v>30</v>
      </c>
    </row>
    <row r="15" spans="1:16" ht="18.399999999999999" customHeight="1" x14ac:dyDescent="0.25">
      <c r="B15" s="42"/>
    </row>
    <row r="16" spans="1:16" ht="18.399999999999999" customHeight="1" x14ac:dyDescent="0.25">
      <c r="A16" s="42"/>
      <c r="B16" s="42"/>
      <c r="C16" s="98">
        <v>2012</v>
      </c>
      <c r="D16" s="98">
        <v>2013</v>
      </c>
      <c r="E16" s="98">
        <v>2014</v>
      </c>
      <c r="F16" s="98">
        <v>2015</v>
      </c>
      <c r="G16" s="98">
        <v>2016</v>
      </c>
      <c r="H16" s="98">
        <v>2017</v>
      </c>
      <c r="I16" s="98">
        <v>2018</v>
      </c>
      <c r="J16" s="98">
        <v>2019</v>
      </c>
      <c r="K16" s="98">
        <v>2020</v>
      </c>
      <c r="L16" s="98">
        <v>2021</v>
      </c>
      <c r="M16" s="98">
        <v>2022</v>
      </c>
    </row>
    <row r="17" spans="1:16" ht="18.399999999999999" customHeight="1" x14ac:dyDescent="0.25">
      <c r="A17" s="56" t="s">
        <v>198</v>
      </c>
      <c r="B17" s="69" t="s">
        <v>73</v>
      </c>
      <c r="C17" s="143">
        <f>Inputs!C6</f>
        <v>0</v>
      </c>
      <c r="D17" s="143">
        <f>Inputs!D6</f>
        <v>50</v>
      </c>
      <c r="E17" s="143">
        <f>Inputs!E6</f>
        <v>100</v>
      </c>
      <c r="F17" s="143">
        <f>Inputs!F6</f>
        <v>150</v>
      </c>
      <c r="G17" s="143">
        <f>Inputs!G6</f>
        <v>200</v>
      </c>
      <c r="H17" s="143">
        <f>Inputs!H6</f>
        <v>210</v>
      </c>
      <c r="I17" s="143">
        <f>Inputs!I6</f>
        <v>220</v>
      </c>
      <c r="J17" s="143">
        <f>Inputs!J6</f>
        <v>230</v>
      </c>
      <c r="K17" s="143">
        <f>Inputs!K6</f>
        <v>240</v>
      </c>
      <c r="L17" s="143">
        <f>Inputs!L6</f>
        <v>250</v>
      </c>
      <c r="M17" s="143">
        <f>Inputs!M6</f>
        <v>260</v>
      </c>
      <c r="N17" s="68"/>
    </row>
    <row r="18" spans="1:16" ht="18.399999999999999" customHeight="1" x14ac:dyDescent="0.25">
      <c r="A18" s="56" t="s">
        <v>74</v>
      </c>
      <c r="B18" s="69" t="s">
        <v>73</v>
      </c>
      <c r="C18" s="143">
        <f>Inputs!C7</f>
        <v>50</v>
      </c>
      <c r="D18" s="143">
        <f>Inputs!D7</f>
        <v>100</v>
      </c>
      <c r="E18" s="143">
        <f>Inputs!E7</f>
        <v>150</v>
      </c>
      <c r="F18" s="143">
        <f>Inputs!F7</f>
        <v>200</v>
      </c>
      <c r="G18" s="143">
        <f>Inputs!G7</f>
        <v>200</v>
      </c>
      <c r="H18" s="143">
        <f>Inputs!H7</f>
        <v>200</v>
      </c>
      <c r="I18" s="143">
        <f>Inputs!I7</f>
        <v>200</v>
      </c>
      <c r="J18" s="143">
        <f>Inputs!J7</f>
        <v>200</v>
      </c>
      <c r="K18" s="143">
        <f>Inputs!K7</f>
        <v>200</v>
      </c>
      <c r="L18" s="143">
        <f>Inputs!L7</f>
        <v>200</v>
      </c>
      <c r="M18" s="143">
        <f>Inputs!M7</f>
        <v>200</v>
      </c>
      <c r="N18" s="68"/>
    </row>
    <row r="19" spans="1:16" ht="18.399999999999999" customHeight="1" x14ac:dyDescent="0.25">
      <c r="A19" s="56" t="s">
        <v>144</v>
      </c>
      <c r="B19" s="69" t="s">
        <v>73</v>
      </c>
      <c r="C19" s="143">
        <f>Inputs!C8</f>
        <v>50</v>
      </c>
      <c r="D19" s="143">
        <f>Inputs!D8</f>
        <v>100</v>
      </c>
      <c r="E19" s="143">
        <f>Inputs!E8</f>
        <v>150</v>
      </c>
      <c r="F19" s="143">
        <f>Inputs!F8</f>
        <v>150</v>
      </c>
      <c r="G19" s="143">
        <f>Inputs!G8</f>
        <v>150</v>
      </c>
      <c r="H19" s="143">
        <f>Inputs!H8</f>
        <v>150</v>
      </c>
      <c r="I19" s="143">
        <f>Inputs!I8</f>
        <v>150</v>
      </c>
      <c r="J19" s="143">
        <f>Inputs!J8</f>
        <v>150</v>
      </c>
      <c r="K19" s="143">
        <f>Inputs!K8</f>
        <v>150</v>
      </c>
      <c r="L19" s="143">
        <f>Inputs!L8</f>
        <v>150</v>
      </c>
      <c r="M19" s="143">
        <f>Inputs!M8</f>
        <v>150</v>
      </c>
      <c r="N19" s="68"/>
    </row>
    <row r="20" spans="1:16" x14ac:dyDescent="0.25">
      <c r="C20" s="147"/>
      <c r="D20" s="147"/>
      <c r="E20" s="147"/>
      <c r="F20" s="147"/>
      <c r="G20" s="147"/>
      <c r="H20" s="147"/>
      <c r="I20" s="147"/>
      <c r="J20" s="147"/>
      <c r="K20" s="147"/>
      <c r="L20" s="147"/>
      <c r="M20" s="147"/>
      <c r="N20" s="68"/>
    </row>
    <row r="21" spans="1:16" ht="14.25" customHeight="1" x14ac:dyDescent="0.25">
      <c r="A21" s="56" t="s">
        <v>77</v>
      </c>
      <c r="B21" s="69" t="s">
        <v>73</v>
      </c>
      <c r="C21" s="147">
        <f>Tax!C102</f>
        <v>0</v>
      </c>
      <c r="D21" s="147">
        <f>Tax!D102</f>
        <v>0</v>
      </c>
      <c r="E21" s="147">
        <f>Tax!E102</f>
        <v>0</v>
      </c>
      <c r="F21" s="147">
        <f>Tax!F102</f>
        <v>0</v>
      </c>
      <c r="G21" s="147">
        <f>Tax!G102</f>
        <v>0</v>
      </c>
      <c r="H21" s="147">
        <f>Tax!H102</f>
        <v>0</v>
      </c>
      <c r="I21" s="147">
        <f>Tax!I102</f>
        <v>0</v>
      </c>
      <c r="J21" s="147">
        <f>Tax!J102</f>
        <v>0</v>
      </c>
      <c r="K21" s="147">
        <f>Tax!K102</f>
        <v>0</v>
      </c>
      <c r="L21" s="147">
        <f>Tax!L102</f>
        <v>0</v>
      </c>
      <c r="M21" s="147">
        <f>Tax!M102</f>
        <v>0</v>
      </c>
      <c r="N21" s="68"/>
    </row>
    <row r="22" spans="1:16" x14ac:dyDescent="0.25">
      <c r="C22" s="149"/>
      <c r="D22" s="149"/>
      <c r="E22" s="149"/>
      <c r="F22" s="149"/>
      <c r="G22" s="149"/>
      <c r="H22" s="149"/>
      <c r="I22" s="149"/>
      <c r="J22" s="149"/>
      <c r="K22" s="149"/>
      <c r="L22" s="149"/>
      <c r="M22" s="149"/>
      <c r="N22" s="68"/>
    </row>
    <row r="23" spans="1:16" ht="18.399999999999999" customHeight="1" x14ac:dyDescent="0.25">
      <c r="A23" s="56" t="s">
        <v>72</v>
      </c>
      <c r="B23" s="137" t="s">
        <v>88</v>
      </c>
      <c r="C23" s="145">
        <f>'Cost of capital'!C55</f>
        <v>5.2192502334469877E-2</v>
      </c>
      <c r="D23" s="145">
        <f>'Cost of capital'!D55</f>
        <v>9.1820000000000013E-2</v>
      </c>
      <c r="E23" s="145">
        <f>'Cost of capital'!E55</f>
        <v>9.1820000000000013E-2</v>
      </c>
      <c r="F23" s="145">
        <f>'Cost of capital'!F55</f>
        <v>9.1820000000000013E-2</v>
      </c>
      <c r="G23" s="145">
        <f>'Cost of capital'!G55</f>
        <v>6.182E-2</v>
      </c>
      <c r="H23" s="145">
        <f>'Cost of capital'!H55</f>
        <v>6.182E-2</v>
      </c>
      <c r="I23" s="145">
        <f>'Cost of capital'!I55</f>
        <v>5.8720000000000001E-2</v>
      </c>
      <c r="J23" s="145">
        <f>'Cost of capital'!J55</f>
        <v>4.8720000000000006E-2</v>
      </c>
      <c r="K23" s="145">
        <f>'Cost of capital'!K55</f>
        <v>4.8720000000000006E-2</v>
      </c>
      <c r="L23" s="145">
        <f>'Cost of capital'!L55</f>
        <v>5.1219999999999995E-2</v>
      </c>
      <c r="M23" s="145">
        <f>'Cost of capital'!M55</f>
        <v>2.5427825678560084E-2</v>
      </c>
      <c r="N23" s="68"/>
    </row>
    <row r="24" spans="1:16" ht="18.399999999999999" customHeight="1" x14ac:dyDescent="0.25">
      <c r="A24" s="56" t="s">
        <v>177</v>
      </c>
      <c r="B24" s="137" t="s">
        <v>107</v>
      </c>
      <c r="C24" s="150">
        <f>'Cost of capital'!C40</f>
        <v>1.8418483538114241</v>
      </c>
      <c r="D24" s="150">
        <f>'Cost of capital'!D40</f>
        <v>1.6869523857517028</v>
      </c>
      <c r="E24" s="150">
        <f>'Cost of capital'!E40</f>
        <v>1.545082876070875</v>
      </c>
      <c r="F24" s="150">
        <f>'Cost of capital'!F40</f>
        <v>1.415144324220911</v>
      </c>
      <c r="G24" s="150">
        <f>'Cost of capital'!G40</f>
        <v>1.3327535026849286</v>
      </c>
      <c r="H24" s="150">
        <f>'Cost of capital'!H40</f>
        <v>1.2551595399266624</v>
      </c>
      <c r="I24" s="150">
        <f>'Cost of capital'!I40</f>
        <v>1.1855443742695542</v>
      </c>
      <c r="J24" s="150">
        <f>'Cost of capital'!J40</f>
        <v>1.1304679745495023</v>
      </c>
      <c r="K24" s="150">
        <f>'Cost of capital'!K40</f>
        <v>1.0779502389098159</v>
      </c>
      <c r="L24" s="150">
        <f>'Cost of capital'!L40</f>
        <v>1.0254278256785601</v>
      </c>
      <c r="M24" s="150">
        <f>'Cost of capital'!M40</f>
        <v>1</v>
      </c>
      <c r="N24" s="68"/>
    </row>
    <row r="25" spans="1:16" x14ac:dyDescent="0.25">
      <c r="C25" s="149"/>
      <c r="D25" s="149"/>
      <c r="E25" s="149"/>
      <c r="F25" s="149"/>
      <c r="G25" s="149"/>
      <c r="H25" s="149"/>
      <c r="I25" s="149"/>
      <c r="J25" s="149"/>
      <c r="K25" s="149"/>
      <c r="L25" s="149"/>
      <c r="M25" s="149"/>
      <c r="N25" s="68"/>
    </row>
    <row r="26" spans="1:16" ht="18.399999999999999" customHeight="1" x14ac:dyDescent="0.25">
      <c r="A26" s="56" t="s">
        <v>193</v>
      </c>
      <c r="B26" s="137" t="s">
        <v>88</v>
      </c>
      <c r="C26" s="145">
        <f>'Cost of capital'!C57</f>
        <v>0.05</v>
      </c>
      <c r="D26" s="145">
        <f>'Cost of capital'!D57</f>
        <v>0.08</v>
      </c>
      <c r="E26" s="145">
        <f>'Cost of capital'!E57</f>
        <v>0.08</v>
      </c>
      <c r="F26" s="145">
        <f>'Cost of capital'!F57</f>
        <v>0.08</v>
      </c>
      <c r="G26" s="145">
        <f>'Cost of capital'!G57</f>
        <v>0.05</v>
      </c>
      <c r="H26" s="145">
        <f>'Cost of capital'!H57</f>
        <v>0.05</v>
      </c>
      <c r="I26" s="145">
        <f>'Cost of capital'!I57</f>
        <v>0.05</v>
      </c>
      <c r="J26" s="145">
        <f>'Cost of capital'!J57</f>
        <v>0.03</v>
      </c>
      <c r="K26" s="145">
        <f>'Cost of capital'!K57</f>
        <v>0.03</v>
      </c>
      <c r="L26" s="145">
        <f>'Cost of capital'!L57</f>
        <v>0.03</v>
      </c>
      <c r="M26" s="145">
        <f>'Cost of capital'!M57</f>
        <v>0.02</v>
      </c>
      <c r="P26" s="76" t="s">
        <v>267</v>
      </c>
    </row>
    <row r="27" spans="1:16" x14ac:dyDescent="0.25">
      <c r="C27" s="149"/>
      <c r="D27" s="149"/>
      <c r="E27" s="149"/>
      <c r="F27" s="149"/>
      <c r="G27" s="149"/>
      <c r="H27" s="149"/>
      <c r="I27" s="149"/>
      <c r="J27" s="149"/>
      <c r="K27" s="149"/>
      <c r="L27" s="149"/>
      <c r="M27" s="149"/>
    </row>
    <row r="28" spans="1:16" x14ac:dyDescent="0.25">
      <c r="A28" s="56" t="s">
        <v>89</v>
      </c>
      <c r="B28" s="69" t="s">
        <v>73</v>
      </c>
      <c r="C28" s="146">
        <f>Inputs!C13</f>
        <v>30</v>
      </c>
      <c r="D28" s="146">
        <f>Inputs!D13</f>
        <v>50</v>
      </c>
      <c r="E28" s="146">
        <f>Inputs!E13</f>
        <v>70</v>
      </c>
      <c r="F28" s="146">
        <f>Inputs!F13</f>
        <v>100</v>
      </c>
      <c r="G28" s="146">
        <f>Inputs!G13</f>
        <v>100</v>
      </c>
      <c r="H28" s="146">
        <f>Inputs!H13</f>
        <v>100</v>
      </c>
      <c r="I28" s="146">
        <f>Inputs!I13</f>
        <v>100</v>
      </c>
      <c r="J28" s="146">
        <f>Inputs!J13</f>
        <v>100</v>
      </c>
      <c r="K28" s="146">
        <f>Inputs!K13</f>
        <v>100</v>
      </c>
      <c r="L28" s="146">
        <f>Inputs!L13</f>
        <v>100</v>
      </c>
      <c r="M28" s="146">
        <f>Inputs!M13</f>
        <v>100</v>
      </c>
    </row>
    <row r="29" spans="1:16" x14ac:dyDescent="0.25">
      <c r="A29" s="91" t="s">
        <v>100</v>
      </c>
      <c r="B29" s="69" t="s">
        <v>73</v>
      </c>
      <c r="C29" s="147">
        <f>Inputs!C14</f>
        <v>0</v>
      </c>
      <c r="D29" s="147">
        <f>Inputs!D14</f>
        <v>0</v>
      </c>
      <c r="E29" s="147">
        <f>Inputs!E14</f>
        <v>0</v>
      </c>
      <c r="F29" s="147">
        <f>Inputs!F14</f>
        <v>0</v>
      </c>
      <c r="G29" s="147">
        <f>Inputs!G14</f>
        <v>0</v>
      </c>
      <c r="H29" s="147">
        <f>Inputs!H14</f>
        <v>0</v>
      </c>
      <c r="I29" s="147">
        <f>Inputs!I14</f>
        <v>0</v>
      </c>
      <c r="J29" s="147">
        <f>Inputs!J14</f>
        <v>0</v>
      </c>
      <c r="K29" s="147">
        <f>Inputs!K14</f>
        <v>0</v>
      </c>
      <c r="L29" s="147">
        <f>Inputs!L14</f>
        <v>0</v>
      </c>
      <c r="M29" s="147">
        <f>Inputs!M14</f>
        <v>0</v>
      </c>
      <c r="N29" s="68"/>
    </row>
    <row r="30" spans="1:16" x14ac:dyDescent="0.25">
      <c r="A30" s="77"/>
      <c r="B30" s="153"/>
      <c r="C30" s="271"/>
      <c r="D30" s="271"/>
      <c r="E30" s="271"/>
      <c r="F30" s="271"/>
      <c r="G30" s="271"/>
      <c r="H30" s="271"/>
      <c r="I30" s="271"/>
      <c r="J30" s="271"/>
      <c r="K30" s="271"/>
      <c r="L30" s="271"/>
      <c r="M30" s="271"/>
      <c r="N30" s="68"/>
    </row>
    <row r="31" spans="1:16" ht="23.25" x14ac:dyDescent="0.35">
      <c r="A31" s="35" t="s">
        <v>263</v>
      </c>
      <c r="B31" s="202"/>
      <c r="C31" s="272"/>
      <c r="D31" s="272"/>
      <c r="E31" s="272"/>
      <c r="F31" s="272"/>
      <c r="G31" s="272"/>
      <c r="H31" s="272"/>
      <c r="I31" s="272"/>
      <c r="J31" s="272"/>
      <c r="K31" s="272"/>
      <c r="L31" s="272"/>
      <c r="M31" s="272"/>
      <c r="N31" s="68"/>
    </row>
    <row r="32" spans="1:16" x14ac:dyDescent="0.25">
      <c r="A32" s="76" t="s">
        <v>97</v>
      </c>
      <c r="B32" s="77"/>
      <c r="C32" s="94"/>
      <c r="D32" s="94"/>
      <c r="E32" s="94"/>
      <c r="F32" s="94"/>
      <c r="G32" s="94"/>
      <c r="H32" s="94"/>
      <c r="I32" s="94"/>
      <c r="J32" s="94"/>
      <c r="K32" s="94"/>
      <c r="L32" s="94"/>
      <c r="M32" s="94"/>
      <c r="N32" s="68"/>
    </row>
    <row r="33" spans="1:16" x14ac:dyDescent="0.25">
      <c r="B33" s="8"/>
      <c r="N33" s="68"/>
    </row>
    <row r="34" spans="1:16" x14ac:dyDescent="0.25">
      <c r="A34" s="126" t="s">
        <v>244</v>
      </c>
      <c r="B34" s="126" t="s">
        <v>259</v>
      </c>
      <c r="C34" s="90">
        <v>365</v>
      </c>
      <c r="D34" s="90">
        <v>365</v>
      </c>
      <c r="E34" s="90">
        <v>365</v>
      </c>
      <c r="F34" s="90">
        <v>365</v>
      </c>
      <c r="G34" s="90">
        <v>365</v>
      </c>
      <c r="H34" s="90">
        <v>365</v>
      </c>
      <c r="I34" s="90">
        <v>365</v>
      </c>
      <c r="J34" s="90">
        <v>365</v>
      </c>
      <c r="K34" s="90">
        <v>365</v>
      </c>
      <c r="L34" s="90">
        <v>365</v>
      </c>
      <c r="M34" s="273">
        <f>Timing!$M$8</f>
        <v>184</v>
      </c>
      <c r="N34" s="68"/>
    </row>
    <row r="35" spans="1:16" ht="18.399999999999999" customHeight="1" x14ac:dyDescent="0.25">
      <c r="A35" s="126" t="s">
        <v>258</v>
      </c>
      <c r="B35" s="126" t="s">
        <v>88</v>
      </c>
      <c r="C35" s="277">
        <f>C34/365</f>
        <v>1</v>
      </c>
      <c r="D35" s="277">
        <f t="shared" ref="D35:M35" si="0">D34/365</f>
        <v>1</v>
      </c>
      <c r="E35" s="277">
        <f t="shared" si="0"/>
        <v>1</v>
      </c>
      <c r="F35" s="277">
        <f t="shared" si="0"/>
        <v>1</v>
      </c>
      <c r="G35" s="277">
        <f t="shared" si="0"/>
        <v>1</v>
      </c>
      <c r="H35" s="277">
        <f t="shared" si="0"/>
        <v>1</v>
      </c>
      <c r="I35" s="277">
        <f t="shared" si="0"/>
        <v>1</v>
      </c>
      <c r="J35" s="277">
        <f t="shared" si="0"/>
        <v>1</v>
      </c>
      <c r="K35" s="277">
        <f t="shared" si="0"/>
        <v>1</v>
      </c>
      <c r="L35" s="277">
        <f t="shared" si="0"/>
        <v>1</v>
      </c>
      <c r="M35" s="277">
        <f t="shared" si="0"/>
        <v>0.50410958904109593</v>
      </c>
      <c r="N35" s="68"/>
    </row>
    <row r="36" spans="1:16" ht="18.399999999999999" customHeight="1" x14ac:dyDescent="0.25">
      <c r="A36" s="128"/>
      <c r="B36" s="128"/>
      <c r="C36" s="249"/>
      <c r="D36" s="249"/>
      <c r="E36" s="249"/>
      <c r="F36" s="249"/>
      <c r="G36" s="249"/>
      <c r="H36" s="249"/>
      <c r="I36" s="249"/>
      <c r="J36" s="249"/>
      <c r="K36" s="249"/>
      <c r="L36" s="249"/>
      <c r="M36" s="134"/>
      <c r="N36" s="68"/>
    </row>
    <row r="37" spans="1:16" ht="18.399999999999999" customHeight="1" x14ac:dyDescent="0.25">
      <c r="A37" s="193"/>
      <c r="B37" s="193"/>
      <c r="C37" s="101">
        <v>2012</v>
      </c>
      <c r="D37" s="101">
        <v>2013</v>
      </c>
      <c r="E37" s="101">
        <v>2014</v>
      </c>
      <c r="F37" s="101">
        <v>2015</v>
      </c>
      <c r="G37" s="101">
        <v>2016</v>
      </c>
      <c r="H37" s="101">
        <v>2017</v>
      </c>
      <c r="I37" s="101">
        <v>2018</v>
      </c>
      <c r="J37" s="101">
        <v>2019</v>
      </c>
      <c r="K37" s="101">
        <v>2020</v>
      </c>
      <c r="L37" s="101">
        <v>2021</v>
      </c>
      <c r="M37" s="101">
        <v>2022</v>
      </c>
      <c r="N37" s="68"/>
    </row>
    <row r="38" spans="1:16" ht="18.399999999999999" customHeight="1" x14ac:dyDescent="0.25">
      <c r="A38" s="56" t="s">
        <v>218</v>
      </c>
      <c r="B38" s="69" t="s">
        <v>73</v>
      </c>
      <c r="C38" s="90">
        <v>0</v>
      </c>
      <c r="D38" s="74">
        <f>C41</f>
        <v>50</v>
      </c>
      <c r="E38" s="74">
        <f t="shared" ref="E38:M38" si="1">D41</f>
        <v>148.33333333333334</v>
      </c>
      <c r="F38" s="74">
        <f t="shared" si="1"/>
        <v>293.38888888888891</v>
      </c>
      <c r="G38" s="74">
        <f t="shared" si="1"/>
        <v>483.60925925925926</v>
      </c>
      <c r="H38" s="74">
        <f t="shared" si="1"/>
        <v>667.48895061728399</v>
      </c>
      <c r="I38" s="74">
        <f t="shared" si="1"/>
        <v>845.23931893004124</v>
      </c>
      <c r="J38" s="74">
        <f t="shared" si="1"/>
        <v>1017.0646749657066</v>
      </c>
      <c r="K38" s="74">
        <f t="shared" si="1"/>
        <v>1183.1625191335165</v>
      </c>
      <c r="L38" s="74">
        <f t="shared" si="1"/>
        <v>1343.7237684957327</v>
      </c>
      <c r="M38" s="74">
        <f t="shared" si="1"/>
        <v>1498.9329762125415</v>
      </c>
      <c r="N38" s="68"/>
      <c r="O38" s="76" t="s">
        <v>219</v>
      </c>
    </row>
    <row r="39" spans="1:16" ht="18.399999999999999" customHeight="1" x14ac:dyDescent="0.25">
      <c r="A39" s="56" t="s">
        <v>74</v>
      </c>
      <c r="B39" s="69" t="s">
        <v>73</v>
      </c>
      <c r="C39" s="74">
        <f t="shared" ref="C39:M39" si="2">C18</f>
        <v>50</v>
      </c>
      <c r="D39" s="74">
        <f t="shared" si="2"/>
        <v>100</v>
      </c>
      <c r="E39" s="74">
        <f t="shared" si="2"/>
        <v>150</v>
      </c>
      <c r="F39" s="74">
        <f t="shared" si="2"/>
        <v>200</v>
      </c>
      <c r="G39" s="74">
        <f t="shared" si="2"/>
        <v>200</v>
      </c>
      <c r="H39" s="74">
        <f t="shared" si="2"/>
        <v>200</v>
      </c>
      <c r="I39" s="74">
        <f t="shared" si="2"/>
        <v>200</v>
      </c>
      <c r="J39" s="74">
        <f t="shared" si="2"/>
        <v>200</v>
      </c>
      <c r="K39" s="74">
        <f t="shared" si="2"/>
        <v>200</v>
      </c>
      <c r="L39" s="74">
        <f t="shared" si="2"/>
        <v>200</v>
      </c>
      <c r="M39" s="74">
        <f t="shared" si="2"/>
        <v>200</v>
      </c>
      <c r="N39" s="68"/>
    </row>
    <row r="40" spans="1:16" ht="18.399999999999999" customHeight="1" x14ac:dyDescent="0.25">
      <c r="A40" s="56" t="s">
        <v>28</v>
      </c>
      <c r="B40" s="69" t="s">
        <v>73</v>
      </c>
      <c r="C40" s="90">
        <v>0</v>
      </c>
      <c r="D40" s="64">
        <f>-D38/C14*D35</f>
        <v>-1.6666666666666667</v>
      </c>
      <c r="E40" s="64">
        <f t="shared" ref="E40:M40" si="3">-E38/D14*E35</f>
        <v>-4.9444444444444446</v>
      </c>
      <c r="F40" s="64">
        <f t="shared" si="3"/>
        <v>-9.7796296296296301</v>
      </c>
      <c r="G40" s="64">
        <f t="shared" si="3"/>
        <v>-16.12030864197531</v>
      </c>
      <c r="H40" s="64">
        <f t="shared" si="3"/>
        <v>-22.2496316872428</v>
      </c>
      <c r="I40" s="64">
        <f t="shared" si="3"/>
        <v>-28.17464396433471</v>
      </c>
      <c r="J40" s="64">
        <f t="shared" si="3"/>
        <v>-33.902155832190218</v>
      </c>
      <c r="K40" s="64">
        <f t="shared" si="3"/>
        <v>-39.438750637783883</v>
      </c>
      <c r="L40" s="64">
        <f t="shared" si="3"/>
        <v>-44.790792283191088</v>
      </c>
      <c r="M40" s="64">
        <f t="shared" si="3"/>
        <v>-25.187549554621704</v>
      </c>
      <c r="N40" s="68"/>
      <c r="P40" s="76" t="s">
        <v>143</v>
      </c>
    </row>
    <row r="41" spans="1:16" ht="18.399999999999999" customHeight="1" x14ac:dyDescent="0.25">
      <c r="A41" s="56" t="s">
        <v>221</v>
      </c>
      <c r="B41" s="69" t="s">
        <v>73</v>
      </c>
      <c r="C41" s="114">
        <f>SUM(C38:C40)</f>
        <v>50</v>
      </c>
      <c r="D41" s="114">
        <f t="shared" ref="D41:M41" si="4">SUM(D38:D40)</f>
        <v>148.33333333333334</v>
      </c>
      <c r="E41" s="114">
        <f t="shared" si="4"/>
        <v>293.38888888888891</v>
      </c>
      <c r="F41" s="114">
        <f t="shared" si="4"/>
        <v>483.60925925925926</v>
      </c>
      <c r="G41" s="114">
        <f t="shared" si="4"/>
        <v>667.48895061728399</v>
      </c>
      <c r="H41" s="114">
        <f t="shared" si="4"/>
        <v>845.23931893004124</v>
      </c>
      <c r="I41" s="114">
        <f t="shared" si="4"/>
        <v>1017.0646749657066</v>
      </c>
      <c r="J41" s="114">
        <f t="shared" si="4"/>
        <v>1183.1625191335165</v>
      </c>
      <c r="K41" s="114">
        <f t="shared" si="4"/>
        <v>1343.7237684957327</v>
      </c>
      <c r="L41" s="114">
        <f t="shared" si="4"/>
        <v>1498.9329762125415</v>
      </c>
      <c r="M41" s="114">
        <f t="shared" si="4"/>
        <v>1673.7454266579198</v>
      </c>
      <c r="N41" s="68"/>
      <c r="O41" s="76" t="s">
        <v>219</v>
      </c>
    </row>
    <row r="42" spans="1:16" ht="18.399999999999999" customHeight="1" x14ac:dyDescent="0.25">
      <c r="A42" s="42"/>
      <c r="B42" s="42"/>
      <c r="N42" s="68"/>
    </row>
    <row r="43" spans="1:16" ht="18.399999999999999" customHeight="1" x14ac:dyDescent="0.25">
      <c r="A43" s="56"/>
      <c r="B43" s="69"/>
      <c r="C43" s="64"/>
      <c r="D43" s="64"/>
      <c r="E43" s="64"/>
      <c r="F43" s="64"/>
      <c r="G43" s="64"/>
      <c r="H43" s="64"/>
      <c r="I43" s="64"/>
      <c r="J43" s="64"/>
      <c r="K43" s="64"/>
      <c r="L43" s="64"/>
      <c r="M43" s="64"/>
      <c r="N43" s="68"/>
    </row>
    <row r="44" spans="1:16" x14ac:dyDescent="0.25">
      <c r="A44" s="42"/>
      <c r="B44" s="42"/>
      <c r="N44" s="68"/>
    </row>
    <row r="45" spans="1:16" x14ac:dyDescent="0.25">
      <c r="A45" s="76" t="s">
        <v>96</v>
      </c>
      <c r="N45" s="68"/>
    </row>
    <row r="46" spans="1:16" x14ac:dyDescent="0.25">
      <c r="B46" s="42"/>
      <c r="C46" s="100">
        <v>2012</v>
      </c>
      <c r="D46" s="100">
        <v>2013</v>
      </c>
      <c r="E46" s="100">
        <v>2014</v>
      </c>
      <c r="F46" s="100">
        <v>2015</v>
      </c>
      <c r="G46" s="100">
        <v>2016</v>
      </c>
      <c r="H46" s="100">
        <v>2017</v>
      </c>
      <c r="I46" s="100">
        <v>2018</v>
      </c>
      <c r="J46" s="100">
        <v>2019</v>
      </c>
      <c r="K46" s="100">
        <v>2020</v>
      </c>
      <c r="L46" s="100">
        <v>2021</v>
      </c>
      <c r="M46" s="100">
        <v>2022</v>
      </c>
      <c r="N46" s="68"/>
    </row>
    <row r="47" spans="1:16" x14ac:dyDescent="0.25">
      <c r="A47" s="56" t="s">
        <v>218</v>
      </c>
      <c r="B47" s="69" t="s">
        <v>73</v>
      </c>
      <c r="C47" s="64"/>
      <c r="D47" s="64">
        <f t="shared" ref="D47:M47" si="5">C50</f>
        <v>50</v>
      </c>
      <c r="E47" s="64">
        <f t="shared" si="5"/>
        <v>148.33333333333334</v>
      </c>
      <c r="F47" s="64">
        <f t="shared" si="5"/>
        <v>293.38888888888891</v>
      </c>
      <c r="G47" s="64">
        <f t="shared" si="5"/>
        <v>483.60925925925926</v>
      </c>
      <c r="H47" s="64">
        <f t="shared" si="5"/>
        <v>667.48895061728399</v>
      </c>
      <c r="I47" s="64">
        <f t="shared" si="5"/>
        <v>845.23931893004124</v>
      </c>
      <c r="J47" s="64">
        <f t="shared" si="5"/>
        <v>1017.0646749657066</v>
      </c>
      <c r="K47" s="64">
        <f t="shared" si="5"/>
        <v>1183.1625191335165</v>
      </c>
      <c r="L47" s="64">
        <f t="shared" si="5"/>
        <v>1343.7237684957327</v>
      </c>
      <c r="M47" s="64">
        <f t="shared" si="5"/>
        <v>1498.9329762125415</v>
      </c>
      <c r="N47" s="68"/>
      <c r="O47" s="76" t="s">
        <v>219</v>
      </c>
    </row>
    <row r="48" spans="1:16" x14ac:dyDescent="0.25">
      <c r="A48" s="56" t="s">
        <v>80</v>
      </c>
      <c r="B48" s="69" t="s">
        <v>73</v>
      </c>
      <c r="C48" s="64">
        <f>C18*C9</f>
        <v>50</v>
      </c>
      <c r="D48" s="64">
        <f t="shared" ref="D48:M48" si="6">D18*D9</f>
        <v>100</v>
      </c>
      <c r="E48" s="64">
        <f t="shared" si="6"/>
        <v>150</v>
      </c>
      <c r="F48" s="64">
        <f t="shared" si="6"/>
        <v>200</v>
      </c>
      <c r="G48" s="64">
        <f t="shared" si="6"/>
        <v>200</v>
      </c>
      <c r="H48" s="64">
        <f t="shared" si="6"/>
        <v>200</v>
      </c>
      <c r="I48" s="64">
        <f t="shared" si="6"/>
        <v>200</v>
      </c>
      <c r="J48" s="64">
        <f t="shared" si="6"/>
        <v>200</v>
      </c>
      <c r="K48" s="64">
        <f t="shared" si="6"/>
        <v>200</v>
      </c>
      <c r="L48" s="64">
        <f t="shared" si="6"/>
        <v>200</v>
      </c>
      <c r="M48" s="64">
        <f t="shared" si="6"/>
        <v>200</v>
      </c>
      <c r="N48" s="68"/>
      <c r="O48" s="76" t="s">
        <v>252</v>
      </c>
      <c r="P48" s="76" t="s">
        <v>143</v>
      </c>
    </row>
    <row r="49" spans="1:15" x14ac:dyDescent="0.25">
      <c r="A49" s="56" t="s">
        <v>75</v>
      </c>
      <c r="B49" s="69" t="s">
        <v>73</v>
      </c>
      <c r="C49" s="64">
        <f>C40</f>
        <v>0</v>
      </c>
      <c r="D49" s="64">
        <f t="shared" ref="D49:M49" si="7">D40</f>
        <v>-1.6666666666666667</v>
      </c>
      <c r="E49" s="64">
        <f t="shared" si="7"/>
        <v>-4.9444444444444446</v>
      </c>
      <c r="F49" s="64">
        <f t="shared" si="7"/>
        <v>-9.7796296296296301</v>
      </c>
      <c r="G49" s="64">
        <f t="shared" si="7"/>
        <v>-16.12030864197531</v>
      </c>
      <c r="H49" s="64">
        <f t="shared" si="7"/>
        <v>-22.2496316872428</v>
      </c>
      <c r="I49" s="64">
        <f t="shared" si="7"/>
        <v>-28.17464396433471</v>
      </c>
      <c r="J49" s="64">
        <f t="shared" si="7"/>
        <v>-33.902155832190218</v>
      </c>
      <c r="K49" s="64">
        <f t="shared" si="7"/>
        <v>-39.438750637783883</v>
      </c>
      <c r="L49" s="64">
        <f t="shared" si="7"/>
        <v>-44.790792283191088</v>
      </c>
      <c r="M49" s="64">
        <f t="shared" si="7"/>
        <v>-25.187549554621704</v>
      </c>
      <c r="N49" s="68"/>
      <c r="O49" s="76" t="s">
        <v>219</v>
      </c>
    </row>
    <row r="50" spans="1:15" x14ac:dyDescent="0.25">
      <c r="A50" s="56" t="s">
        <v>221</v>
      </c>
      <c r="B50" s="69" t="s">
        <v>73</v>
      </c>
      <c r="C50" s="64">
        <f>SUM(C47:C49)</f>
        <v>50</v>
      </c>
      <c r="D50" s="64">
        <f t="shared" ref="D50:M50" si="8">SUM(D47:D49)</f>
        <v>148.33333333333334</v>
      </c>
      <c r="E50" s="64">
        <f t="shared" si="8"/>
        <v>293.38888888888891</v>
      </c>
      <c r="F50" s="64">
        <f t="shared" si="8"/>
        <v>483.60925925925926</v>
      </c>
      <c r="G50" s="64">
        <f t="shared" si="8"/>
        <v>667.48895061728399</v>
      </c>
      <c r="H50" s="64">
        <f t="shared" si="8"/>
        <v>845.23931893004124</v>
      </c>
      <c r="I50" s="64">
        <f t="shared" si="8"/>
        <v>1017.0646749657066</v>
      </c>
      <c r="J50" s="64">
        <f t="shared" si="8"/>
        <v>1183.1625191335165</v>
      </c>
      <c r="K50" s="64">
        <f t="shared" si="8"/>
        <v>1343.7237684957327</v>
      </c>
      <c r="L50" s="64">
        <f t="shared" si="8"/>
        <v>1498.9329762125415</v>
      </c>
      <c r="M50" s="64">
        <f t="shared" si="8"/>
        <v>1673.7454266579198</v>
      </c>
      <c r="N50" s="68"/>
      <c r="O50" s="76" t="s">
        <v>219</v>
      </c>
    </row>
    <row r="51" spans="1:15" x14ac:dyDescent="0.25">
      <c r="C51" s="43"/>
      <c r="D51" s="75"/>
      <c r="E51" s="43"/>
      <c r="F51" s="43"/>
      <c r="G51" s="43"/>
      <c r="H51" s="43"/>
      <c r="I51" s="43"/>
      <c r="J51" s="43"/>
      <c r="K51" s="43"/>
      <c r="L51" s="43"/>
      <c r="M51" s="43"/>
      <c r="N51" s="68"/>
    </row>
    <row r="52" spans="1:15" ht="23.25" x14ac:dyDescent="0.35">
      <c r="A52" s="35" t="s">
        <v>85</v>
      </c>
      <c r="C52" s="43"/>
      <c r="D52" s="43"/>
      <c r="E52" s="43"/>
      <c r="F52" s="43"/>
      <c r="G52" s="43"/>
      <c r="H52" s="43"/>
      <c r="I52" s="43"/>
      <c r="J52" s="43"/>
      <c r="K52" s="43"/>
      <c r="L52" s="43"/>
      <c r="M52" s="43"/>
      <c r="N52" s="68"/>
    </row>
    <row r="53" spans="1:15" x14ac:dyDescent="0.25">
      <c r="B53" s="42"/>
      <c r="C53" s="100">
        <v>2012</v>
      </c>
      <c r="D53" s="100">
        <v>2013</v>
      </c>
      <c r="E53" s="100">
        <v>2014</v>
      </c>
      <c r="F53" s="100">
        <v>2015</v>
      </c>
      <c r="G53" s="100">
        <v>2016</v>
      </c>
      <c r="H53" s="100">
        <v>2017</v>
      </c>
      <c r="I53" s="100">
        <v>2018</v>
      </c>
      <c r="J53" s="100">
        <v>2019</v>
      </c>
      <c r="K53" s="100">
        <v>2020</v>
      </c>
      <c r="L53" s="100">
        <v>2021</v>
      </c>
      <c r="M53" s="100">
        <v>2022</v>
      </c>
      <c r="N53" s="68"/>
    </row>
    <row r="54" spans="1:15" ht="18.75" x14ac:dyDescent="0.3">
      <c r="A54" s="87" t="s">
        <v>67</v>
      </c>
      <c r="B54" s="71"/>
      <c r="C54" s="71"/>
      <c r="D54" s="71"/>
      <c r="E54" s="71"/>
      <c r="F54" s="71"/>
      <c r="G54" s="71"/>
      <c r="H54" s="71"/>
      <c r="I54" s="71"/>
      <c r="J54" s="71"/>
      <c r="K54" s="71"/>
      <c r="L54" s="71"/>
      <c r="M54" s="71"/>
      <c r="N54" s="68"/>
    </row>
    <row r="55" spans="1:15" x14ac:dyDescent="0.25">
      <c r="A55" s="56" t="s">
        <v>234</v>
      </c>
      <c r="B55" s="69" t="s">
        <v>73</v>
      </c>
      <c r="C55" s="64">
        <f t="shared" ref="C55:M55" si="9">C17*C10</f>
        <v>0</v>
      </c>
      <c r="D55" s="64">
        <f t="shared" si="9"/>
        <v>50</v>
      </c>
      <c r="E55" s="64">
        <f t="shared" si="9"/>
        <v>100</v>
      </c>
      <c r="F55" s="64">
        <f t="shared" si="9"/>
        <v>150</v>
      </c>
      <c r="G55" s="64">
        <f t="shared" si="9"/>
        <v>200</v>
      </c>
      <c r="H55" s="64">
        <f t="shared" si="9"/>
        <v>210</v>
      </c>
      <c r="I55" s="64">
        <f t="shared" si="9"/>
        <v>220</v>
      </c>
      <c r="J55" s="64">
        <f t="shared" si="9"/>
        <v>230</v>
      </c>
      <c r="K55" s="64">
        <f t="shared" si="9"/>
        <v>240</v>
      </c>
      <c r="L55" s="64">
        <f t="shared" si="9"/>
        <v>250</v>
      </c>
      <c r="M55" s="64">
        <f t="shared" si="9"/>
        <v>260</v>
      </c>
      <c r="N55" s="68"/>
      <c r="O55" s="45"/>
    </row>
    <row r="56" spans="1:15" x14ac:dyDescent="0.25">
      <c r="A56" s="73"/>
      <c r="B56" s="65"/>
      <c r="C56" s="66"/>
      <c r="D56" s="66"/>
      <c r="E56" s="66"/>
      <c r="F56" s="66"/>
      <c r="G56" s="66"/>
      <c r="H56" s="66"/>
      <c r="I56" s="66"/>
      <c r="J56" s="66"/>
      <c r="K56" s="66"/>
      <c r="L56" s="66"/>
      <c r="M56" s="66"/>
      <c r="N56" s="68"/>
      <c r="O56" s="45"/>
    </row>
    <row r="57" spans="1:15" ht="18.75" x14ac:dyDescent="0.3">
      <c r="A57" s="86" t="s">
        <v>84</v>
      </c>
      <c r="B57" s="187" t="s">
        <v>73</v>
      </c>
      <c r="C57" s="231"/>
      <c r="D57" s="231"/>
      <c r="E57" s="231"/>
      <c r="F57" s="231"/>
      <c r="G57" s="231"/>
      <c r="H57" s="231"/>
      <c r="I57" s="231"/>
      <c r="J57" s="231"/>
      <c r="K57" s="231"/>
      <c r="L57" s="231"/>
      <c r="M57" s="231"/>
      <c r="N57" s="68"/>
      <c r="O57" s="45"/>
    </row>
    <row r="58" spans="1:15" x14ac:dyDescent="0.25">
      <c r="A58" s="56" t="s">
        <v>35</v>
      </c>
      <c r="B58" s="69" t="s">
        <v>73</v>
      </c>
      <c r="C58" s="64">
        <f>C23*C47 *(-1)</f>
        <v>0</v>
      </c>
      <c r="D58" s="64">
        <f t="shared" ref="D58:M58" si="10">D23*D47 *(-1)</f>
        <v>-4.5910000000000011</v>
      </c>
      <c r="E58" s="64">
        <f t="shared" si="10"/>
        <v>-13.61996666666667</v>
      </c>
      <c r="F58" s="64">
        <f t="shared" si="10"/>
        <v>-26.938967777777783</v>
      </c>
      <c r="G58" s="64">
        <f t="shared" si="10"/>
        <v>-29.896724407407408</v>
      </c>
      <c r="H58" s="64">
        <f t="shared" si="10"/>
        <v>-41.264166927160495</v>
      </c>
      <c r="I58" s="64">
        <f t="shared" si="10"/>
        <v>-49.632452807572022</v>
      </c>
      <c r="J58" s="64">
        <f t="shared" si="10"/>
        <v>-49.551390964329229</v>
      </c>
      <c r="K58" s="64">
        <f t="shared" si="10"/>
        <v>-57.643677932184936</v>
      </c>
      <c r="L58" s="64">
        <f t="shared" si="10"/>
        <v>-68.825531422351418</v>
      </c>
      <c r="M58" s="64">
        <f t="shared" si="10"/>
        <v>-38.114606422977751</v>
      </c>
      <c r="N58" s="68"/>
      <c r="O58" s="45"/>
    </row>
    <row r="59" spans="1:15" x14ac:dyDescent="0.25">
      <c r="A59" s="56" t="s">
        <v>145</v>
      </c>
      <c r="B59" s="69" t="s">
        <v>73</v>
      </c>
      <c r="C59" s="64">
        <f>C19*C7*(-1)</f>
        <v>-50</v>
      </c>
      <c r="D59" s="64">
        <f t="shared" ref="D59:M59" si="11">D19*D7*(-1)</f>
        <v>-100</v>
      </c>
      <c r="E59" s="64">
        <f t="shared" si="11"/>
        <v>-150</v>
      </c>
      <c r="F59" s="64">
        <f t="shared" si="11"/>
        <v>-150</v>
      </c>
      <c r="G59" s="64">
        <f t="shared" si="11"/>
        <v>-150</v>
      </c>
      <c r="H59" s="64">
        <f t="shared" si="11"/>
        <v>-150</v>
      </c>
      <c r="I59" s="64">
        <f t="shared" si="11"/>
        <v>-150</v>
      </c>
      <c r="J59" s="64">
        <f t="shared" si="11"/>
        <v>-150</v>
      </c>
      <c r="K59" s="64">
        <f t="shared" si="11"/>
        <v>-150</v>
      </c>
      <c r="L59" s="64">
        <f t="shared" si="11"/>
        <v>-150</v>
      </c>
      <c r="M59" s="64">
        <f t="shared" si="11"/>
        <v>-150</v>
      </c>
      <c r="N59" s="68"/>
      <c r="O59" s="45"/>
    </row>
    <row r="60" spans="1:15" x14ac:dyDescent="0.25">
      <c r="A60" s="56" t="s">
        <v>28</v>
      </c>
      <c r="B60" s="69" t="s">
        <v>73</v>
      </c>
      <c r="C60" s="64">
        <f t="shared" ref="C60:M60" si="12">C49</f>
        <v>0</v>
      </c>
      <c r="D60" s="64">
        <f t="shared" si="12"/>
        <v>-1.6666666666666667</v>
      </c>
      <c r="E60" s="64">
        <f t="shared" si="12"/>
        <v>-4.9444444444444446</v>
      </c>
      <c r="F60" s="64">
        <f t="shared" si="12"/>
        <v>-9.7796296296296301</v>
      </c>
      <c r="G60" s="64">
        <f t="shared" si="12"/>
        <v>-16.12030864197531</v>
      </c>
      <c r="H60" s="64">
        <f t="shared" si="12"/>
        <v>-22.2496316872428</v>
      </c>
      <c r="I60" s="64">
        <f t="shared" si="12"/>
        <v>-28.17464396433471</v>
      </c>
      <c r="J60" s="64">
        <f t="shared" si="12"/>
        <v>-33.902155832190218</v>
      </c>
      <c r="K60" s="64">
        <f t="shared" ref="K60" si="13">K49</f>
        <v>-39.438750637783883</v>
      </c>
      <c r="L60" s="64">
        <f t="shared" si="12"/>
        <v>-44.790792283191088</v>
      </c>
      <c r="M60" s="64">
        <f t="shared" si="12"/>
        <v>-25.187549554621704</v>
      </c>
      <c r="N60" s="68"/>
      <c r="O60" s="45"/>
    </row>
    <row r="61" spans="1:15" x14ac:dyDescent="0.25">
      <c r="A61" s="79" t="s">
        <v>87</v>
      </c>
      <c r="B61" s="69" t="s">
        <v>73</v>
      </c>
      <c r="C61" s="81">
        <f>C21*C8</f>
        <v>0</v>
      </c>
      <c r="D61" s="81">
        <f t="shared" ref="D61:M61" si="14">D21*D8</f>
        <v>0</v>
      </c>
      <c r="E61" s="81">
        <f t="shared" si="14"/>
        <v>0</v>
      </c>
      <c r="F61" s="81">
        <f t="shared" si="14"/>
        <v>0</v>
      </c>
      <c r="G61" s="81">
        <f t="shared" si="14"/>
        <v>0</v>
      </c>
      <c r="H61" s="81">
        <f t="shared" si="14"/>
        <v>0</v>
      </c>
      <c r="I61" s="81">
        <f t="shared" si="14"/>
        <v>0</v>
      </c>
      <c r="J61" s="81">
        <f t="shared" si="14"/>
        <v>0</v>
      </c>
      <c r="K61" s="81">
        <f t="shared" si="14"/>
        <v>0</v>
      </c>
      <c r="L61" s="81">
        <f>L21*L8</f>
        <v>0</v>
      </c>
      <c r="M61" s="81">
        <f t="shared" si="14"/>
        <v>0</v>
      </c>
      <c r="N61" s="68"/>
      <c r="O61" s="45"/>
    </row>
    <row r="62" spans="1:15" x14ac:dyDescent="0.25">
      <c r="A62" s="82" t="s">
        <v>91</v>
      </c>
      <c r="B62" s="69" t="s">
        <v>73</v>
      </c>
      <c r="C62" s="115">
        <f>SUM(C58:C61)</f>
        <v>-50</v>
      </c>
      <c r="D62" s="115">
        <f t="shared" ref="D62:M62" si="15">SUM(D58:D61)</f>
        <v>-106.25766666666668</v>
      </c>
      <c r="E62" s="115">
        <f t="shared" si="15"/>
        <v>-168.56441111111113</v>
      </c>
      <c r="F62" s="115">
        <f t="shared" si="15"/>
        <v>-186.7185974074074</v>
      </c>
      <c r="G62" s="115">
        <f t="shared" si="15"/>
        <v>-196.01703304938272</v>
      </c>
      <c r="H62" s="115">
        <f t="shared" si="15"/>
        <v>-213.5137986144033</v>
      </c>
      <c r="I62" s="115">
        <f t="shared" si="15"/>
        <v>-227.80709677190671</v>
      </c>
      <c r="J62" s="115">
        <f t="shared" si="15"/>
        <v>-233.45354679651945</v>
      </c>
      <c r="K62" s="115">
        <f t="shared" si="15"/>
        <v>-247.08242856996884</v>
      </c>
      <c r="L62" s="115">
        <f t="shared" si="15"/>
        <v>-263.61632370554253</v>
      </c>
      <c r="M62" s="115">
        <f t="shared" si="15"/>
        <v>-213.30215597759945</v>
      </c>
      <c r="N62" s="68"/>
      <c r="O62" s="45"/>
    </row>
    <row r="63" spans="1:15" x14ac:dyDescent="0.25">
      <c r="A63" s="77"/>
      <c r="C63" s="45"/>
      <c r="D63" s="45"/>
      <c r="E63" s="45"/>
      <c r="F63" s="45"/>
      <c r="G63" s="45"/>
      <c r="H63" s="45"/>
      <c r="I63" s="45"/>
      <c r="J63" s="45"/>
      <c r="K63" s="45"/>
      <c r="L63" s="45"/>
      <c r="M63" s="45"/>
      <c r="O63" s="45"/>
    </row>
    <row r="64" spans="1:15" ht="18.75" x14ac:dyDescent="0.3">
      <c r="A64" s="86" t="s">
        <v>86</v>
      </c>
      <c r="C64" s="45"/>
      <c r="D64" s="45"/>
      <c r="E64" s="45"/>
      <c r="F64" s="45"/>
      <c r="G64" s="45"/>
      <c r="H64" s="45"/>
      <c r="I64" s="45"/>
      <c r="J64" s="45"/>
      <c r="K64" s="45"/>
      <c r="L64" s="45"/>
      <c r="M64" s="45"/>
      <c r="O64" s="45"/>
    </row>
    <row r="65" spans="1:16" x14ac:dyDescent="0.25">
      <c r="A65" s="91" t="s">
        <v>90</v>
      </c>
      <c r="B65" s="69" t="s">
        <v>73</v>
      </c>
      <c r="C65" s="93">
        <v>0</v>
      </c>
      <c r="D65" s="64">
        <f>C68</f>
        <v>30</v>
      </c>
      <c r="E65" s="64">
        <f t="shared" ref="E65:M65" si="16">D68</f>
        <v>80</v>
      </c>
      <c r="F65" s="64">
        <f t="shared" si="16"/>
        <v>150</v>
      </c>
      <c r="G65" s="64">
        <f t="shared" si="16"/>
        <v>250</v>
      </c>
      <c r="H65" s="64">
        <f t="shared" si="16"/>
        <v>350</v>
      </c>
      <c r="I65" s="64">
        <f t="shared" si="16"/>
        <v>450</v>
      </c>
      <c r="J65" s="64">
        <f t="shared" si="16"/>
        <v>550</v>
      </c>
      <c r="K65" s="64">
        <f t="shared" si="16"/>
        <v>650</v>
      </c>
      <c r="L65" s="64">
        <f t="shared" si="16"/>
        <v>750</v>
      </c>
      <c r="M65" s="64">
        <f t="shared" si="16"/>
        <v>850</v>
      </c>
      <c r="O65" s="45"/>
      <c r="P65" s="76" t="s">
        <v>264</v>
      </c>
    </row>
    <row r="66" spans="1:16" x14ac:dyDescent="0.25">
      <c r="A66" s="91" t="s">
        <v>89</v>
      </c>
      <c r="B66" s="69" t="s">
        <v>73</v>
      </c>
      <c r="C66" s="64">
        <f>C28</f>
        <v>30</v>
      </c>
      <c r="D66" s="64">
        <f t="shared" ref="D66:M66" si="17">D28</f>
        <v>50</v>
      </c>
      <c r="E66" s="64">
        <f>E28</f>
        <v>70</v>
      </c>
      <c r="F66" s="64">
        <f t="shared" si="17"/>
        <v>100</v>
      </c>
      <c r="G66" s="64">
        <f t="shared" si="17"/>
        <v>100</v>
      </c>
      <c r="H66" s="64">
        <f t="shared" si="17"/>
        <v>100</v>
      </c>
      <c r="I66" s="64">
        <f t="shared" si="17"/>
        <v>100</v>
      </c>
      <c r="J66" s="64">
        <f t="shared" si="17"/>
        <v>100</v>
      </c>
      <c r="K66" s="64">
        <f t="shared" si="17"/>
        <v>100</v>
      </c>
      <c r="L66" s="64">
        <f t="shared" si="17"/>
        <v>100</v>
      </c>
      <c r="M66" s="64">
        <f t="shared" si="17"/>
        <v>100</v>
      </c>
      <c r="O66" s="45"/>
    </row>
    <row r="67" spans="1:16" x14ac:dyDescent="0.25">
      <c r="A67" s="91" t="s">
        <v>100</v>
      </c>
      <c r="B67" s="69" t="s">
        <v>73</v>
      </c>
      <c r="C67" s="64">
        <f>C29</f>
        <v>0</v>
      </c>
      <c r="D67" s="64">
        <f t="shared" ref="D67:L67" si="18">D29</f>
        <v>0</v>
      </c>
      <c r="E67" s="64">
        <f t="shared" si="18"/>
        <v>0</v>
      </c>
      <c r="F67" s="64">
        <f t="shared" si="18"/>
        <v>0</v>
      </c>
      <c r="G67" s="64">
        <f t="shared" si="18"/>
        <v>0</v>
      </c>
      <c r="H67" s="64">
        <f t="shared" si="18"/>
        <v>0</v>
      </c>
      <c r="I67" s="64">
        <f t="shared" si="18"/>
        <v>0</v>
      </c>
      <c r="J67" s="64">
        <f t="shared" si="18"/>
        <v>0</v>
      </c>
      <c r="K67" s="64">
        <f t="shared" si="18"/>
        <v>0</v>
      </c>
      <c r="L67" s="64">
        <f t="shared" si="18"/>
        <v>0</v>
      </c>
      <c r="M67" s="64">
        <f>M29</f>
        <v>0</v>
      </c>
      <c r="O67" s="45"/>
    </row>
    <row r="68" spans="1:16" x14ac:dyDescent="0.25">
      <c r="A68" s="91" t="s">
        <v>99</v>
      </c>
      <c r="B68" s="69" t="s">
        <v>73</v>
      </c>
      <c r="C68" s="114">
        <f>SUM(C65:C67)</f>
        <v>30</v>
      </c>
      <c r="D68" s="114">
        <f t="shared" ref="D68:M68" si="19">SUM(D65:D67)</f>
        <v>80</v>
      </c>
      <c r="E68" s="114">
        <f t="shared" si="19"/>
        <v>150</v>
      </c>
      <c r="F68" s="114">
        <f t="shared" si="19"/>
        <v>250</v>
      </c>
      <c r="G68" s="114">
        <f t="shared" si="19"/>
        <v>350</v>
      </c>
      <c r="H68" s="114">
        <f t="shared" si="19"/>
        <v>450</v>
      </c>
      <c r="I68" s="114">
        <f t="shared" si="19"/>
        <v>550</v>
      </c>
      <c r="J68" s="114">
        <f t="shared" si="19"/>
        <v>650</v>
      </c>
      <c r="K68" s="114">
        <f t="shared" si="19"/>
        <v>750</v>
      </c>
      <c r="L68" s="114">
        <f t="shared" si="19"/>
        <v>850</v>
      </c>
      <c r="M68" s="114">
        <f t="shared" si="19"/>
        <v>950</v>
      </c>
      <c r="N68" s="45"/>
      <c r="O68" s="45"/>
    </row>
    <row r="69" spans="1:16" ht="18.75" x14ac:dyDescent="0.3">
      <c r="A69" s="86"/>
      <c r="C69" s="45"/>
      <c r="D69" s="45"/>
      <c r="E69" s="45"/>
      <c r="F69" s="45"/>
      <c r="G69" s="45"/>
      <c r="H69" s="45"/>
      <c r="I69" s="45"/>
      <c r="J69" s="45"/>
      <c r="K69" s="45"/>
      <c r="L69" s="45"/>
      <c r="M69" s="45"/>
      <c r="O69" s="45"/>
    </row>
    <row r="70" spans="1:16" ht="14.25" customHeight="1" x14ac:dyDescent="0.25">
      <c r="A70" s="56" t="s">
        <v>86</v>
      </c>
      <c r="B70" s="69" t="s">
        <v>73</v>
      </c>
      <c r="C70" s="64">
        <f>C26*C65</f>
        <v>0</v>
      </c>
      <c r="D70" s="64">
        <f t="shared" ref="D70:M70" si="20">D26*D65</f>
        <v>2.4</v>
      </c>
      <c r="E70" s="64">
        <f>E26*E65</f>
        <v>6.4</v>
      </c>
      <c r="F70" s="64">
        <f t="shared" si="20"/>
        <v>12</v>
      </c>
      <c r="G70" s="64">
        <f t="shared" si="20"/>
        <v>12.5</v>
      </c>
      <c r="H70" s="64">
        <f t="shared" si="20"/>
        <v>17.5</v>
      </c>
      <c r="I70" s="64">
        <f t="shared" si="20"/>
        <v>22.5</v>
      </c>
      <c r="J70" s="64">
        <f t="shared" si="20"/>
        <v>16.5</v>
      </c>
      <c r="K70" s="64">
        <f t="shared" si="20"/>
        <v>19.5</v>
      </c>
      <c r="L70" s="64">
        <f t="shared" si="20"/>
        <v>22.5</v>
      </c>
      <c r="M70" s="64">
        <f t="shared" si="20"/>
        <v>17</v>
      </c>
      <c r="N70" s="68"/>
      <c r="O70" s="76" t="s">
        <v>192</v>
      </c>
    </row>
    <row r="71" spans="1:16" ht="14.25" customHeight="1" x14ac:dyDescent="0.25">
      <c r="A71" s="73"/>
      <c r="B71" s="65"/>
      <c r="C71" s="66"/>
      <c r="D71" s="66"/>
      <c r="E71" s="66"/>
      <c r="F71" s="66"/>
      <c r="G71" s="66"/>
      <c r="H71" s="66"/>
      <c r="I71" s="66"/>
      <c r="J71" s="66"/>
      <c r="K71" s="66"/>
      <c r="L71" s="66"/>
      <c r="M71" s="66"/>
      <c r="O71" s="45"/>
    </row>
    <row r="72" spans="1:16" ht="14.25" customHeight="1" x14ac:dyDescent="0.3">
      <c r="A72" s="86" t="s">
        <v>85</v>
      </c>
      <c r="B72" s="83"/>
      <c r="C72" s="78"/>
      <c r="D72" s="78"/>
      <c r="E72" s="78"/>
      <c r="F72" s="78"/>
      <c r="G72" s="78"/>
      <c r="H72" s="78"/>
      <c r="I72" s="78"/>
      <c r="J72" s="78"/>
      <c r="K72" s="78"/>
      <c r="L72" s="78"/>
      <c r="M72" s="78"/>
      <c r="O72" s="45"/>
    </row>
    <row r="73" spans="1:16" x14ac:dyDescent="0.25">
      <c r="A73" s="56" t="s">
        <v>85</v>
      </c>
      <c r="B73" s="69" t="s">
        <v>73</v>
      </c>
      <c r="C73" s="85">
        <f>C55+C62+C70</f>
        <v>-50</v>
      </c>
      <c r="D73" s="85">
        <f t="shared" ref="D73:M73" si="21">D55+D62+D70</f>
        <v>-53.857666666666681</v>
      </c>
      <c r="E73" s="85">
        <f t="shared" si="21"/>
        <v>-62.164411111111129</v>
      </c>
      <c r="F73" s="85">
        <f t="shared" si="21"/>
        <v>-24.718597407407401</v>
      </c>
      <c r="G73" s="85">
        <f t="shared" si="21"/>
        <v>16.482966950617282</v>
      </c>
      <c r="H73" s="85">
        <f t="shared" si="21"/>
        <v>13.986201385596701</v>
      </c>
      <c r="I73" s="85">
        <f t="shared" si="21"/>
        <v>14.692903228093286</v>
      </c>
      <c r="J73" s="85">
        <f t="shared" si="21"/>
        <v>13.046453203480553</v>
      </c>
      <c r="K73" s="85">
        <f t="shared" si="21"/>
        <v>12.41757143003116</v>
      </c>
      <c r="L73" s="85">
        <f t="shared" si="21"/>
        <v>8.883676294457473</v>
      </c>
      <c r="M73" s="85">
        <f t="shared" si="21"/>
        <v>63.697844022400545</v>
      </c>
      <c r="N73" s="68"/>
      <c r="O73" s="76" t="s">
        <v>192</v>
      </c>
    </row>
    <row r="74" spans="1:16" x14ac:dyDescent="0.25">
      <c r="C74" s="45"/>
      <c r="D74" s="45"/>
      <c r="E74" s="45"/>
      <c r="F74" s="45"/>
      <c r="G74" s="45"/>
      <c r="H74" s="45"/>
      <c r="I74" s="45"/>
      <c r="J74" s="45"/>
      <c r="K74" s="45"/>
      <c r="L74" s="45"/>
      <c r="M74" s="45"/>
      <c r="O74" s="45"/>
    </row>
    <row r="75" spans="1:16" x14ac:dyDescent="0.25">
      <c r="O75" s="45"/>
    </row>
    <row r="76" spans="1:16" ht="23.25" x14ac:dyDescent="0.35">
      <c r="A76" s="35" t="s">
        <v>76</v>
      </c>
      <c r="O76" s="45"/>
    </row>
    <row r="77" spans="1:16" x14ac:dyDescent="0.25">
      <c r="B77" s="42"/>
      <c r="C77" s="100">
        <v>2012</v>
      </c>
      <c r="D77" s="100">
        <v>2013</v>
      </c>
      <c r="E77" s="100">
        <v>2014</v>
      </c>
      <c r="F77" s="100">
        <v>2015</v>
      </c>
      <c r="G77" s="100">
        <v>2016</v>
      </c>
      <c r="H77" s="100">
        <v>2017</v>
      </c>
      <c r="I77" s="100">
        <v>2018</v>
      </c>
      <c r="J77" s="100">
        <v>2019</v>
      </c>
      <c r="K77" s="100">
        <v>2020</v>
      </c>
      <c r="L77" s="100">
        <v>2021</v>
      </c>
      <c r="M77" s="100">
        <v>2022</v>
      </c>
      <c r="O77" s="45"/>
    </row>
    <row r="78" spans="1:16" x14ac:dyDescent="0.25">
      <c r="A78" s="56" t="s">
        <v>177</v>
      </c>
      <c r="B78" s="120" t="s">
        <v>107</v>
      </c>
      <c r="C78" s="72">
        <f>C24</f>
        <v>1.8418483538114241</v>
      </c>
      <c r="D78" s="72">
        <f t="shared" ref="C78:J78" si="22">D24</f>
        <v>1.6869523857517028</v>
      </c>
      <c r="E78" s="72">
        <f t="shared" si="22"/>
        <v>1.545082876070875</v>
      </c>
      <c r="F78" s="72">
        <f t="shared" si="22"/>
        <v>1.415144324220911</v>
      </c>
      <c r="G78" s="72">
        <f t="shared" si="22"/>
        <v>1.3327535026849286</v>
      </c>
      <c r="H78" s="72">
        <f t="shared" si="22"/>
        <v>1.2551595399266624</v>
      </c>
      <c r="I78" s="72">
        <f t="shared" si="22"/>
        <v>1.1855443742695542</v>
      </c>
      <c r="J78" s="72">
        <f t="shared" si="22"/>
        <v>1.1304679745495023</v>
      </c>
      <c r="K78" s="72">
        <f>K24</f>
        <v>1.0779502389098159</v>
      </c>
      <c r="L78" s="72">
        <f>L24</f>
        <v>1.0254278256785601</v>
      </c>
      <c r="M78" s="72">
        <f>M24</f>
        <v>1</v>
      </c>
      <c r="O78" s="45"/>
    </row>
    <row r="79" spans="1:16" x14ac:dyDescent="0.25">
      <c r="A79" s="56" t="s">
        <v>253</v>
      </c>
      <c r="B79" s="69" t="s">
        <v>73</v>
      </c>
      <c r="C79" s="64">
        <f>-C73*C78</f>
        <v>92.09241769057121</v>
      </c>
      <c r="D79" s="64">
        <f t="shared" ref="D79:L79" si="23">-D73*D78</f>
        <v>90.85531927435332</v>
      </c>
      <c r="E79" s="64">
        <f t="shared" si="23"/>
        <v>96.049167108807836</v>
      </c>
      <c r="F79" s="64">
        <f t="shared" si="23"/>
        <v>34.980382823794308</v>
      </c>
      <c r="G79" s="64">
        <f t="shared" si="23"/>
        <v>-21.967731938075101</v>
      </c>
      <c r="H79" s="64">
        <f t="shared" si="23"/>
        <v>-17.554914096467204</v>
      </c>
      <c r="I79" s="64">
        <f t="shared" si="23"/>
        <v>-17.419088763752967</v>
      </c>
      <c r="J79" s="64">
        <f t="shared" si="23"/>
        <v>-14.748597527993526</v>
      </c>
      <c r="K79" s="64">
        <f t="shared" si="23"/>
        <v>-13.385524089681793</v>
      </c>
      <c r="L79" s="64">
        <f t="shared" si="23"/>
        <v>-9.1095688666576944</v>
      </c>
      <c r="M79" s="64">
        <f>-M73*M78</f>
        <v>-63.697844022400545</v>
      </c>
      <c r="O79" s="45"/>
    </row>
    <row r="80" spans="1:16" x14ac:dyDescent="0.25">
      <c r="A80" s="56" t="s">
        <v>76</v>
      </c>
      <c r="B80" s="69" t="s">
        <v>73</v>
      </c>
      <c r="C80" s="64"/>
      <c r="D80" s="64"/>
      <c r="E80" s="64"/>
      <c r="F80" s="64"/>
      <c r="G80" s="64"/>
      <c r="H80" s="64"/>
      <c r="I80" s="64"/>
      <c r="J80" s="64"/>
      <c r="K80" s="64"/>
      <c r="L80" s="64"/>
      <c r="M80" s="122">
        <f>SUM(C79:M79)</f>
        <v>156.09401759249783</v>
      </c>
      <c r="O80" s="76" t="s">
        <v>235</v>
      </c>
    </row>
    <row r="81" spans="1:15" x14ac:dyDescent="0.25">
      <c r="A81" s="238"/>
      <c r="B81" s="238"/>
      <c r="C81" s="238"/>
      <c r="D81" s="238"/>
      <c r="E81" s="238"/>
      <c r="F81" s="238"/>
      <c r="G81" s="238"/>
      <c r="H81" s="238"/>
      <c r="I81" s="238"/>
      <c r="J81" s="238"/>
      <c r="K81" s="238"/>
      <c r="L81" s="238"/>
      <c r="M81" s="238"/>
      <c r="O81" s="45"/>
    </row>
    <row r="82" spans="1:15" x14ac:dyDescent="0.25">
      <c r="A82" s="96"/>
      <c r="B82" s="231"/>
      <c r="C82" s="231"/>
      <c r="D82" s="231"/>
      <c r="E82" s="231"/>
      <c r="F82" s="231"/>
      <c r="G82" s="231"/>
      <c r="H82" s="231"/>
      <c r="I82" s="231"/>
      <c r="J82" s="231"/>
      <c r="K82" s="231"/>
      <c r="L82" s="231"/>
      <c r="M82" s="231"/>
      <c r="O82" s="45"/>
    </row>
    <row r="83" spans="1:15" x14ac:dyDescent="0.25">
      <c r="A83" s="56" t="s">
        <v>98</v>
      </c>
      <c r="B83" s="69" t="s">
        <v>73</v>
      </c>
      <c r="C83" s="64">
        <f t="shared" ref="C83:M83" si="24">C$78*C55</f>
        <v>0</v>
      </c>
      <c r="D83" s="64">
        <f t="shared" si="24"/>
        <v>84.347619287585147</v>
      </c>
      <c r="E83" s="64">
        <f t="shared" si="24"/>
        <v>154.50828760708751</v>
      </c>
      <c r="F83" s="64">
        <f t="shared" si="24"/>
        <v>212.27164863313664</v>
      </c>
      <c r="G83" s="64">
        <f t="shared" si="24"/>
        <v>266.55070053698574</v>
      </c>
      <c r="H83" s="64">
        <f t="shared" si="24"/>
        <v>263.58350338459911</v>
      </c>
      <c r="I83" s="64">
        <f t="shared" si="24"/>
        <v>260.81976233930192</v>
      </c>
      <c r="J83" s="64">
        <f t="shared" si="24"/>
        <v>260.00763414638556</v>
      </c>
      <c r="K83" s="64">
        <f t="shared" si="24"/>
        <v>258.70805733835584</v>
      </c>
      <c r="L83" s="64">
        <f t="shared" si="24"/>
        <v>256.35695641964003</v>
      </c>
      <c r="M83" s="64">
        <f t="shared" si="24"/>
        <v>260</v>
      </c>
      <c r="O83" s="45"/>
    </row>
    <row r="84" spans="1:15" x14ac:dyDescent="0.25">
      <c r="A84" s="56" t="s">
        <v>183</v>
      </c>
      <c r="B84" s="56"/>
      <c r="C84" s="64">
        <f>(C62+C70)*C78</f>
        <v>-92.09241769057121</v>
      </c>
      <c r="D84" s="64">
        <f t="shared" ref="D84:M84" si="25">(D62+D70)*D78</f>
        <v>-175.20293856193845</v>
      </c>
      <c r="E84" s="64">
        <f t="shared" si="25"/>
        <v>-250.55745471589535</v>
      </c>
      <c r="F84" s="64">
        <f t="shared" si="25"/>
        <v>-247.25203145693095</v>
      </c>
      <c r="G84" s="64">
        <f t="shared" si="25"/>
        <v>-244.58296859891064</v>
      </c>
      <c r="H84" s="64">
        <f t="shared" si="25"/>
        <v>-246.02858928813191</v>
      </c>
      <c r="I84" s="64">
        <f t="shared" si="25"/>
        <v>-243.40067357554895</v>
      </c>
      <c r="J84" s="64">
        <f t="shared" si="25"/>
        <v>-245.259036618392</v>
      </c>
      <c r="K84" s="64">
        <f t="shared" si="25"/>
        <v>-245.32253324867403</v>
      </c>
      <c r="L84" s="64">
        <f t="shared" si="25"/>
        <v>-247.24738755298233</v>
      </c>
      <c r="M84" s="64">
        <f t="shared" si="25"/>
        <v>-196.30215597759945</v>
      </c>
      <c r="O84" s="45"/>
    </row>
    <row r="86" spans="1:15" ht="23.25" x14ac:dyDescent="0.35">
      <c r="A86" s="35" t="s">
        <v>23</v>
      </c>
      <c r="O86" s="45"/>
    </row>
    <row r="87" spans="1:15" x14ac:dyDescent="0.25">
      <c r="A87" s="174" t="s">
        <v>184</v>
      </c>
      <c r="O87" s="45"/>
    </row>
    <row r="88" spans="1:15" x14ac:dyDescent="0.25">
      <c r="A88" s="56" t="s">
        <v>67</v>
      </c>
      <c r="B88" s="69" t="s">
        <v>73</v>
      </c>
      <c r="C88" s="69"/>
      <c r="D88" s="69"/>
      <c r="E88" s="69"/>
      <c r="F88" s="69"/>
      <c r="G88" s="69"/>
      <c r="H88" s="69"/>
      <c r="I88" s="69"/>
      <c r="J88" s="69"/>
      <c r="K88" s="69"/>
      <c r="L88" s="69"/>
      <c r="M88" s="64">
        <f>SUM(C83:M83)</f>
        <v>2277.1541696930776</v>
      </c>
      <c r="O88" s="45"/>
    </row>
    <row r="89" spans="1:15" x14ac:dyDescent="0.25">
      <c r="A89" s="56" t="s">
        <v>183</v>
      </c>
      <c r="B89" s="69" t="s">
        <v>73</v>
      </c>
      <c r="C89" s="69"/>
      <c r="D89" s="69"/>
      <c r="E89" s="69"/>
      <c r="F89" s="69"/>
      <c r="G89" s="69"/>
      <c r="H89" s="69"/>
      <c r="I89" s="69"/>
      <c r="J89" s="69"/>
      <c r="K89" s="69"/>
      <c r="L89" s="69"/>
      <c r="M89" s="64">
        <f>SUM(C84:M84)</f>
        <v>-2433.2481872855751</v>
      </c>
      <c r="O89" s="45"/>
    </row>
    <row r="90" spans="1:15" x14ac:dyDescent="0.25">
      <c r="A90" s="56" t="s">
        <v>76</v>
      </c>
      <c r="B90" s="69" t="s">
        <v>73</v>
      </c>
      <c r="C90" s="69"/>
      <c r="D90" s="69"/>
      <c r="E90" s="69"/>
      <c r="F90" s="69"/>
      <c r="G90" s="69"/>
      <c r="H90" s="69"/>
      <c r="I90" s="69"/>
      <c r="J90" s="69"/>
      <c r="K90" s="69"/>
      <c r="L90" s="69"/>
      <c r="M90" s="64">
        <f>M80</f>
        <v>156.09401759249783</v>
      </c>
      <c r="O90" s="45"/>
    </row>
    <row r="91" spans="1:15" x14ac:dyDescent="0.25">
      <c r="A91" s="73"/>
      <c r="O91" s="45"/>
    </row>
    <row r="92" spans="1:15" x14ac:dyDescent="0.25">
      <c r="A92" s="8"/>
      <c r="O92" s="45"/>
    </row>
    <row r="93" spans="1:15" x14ac:dyDescent="0.25">
      <c r="O93" s="45"/>
    </row>
    <row r="94" spans="1:15" x14ac:dyDescent="0.25">
      <c r="O94" s="45"/>
    </row>
    <row r="95" spans="1:15" x14ac:dyDescent="0.25">
      <c r="O95" s="45"/>
    </row>
    <row r="96" spans="1:15" x14ac:dyDescent="0.25">
      <c r="O96" s="45"/>
    </row>
    <row r="98" spans="3:15" x14ac:dyDescent="0.25">
      <c r="M98" s="68"/>
    </row>
    <row r="99" spans="3:15" x14ac:dyDescent="0.25">
      <c r="C99" s="45"/>
      <c r="D99" s="45"/>
      <c r="E99" s="45"/>
      <c r="F99" s="45"/>
      <c r="G99" s="45"/>
      <c r="H99" s="45"/>
      <c r="I99" s="45"/>
      <c r="J99" s="45"/>
      <c r="K99" s="45"/>
      <c r="L99" s="45"/>
      <c r="M99" s="45"/>
      <c r="O99" s="45"/>
    </row>
    <row r="100" spans="3:15" x14ac:dyDescent="0.25">
      <c r="C100" s="43"/>
      <c r="D100" s="43"/>
      <c r="E100" s="43"/>
      <c r="F100" s="43"/>
      <c r="G100" s="43"/>
      <c r="H100" s="43"/>
      <c r="I100" s="43"/>
      <c r="J100" s="43"/>
      <c r="K100" s="43"/>
      <c r="L100" s="43"/>
      <c r="M100" s="43"/>
      <c r="O100" s="45"/>
    </row>
    <row r="104" spans="3:15" x14ac:dyDescent="0.25">
      <c r="C104" s="45"/>
      <c r="D104" s="45"/>
      <c r="E104" s="45"/>
      <c r="F104" s="45"/>
      <c r="G104" s="45"/>
      <c r="H104" s="45"/>
      <c r="I104" s="45"/>
      <c r="J104" s="45"/>
      <c r="K104" s="45"/>
      <c r="L104" s="45"/>
      <c r="M104" s="45"/>
      <c r="O104" s="45"/>
    </row>
    <row r="105" spans="3:15" x14ac:dyDescent="0.25">
      <c r="C105" s="45"/>
      <c r="D105" s="45"/>
      <c r="E105" s="45"/>
      <c r="F105" s="45"/>
      <c r="G105" s="45"/>
      <c r="H105" s="45"/>
      <c r="I105" s="45"/>
      <c r="J105" s="45"/>
      <c r="K105" s="45"/>
      <c r="L105" s="45"/>
      <c r="M105" s="45"/>
      <c r="O105" s="45"/>
    </row>
  </sheetData>
  <phoneticPr fontId="39"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0EF3D-CEF0-4F3D-9C2C-882362A47761}">
  <sheetPr>
    <tabColor theme="6" tint="-0.499984740745262"/>
  </sheetPr>
  <dimension ref="A1:O14"/>
  <sheetViews>
    <sheetView showGridLines="0" workbookViewId="0"/>
  </sheetViews>
  <sheetFormatPr defaultRowHeight="15" x14ac:dyDescent="0.25"/>
  <cols>
    <col min="1" max="1" width="30.7109375" customWidth="1"/>
    <col min="2" max="3" width="16.42578125" customWidth="1"/>
    <col min="4" max="4" width="16.42578125" style="1" customWidth="1"/>
    <col min="5" max="5" width="7.5703125" customWidth="1"/>
    <col min="6" max="6" width="15.7109375" customWidth="1"/>
    <col min="7" max="7" width="6.5703125" customWidth="1"/>
    <col min="8" max="8" width="23.28515625" customWidth="1"/>
    <col min="9" max="9" width="6.85546875" customWidth="1"/>
    <col min="10" max="10" width="20.140625" customWidth="1"/>
    <col min="11" max="11" width="23.28515625" customWidth="1"/>
    <col min="12" max="12" width="14.85546875" customWidth="1"/>
  </cols>
  <sheetData>
    <row r="1" spans="1:15" ht="26.25" x14ac:dyDescent="0.4">
      <c r="A1" s="16" t="s">
        <v>81</v>
      </c>
    </row>
    <row r="2" spans="1:15" x14ac:dyDescent="0.25">
      <c r="A2" s="76" t="s">
        <v>189</v>
      </c>
    </row>
    <row r="3" spans="1:15" s="1" customFormat="1" x14ac:dyDescent="0.25">
      <c r="A3" s="76"/>
    </row>
    <row r="4" spans="1:15" x14ac:dyDescent="0.25">
      <c r="B4" s="174" t="s">
        <v>185</v>
      </c>
      <c r="F4" s="239" t="s">
        <v>73</v>
      </c>
      <c r="G4" s="70"/>
    </row>
    <row r="5" spans="1:15" ht="26.25" x14ac:dyDescent="0.25">
      <c r="B5" s="237" t="s">
        <v>199</v>
      </c>
      <c r="C5" s="237" t="s">
        <v>83</v>
      </c>
      <c r="D5" s="237" t="s">
        <v>106</v>
      </c>
      <c r="F5" s="100" t="s">
        <v>187</v>
      </c>
      <c r="H5" s="100" t="s">
        <v>188</v>
      </c>
      <c r="J5" s="100" t="s">
        <v>186</v>
      </c>
    </row>
    <row r="6" spans="1:15" x14ac:dyDescent="0.25">
      <c r="A6" s="56" t="s">
        <v>78</v>
      </c>
      <c r="B6" s="121">
        <f>'Financial loss asset'!M88</f>
        <v>2277.1541696930776</v>
      </c>
      <c r="C6" s="121">
        <f>'Financial loss asset'!M89</f>
        <v>-2433.2481872855751</v>
      </c>
      <c r="D6" s="278">
        <f>'Financial loss asset'!M90</f>
        <v>156.09401759249783</v>
      </c>
      <c r="F6" s="236">
        <f>Tax!M96</f>
        <v>0</v>
      </c>
      <c r="H6" s="179" t="str">
        <f>Inputs!C39</f>
        <v>No timing factors applied</v>
      </c>
      <c r="J6" s="179" t="str">
        <f>Inputs!$C$44</f>
        <v>Before tax</v>
      </c>
      <c r="O6" s="1"/>
    </row>
    <row r="7" spans="1:15" x14ac:dyDescent="0.25">
      <c r="A7" s="56" t="s">
        <v>82</v>
      </c>
      <c r="B7" s="121">
        <f>'A1 Financial loss asset'!M75</f>
        <v>2189.1357495267725</v>
      </c>
      <c r="C7" s="121">
        <f>'A1 Financial loss asset'!M76</f>
        <v>-2388.5373593399618</v>
      </c>
      <c r="D7" s="278">
        <f>'A1 Financial loss asset'!M77</f>
        <v>199.40160981318894</v>
      </c>
      <c r="F7" s="236">
        <f>'A1 Tax'!M100</f>
        <v>0</v>
      </c>
      <c r="H7" s="179" t="str">
        <f>Inputs!C40</f>
        <v>No timing factors applied</v>
      </c>
      <c r="I7" s="1"/>
      <c r="J7" s="179" t="str">
        <f>Inputs!$C$44</f>
        <v>Before tax</v>
      </c>
    </row>
    <row r="8" spans="1:15" x14ac:dyDescent="0.25">
      <c r="A8" s="56" t="s">
        <v>119</v>
      </c>
      <c r="B8" s="121">
        <f>'A2 Financial loss asset'!M91</f>
        <v>2277.1541696930776</v>
      </c>
      <c r="C8" s="121">
        <f>'A2 Financial loss asset'!M92</f>
        <v>-2441.9875162661237</v>
      </c>
      <c r="D8" s="278">
        <f>'A2 Financial loss asset'!M93</f>
        <v>164.83334657304664</v>
      </c>
      <c r="F8" s="236">
        <f>'A2 Tax'!M107</f>
        <v>0</v>
      </c>
      <c r="H8" s="179" t="str">
        <f>Inputs!C41</f>
        <v>No timing factors applied</v>
      </c>
      <c r="I8" s="1"/>
      <c r="J8" s="179" t="str">
        <f>Inputs!$C$44</f>
        <v>Before tax</v>
      </c>
    </row>
    <row r="10" spans="1:15" x14ac:dyDescent="0.25">
      <c r="H10" s="1"/>
    </row>
    <row r="11" spans="1:15" x14ac:dyDescent="0.25">
      <c r="G11" s="67"/>
      <c r="H11" s="1"/>
    </row>
    <row r="12" spans="1:15" x14ac:dyDescent="0.25">
      <c r="G12" s="67"/>
      <c r="H12" s="1"/>
    </row>
    <row r="13" spans="1:15" x14ac:dyDescent="0.25">
      <c r="G13" s="67"/>
      <c r="H13" s="1"/>
    </row>
    <row r="14" spans="1:15" x14ac:dyDescent="0.25">
      <c r="H14"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CoverSheet</vt:lpstr>
      <vt:lpstr>Description</vt:lpstr>
      <vt:lpstr>Table of Contents</vt:lpstr>
      <vt:lpstr>Inputs</vt:lpstr>
      <vt:lpstr>Cost of capital</vt:lpstr>
      <vt:lpstr>Timing</vt:lpstr>
      <vt:lpstr>Tax</vt:lpstr>
      <vt:lpstr>Financial loss asset</vt:lpstr>
      <vt:lpstr>Summary</vt:lpstr>
      <vt:lpstr>Adj. WACC method &gt;&gt;</vt:lpstr>
      <vt:lpstr>A1 Tax</vt:lpstr>
      <vt:lpstr>A1 Financial loss asset</vt:lpstr>
      <vt:lpstr>Stand-alone av fin cost &gt;&gt;</vt:lpstr>
      <vt:lpstr>A2 Tax</vt:lpstr>
      <vt:lpstr>A2 Financial loss asset</vt:lpstr>
      <vt:lpstr>CoverSheet!Print_Area</vt:lpstr>
      <vt:lpstr>Description!Print_Area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2019-12-16T03:14:42Z</dcterms:created>
  <dcterms:modified xsi:type="dcterms:W3CDTF">2019-12-16T03:18:13Z</dcterms:modified>
</cp:coreProperties>
</file>