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fileSharing readOnlyRecommended="1"/>
  <workbookPr filterPrivacy="1" codeName="ThisWorkbook"/>
  <xr:revisionPtr revIDLastSave="0" documentId="13_ncr:1_{EF0975B4-94A8-4018-89DB-23E130EBFEA7}" xr6:coauthVersionLast="47" xr6:coauthVersionMax="47" xr10:uidLastSave="{00000000-0000-0000-0000-000000000000}"/>
  <bookViews>
    <workbookView xWindow="-57720" yWindow="-120" windowWidth="29040" windowHeight="15840" tabRatio="814" xr2:uid="{00000000-000D-0000-FFFF-FFFF00000000}"/>
  </bookViews>
  <sheets>
    <sheet name="CoverSheet" sheetId="13" r:id="rId1"/>
    <sheet name="Table of Contents" sheetId="12" r:id="rId2"/>
    <sheet name="Inputs" sheetId="1" r:id="rId3"/>
    <sheet name="Calculations" sheetId="6" r:id="rId4"/>
    <sheet name="Gas Bill Breakdown" sheetId="7" r:id="rId5"/>
    <sheet name="GPBs Gas Bill DPP3 Impact" sheetId="8" r:id="rId6"/>
    <sheet name="Gas Bill DPP3 Impact" sheetId="9" r:id="rId7"/>
  </sheets>
  <externalReferences>
    <externalReference r:id="rId8"/>
    <externalReference r:id="rId9"/>
  </externalReferences>
  <definedNames>
    <definedName name="CPI_JUNE_YE_2022">Inputs!$N$41</definedName>
    <definedName name="CPI_SEP_YE_2022">Inputs!$O$42</definedName>
    <definedName name="demand_kWh_per_household">Calculations!$B$18</definedName>
    <definedName name="EDB_Name">'[1]EDB data'!$C$4</definedName>
    <definedName name="Indiv_Data">[1]Inputs!$B$1:$R$57</definedName>
    <definedName name="_xlnm.Print_Area" localSheetId="3">Calculations!$A$1:$G$18</definedName>
    <definedName name="_xlnm.Print_Area" localSheetId="0">CoverSheet!$A$1:$D$18</definedName>
    <definedName name="_xlnm.Print_Area" localSheetId="4">'Gas Bill Breakdown'!$A$1:$F$45</definedName>
    <definedName name="_xlnm.Print_Area" localSheetId="6">'Gas Bill DPP3 Impact'!$A$1:$F$71</definedName>
    <definedName name="_xlnm.Print_Area" localSheetId="5">'GPBs Gas Bill DPP3 Impact'!$A$1:$F$54</definedName>
    <definedName name="_xlnm.Print_Area" localSheetId="2">Inputs!$A$1:$R$43</definedName>
    <definedName name="_xlnm.Print_Area" localSheetId="1">'Table of Contents'!$A$1:$C$29</definedName>
    <definedName name="rEDBNames">[1]Inputs!$B$20:$R$20</definedName>
    <definedName name="WACC">'[1]EDB data'!$B$9</definedName>
  </definedNames>
  <calcPr calcId="191028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6" l="1"/>
  <c r="B17" i="6"/>
  <c r="B18" i="6" s="1"/>
  <c r="B5" i="6"/>
  <c r="C5" i="6"/>
  <c r="D5" i="6"/>
  <c r="E5" i="6"/>
  <c r="B6" i="6"/>
  <c r="B8" i="6" s="1"/>
  <c r="B9" i="6" s="1"/>
  <c r="C6" i="6"/>
  <c r="C10" i="6" s="1"/>
  <c r="D6" i="6"/>
  <c r="E6" i="6"/>
  <c r="F6" i="6"/>
  <c r="B7" i="6"/>
  <c r="C7" i="6"/>
  <c r="D7" i="6"/>
  <c r="E7" i="6"/>
  <c r="E8" i="6" s="1"/>
  <c r="E9" i="6" s="1"/>
  <c r="F7" i="6"/>
  <c r="C8" i="6"/>
  <c r="C9" i="6" s="1"/>
  <c r="D8" i="6"/>
  <c r="D9" i="6" s="1"/>
  <c r="F8" i="6"/>
  <c r="B10" i="6"/>
  <c r="B11" i="6" s="1"/>
  <c r="D10" i="6"/>
  <c r="D11" i="6" s="1"/>
  <c r="E10" i="6"/>
  <c r="E11" i="6" s="1"/>
  <c r="G11" i="6" l="1"/>
  <c r="C11" i="6"/>
  <c r="F14" i="8" l="1"/>
  <c r="B25" i="1" l="1"/>
  <c r="F29" i="1" l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O42" i="1"/>
  <c r="K42" i="1"/>
  <c r="G42" i="1"/>
  <c r="N41" i="1"/>
  <c r="J41" i="1"/>
  <c r="F41" i="1"/>
  <c r="P43" i="1"/>
  <c r="L43" i="1"/>
  <c r="H43" i="1"/>
  <c r="D31" i="7" l="1"/>
  <c r="B29" i="7"/>
  <c r="B28" i="7"/>
  <c r="B31" i="7"/>
  <c r="D29" i="7"/>
  <c r="B27" i="7"/>
  <c r="D28" i="7"/>
  <c r="D27" i="7"/>
  <c r="C28" i="7"/>
  <c r="E31" i="7"/>
  <c r="E29" i="7"/>
  <c r="C27" i="7"/>
  <c r="E28" i="7"/>
  <c r="C31" i="7"/>
  <c r="E27" i="7"/>
  <c r="C29" i="7"/>
  <c r="B36" i="1"/>
  <c r="B10" i="8" s="1"/>
  <c r="D36" i="1" l="1"/>
  <c r="D10" i="8" s="1"/>
  <c r="C36" i="1"/>
  <c r="C10" i="8" s="1"/>
  <c r="E36" i="1"/>
  <c r="E10" i="8" s="1"/>
  <c r="E35" i="1"/>
  <c r="E9" i="8" s="1"/>
  <c r="C33" i="1"/>
  <c r="C7" i="8" s="1"/>
  <c r="E33" i="1"/>
  <c r="E7" i="8" s="1"/>
  <c r="B33" i="1"/>
  <c r="B7" i="8" s="1"/>
  <c r="F33" i="1"/>
  <c r="F7" i="8" s="1"/>
  <c r="F35" i="1"/>
  <c r="F9" i="8" s="1"/>
  <c r="D33" i="1"/>
  <c r="D7" i="8" s="1"/>
  <c r="C34" i="1"/>
  <c r="C8" i="8" s="1"/>
  <c r="D35" i="1"/>
  <c r="D9" i="8" s="1"/>
  <c r="B34" i="1"/>
  <c r="B8" i="8" s="1"/>
  <c r="F36" i="1"/>
  <c r="F10" i="8" s="1"/>
  <c r="C35" i="1"/>
  <c r="C9" i="8" s="1"/>
  <c r="B35" i="1"/>
  <c r="B9" i="8" s="1"/>
  <c r="F34" i="1"/>
  <c r="F8" i="8" s="1"/>
  <c r="E34" i="1"/>
  <c r="E8" i="8" s="1"/>
  <c r="D34" i="1"/>
  <c r="D8" i="8" s="1"/>
  <c r="B6" i="7" l="1"/>
  <c r="C6" i="7" s="1"/>
  <c r="H19" i="1"/>
  <c r="H20" i="1"/>
  <c r="H18" i="1"/>
  <c r="F27" i="7" l="1"/>
  <c r="C24" i="1" l="1"/>
  <c r="C32" i="1" s="1"/>
  <c r="D24" i="1"/>
  <c r="D32" i="1" s="1"/>
  <c r="E24" i="1"/>
  <c r="E32" i="1" s="1"/>
  <c r="F24" i="1"/>
  <c r="F32" i="1" s="1"/>
  <c r="B24" i="1"/>
  <c r="B32" i="1" s="1"/>
  <c r="C15" i="7"/>
  <c r="D15" i="7"/>
  <c r="E15" i="7"/>
  <c r="B15" i="7"/>
  <c r="B10" i="7"/>
  <c r="C10" i="7" s="1"/>
  <c r="B8" i="7"/>
  <c r="C8" i="7" s="1"/>
  <c r="B7" i="7"/>
  <c r="C7" i="7" s="1"/>
  <c r="C9" i="7"/>
  <c r="C19" i="7" l="1"/>
  <c r="C16" i="7"/>
  <c r="D17" i="7"/>
  <c r="B14" i="8"/>
  <c r="F15" i="7"/>
  <c r="B17" i="7"/>
  <c r="E17" i="7"/>
  <c r="C17" i="7"/>
  <c r="B16" i="7"/>
  <c r="B19" i="7"/>
  <c r="E16" i="7"/>
  <c r="E19" i="7"/>
  <c r="D16" i="7"/>
  <c r="D19" i="7"/>
  <c r="C14" i="8"/>
  <c r="E14" i="8"/>
  <c r="D14" i="8"/>
  <c r="E23" i="8" l="1"/>
  <c r="E15" i="8"/>
  <c r="E33" i="8" s="1"/>
  <c r="D15" i="8"/>
  <c r="D33" i="8" s="1"/>
  <c r="D23" i="8"/>
  <c r="C23" i="8"/>
  <c r="C15" i="8"/>
  <c r="C33" i="8" s="1"/>
  <c r="B15" i="8"/>
  <c r="B33" i="8" s="1"/>
  <c r="B23" i="8"/>
  <c r="F23" i="8"/>
  <c r="F15" i="8"/>
  <c r="F33" i="8" s="1"/>
  <c r="C18" i="7"/>
  <c r="D18" i="7"/>
  <c r="E18" i="7"/>
  <c r="B18" i="7"/>
  <c r="F31" i="7"/>
  <c r="F29" i="7"/>
  <c r="F28" i="7"/>
  <c r="F19" i="7"/>
  <c r="F17" i="7"/>
  <c r="F16" i="7"/>
  <c r="C7" i="9" l="1"/>
  <c r="F32" i="8"/>
  <c r="B32" i="8"/>
  <c r="C32" i="8"/>
  <c r="C41" i="8" s="1"/>
  <c r="C50" i="8" s="1"/>
  <c r="C20" i="7"/>
  <c r="C21" i="7" s="1"/>
  <c r="C22" i="7" s="1"/>
  <c r="C30" i="7"/>
  <c r="B20" i="7"/>
  <c r="B30" i="7"/>
  <c r="B8" i="9" s="1"/>
  <c r="E20" i="7"/>
  <c r="E21" i="7" s="1"/>
  <c r="E22" i="7" s="1"/>
  <c r="E30" i="7"/>
  <c r="E8" i="9" s="1"/>
  <c r="E32" i="8"/>
  <c r="D20" i="7"/>
  <c r="D21" i="7" s="1"/>
  <c r="D22" i="7" s="1"/>
  <c r="D30" i="7"/>
  <c r="D32" i="7" s="1"/>
  <c r="D32" i="8"/>
  <c r="D42" i="8" s="1"/>
  <c r="D9" i="9"/>
  <c r="B6" i="9"/>
  <c r="D6" i="9"/>
  <c r="E5" i="9"/>
  <c r="B41" i="8"/>
  <c r="B50" i="8" s="1"/>
  <c r="B7" i="9"/>
  <c r="C5" i="9"/>
  <c r="C9" i="9"/>
  <c r="B5" i="9"/>
  <c r="E9" i="9"/>
  <c r="D5" i="9"/>
  <c r="E6" i="9"/>
  <c r="B9" i="9"/>
  <c r="F9" i="9" s="1"/>
  <c r="C8" i="9"/>
  <c r="C6" i="9"/>
  <c r="E41" i="8"/>
  <c r="E50" i="8" s="1"/>
  <c r="D7" i="9"/>
  <c r="E7" i="9"/>
  <c r="F41" i="8"/>
  <c r="F50" i="8" s="1"/>
  <c r="B16" i="8"/>
  <c r="B34" i="8" s="1"/>
  <c r="B24" i="8"/>
  <c r="C24" i="8"/>
  <c r="C16" i="8"/>
  <c r="C34" i="8" s="1"/>
  <c r="C32" i="7"/>
  <c r="D16" i="8"/>
  <c r="D34" i="8" s="1"/>
  <c r="D24" i="8"/>
  <c r="E16" i="8"/>
  <c r="E34" i="8" s="1"/>
  <c r="E24" i="8"/>
  <c r="F16" i="8"/>
  <c r="F34" i="8" s="1"/>
  <c r="F24" i="8"/>
  <c r="F18" i="7"/>
  <c r="E32" i="7"/>
  <c r="B32" i="7"/>
  <c r="B33" i="7" s="1"/>
  <c r="F30" i="7"/>
  <c r="B21" i="7"/>
  <c r="F21" i="7" s="1"/>
  <c r="F20" i="7"/>
  <c r="D41" i="8" l="1"/>
  <c r="D50" i="8" s="1"/>
  <c r="D8" i="9"/>
  <c r="F8" i="9"/>
  <c r="D33" i="7"/>
  <c r="D34" i="7" s="1"/>
  <c r="C33" i="7"/>
  <c r="C34" i="7" s="1"/>
  <c r="E33" i="7"/>
  <c r="E34" i="7" s="1"/>
  <c r="F7" i="9"/>
  <c r="D51" i="8"/>
  <c r="F5" i="9"/>
  <c r="F6" i="9"/>
  <c r="D43" i="8"/>
  <c r="C43" i="8"/>
  <c r="C42" i="8"/>
  <c r="E43" i="8"/>
  <c r="B43" i="8"/>
  <c r="E10" i="9"/>
  <c r="E11" i="9" s="1"/>
  <c r="E12" i="9" s="1"/>
  <c r="E18" i="9" s="1"/>
  <c r="B10" i="9"/>
  <c r="D10" i="9"/>
  <c r="D11" i="9" s="1"/>
  <c r="D12" i="9" s="1"/>
  <c r="D51" i="9" s="1"/>
  <c r="C10" i="9"/>
  <c r="C11" i="9" s="1"/>
  <c r="C12" i="9" s="1"/>
  <c r="C20" i="9" s="1"/>
  <c r="F43" i="8"/>
  <c r="F52" i="8" s="1"/>
  <c r="F42" i="8"/>
  <c r="F51" i="8" s="1"/>
  <c r="B42" i="8"/>
  <c r="E42" i="8"/>
  <c r="E17" i="8"/>
  <c r="E25" i="8"/>
  <c r="C17" i="8"/>
  <c r="C25" i="8"/>
  <c r="F17" i="8"/>
  <c r="F25" i="8"/>
  <c r="F32" i="7"/>
  <c r="F33" i="7" s="1"/>
  <c r="D17" i="8"/>
  <c r="D25" i="8"/>
  <c r="B17" i="8"/>
  <c r="B25" i="8"/>
  <c r="B22" i="7"/>
  <c r="F22" i="7" s="1"/>
  <c r="E38" i="7" l="1"/>
  <c r="E39" i="7"/>
  <c r="E42" i="7"/>
  <c r="E40" i="7"/>
  <c r="E41" i="7"/>
  <c r="C42" i="7"/>
  <c r="C40" i="7"/>
  <c r="C41" i="7"/>
  <c r="C39" i="7"/>
  <c r="C38" i="7"/>
  <c r="D38" i="7"/>
  <c r="D42" i="7"/>
  <c r="D40" i="7"/>
  <c r="D41" i="7"/>
  <c r="D39" i="7"/>
  <c r="C35" i="8"/>
  <c r="C44" i="8" s="1"/>
  <c r="C28" i="9"/>
  <c r="C36" i="9" s="1"/>
  <c r="C52" i="8"/>
  <c r="E28" i="9"/>
  <c r="E52" i="8"/>
  <c r="C51" i="8"/>
  <c r="C27" i="9"/>
  <c r="C35" i="9" s="1"/>
  <c r="C43" i="9" s="1"/>
  <c r="B35" i="8"/>
  <c r="B44" i="8" s="1"/>
  <c r="D28" i="9"/>
  <c r="D36" i="9" s="1"/>
  <c r="D53" i="9" s="1"/>
  <c r="D61" i="9" s="1"/>
  <c r="D52" i="8"/>
  <c r="E35" i="8"/>
  <c r="E44" i="8" s="1"/>
  <c r="B27" i="9"/>
  <c r="B35" i="9" s="1"/>
  <c r="B43" i="9" s="1"/>
  <c r="B51" i="8"/>
  <c r="F35" i="8"/>
  <c r="F44" i="8" s="1"/>
  <c r="F53" i="8" s="1"/>
  <c r="D35" i="8"/>
  <c r="D44" i="8" s="1"/>
  <c r="D27" i="9"/>
  <c r="D35" i="9" s="1"/>
  <c r="E51" i="8"/>
  <c r="E27" i="9"/>
  <c r="E35" i="9" s="1"/>
  <c r="E43" i="9" s="1"/>
  <c r="B28" i="9"/>
  <c r="B36" i="9" s="1"/>
  <c r="B52" i="8"/>
  <c r="B11" i="9"/>
  <c r="F10" i="9"/>
  <c r="E17" i="9"/>
  <c r="C16" i="9"/>
  <c r="E20" i="9"/>
  <c r="D20" i="9"/>
  <c r="D18" i="9"/>
  <c r="D19" i="9"/>
  <c r="C19" i="9"/>
  <c r="E51" i="9"/>
  <c r="E19" i="9"/>
  <c r="C51" i="9"/>
  <c r="C18" i="9"/>
  <c r="C17" i="9"/>
  <c r="D17" i="9"/>
  <c r="D16" i="9"/>
  <c r="E16" i="9"/>
  <c r="E36" i="9"/>
  <c r="C18" i="8"/>
  <c r="C36" i="8" s="1"/>
  <c r="C26" i="8"/>
  <c r="B18" i="8"/>
  <c r="B36" i="8" s="1"/>
  <c r="B26" i="8"/>
  <c r="D18" i="8"/>
  <c r="D36" i="8" s="1"/>
  <c r="D26" i="8"/>
  <c r="B34" i="7"/>
  <c r="F18" i="8"/>
  <c r="F36" i="8" s="1"/>
  <c r="F26" i="8"/>
  <c r="E18" i="8"/>
  <c r="E36" i="8" s="1"/>
  <c r="E26" i="8"/>
  <c r="E43" i="7" l="1"/>
  <c r="E44" i="7" s="1"/>
  <c r="E45" i="7" s="1"/>
  <c r="C53" i="9"/>
  <c r="C61" i="9" s="1"/>
  <c r="F34" i="7"/>
  <c r="B41" i="7"/>
  <c r="B40" i="7"/>
  <c r="B42" i="7"/>
  <c r="B38" i="7"/>
  <c r="B43" i="7" s="1"/>
  <c r="B39" i="7"/>
  <c r="D43" i="7"/>
  <c r="D44" i="7" s="1"/>
  <c r="D45" i="7" s="1"/>
  <c r="C43" i="7"/>
  <c r="C44" i="7" s="1"/>
  <c r="C45" i="7" s="1"/>
  <c r="E53" i="8"/>
  <c r="E29" i="9"/>
  <c r="E37" i="9" s="1"/>
  <c r="E54" i="9" s="1"/>
  <c r="E62" i="9" s="1"/>
  <c r="B53" i="8"/>
  <c r="B29" i="9"/>
  <c r="B37" i="9" s="1"/>
  <c r="B45" i="9" s="1"/>
  <c r="C53" i="8"/>
  <c r="C29" i="9"/>
  <c r="C37" i="9" s="1"/>
  <c r="C45" i="9" s="1"/>
  <c r="D53" i="8"/>
  <c r="D29" i="9"/>
  <c r="D37" i="9" s="1"/>
  <c r="D52" i="9"/>
  <c r="D60" i="9" s="1"/>
  <c r="D67" i="9" s="1"/>
  <c r="D43" i="9"/>
  <c r="C44" i="9"/>
  <c r="B44" i="9"/>
  <c r="E53" i="9"/>
  <c r="E61" i="9" s="1"/>
  <c r="E44" i="9"/>
  <c r="D44" i="9"/>
  <c r="F35" i="9"/>
  <c r="F43" i="9" s="1"/>
  <c r="F36" i="9"/>
  <c r="E21" i="9"/>
  <c r="E22" i="9" s="1"/>
  <c r="B12" i="9"/>
  <c r="F11" i="9"/>
  <c r="C21" i="9"/>
  <c r="C22" i="9" s="1"/>
  <c r="C23" i="9" s="1"/>
  <c r="C52" i="9"/>
  <c r="C60" i="9" s="1"/>
  <c r="C67" i="9" s="1"/>
  <c r="D21" i="9"/>
  <c r="D22" i="9" s="1"/>
  <c r="D23" i="9" s="1"/>
  <c r="E52" i="9"/>
  <c r="E60" i="9" s="1"/>
  <c r="E67" i="9" s="1"/>
  <c r="B27" i="8"/>
  <c r="B45" i="8"/>
  <c r="E27" i="8"/>
  <c r="E45" i="8"/>
  <c r="D27" i="8"/>
  <c r="D45" i="8"/>
  <c r="F27" i="8"/>
  <c r="F45" i="8"/>
  <c r="F54" i="8" s="1"/>
  <c r="C27" i="8"/>
  <c r="C45" i="8"/>
  <c r="B44" i="7" l="1"/>
  <c r="B45" i="7" s="1"/>
  <c r="F45" i="7" s="1"/>
  <c r="F43" i="7"/>
  <c r="F44" i="7" s="1"/>
  <c r="F38" i="7"/>
  <c r="F40" i="7"/>
  <c r="F42" i="7"/>
  <c r="F39" i="7"/>
  <c r="F41" i="7"/>
  <c r="F37" i="9"/>
  <c r="F45" i="9" s="1"/>
  <c r="C54" i="9"/>
  <c r="C62" i="9" s="1"/>
  <c r="C69" i="9" s="1"/>
  <c r="D54" i="9"/>
  <c r="D62" i="9" s="1"/>
  <c r="D69" i="9" s="1"/>
  <c r="D45" i="9"/>
  <c r="E54" i="8"/>
  <c r="E30" i="9"/>
  <c r="E38" i="9" s="1"/>
  <c r="E45" i="9"/>
  <c r="B30" i="9"/>
  <c r="B38" i="9" s="1"/>
  <c r="B46" i="9" s="1"/>
  <c r="B54" i="8"/>
  <c r="D30" i="9"/>
  <c r="D38" i="9" s="1"/>
  <c r="D54" i="8"/>
  <c r="D68" i="9"/>
  <c r="C30" i="9"/>
  <c r="C38" i="9" s="1"/>
  <c r="C54" i="8"/>
  <c r="E69" i="9"/>
  <c r="F44" i="9"/>
  <c r="E23" i="9"/>
  <c r="F12" i="9"/>
  <c r="B18" i="9"/>
  <c r="B17" i="9"/>
  <c r="B20" i="9"/>
  <c r="B51" i="9"/>
  <c r="F51" i="9" s="1"/>
  <c r="B19" i="9"/>
  <c r="B16" i="9"/>
  <c r="E68" i="9"/>
  <c r="C68" i="9"/>
  <c r="E55" i="9" l="1"/>
  <c r="E63" i="9" s="1"/>
  <c r="E70" i="9" s="1"/>
  <c r="E46" i="9"/>
  <c r="D55" i="9"/>
  <c r="D63" i="9" s="1"/>
  <c r="D70" i="9" s="1"/>
  <c r="D46" i="9"/>
  <c r="B21" i="9"/>
  <c r="B22" i="9" s="1"/>
  <c r="B23" i="9" s="1"/>
  <c r="C55" i="9"/>
  <c r="C63" i="9" s="1"/>
  <c r="C70" i="9" s="1"/>
  <c r="C46" i="9"/>
  <c r="B53" i="9"/>
  <c r="B52" i="9"/>
  <c r="B54" i="9"/>
  <c r="B55" i="9"/>
  <c r="F38" i="9"/>
  <c r="F17" i="9"/>
  <c r="F19" i="9"/>
  <c r="F18" i="9"/>
  <c r="F20" i="9"/>
  <c r="F16" i="9"/>
  <c r="B61" i="9" l="1"/>
  <c r="F53" i="9"/>
  <c r="F61" i="9" s="1"/>
  <c r="B62" i="9"/>
  <c r="F54" i="9"/>
  <c r="F62" i="9" s="1"/>
  <c r="B63" i="9"/>
  <c r="F55" i="9"/>
  <c r="F63" i="9" s="1"/>
  <c r="B60" i="9"/>
  <c r="B67" i="9" s="1"/>
  <c r="F52" i="9"/>
  <c r="F46" i="9"/>
  <c r="F47" i="9" s="1"/>
  <c r="F21" i="9"/>
  <c r="F69" i="9" l="1"/>
  <c r="F70" i="9"/>
  <c r="B69" i="9"/>
  <c r="B70" i="9"/>
  <c r="F60" i="9"/>
  <c r="F67" i="9" s="1"/>
  <c r="F56" i="9"/>
  <c r="B68" i="9"/>
  <c r="F22" i="9"/>
  <c r="F23" i="9" s="1"/>
  <c r="F68" i="9" l="1"/>
  <c r="F7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9" authorId="0" shapeId="0" xr:uid="{A151E7F9-695A-42A1-A258-AB427CFD7DA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CCC value was preferred for the analysis as this was deemed a more accurate depiction of residential bill. Information in ID's do not provide GTB broken down into Residential, Commercial and Industrial.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0" authorId="0" shapeId="0" xr:uid="{F2241C6F-6B98-44EB-B94A-6838B8A407E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CCC value was preferred for the analysis as this was deemed a more accurate depiction of residential bill. Information in ID's do not provide GTB broken down into Residential, Commercial and Industrial.</t>
        </r>
      </text>
    </comment>
  </commentList>
</comments>
</file>

<file path=xl/sharedStrings.xml><?xml version="1.0" encoding="utf-8"?>
<sst xmlns="http://schemas.openxmlformats.org/spreadsheetml/2006/main" count="334" uniqueCount="112">
  <si>
    <t>Information disclosed by gas pipeline businesses</t>
  </si>
  <si>
    <t>https://comcom.govt.nz/regulated-industries/gas-pipelines/gas-pipelines-performance-and-data/information-disclosed-by-gas-pipeline-businesses</t>
  </si>
  <si>
    <t>GasNet</t>
  </si>
  <si>
    <t>Powerco</t>
  </si>
  <si>
    <t>Vector</t>
  </si>
  <si>
    <t>First Gas distribution</t>
  </si>
  <si>
    <t>First Gas transmission</t>
  </si>
  <si>
    <t>TJ</t>
  </si>
  <si>
    <t>$/GJ</t>
  </si>
  <si>
    <t>kWh</t>
  </si>
  <si>
    <t>kWh/Household</t>
  </si>
  <si>
    <t>Average no. of ICPs</t>
  </si>
  <si>
    <t>Revenue ($ '000)</t>
  </si>
  <si>
    <t>Conversion TJ to KwH</t>
  </si>
  <si>
    <t>Source:</t>
  </si>
  <si>
    <t>https://www.convertunits.com/from/terajoule/to/kWh</t>
  </si>
  <si>
    <t>All GDBs</t>
  </si>
  <si>
    <t>Carbon price</t>
  </si>
  <si>
    <t>Retail &amp; Metering</t>
  </si>
  <si>
    <t>Energy Wholesale</t>
  </si>
  <si>
    <t>Distribution</t>
  </si>
  <si>
    <t>Transmission</t>
  </si>
  <si>
    <t>https://www.commtrade.co.nz/</t>
  </si>
  <si>
    <t>Carbon NZUs - Spot (27/01/2022)</t>
  </si>
  <si>
    <t>https://ccc-production-media.s3.ap-southeast-2.amazonaws.com/public/Inaia-tonu-nei-a-low-emissions-future-for-Aotearoa/Modelling-files/Scenarios-dataset-2021-final-advice.xlsx</t>
  </si>
  <si>
    <t>Energy Wholesale (tab 'Demonstration path' 2020 real $; in $/GJ)</t>
  </si>
  <si>
    <t>Retail &amp; Metering (tab 'Demonstration path' 2020 real $; in $/GJ)</t>
  </si>
  <si>
    <t>Transmission (tab 'Demonstration path' 2020 real $; in $/GJ)</t>
  </si>
  <si>
    <t>https://www.convertunits.com/from/GJ/to/kWh</t>
  </si>
  <si>
    <t>Conversion GJ to KwH</t>
  </si>
  <si>
    <t>Residential gas bill breakdown - generic</t>
  </si>
  <si>
    <t>Total excl. GST</t>
  </si>
  <si>
    <t>GST</t>
  </si>
  <si>
    <t>Total incl. GST</t>
  </si>
  <si>
    <t>c/kWh</t>
  </si>
  <si>
    <t>Residential gas bill breakdown - GDB specific in c/kWh</t>
  </si>
  <si>
    <t>Inputs</t>
  </si>
  <si>
    <t>Calculations</t>
  </si>
  <si>
    <t>Gas Bill Breakdown</t>
  </si>
  <si>
    <t>CPI Index</t>
  </si>
  <si>
    <t>MAR in year ending 2023</t>
  </si>
  <si>
    <t>MAR in year ending 2024</t>
  </si>
  <si>
    <t>MAR in year ending 2025</t>
  </si>
  <si>
    <t>MAR in year ending 2026</t>
  </si>
  <si>
    <t>MAR in year ending 2022</t>
  </si>
  <si>
    <t>Input value:</t>
  </si>
  <si>
    <t>Description:</t>
  </si>
  <si>
    <t>https://www.govt.nz/browse/tax-benefits-and-finance/tax/gst-rate/</t>
  </si>
  <si>
    <t>Residential Gas demand</t>
  </si>
  <si>
    <t>Direct CO2 emissions in Natural Gas in kg CO2/GJ</t>
  </si>
  <si>
    <t>https://www.volker-quaschning.de/datserv/CO2-spez/index_e.php</t>
  </si>
  <si>
    <t>derived below</t>
  </si>
  <si>
    <t>GDB average</t>
  </si>
  <si>
    <t>DPP2 and DPP3 MAR % increases</t>
  </si>
  <si>
    <t>DPP2 and DPP3 MAR</t>
  </si>
  <si>
    <t>Base assumption (2020 real $)</t>
  </si>
  <si>
    <t>real 2020 $</t>
  </si>
  <si>
    <t>nominal 2022 $</t>
  </si>
  <si>
    <t>CPI, actual and forecast</t>
  </si>
  <si>
    <t>Change in CPI June YE</t>
  </si>
  <si>
    <t>Change in CPI September YE</t>
  </si>
  <si>
    <t>Change in CPI December YE</t>
  </si>
  <si>
    <t>Residential gas rollover bill - GDB specific in c/kWh</t>
  </si>
  <si>
    <t>2022/2023</t>
  </si>
  <si>
    <t>2023/2024</t>
  </si>
  <si>
    <t>2024/2025</t>
  </si>
  <si>
    <t>2025/2026</t>
  </si>
  <si>
    <t>baseline</t>
  </si>
  <si>
    <t>Residential gas bill breakdown - assumed price increases</t>
  </si>
  <si>
    <t>Residential gas bill DPP3 prices - GDB specific in c/kWh</t>
  </si>
  <si>
    <t>Residential gas price impact - GDB specific in c/kWh</t>
  </si>
  <si>
    <t>Number of Households (ICPs)</t>
  </si>
  <si>
    <t>kwH used</t>
  </si>
  <si>
    <t>Residential gas price for distribution and transmissionper household - GDB specfic in $</t>
  </si>
  <si>
    <t>Distribution and Transmission Gas Bill DPP3 Impact</t>
  </si>
  <si>
    <t>Residential gas price change for distribution and transmission per household - GDB specific in $ (excl GST)</t>
  </si>
  <si>
    <t>Residential gas price change for distribution and transmission per household - GDB specific in $ (incl GST)</t>
  </si>
  <si>
    <t>Rationale:</t>
  </si>
  <si>
    <t>Δ</t>
  </si>
  <si>
    <t>Δ with GST</t>
  </si>
  <si>
    <t>Bill increases for distribution and transmission incl. GST</t>
  </si>
  <si>
    <t>Bill increases for distribution and transmission excl. GST</t>
  </si>
  <si>
    <t>Values of residential gas bill before and after reset incl. GST</t>
  </si>
  <si>
    <t>% change of residential gas bill before and after reset incl. GST</t>
  </si>
  <si>
    <t>Typical Residential Gas Rollover Bill $</t>
  </si>
  <si>
    <t>Information Inputs</t>
  </si>
  <si>
    <t>Quarter referred to</t>
  </si>
  <si>
    <t>DY ending:</t>
  </si>
  <si>
    <t>Disclosure Year ending 2020 nominal</t>
  </si>
  <si>
    <t>Calculated metrics for GPBs</t>
  </si>
  <si>
    <t>Gas demand GDBs</t>
  </si>
  <si>
    <t>The CCC value was preferred for the analysis as this was deemed a more accurate depiction of residential bill. Information in ID's do not provide GTB broken down into Residential, Commercial and Industrial.</t>
  </si>
  <si>
    <t>% nominal 2022 $</t>
  </si>
  <si>
    <t>Residential gas bill -% incl. GST split</t>
  </si>
  <si>
    <t>Typical Residential Gas Rollover Bill %</t>
  </si>
  <si>
    <t>Typical GDBs</t>
  </si>
  <si>
    <t>Nominal % MAR increases</t>
  </si>
  <si>
    <t>Δ delta</t>
  </si>
  <si>
    <t>kWh per household</t>
  </si>
  <si>
    <t>% change of residential gas bill before and after reset incl. GST in DPP3</t>
  </si>
  <si>
    <t>Bill increases for distribution and transmission incl. GST YoY</t>
  </si>
  <si>
    <t>2021/2022</t>
  </si>
  <si>
    <t>Metrics:</t>
  </si>
  <si>
    <t>Sheet Name</t>
  </si>
  <si>
    <t>Link</t>
  </si>
  <si>
    <t>GPBs Gas Bill DPP3 Impact</t>
  </si>
  <si>
    <t>Gas Bill DPP3 Impact</t>
  </si>
  <si>
    <t>Gas Pipeline Business</t>
  </si>
  <si>
    <t>Price-Quality Regulation 1 October 2022 Reset</t>
  </si>
  <si>
    <t>Published 10 February 2022 v1</t>
  </si>
  <si>
    <t>Table of Contents</t>
  </si>
  <si>
    <t>Default Price Path Draft Consumer Price Bill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</si>
</sst>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%"/>
    <numFmt numFmtId="166" formatCode="_-&quot;$&quot;* #,##0.0_-;\-&quot;$&quot;* #,##0.0_-;_-&quot;$&quot;* &quot;-&quot;??_-;_-@_-"/>
    <numFmt numFmtId="167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4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color theme="2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4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9C4A3"/>
        <bgColor indexed="64"/>
      </patternFill>
    </fill>
    <fill>
      <patternFill patternType="solid">
        <fgColor rgb="FFEAE8DA"/>
        <bgColor indexed="64"/>
      </patternFill>
    </fill>
    <fill>
      <patternFill patternType="solid">
        <fgColor rgb="FFD7D3BB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1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2" borderId="1" applyNumberFormat="0" applyFill="0">
      <alignment horizontal="centerContinuous" wrapText="1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3" applyNumberFormat="0" applyFill="0" applyAlignment="0" applyProtection="0"/>
    <xf numFmtId="43" fontId="1" fillId="0" borderId="0" applyFont="0" applyFill="0" applyBorder="0" applyAlignment="0" applyProtection="0"/>
    <xf numFmtId="0" fontId="10" fillId="0" borderId="4" applyNumberFormat="0" applyFill="0" applyAlignment="0" applyProtection="0"/>
    <xf numFmtId="0" fontId="12" fillId="0" borderId="0" applyNumberFormat="0" applyFill="0" applyBorder="0" applyAlignment="0" applyProtection="0"/>
    <xf numFmtId="49" fontId="15" fillId="0" borderId="0" applyFill="0" applyAlignment="0"/>
    <xf numFmtId="0" fontId="21" fillId="0" borderId="22" applyNumberFormat="0" applyFill="0" applyAlignment="0" applyProtection="0"/>
  </cellStyleXfs>
  <cellXfs count="11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wrapText="1"/>
    </xf>
    <xf numFmtId="0" fontId="4" fillId="0" borderId="2" xfId="0" applyFont="1" applyBorder="1"/>
    <xf numFmtId="41" fontId="0" fillId="0" borderId="0" xfId="1" applyFont="1" applyBorder="1"/>
    <xf numFmtId="0" fontId="0" fillId="0" borderId="0" xfId="0" applyBorder="1"/>
    <xf numFmtId="0" fontId="4" fillId="0" borderId="0" xfId="0" applyFont="1" applyBorder="1"/>
    <xf numFmtId="0" fontId="9" fillId="0" borderId="1" xfId="4" applyFont="1" applyFill="1" applyAlignment="1">
      <alignment horizontal="left" wrapText="1"/>
    </xf>
    <xf numFmtId="41" fontId="0" fillId="0" borderId="0" xfId="0" applyNumberFormat="1"/>
    <xf numFmtId="0" fontId="4" fillId="0" borderId="0" xfId="0" applyFont="1" applyFill="1" applyBorder="1" applyAlignment="1">
      <alignment wrapText="1"/>
    </xf>
    <xf numFmtId="0" fontId="10" fillId="0" borderId="0" xfId="9" applyBorder="1"/>
    <xf numFmtId="0" fontId="4" fillId="0" borderId="0" xfId="0" applyFont="1" applyFill="1" applyBorder="1"/>
    <xf numFmtId="0" fontId="4" fillId="0" borderId="6" xfId="7" applyBorder="1"/>
    <xf numFmtId="2" fontId="4" fillId="0" borderId="6" xfId="7" applyNumberFormat="1" applyBorder="1"/>
    <xf numFmtId="44" fontId="0" fillId="0" borderId="0" xfId="0" applyNumberFormat="1"/>
    <xf numFmtId="44" fontId="4" fillId="0" borderId="0" xfId="0" applyNumberFormat="1" applyFont="1"/>
    <xf numFmtId="165" fontId="4" fillId="0" borderId="0" xfId="0" applyNumberFormat="1" applyFont="1"/>
    <xf numFmtId="0" fontId="0" fillId="0" borderId="7" xfId="0" applyBorder="1"/>
    <xf numFmtId="0" fontId="13" fillId="4" borderId="11" xfId="0" applyFont="1" applyFill="1" applyBorder="1"/>
    <xf numFmtId="0" fontId="13" fillId="4" borderId="12" xfId="0" applyFont="1" applyFill="1" applyBorder="1"/>
    <xf numFmtId="49" fontId="0" fillId="5" borderId="13" xfId="0" applyNumberFormat="1" applyFill="1" applyBorder="1"/>
    <xf numFmtId="0" fontId="12" fillId="5" borderId="14" xfId="10" applyFill="1" applyBorder="1" applyAlignment="1"/>
    <xf numFmtId="49" fontId="0" fillId="5" borderId="15" xfId="0" applyNumberFormat="1" applyFill="1" applyBorder="1"/>
    <xf numFmtId="0" fontId="12" fillId="5" borderId="16" xfId="10" applyFill="1" applyBorder="1" applyAlignment="1">
      <alignment horizontal="left" indent="1"/>
    </xf>
    <xf numFmtId="49" fontId="0" fillId="6" borderId="13" xfId="0" applyNumberFormat="1" applyFill="1" applyBorder="1"/>
    <xf numFmtId="0" fontId="12" fillId="6" borderId="14" xfId="10" applyFill="1" applyBorder="1" applyAlignment="1"/>
    <xf numFmtId="49" fontId="0" fillId="6" borderId="15" xfId="0" applyNumberFormat="1" applyFill="1" applyBorder="1"/>
    <xf numFmtId="0" fontId="12" fillId="6" borderId="16" xfId="10" applyFill="1" applyBorder="1" applyAlignment="1">
      <alignment horizontal="left" indent="1"/>
    </xf>
    <xf numFmtId="0" fontId="0" fillId="0" borderId="8" xfId="0" applyBorder="1"/>
    <xf numFmtId="0" fontId="0" fillId="0" borderId="9" xfId="0" applyBorder="1"/>
    <xf numFmtId="0" fontId="14" fillId="0" borderId="2" xfId="0" applyFont="1" applyBorder="1"/>
    <xf numFmtId="0" fontId="0" fillId="0" borderId="10" xfId="0" applyBorder="1"/>
    <xf numFmtId="49" fontId="16" fillId="0" borderId="2" xfId="11" applyFont="1" applyFill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2" xfId="0" applyBorder="1"/>
    <xf numFmtId="15" fontId="17" fillId="0" borderId="2" xfId="0" applyNumberFormat="1" applyFont="1" applyBorder="1" applyAlignment="1">
      <alignment horizontal="centerContinuous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8" fillId="0" borderId="0" xfId="2" applyFont="1"/>
    <xf numFmtId="49" fontId="0" fillId="6" borderId="17" xfId="0" applyNumberFormat="1" applyFill="1" applyBorder="1"/>
    <xf numFmtId="0" fontId="12" fillId="6" borderId="18" xfId="10" applyFill="1" applyBorder="1" applyAlignment="1">
      <alignment horizontal="left" indent="1"/>
    </xf>
    <xf numFmtId="0" fontId="0" fillId="0" borderId="0" xfId="0" applyFill="1"/>
    <xf numFmtId="44" fontId="0" fillId="0" borderId="0" xfId="0" applyNumberFormat="1" applyFill="1"/>
    <xf numFmtId="0" fontId="0" fillId="0" borderId="0" xfId="0" applyFill="1" applyBorder="1"/>
    <xf numFmtId="49" fontId="15" fillId="0" borderId="0" xfId="11"/>
    <xf numFmtId="0" fontId="23" fillId="0" borderId="0" xfId="12" applyFont="1" applyFill="1" applyBorder="1" applyAlignment="1" applyProtection="1">
      <alignment horizontal="left"/>
    </xf>
    <xf numFmtId="0" fontId="22" fillId="0" borderId="0" xfId="12" applyFont="1" applyFill="1" applyBorder="1" applyAlignment="1" applyProtection="1">
      <alignment horizontal="left"/>
    </xf>
    <xf numFmtId="2" fontId="25" fillId="0" borderId="1" xfId="4" applyNumberFormat="1" applyFont="1" applyFill="1" applyAlignment="1">
      <alignment horizontal="left" wrapText="1"/>
    </xf>
    <xf numFmtId="0" fontId="23" fillId="0" borderId="1" xfId="4" applyFont="1" applyFill="1" applyAlignment="1">
      <alignment horizontal="left" wrapText="1"/>
    </xf>
    <xf numFmtId="14" fontId="1" fillId="0" borderId="0" xfId="0" applyNumberFormat="1" applyFont="1"/>
    <xf numFmtId="0" fontId="1" fillId="0" borderId="0" xfId="0" applyFont="1"/>
    <xf numFmtId="0" fontId="23" fillId="0" borderId="1" xfId="4" applyFont="1" applyFill="1">
      <alignment horizontal="centerContinuous" wrapText="1"/>
    </xf>
    <xf numFmtId="0" fontId="26" fillId="0" borderId="0" xfId="3" applyFont="1" applyFill="1" applyBorder="1" applyAlignment="1">
      <alignment horizontal="left" wrapText="1"/>
    </xf>
    <xf numFmtId="0" fontId="24" fillId="0" borderId="0" xfId="0" applyFont="1"/>
    <xf numFmtId="0" fontId="23" fillId="0" borderId="5" xfId="4" applyFont="1" applyFill="1" applyBorder="1">
      <alignment horizontal="centerContinuous" wrapText="1"/>
    </xf>
    <xf numFmtId="0" fontId="27" fillId="0" borderId="1" xfId="4" applyFont="1" applyFill="1">
      <alignment horizontal="centerContinuous" wrapText="1"/>
    </xf>
    <xf numFmtId="41" fontId="25" fillId="0" borderId="1" xfId="1" applyFont="1" applyFill="1" applyBorder="1" applyAlignment="1">
      <alignment horizontal="centerContinuous" wrapText="1"/>
    </xf>
    <xf numFmtId="41" fontId="25" fillId="0" borderId="1" xfId="1" applyFont="1" applyFill="1" applyBorder="1" applyAlignment="1">
      <alignment horizontal="left" wrapText="1"/>
    </xf>
    <xf numFmtId="0" fontId="23" fillId="0" borderId="5" xfId="4" applyFont="1" applyFill="1" applyBorder="1" applyAlignment="1">
      <alignment horizontal="center" wrapText="1"/>
    </xf>
    <xf numFmtId="167" fontId="25" fillId="0" borderId="1" xfId="8" applyNumberFormat="1" applyFont="1" applyFill="1" applyBorder="1" applyAlignment="1">
      <alignment horizontal="centerContinuous" wrapText="1"/>
    </xf>
    <xf numFmtId="0" fontId="26" fillId="0" borderId="5" xfId="3" applyFont="1" applyFill="1" applyBorder="1" applyAlignment="1">
      <alignment horizontal="left" wrapText="1"/>
    </xf>
    <xf numFmtId="9" fontId="25" fillId="0" borderId="1" xfId="6" applyFont="1" applyFill="1" applyBorder="1" applyAlignment="1">
      <alignment horizontal="left" wrapText="1"/>
    </xf>
    <xf numFmtId="0" fontId="23" fillId="0" borderId="5" xfId="4" applyFont="1" applyFill="1" applyBorder="1" applyAlignment="1">
      <alignment horizontal="left" wrapText="1"/>
    </xf>
    <xf numFmtId="41" fontId="23" fillId="0" borderId="5" xfId="4" applyNumberFormat="1" applyFont="1" applyFill="1" applyBorder="1" applyAlignment="1">
      <alignment vertical="center" wrapText="1"/>
    </xf>
    <xf numFmtId="0" fontId="23" fillId="0" borderId="5" xfId="4" applyFont="1" applyFill="1" applyBorder="1" applyAlignment="1">
      <alignment horizontal="center" vertical="center" wrapText="1"/>
    </xf>
    <xf numFmtId="41" fontId="23" fillId="0" borderId="5" xfId="4" applyNumberFormat="1" applyFont="1" applyFill="1" applyBorder="1" applyAlignment="1">
      <alignment horizontal="center" vertical="center" wrapText="1"/>
    </xf>
    <xf numFmtId="14" fontId="23" fillId="0" borderId="5" xfId="4" applyNumberFormat="1" applyFont="1" applyFill="1" applyBorder="1" applyAlignment="1">
      <alignment horizontal="center" vertical="center" wrapText="1"/>
    </xf>
    <xf numFmtId="165" fontId="1" fillId="0" borderId="1" xfId="6" applyNumberFormat="1" applyFont="1" applyBorder="1"/>
    <xf numFmtId="9" fontId="11" fillId="3" borderId="23" xfId="6" applyNumberFormat="1" applyFont="1" applyFill="1" applyBorder="1"/>
    <xf numFmtId="9" fontId="4" fillId="0" borderId="23" xfId="6" applyNumberFormat="1" applyFont="1" applyBorder="1"/>
    <xf numFmtId="41" fontId="4" fillId="0" borderId="23" xfId="1" applyFont="1" applyBorder="1"/>
    <xf numFmtId="41" fontId="11" fillId="0" borderId="23" xfId="1" applyFont="1" applyBorder="1"/>
    <xf numFmtId="0" fontId="3" fillId="0" borderId="0" xfId="3" applyFont="1" applyFill="1" applyBorder="1" applyAlignment="1">
      <alignment horizontal="left" wrapText="1"/>
    </xf>
    <xf numFmtId="0" fontId="23" fillId="0" borderId="0" xfId="4" applyFont="1" applyFill="1" applyBorder="1">
      <alignment horizontal="centerContinuous" wrapText="1"/>
    </xf>
    <xf numFmtId="0" fontId="1" fillId="0" borderId="23" xfId="0" applyFont="1" applyBorder="1"/>
    <xf numFmtId="41" fontId="1" fillId="0" borderId="23" xfId="1" applyFont="1" applyFill="1" applyBorder="1"/>
    <xf numFmtId="0" fontId="1" fillId="3" borderId="23" xfId="0" applyFont="1" applyFill="1" applyBorder="1"/>
    <xf numFmtId="41" fontId="1" fillId="3" borderId="23" xfId="1" applyFont="1" applyFill="1" applyBorder="1"/>
    <xf numFmtId="0" fontId="1" fillId="0" borderId="0" xfId="0" applyFont="1" applyAlignment="1">
      <alignment wrapText="1"/>
    </xf>
    <xf numFmtId="0" fontId="4" fillId="0" borderId="23" xfId="7" applyFont="1" applyBorder="1"/>
    <xf numFmtId="9" fontId="1" fillId="0" borderId="23" xfId="6" applyNumberFormat="1" applyFont="1" applyFill="1" applyBorder="1"/>
    <xf numFmtId="9" fontId="1" fillId="3" borderId="23" xfId="6" applyNumberFormat="1" applyFont="1" applyFill="1" applyBorder="1"/>
    <xf numFmtId="44" fontId="1" fillId="0" borderId="23" xfId="5" applyFont="1" applyBorder="1"/>
    <xf numFmtId="44" fontId="1" fillId="0" borderId="23" xfId="0" applyNumberFormat="1" applyFont="1" applyBorder="1"/>
    <xf numFmtId="44" fontId="1" fillId="0" borderId="23" xfId="0" applyNumberFormat="1" applyFont="1" applyFill="1" applyBorder="1"/>
    <xf numFmtId="0" fontId="1" fillId="0" borderId="0" xfId="0" applyFont="1" applyFill="1"/>
    <xf numFmtId="44" fontId="1" fillId="0" borderId="1" xfId="5" applyFont="1" applyBorder="1"/>
    <xf numFmtId="44" fontId="1" fillId="0" borderId="1" xfId="0" applyNumberFormat="1" applyFont="1" applyBorder="1"/>
    <xf numFmtId="0" fontId="6" fillId="0" borderId="1" xfId="0" applyFont="1" applyBorder="1"/>
    <xf numFmtId="165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164" fontId="1" fillId="0" borderId="1" xfId="5" applyNumberFormat="1" applyFont="1" applyBorder="1"/>
    <xf numFmtId="166" fontId="1" fillId="0" borderId="1" xfId="5" applyNumberFormat="1" applyFont="1" applyBorder="1"/>
    <xf numFmtId="0" fontId="28" fillId="0" borderId="5" xfId="3" applyFont="1" applyFill="1" applyBorder="1" applyAlignment="1">
      <alignment horizontal="left" wrapText="1"/>
    </xf>
    <xf numFmtId="9" fontId="4" fillId="0" borderId="23" xfId="6" applyFont="1" applyBorder="1"/>
    <xf numFmtId="0" fontId="0" fillId="0" borderId="1" xfId="0" applyBorder="1"/>
    <xf numFmtId="0" fontId="23" fillId="0" borderId="1" xfId="4" applyFont="1" applyFill="1" applyBorder="1">
      <alignment horizontal="centerContinuous" wrapText="1"/>
    </xf>
    <xf numFmtId="2" fontId="3" fillId="0" borderId="1" xfId="3" applyNumberFormat="1" applyFont="1" applyBorder="1"/>
    <xf numFmtId="2" fontId="1" fillId="3" borderId="1" xfId="0" applyNumberFormat="1" applyFont="1" applyFill="1" applyBorder="1"/>
    <xf numFmtId="0" fontId="1" fillId="0" borderId="1" xfId="0" applyFont="1" applyBorder="1"/>
    <xf numFmtId="2" fontId="1" fillId="0" borderId="1" xfId="0" applyNumberFormat="1" applyFont="1" applyFill="1" applyBorder="1"/>
    <xf numFmtId="0" fontId="1" fillId="3" borderId="1" xfId="0" applyFont="1" applyFill="1" applyBorder="1"/>
    <xf numFmtId="0" fontId="4" fillId="0" borderId="1" xfId="7" applyFont="1" applyBorder="1"/>
    <xf numFmtId="2" fontId="4" fillId="0" borderId="1" xfId="7" applyNumberFormat="1" applyFont="1" applyBorder="1"/>
    <xf numFmtId="9" fontId="1" fillId="0" borderId="23" xfId="6" applyFont="1" applyFill="1" applyBorder="1"/>
    <xf numFmtId="9" fontId="1" fillId="0" borderId="23" xfId="6" applyFont="1" applyBorder="1"/>
    <xf numFmtId="9" fontId="1" fillId="3" borderId="23" xfId="6" applyFont="1" applyFill="1" applyBorder="1"/>
    <xf numFmtId="0" fontId="26" fillId="0" borderId="0" xfId="3" applyFont="1"/>
    <xf numFmtId="0" fontId="26" fillId="0" borderId="0" xfId="3" applyFont="1" applyFill="1" applyBorder="1" applyAlignment="1">
      <alignment horizontal="centerContinuous" wrapText="1"/>
    </xf>
    <xf numFmtId="41" fontId="0" fillId="0" borderId="1" xfId="1" applyFont="1" applyBorder="1"/>
    <xf numFmtId="41" fontId="0" fillId="0" borderId="1" xfId="1" applyFont="1" applyFill="1" applyBorder="1"/>
    <xf numFmtId="0" fontId="0" fillId="0" borderId="1" xfId="0" applyFont="1" applyBorder="1"/>
    <xf numFmtId="0" fontId="26" fillId="0" borderId="1" xfId="3" applyFont="1" applyBorder="1"/>
  </cellXfs>
  <cellStyles count="13">
    <cellStyle name="Comma" xfId="8" builtinId="3"/>
    <cellStyle name="Comma [0]" xfId="1" builtinId="6"/>
    <cellStyle name="Currency" xfId="5" builtinId="4"/>
    <cellStyle name="Explanatory Text" xfId="3" builtinId="53"/>
    <cellStyle name="Heading 1" xfId="9" builtinId="16"/>
    <cellStyle name="Heading 3" xfId="12" builtinId="18"/>
    <cellStyle name="Hyperlink" xfId="10" builtinId="8"/>
    <cellStyle name="Label" xfId="4" xr:uid="{6CD0A3E3-3115-4EEA-A394-9002E4DBE7D3}"/>
    <cellStyle name="Normal" xfId="0" builtinId="0"/>
    <cellStyle name="Percent" xfId="6" builtinId="5"/>
    <cellStyle name="Title" xfId="2" builtinId="15"/>
    <cellStyle name="Title 2" xfId="11" xr:uid="{B2040E11-EA80-4F2F-BCF7-FDD9EDCAABFB}"/>
    <cellStyle name="Total" xfId="7" builtinId="25"/>
  </cellStyles>
  <dxfs count="6">
    <dxf>
      <fill>
        <patternFill>
          <bgColor theme="4"/>
        </patternFill>
      </fill>
    </dxf>
    <dxf>
      <fill>
        <patternFill>
          <bgColor theme="3"/>
        </patternFill>
      </fill>
    </dxf>
    <dxf>
      <fill>
        <patternFill>
          <bgColor theme="4"/>
        </patternFill>
      </fill>
    </dxf>
    <dxf>
      <fill>
        <patternFill>
          <bgColor theme="3"/>
        </patternFill>
      </fill>
    </dxf>
    <dxf>
      <fill>
        <patternFill>
          <bgColor theme="4"/>
        </patternFill>
      </fill>
    </dxf>
    <dxf>
      <fill>
        <patternFill>
          <bgColor theme="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142875</xdr:rowOff>
    </xdr:from>
    <xdr:ext cx="2337085" cy="705600"/>
    <xdr:pic>
      <xdr:nvPicPr>
        <xdr:cNvPr id="2" name="Picture 1">
          <a:extLst>
            <a:ext uri="{FF2B5EF4-FFF2-40B4-BE49-F238E27FC236}">
              <a16:creationId xmlns:a16="http://schemas.microsoft.com/office/drawing/2014/main" id="{97EB003F-CBE9-43E2-8721-4178E663F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42875"/>
          <a:ext cx="2337085" cy="705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9525</xdr:rowOff>
    </xdr:from>
    <xdr:ext cx="8982075" cy="3228974"/>
    <xdr:pic>
      <xdr:nvPicPr>
        <xdr:cNvPr id="3" name="Picture 2">
          <a:extLst>
            <a:ext uri="{FF2B5EF4-FFF2-40B4-BE49-F238E27FC236}">
              <a16:creationId xmlns:a16="http://schemas.microsoft.com/office/drawing/2014/main" id="{CC63F5AF-1CE8-4179-9B7B-5997E59A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0325"/>
          <a:ext cx="8982075" cy="3228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ulw\Downloads\Financial-model-EDB-DPP3-final-determination-27-November-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-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Table of Contents"/>
      <sheetName val="Description"/>
      <sheetName val="Inputs"/>
      <sheetName val="EDB data"/>
      <sheetName val="TIMING"/>
      <sheetName val="RAB"/>
      <sheetName val="TAX"/>
      <sheetName val="BBAR"/>
      <sheetName val="MAR"/>
      <sheetName val="IRR"/>
      <sheetName val="Outputs"/>
      <sheetName val="Chartbook outputs"/>
    </sheetNames>
    <sheetDataSet>
      <sheetData sheetId="0"/>
      <sheetData sheetId="1"/>
      <sheetData sheetId="2"/>
      <sheetData sheetId="3">
        <row r="1"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</row>
        <row r="2"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</row>
        <row r="4">
          <cell r="B4" t="str">
            <v>Value</v>
          </cell>
          <cell r="C4" t="str">
            <v>2018/19</v>
          </cell>
          <cell r="D4" t="str">
            <v>2019/20</v>
          </cell>
          <cell r="E4" t="str">
            <v>2020/21</v>
          </cell>
          <cell r="F4" t="str">
            <v>2021/22</v>
          </cell>
          <cell r="G4" t="str">
            <v>2022/23</v>
          </cell>
          <cell r="H4" t="str">
            <v>2023/24</v>
          </cell>
          <cell r="I4" t="str">
            <v>2024/25</v>
          </cell>
          <cell r="J4"/>
          <cell r="K4"/>
          <cell r="L4"/>
          <cell r="M4"/>
          <cell r="N4"/>
          <cell r="O4"/>
          <cell r="P4"/>
          <cell r="Q4"/>
          <cell r="R4"/>
        </row>
        <row r="5">
          <cell r="B5"/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/>
          <cell r="K5"/>
          <cell r="L5"/>
          <cell r="M5"/>
          <cell r="N5"/>
          <cell r="O5"/>
          <cell r="P5"/>
          <cell r="Q5"/>
          <cell r="R5"/>
        </row>
        <row r="6">
          <cell r="B6"/>
          <cell r="C6"/>
          <cell r="D6"/>
          <cell r="E6">
            <v>1</v>
          </cell>
          <cell r="F6">
            <v>2</v>
          </cell>
          <cell r="G6">
            <v>3</v>
          </cell>
          <cell r="H6">
            <v>4</v>
          </cell>
          <cell r="I6">
            <v>5</v>
          </cell>
          <cell r="J6"/>
          <cell r="K6"/>
          <cell r="L6"/>
          <cell r="M6"/>
          <cell r="N6"/>
          <cell r="O6"/>
          <cell r="P6"/>
          <cell r="Q6"/>
          <cell r="R6"/>
        </row>
        <row r="7">
          <cell r="B7"/>
          <cell r="C7">
            <v>1.4836795252225476E-2</v>
          </cell>
          <cell r="D7">
            <v>1.6999999999999904E-2</v>
          </cell>
          <cell r="E7">
            <v>1.8999999999999906E-2</v>
          </cell>
          <cell r="F7">
            <v>2.0000000000000018E-2</v>
          </cell>
          <cell r="G7">
            <v>2.0000000000000018E-2</v>
          </cell>
          <cell r="H7">
            <v>2.0000000000000018E-2</v>
          </cell>
          <cell r="I7">
            <v>2.0000000000000018E-2</v>
          </cell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B8"/>
          <cell r="C8"/>
          <cell r="D8"/>
          <cell r="E8">
            <v>1.7504378984726898E-2</v>
          </cell>
          <cell r="F8">
            <v>1.9502114592602871E-2</v>
          </cell>
          <cell r="G8">
            <v>2.0248058977042183E-2</v>
          </cell>
          <cell r="H8">
            <v>2.0000000000000018E-2</v>
          </cell>
          <cell r="I8">
            <v>2.0000000000000018E-2</v>
          </cell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B9"/>
          <cell r="C9">
            <v>0.28000000000000003</v>
          </cell>
          <cell r="D9">
            <v>0.28000000000000003</v>
          </cell>
          <cell r="E9">
            <v>0.28000000000000003</v>
          </cell>
          <cell r="F9">
            <v>0.28000000000000003</v>
          </cell>
          <cell r="G9">
            <v>0.28000000000000003</v>
          </cell>
          <cell r="H9">
            <v>0.28000000000000003</v>
          </cell>
          <cell r="I9">
            <v>0.28000000000000003</v>
          </cell>
          <cell r="J9"/>
          <cell r="K9"/>
          <cell r="L9"/>
          <cell r="M9"/>
          <cell r="N9"/>
          <cell r="O9"/>
          <cell r="P9"/>
          <cell r="Q9"/>
          <cell r="R9"/>
        </row>
        <row r="10">
          <cell r="B10">
            <v>365</v>
          </cell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</row>
        <row r="11">
          <cell r="B11">
            <v>182</v>
          </cell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</row>
        <row r="12">
          <cell r="B12">
            <v>148</v>
          </cell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</row>
        <row r="13">
          <cell r="B13">
            <v>44286</v>
          </cell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</row>
        <row r="14">
          <cell r="B14">
            <v>4.5699999999999998E-2</v>
          </cell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</row>
        <row r="15">
          <cell r="B15">
            <v>2.92E-2</v>
          </cell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6">
          <cell r="B16">
            <v>0.42</v>
          </cell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</row>
        <row r="17">
          <cell r="B17">
            <v>44</v>
          </cell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B18">
            <v>0</v>
          </cell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B20" t="str">
            <v>Alpine Energy</v>
          </cell>
          <cell r="C20" t="str">
            <v>Aurora Energy</v>
          </cell>
          <cell r="D20" t="str">
            <v>Centralines</v>
          </cell>
          <cell r="E20" t="str">
            <v>EA Networks</v>
          </cell>
          <cell r="F20" t="str">
            <v>Eastland Network</v>
          </cell>
          <cell r="G20" t="str">
            <v>Electricity Invercargill</v>
          </cell>
          <cell r="H20" t="str">
            <v>Horizon Energy</v>
          </cell>
          <cell r="I20" t="str">
            <v>Nelson Electricity</v>
          </cell>
          <cell r="J20" t="str">
            <v>Network Tasman</v>
          </cell>
          <cell r="K20" t="str">
            <v>Orion NZ</v>
          </cell>
          <cell r="L20" t="str">
            <v>OtagoNet</v>
          </cell>
          <cell r="M20" t="str">
            <v>Powerco</v>
          </cell>
          <cell r="N20" t="str">
            <v>The Lines Company</v>
          </cell>
          <cell r="O20" t="str">
            <v>Top Energy</v>
          </cell>
          <cell r="P20" t="str">
            <v>Unison Networks</v>
          </cell>
          <cell r="Q20" t="str">
            <v>Vector Lines</v>
          </cell>
          <cell r="R20" t="str">
            <v>Wellington Electricity</v>
          </cell>
        </row>
        <row r="21">
          <cell r="B21">
            <v>1</v>
          </cell>
          <cell r="C21">
            <v>2</v>
          </cell>
          <cell r="D21">
            <v>3</v>
          </cell>
          <cell r="E21">
            <v>4</v>
          </cell>
          <cell r="F21">
            <v>5</v>
          </cell>
          <cell r="G21">
            <v>6</v>
          </cell>
          <cell r="H21">
            <v>7</v>
          </cell>
          <cell r="I21">
            <v>8</v>
          </cell>
          <cell r="J21">
            <v>9</v>
          </cell>
          <cell r="K21">
            <v>10</v>
          </cell>
          <cell r="L21">
            <v>11</v>
          </cell>
          <cell r="M21">
            <v>12</v>
          </cell>
          <cell r="N21">
            <v>13</v>
          </cell>
          <cell r="O21">
            <v>14</v>
          </cell>
          <cell r="P21">
            <v>15</v>
          </cell>
          <cell r="Q21">
            <v>16</v>
          </cell>
          <cell r="R21">
            <v>17</v>
          </cell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B23">
            <v>199621</v>
          </cell>
          <cell r="C23">
            <v>394155.20342001849</v>
          </cell>
          <cell r="D23">
            <v>54013</v>
          </cell>
          <cell r="E23">
            <v>259359.00095871449</v>
          </cell>
          <cell r="F23">
            <v>154613.20585</v>
          </cell>
          <cell r="G23">
            <v>84071.69550885816</v>
          </cell>
          <cell r="H23">
            <v>124949.9691070461</v>
          </cell>
          <cell r="I23">
            <v>41110.981972024987</v>
          </cell>
          <cell r="J23">
            <v>165522</v>
          </cell>
          <cell r="K23">
            <v>1051194</v>
          </cell>
          <cell r="L23">
            <v>186531.16401204519</v>
          </cell>
          <cell r="M23">
            <v>1657736.857110675</v>
          </cell>
          <cell r="N23">
            <v>188818.5385963225</v>
          </cell>
          <cell r="O23">
            <v>251488.1610056299</v>
          </cell>
          <cell r="P23">
            <v>586195</v>
          </cell>
          <cell r="Q23">
            <v>2951716</v>
          </cell>
          <cell r="R23">
            <v>611855.08145023219</v>
          </cell>
        </row>
        <row r="24">
          <cell r="B24">
            <v>12793.13117340678</v>
          </cell>
          <cell r="C24">
            <v>15058.02417019832</v>
          </cell>
          <cell r="D24">
            <v>2033</v>
          </cell>
          <cell r="E24">
            <v>9529.6230377798529</v>
          </cell>
          <cell r="F24">
            <v>6088.9489571422637</v>
          </cell>
          <cell r="G24">
            <v>3119.7714543870602</v>
          </cell>
          <cell r="H24">
            <v>6456.2217299999993</v>
          </cell>
          <cell r="I24">
            <v>1446.5562303904751</v>
          </cell>
          <cell r="J24">
            <v>6807</v>
          </cell>
          <cell r="K24">
            <v>40615.817049999998</v>
          </cell>
          <cell r="L24">
            <v>7711.9157134074912</v>
          </cell>
          <cell r="M24">
            <v>67007.59800619095</v>
          </cell>
          <cell r="N24">
            <v>8412.1005965908771</v>
          </cell>
          <cell r="O24">
            <v>9155.4759701400144</v>
          </cell>
          <cell r="P24">
            <v>27555.254000000001</v>
          </cell>
          <cell r="Q24">
            <v>108729</v>
          </cell>
          <cell r="R24">
            <v>26323.291818737282</v>
          </cell>
        </row>
        <row r="25">
          <cell r="B25">
            <v>201494.54378921399</v>
          </cell>
          <cell r="C25">
            <v>447072.18120423768</v>
          </cell>
          <cell r="D25">
            <v>57848</v>
          </cell>
          <cell r="E25">
            <v>268447.16463339521</v>
          </cell>
          <cell r="F25">
            <v>161677.5522211091</v>
          </cell>
          <cell r="G25">
            <v>86604.996813859601</v>
          </cell>
          <cell r="H25">
            <v>133085.9</v>
          </cell>
          <cell r="I25">
            <v>41933.729163771379</v>
          </cell>
          <cell r="J25">
            <v>165472</v>
          </cell>
          <cell r="K25">
            <v>1088531.37215</v>
          </cell>
          <cell r="L25">
            <v>194442.08945185869</v>
          </cell>
          <cell r="M25">
            <v>1787099.8403374299</v>
          </cell>
          <cell r="N25">
            <v>206316.43741173169</v>
          </cell>
          <cell r="O25">
            <v>261426.14654201409</v>
          </cell>
          <cell r="P25">
            <v>620045.32999999996</v>
          </cell>
          <cell r="Q25">
            <v>3075471</v>
          </cell>
          <cell r="R25">
            <v>629322.99258132093</v>
          </cell>
        </row>
        <row r="26">
          <cell r="B26">
            <v>170446.47</v>
          </cell>
          <cell r="C26">
            <v>361569.54422574752</v>
          </cell>
          <cell r="D26">
            <v>48772</v>
          </cell>
          <cell r="E26">
            <v>240111.30192480088</v>
          </cell>
          <cell r="F26">
            <v>141779.87942000001</v>
          </cell>
          <cell r="G26">
            <v>77250.2</v>
          </cell>
          <cell r="H26">
            <v>114466.56377703784</v>
          </cell>
          <cell r="I26">
            <v>37930</v>
          </cell>
          <cell r="J26">
            <v>150203</v>
          </cell>
          <cell r="K26">
            <v>965046.96399999992</v>
          </cell>
          <cell r="L26">
            <v>173737</v>
          </cell>
          <cell r="M26">
            <v>1517689.7834197362</v>
          </cell>
          <cell r="N26">
            <v>166614.80105177328</v>
          </cell>
          <cell r="O26">
            <v>224217.63158074598</v>
          </cell>
          <cell r="P26">
            <v>536379</v>
          </cell>
          <cell r="Q26">
            <v>2695210</v>
          </cell>
          <cell r="R26">
            <v>556622.52018648502</v>
          </cell>
        </row>
        <row r="27">
          <cell r="B27">
            <v>10635.430916170135</v>
          </cell>
          <cell r="C27">
            <v>13630.7986916892</v>
          </cell>
          <cell r="D27">
            <v>1934</v>
          </cell>
          <cell r="E27">
            <v>8731.3741433898904</v>
          </cell>
          <cell r="F27">
            <v>5287.9484400000001</v>
          </cell>
          <cell r="G27">
            <v>2844.8539999999998</v>
          </cell>
          <cell r="H27">
            <v>5022.3270200007209</v>
          </cell>
          <cell r="I27">
            <v>1354</v>
          </cell>
          <cell r="J27">
            <v>6290</v>
          </cell>
          <cell r="K27">
            <v>36341.389000000003</v>
          </cell>
          <cell r="L27">
            <v>7161</v>
          </cell>
          <cell r="M27">
            <v>60760.817678568899</v>
          </cell>
          <cell r="N27">
            <v>7730.9831109175566</v>
          </cell>
          <cell r="O27">
            <v>7999.2173910088077</v>
          </cell>
          <cell r="P27">
            <v>25169</v>
          </cell>
          <cell r="Q27">
            <v>99210</v>
          </cell>
          <cell r="R27">
            <v>23190.279411230553</v>
          </cell>
        </row>
        <row r="28">
          <cell r="B28">
            <v>14782.759912538904</v>
          </cell>
          <cell r="C28">
            <v>21650</v>
          </cell>
          <cell r="D28">
            <v>2186</v>
          </cell>
          <cell r="E28">
            <v>11910.710938979737</v>
          </cell>
          <cell r="F28">
            <v>6271.2953399997159</v>
          </cell>
          <cell r="G28">
            <v>3313.98</v>
          </cell>
          <cell r="H28">
            <v>5404.5006091970481</v>
          </cell>
          <cell r="I28">
            <v>1297</v>
          </cell>
          <cell r="J28">
            <v>5114</v>
          </cell>
          <cell r="K28">
            <v>32004.274999999998</v>
          </cell>
          <cell r="L28">
            <v>15388</v>
          </cell>
          <cell r="M28">
            <v>79612.315544819998</v>
          </cell>
          <cell r="N28">
            <v>4330.0359719999988</v>
          </cell>
          <cell r="O28">
            <v>11576.768156254197</v>
          </cell>
          <cell r="P28">
            <v>30035</v>
          </cell>
          <cell r="Q28">
            <v>103486</v>
          </cell>
          <cell r="R28">
            <v>28793.117962970849</v>
          </cell>
        </row>
        <row r="29">
          <cell r="B29">
            <v>122940.02874936687</v>
          </cell>
          <cell r="C29">
            <v>222185.91470027712</v>
          </cell>
          <cell r="D29">
            <v>24349</v>
          </cell>
          <cell r="E29">
            <v>134591.63086295308</v>
          </cell>
          <cell r="F29">
            <v>70250.535713750753</v>
          </cell>
          <cell r="G29">
            <v>41317.030000000006</v>
          </cell>
          <cell r="H29">
            <v>51284.962998490366</v>
          </cell>
          <cell r="I29">
            <v>18165</v>
          </cell>
          <cell r="J29">
            <v>63134</v>
          </cell>
          <cell r="K29">
            <v>400019.63159</v>
          </cell>
          <cell r="L29">
            <v>95268</v>
          </cell>
          <cell r="M29">
            <v>1025176.28156504</v>
          </cell>
          <cell r="N29">
            <v>45756</v>
          </cell>
          <cell r="O29">
            <v>136251.1718910354</v>
          </cell>
          <cell r="P29">
            <v>313784</v>
          </cell>
          <cell r="Q29">
            <v>1224826</v>
          </cell>
          <cell r="R29">
            <v>351370.70442136371</v>
          </cell>
        </row>
        <row r="30">
          <cell r="B30">
            <v>2756.1747845868776</v>
          </cell>
          <cell r="C30">
            <v>4989.9524061343209</v>
          </cell>
          <cell r="D30">
            <v>1254.5</v>
          </cell>
          <cell r="E30">
            <v>2142.610348679998</v>
          </cell>
          <cell r="F30">
            <v>1900.5760598863596</v>
          </cell>
          <cell r="G30">
            <v>1268.3684210526317</v>
          </cell>
          <cell r="H30">
            <v>4218.9445353069541</v>
          </cell>
          <cell r="I30">
            <v>693.05</v>
          </cell>
          <cell r="J30">
            <v>3239.1631535884967</v>
          </cell>
          <cell r="K30">
            <v>15323.202053922892</v>
          </cell>
          <cell r="L30">
            <v>1343.5454545454545</v>
          </cell>
          <cell r="M30">
            <v>10201.180992856574</v>
          </cell>
          <cell r="N30">
            <v>4085.2698642630403</v>
          </cell>
          <cell r="O30">
            <v>3399.105263157895</v>
          </cell>
          <cell r="P30">
            <v>5670.1</v>
          </cell>
          <cell r="Q30">
            <v>34300.677419354841</v>
          </cell>
          <cell r="R30">
            <v>7150.7843480592637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788.45529410731547</v>
          </cell>
          <cell r="L31">
            <v>0</v>
          </cell>
          <cell r="M31">
            <v>1966.526362123079</v>
          </cell>
          <cell r="N31">
            <v>0</v>
          </cell>
          <cell r="O31">
            <v>0</v>
          </cell>
          <cell r="P31">
            <v>440.18873192767637</v>
          </cell>
          <cell r="Q31">
            <v>3983.6873940243322</v>
          </cell>
          <cell r="R31">
            <v>362.46155455940988</v>
          </cell>
        </row>
        <row r="32">
          <cell r="B32">
            <v>-6546.4247455849472</v>
          </cell>
          <cell r="C32">
            <v>-18008.439662752455</v>
          </cell>
          <cell r="D32">
            <v>-2740</v>
          </cell>
          <cell r="E32">
            <v>-12614.867288168751</v>
          </cell>
          <cell r="F32">
            <v>-7364</v>
          </cell>
          <cell r="G32">
            <v>-3433.9625072251488</v>
          </cell>
          <cell r="H32">
            <v>0</v>
          </cell>
          <cell r="I32">
            <v>-1441</v>
          </cell>
          <cell r="J32">
            <v>-1612.3519205251705</v>
          </cell>
          <cell r="K32">
            <v>-43149.148637470855</v>
          </cell>
          <cell r="L32">
            <v>-12352</v>
          </cell>
          <cell r="M32">
            <v>-60532.961543424855</v>
          </cell>
          <cell r="N32">
            <v>-12008</v>
          </cell>
          <cell r="O32">
            <v>-10180.726118980281</v>
          </cell>
          <cell r="P32">
            <v>-29786</v>
          </cell>
          <cell r="Q32">
            <v>-83664</v>
          </cell>
          <cell r="R32">
            <v>-33852.900993842857</v>
          </cell>
        </row>
        <row r="33">
          <cell r="B33">
            <v>1</v>
          </cell>
          <cell r="C33">
            <v>1</v>
          </cell>
          <cell r="D33">
            <v>1</v>
          </cell>
          <cell r="E33">
            <v>1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1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</row>
        <row r="37">
          <cell r="B37">
            <v>19420.272954529883</v>
          </cell>
          <cell r="C37">
            <v>44723.360920152074</v>
          </cell>
          <cell r="D37">
            <v>4226.3554367558718</v>
          </cell>
          <cell r="E37">
            <v>11823.138001241525</v>
          </cell>
          <cell r="F37">
            <v>10615.39048330826</v>
          </cell>
          <cell r="G37">
            <v>5180.7118078829417</v>
          </cell>
          <cell r="H37">
            <v>9885.6120036048451</v>
          </cell>
          <cell r="I37">
            <v>2246.8374172983913</v>
          </cell>
          <cell r="J37">
            <v>11157.711965454881</v>
          </cell>
          <cell r="K37">
            <v>64153.54839840129</v>
          </cell>
          <cell r="L37">
            <v>9162.9239113704207</v>
          </cell>
          <cell r="M37">
            <v>93422.96777908341</v>
          </cell>
          <cell r="N37">
            <v>14911.902690078447</v>
          </cell>
          <cell r="O37">
            <v>16021.47849146213</v>
          </cell>
          <cell r="P37">
            <v>41582.387166609762</v>
          </cell>
          <cell r="Q37">
            <v>127351.13794047505</v>
          </cell>
          <cell r="R37">
            <v>35667.657349661255</v>
          </cell>
        </row>
        <row r="38">
          <cell r="B38">
            <v>20012.120279799667</v>
          </cell>
          <cell r="C38">
            <v>46248.530101285549</v>
          </cell>
          <cell r="D38">
            <v>4334.1752993991695</v>
          </cell>
          <cell r="E38">
            <v>12215.64195402153</v>
          </cell>
          <cell r="F38">
            <v>10898.081808208053</v>
          </cell>
          <cell r="G38">
            <v>5310.5866354806431</v>
          </cell>
          <cell r="H38">
            <v>10170.692704882435</v>
          </cell>
          <cell r="I38">
            <v>2316.9756478733179</v>
          </cell>
          <cell r="J38">
            <v>11513.079497756995</v>
          </cell>
          <cell r="K38">
            <v>66487.65442505297</v>
          </cell>
          <cell r="L38">
            <v>9425.276484157599</v>
          </cell>
          <cell r="M38">
            <v>96485.788832775754</v>
          </cell>
          <cell r="N38">
            <v>15303.187164084151</v>
          </cell>
          <cell r="O38">
            <v>16537.344449902448</v>
          </cell>
          <cell r="P38">
            <v>42904.143031967935</v>
          </cell>
          <cell r="Q38">
            <v>132448.68478800423</v>
          </cell>
          <cell r="R38">
            <v>36792.115466627467</v>
          </cell>
        </row>
        <row r="39">
          <cell r="B39">
            <v>20629.432088719677</v>
          </cell>
          <cell r="C39">
            <v>48129.315518557181</v>
          </cell>
          <cell r="D39">
            <v>4446.3502257826885</v>
          </cell>
          <cell r="E39">
            <v>12625.159114988157</v>
          </cell>
          <cell r="F39">
            <v>11192.331982694157</v>
          </cell>
          <cell r="G39">
            <v>5445.680405811705</v>
          </cell>
          <cell r="H39">
            <v>10485.3193626175</v>
          </cell>
          <cell r="I39">
            <v>2390.165824962854</v>
          </cell>
          <cell r="J39">
            <v>11880.376540380918</v>
          </cell>
          <cell r="K39">
            <v>68931.505534761251</v>
          </cell>
          <cell r="L39">
            <v>9698.6497569249568</v>
          </cell>
          <cell r="M39">
            <v>99415.113273788185</v>
          </cell>
          <cell r="N39">
            <v>15708.68537776473</v>
          </cell>
          <cell r="O39">
            <v>17051.661586794446</v>
          </cell>
          <cell r="P39">
            <v>44325.326030975797</v>
          </cell>
          <cell r="Q39">
            <v>137800.82316421505</v>
          </cell>
          <cell r="R39">
            <v>37965.379905078691</v>
          </cell>
        </row>
        <row r="40">
          <cell r="B40">
            <v>21237.104508905344</v>
          </cell>
          <cell r="C40">
            <v>50194.342279207958</v>
          </cell>
          <cell r="D40">
            <v>4555.1256011520263</v>
          </cell>
          <cell r="E40">
            <v>13063.733466005098</v>
          </cell>
          <cell r="F40">
            <v>11497.233733516021</v>
          </cell>
          <cell r="G40">
            <v>5585.0372989621037</v>
          </cell>
          <cell r="H40">
            <v>10832.659285539019</v>
          </cell>
          <cell r="I40">
            <v>2464.9982164724033</v>
          </cell>
          <cell r="J40">
            <v>12252.618877414719</v>
          </cell>
          <cell r="K40">
            <v>71320.638016152108</v>
          </cell>
          <cell r="L40">
            <v>9957.7843427989283</v>
          </cell>
          <cell r="M40">
            <v>102609.67054767133</v>
          </cell>
          <cell r="N40">
            <v>16108.546154128071</v>
          </cell>
          <cell r="O40">
            <v>17569.351795284168</v>
          </cell>
          <cell r="P40">
            <v>45716.096451782498</v>
          </cell>
          <cell r="Q40">
            <v>142973.17103060253</v>
          </cell>
          <cell r="R40">
            <v>39168.447023023255</v>
          </cell>
        </row>
        <row r="41">
          <cell r="B41">
            <v>21815.917390452156</v>
          </cell>
          <cell r="C41">
            <v>51957.912857729047</v>
          </cell>
          <cell r="D41">
            <v>4656.5817269339068</v>
          </cell>
          <cell r="E41">
            <v>13485.875623804186</v>
          </cell>
          <cell r="F41">
            <v>11783.558278263976</v>
          </cell>
          <cell r="G41">
            <v>5715.7104429980354</v>
          </cell>
          <cell r="H41">
            <v>11113.449993116894</v>
          </cell>
          <cell r="I41">
            <v>2536.7168571561815</v>
          </cell>
          <cell r="J41">
            <v>12609.498185049688</v>
          </cell>
          <cell r="K41">
            <v>73634.73385941294</v>
          </cell>
          <cell r="L41">
            <v>10201.98054950084</v>
          </cell>
          <cell r="M41">
            <v>106186.76391969755</v>
          </cell>
          <cell r="N41">
            <v>16483.229017258454</v>
          </cell>
          <cell r="O41">
            <v>18063.176010234187</v>
          </cell>
          <cell r="P41">
            <v>47028.877622765081</v>
          </cell>
          <cell r="Q41">
            <v>148015.88957073344</v>
          </cell>
          <cell r="R41">
            <v>40320.616474967421</v>
          </cell>
        </row>
        <row r="43">
          <cell r="B43">
            <v>17961.779926267081</v>
          </cell>
          <cell r="C43">
            <v>63004.353999999992</v>
          </cell>
          <cell r="D43">
            <v>5064</v>
          </cell>
          <cell r="E43">
            <v>16375.665660000061</v>
          </cell>
          <cell r="F43">
            <v>11755.60458000001</v>
          </cell>
          <cell r="G43">
            <v>4533.37</v>
          </cell>
          <cell r="H43">
            <v>12884.01</v>
          </cell>
          <cell r="I43">
            <v>1659.3481999999999</v>
          </cell>
          <cell r="J43">
            <v>6557</v>
          </cell>
          <cell r="K43">
            <v>63636.967999999993</v>
          </cell>
          <cell r="L43">
            <v>12936.768609999999</v>
          </cell>
          <cell r="M43">
            <v>185312.73427243941</v>
          </cell>
          <cell r="N43">
            <v>23462.783690000011</v>
          </cell>
          <cell r="O43">
            <v>15378.413930000001</v>
          </cell>
          <cell r="P43">
            <v>53881.408000000003</v>
          </cell>
          <cell r="Q43">
            <v>203460</v>
          </cell>
          <cell r="R43">
            <v>37191.001710000019</v>
          </cell>
        </row>
        <row r="44">
          <cell r="B44">
            <v>14014</v>
          </cell>
          <cell r="C44">
            <v>76195.241831549603</v>
          </cell>
          <cell r="D44">
            <v>6913.2636087999999</v>
          </cell>
          <cell r="E44">
            <v>21629.30733276367</v>
          </cell>
          <cell r="F44">
            <v>9803.8482899999999</v>
          </cell>
          <cell r="G44">
            <v>5750.2225108244311</v>
          </cell>
          <cell r="H44">
            <v>8296.868167577617</v>
          </cell>
          <cell r="I44">
            <v>1552</v>
          </cell>
          <cell r="J44">
            <v>15593</v>
          </cell>
          <cell r="K44">
            <v>66443.232000000004</v>
          </cell>
          <cell r="L44">
            <v>23187.72481631265</v>
          </cell>
          <cell r="M44">
            <v>180476</v>
          </cell>
          <cell r="N44">
            <v>18922.355345399999</v>
          </cell>
          <cell r="O44">
            <v>31785.322032399999</v>
          </cell>
          <cell r="P44">
            <v>50412.921529999992</v>
          </cell>
          <cell r="Q44">
            <v>240761</v>
          </cell>
          <cell r="R44">
            <v>52409.994278901962</v>
          </cell>
        </row>
        <row r="45">
          <cell r="B45">
            <v>16663.084987074293</v>
          </cell>
          <cell r="C45">
            <v>50947.773510247447</v>
          </cell>
          <cell r="D45">
            <v>6059.7473996468661</v>
          </cell>
          <cell r="E45">
            <v>18050.3141257922</v>
          </cell>
          <cell r="F45">
            <v>9684.9777776781502</v>
          </cell>
          <cell r="G45">
            <v>4655.6235108371211</v>
          </cell>
          <cell r="H45">
            <v>8322.4692415684531</v>
          </cell>
          <cell r="I45">
            <v>1627.4748243189306</v>
          </cell>
          <cell r="J45">
            <v>10289.860370686423</v>
          </cell>
          <cell r="K45">
            <v>72172.38359853992</v>
          </cell>
          <cell r="L45">
            <v>13989.584671125622</v>
          </cell>
          <cell r="M45" t="e">
            <v>#N/A</v>
          </cell>
          <cell r="N45">
            <v>18320.860042033932</v>
          </cell>
          <cell r="O45">
            <v>14593.153311847902</v>
          </cell>
          <cell r="P45">
            <v>46746.124751395197</v>
          </cell>
          <cell r="Q45">
            <v>211119.9718515854</v>
          </cell>
          <cell r="R45">
            <v>37748.022005345745</v>
          </cell>
        </row>
        <row r="46">
          <cell r="B46">
            <v>16978.399454502294</v>
          </cell>
          <cell r="C46">
            <v>50750.308330537278</v>
          </cell>
          <cell r="D46">
            <v>2773.8307717314538</v>
          </cell>
          <cell r="E46">
            <v>17941.493243003944</v>
          </cell>
          <cell r="F46">
            <v>10136.401061103601</v>
          </cell>
          <cell r="G46">
            <v>5052.9447714077578</v>
          </cell>
          <cell r="H46">
            <v>6720.079498778955</v>
          </cell>
          <cell r="I46">
            <v>1709.8203732676643</v>
          </cell>
          <cell r="J46">
            <v>12261.460641572261</v>
          </cell>
          <cell r="K46">
            <v>63777.111872759626</v>
          </cell>
          <cell r="L46">
            <v>13504.173049339088</v>
          </cell>
          <cell r="M46" t="e">
            <v>#N/A</v>
          </cell>
          <cell r="N46">
            <v>16919.227905563937</v>
          </cell>
          <cell r="O46">
            <v>15127.253970962542</v>
          </cell>
          <cell r="P46">
            <v>52524.928561752349</v>
          </cell>
          <cell r="Q46">
            <v>209600.00629559506</v>
          </cell>
          <cell r="R46">
            <v>35509.954336362658</v>
          </cell>
        </row>
        <row r="47">
          <cell r="B47">
            <v>15377.140956497071</v>
          </cell>
          <cell r="C47">
            <v>48245.581949487467</v>
          </cell>
          <cell r="D47">
            <v>3967.7815608953551</v>
          </cell>
          <cell r="E47">
            <v>17796.759119063441</v>
          </cell>
          <cell r="F47">
            <v>8982.1740783163259</v>
          </cell>
          <cell r="G47">
            <v>5567.5747524279859</v>
          </cell>
          <cell r="H47">
            <v>8075.3672553967899</v>
          </cell>
          <cell r="I47">
            <v>1663.731588304842</v>
          </cell>
          <cell r="J47">
            <v>9042.3641329302391</v>
          </cell>
          <cell r="K47">
            <v>89623.654410387855</v>
          </cell>
          <cell r="L47">
            <v>18002.808964582848</v>
          </cell>
          <cell r="M47" t="e">
            <v>#N/A</v>
          </cell>
          <cell r="N47">
            <v>15873.676646380469</v>
          </cell>
          <cell r="O47">
            <v>16514.785707311417</v>
          </cell>
          <cell r="P47">
            <v>50530.601455491415</v>
          </cell>
          <cell r="Q47">
            <v>213423.98232804175</v>
          </cell>
          <cell r="R47">
            <v>37677.090517057499</v>
          </cell>
        </row>
        <row r="48">
          <cell r="B48">
            <v>14672.777154184731</v>
          </cell>
          <cell r="C48">
            <v>38772.738517131242</v>
          </cell>
          <cell r="D48">
            <v>2840.7102307855239</v>
          </cell>
          <cell r="E48">
            <v>15710.84150223012</v>
          </cell>
          <cell r="F48">
            <v>9383.3630278770361</v>
          </cell>
          <cell r="G48">
            <v>5578.0770141048597</v>
          </cell>
          <cell r="H48">
            <v>8520.7632766490988</v>
          </cell>
          <cell r="I48">
            <v>1665.5343513423325</v>
          </cell>
          <cell r="J48">
            <v>10071.951141968706</v>
          </cell>
          <cell r="K48">
            <v>79929.574002059759</v>
          </cell>
          <cell r="L48">
            <v>23071.296835907422</v>
          </cell>
          <cell r="M48" t="e">
            <v>#N/A</v>
          </cell>
          <cell r="N48">
            <v>16558.302274241945</v>
          </cell>
          <cell r="O48">
            <v>16264.117073022302</v>
          </cell>
          <cell r="P48">
            <v>46851.604858224193</v>
          </cell>
          <cell r="Q48">
            <v>209518.18392710513</v>
          </cell>
          <cell r="R48">
            <v>39911.186049068143</v>
          </cell>
        </row>
        <row r="49">
          <cell r="B49">
            <v>14150.711147161515</v>
          </cell>
          <cell r="C49">
            <v>43211.493557946123</v>
          </cell>
          <cell r="D49">
            <v>2963.6864818674044</v>
          </cell>
          <cell r="E49">
            <v>14722.518947443514</v>
          </cell>
          <cell r="F49">
            <v>10052.315192213098</v>
          </cell>
          <cell r="G49">
            <v>5125.7868259029583</v>
          </cell>
          <cell r="H49">
            <v>8567.1005445935371</v>
          </cell>
          <cell r="I49">
            <v>1671.9158090065555</v>
          </cell>
          <cell r="J49">
            <v>8471.990542954245</v>
          </cell>
          <cell r="K49">
            <v>84444.365243546883</v>
          </cell>
          <cell r="L49">
            <v>13934.599644582944</v>
          </cell>
          <cell r="M49" t="e">
            <v>#N/A</v>
          </cell>
          <cell r="N49">
            <v>15250.2101420237</v>
          </cell>
          <cell r="O49">
            <v>16597.07093675133</v>
          </cell>
          <cell r="P49">
            <v>48041.410078531495</v>
          </cell>
          <cell r="Q49">
            <v>197131.64960191568</v>
          </cell>
          <cell r="R49">
            <v>42077.362820820395</v>
          </cell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</row>
        <row r="51">
          <cell r="B51">
            <v>0</v>
          </cell>
          <cell r="C51">
            <v>853.06700000000001</v>
          </cell>
          <cell r="D51">
            <v>38</v>
          </cell>
          <cell r="E51">
            <v>773.18725158335349</v>
          </cell>
          <cell r="F51">
            <v>162.02709496968251</v>
          </cell>
          <cell r="G51">
            <v>125.5172148877932</v>
          </cell>
          <cell r="H51">
            <v>142.4</v>
          </cell>
          <cell r="I51">
            <v>0</v>
          </cell>
          <cell r="J51">
            <v>393</v>
          </cell>
          <cell r="K51">
            <v>1377.9363699999999</v>
          </cell>
          <cell r="L51">
            <v>79.501966691335895</v>
          </cell>
          <cell r="M51">
            <v>12095.958583283449</v>
          </cell>
          <cell r="N51">
            <v>346.58528799999999</v>
          </cell>
          <cell r="O51">
            <v>15.95</v>
          </cell>
          <cell r="P51">
            <v>1812</v>
          </cell>
          <cell r="Q51">
            <v>7412</v>
          </cell>
          <cell r="R51">
            <v>0</v>
          </cell>
        </row>
        <row r="52">
          <cell r="B52">
            <v>130.56285494152584</v>
          </cell>
          <cell r="C52">
            <v>291.1814713869436</v>
          </cell>
          <cell r="D52">
            <v>28.185792018269709</v>
          </cell>
          <cell r="E52">
            <v>1081.6181052012112</v>
          </cell>
          <cell r="F52">
            <v>178.47885662895501</v>
          </cell>
          <cell r="G52">
            <v>122.54430261356083</v>
          </cell>
          <cell r="H52">
            <v>279.52838509019517</v>
          </cell>
          <cell r="I52">
            <v>69.673769697336382</v>
          </cell>
          <cell r="J52">
            <v>549.03917777641948</v>
          </cell>
          <cell r="K52">
            <v>1719.4553983460369</v>
          </cell>
          <cell r="L52">
            <v>286.71673089558186</v>
          </cell>
          <cell r="M52">
            <v>11719.776367633081</v>
          </cell>
          <cell r="N52">
            <v>506.71221055210697</v>
          </cell>
          <cell r="O52">
            <v>27.481768532562345</v>
          </cell>
          <cell r="P52">
            <v>2627.6108777379654</v>
          </cell>
          <cell r="Q52">
            <v>10769.994983532757</v>
          </cell>
          <cell r="R52">
            <v>3.2834490266159988</v>
          </cell>
        </row>
        <row r="53">
          <cell r="B53">
            <v>133.04354918541483</v>
          </cell>
          <cell r="C53">
            <v>296.71391934329552</v>
          </cell>
          <cell r="D53">
            <v>28.721322066616835</v>
          </cell>
          <cell r="E53">
            <v>1102.1688492000342</v>
          </cell>
          <cell r="F53">
            <v>181.86995490490517</v>
          </cell>
          <cell r="G53">
            <v>124.87264436321848</v>
          </cell>
          <cell r="H53">
            <v>284.8394244069089</v>
          </cell>
          <cell r="I53">
            <v>70.997571321585767</v>
          </cell>
          <cell r="J53">
            <v>559.47092215417149</v>
          </cell>
          <cell r="K53">
            <v>1752.1250509146116</v>
          </cell>
          <cell r="L53">
            <v>292.16434878259787</v>
          </cell>
          <cell r="M53">
            <v>11942.452118618108</v>
          </cell>
          <cell r="N53">
            <v>516.33974255259704</v>
          </cell>
          <cell r="O53">
            <v>28.00392213468103</v>
          </cell>
          <cell r="P53">
            <v>2677.535484414987</v>
          </cell>
          <cell r="Q53">
            <v>10974.62488821988</v>
          </cell>
          <cell r="R53">
            <v>3.3458345581217026</v>
          </cell>
        </row>
        <row r="54">
          <cell r="B54">
            <v>135.70442016912315</v>
          </cell>
          <cell r="C54">
            <v>302.64819773016143</v>
          </cell>
          <cell r="D54">
            <v>29.295748507949174</v>
          </cell>
          <cell r="E54">
            <v>1124.212226184035</v>
          </cell>
          <cell r="F54">
            <v>185.50735400300329</v>
          </cell>
          <cell r="G54">
            <v>127.37009725048287</v>
          </cell>
          <cell r="H54">
            <v>290.53621289504707</v>
          </cell>
          <cell r="I54">
            <v>72.41752274801749</v>
          </cell>
          <cell r="J54">
            <v>570.66034059725496</v>
          </cell>
          <cell r="K54">
            <v>1787.167551932904</v>
          </cell>
          <cell r="L54">
            <v>298.00763575824988</v>
          </cell>
          <cell r="M54">
            <v>12181.301160990472</v>
          </cell>
          <cell r="N54">
            <v>526.66653740364904</v>
          </cell>
          <cell r="O54">
            <v>28.564000577374653</v>
          </cell>
          <cell r="P54">
            <v>2731.0861941032867</v>
          </cell>
          <cell r="Q54">
            <v>11194.117385984278</v>
          </cell>
          <cell r="R54">
            <v>3.412751249284137</v>
          </cell>
        </row>
        <row r="55">
          <cell r="B55">
            <v>138.41850857250563</v>
          </cell>
          <cell r="C55">
            <v>308.70116168476471</v>
          </cell>
          <cell r="D55">
            <v>29.881663478108159</v>
          </cell>
          <cell r="E55">
            <v>1146.6964707077157</v>
          </cell>
          <cell r="F55">
            <v>189.21750108306335</v>
          </cell>
          <cell r="G55">
            <v>129.91749919549252</v>
          </cell>
          <cell r="H55">
            <v>296.34693715294804</v>
          </cell>
          <cell r="I55">
            <v>73.865873202977852</v>
          </cell>
          <cell r="J55">
            <v>582.07354740920016</v>
          </cell>
          <cell r="K55">
            <v>1822.9109029715623</v>
          </cell>
          <cell r="L55">
            <v>303.96778847341488</v>
          </cell>
          <cell r="M55">
            <v>12424.927184210283</v>
          </cell>
          <cell r="N55">
            <v>537.19986815172206</v>
          </cell>
          <cell r="O55">
            <v>29.135280588922146</v>
          </cell>
          <cell r="P55">
            <v>2785.7079179853531</v>
          </cell>
          <cell r="Q55">
            <v>11417.999733703964</v>
          </cell>
          <cell r="R55">
            <v>3.48100627426982</v>
          </cell>
        </row>
        <row r="56">
          <cell r="B56">
            <v>141.18687874395573</v>
          </cell>
          <cell r="C56">
            <v>314.87518491845998</v>
          </cell>
          <cell r="D56">
            <v>30.479296747670322</v>
          </cell>
          <cell r="E56">
            <v>1169.63040012187</v>
          </cell>
          <cell r="F56">
            <v>193.00185110472464</v>
          </cell>
          <cell r="G56">
            <v>132.51584917940238</v>
          </cell>
          <cell r="H56">
            <v>302.27387589600698</v>
          </cell>
          <cell r="I56">
            <v>75.343190667037405</v>
          </cell>
          <cell r="J56">
            <v>593.71501835738411</v>
          </cell>
          <cell r="K56">
            <v>1859.3691210309935</v>
          </cell>
          <cell r="L56">
            <v>310.04714424288318</v>
          </cell>
          <cell r="M56">
            <v>12673.425727894488</v>
          </cell>
          <cell r="N56">
            <v>547.94386551475645</v>
          </cell>
          <cell r="O56">
            <v>29.71798620070059</v>
          </cell>
          <cell r="P56">
            <v>2841.4220763450598</v>
          </cell>
          <cell r="Q56">
            <v>11646.359728378044</v>
          </cell>
          <cell r="R56">
            <v>3.5506263997552168</v>
          </cell>
        </row>
        <row r="57">
          <cell r="B57">
            <v>144.01061631883488</v>
          </cell>
          <cell r="C57">
            <v>321.17268861682925</v>
          </cell>
          <cell r="D57">
            <v>31.088882682623733</v>
          </cell>
          <cell r="E57">
            <v>1193.0230081243076</v>
          </cell>
          <cell r="F57">
            <v>196.86188812681914</v>
          </cell>
          <cell r="G57">
            <v>135.16616616299044</v>
          </cell>
          <cell r="H57">
            <v>308.31935341392716</v>
          </cell>
          <cell r="I57">
            <v>76.850054480378162</v>
          </cell>
          <cell r="J57">
            <v>605.58931872453184</v>
          </cell>
          <cell r="K57">
            <v>1896.5565034516135</v>
          </cell>
          <cell r="L57">
            <v>316.24808712774086</v>
          </cell>
          <cell r="M57">
            <v>12926.894242452379</v>
          </cell>
          <cell r="N57">
            <v>558.90274282505163</v>
          </cell>
          <cell r="O57">
            <v>30.312345924714606</v>
          </cell>
          <cell r="P57">
            <v>2898.2505178719616</v>
          </cell>
          <cell r="Q57">
            <v>11879.286922945606</v>
          </cell>
          <cell r="R57">
            <v>3.6216389277503214</v>
          </cell>
        </row>
      </sheetData>
      <sheetData sheetId="4">
        <row r="4">
          <cell r="C4" t="str">
            <v>Aurora Energy</v>
          </cell>
        </row>
        <row r="9">
          <cell r="B9">
            <v>4.5699999999999998E-2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Description"/>
      <sheetName val="Table of Contents"/>
      <sheetName val="Inputs"/>
      <sheetName val="GPB data"/>
      <sheetName val="Timing"/>
      <sheetName val="Diag"/>
      <sheetName val="RAB"/>
      <sheetName val="Tax"/>
      <sheetName val="BBAR"/>
      <sheetName val="Rev"/>
      <sheetName val="MAR"/>
      <sheetName val="Outputs"/>
      <sheetName val="Outputs to Chartbook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C17">
            <v>4838.7890143305831</v>
          </cell>
          <cell r="D17">
            <v>58875.074667292029</v>
          </cell>
          <cell r="E17">
            <v>56856.017451413769</v>
          </cell>
          <cell r="F17">
            <v>28249.9679349664</v>
          </cell>
          <cell r="G17">
            <v>148761.85123351694</v>
          </cell>
        </row>
        <row r="18">
          <cell r="C18">
            <v>5284.1277471938447</v>
          </cell>
          <cell r="D18">
            <v>66647.731492930165</v>
          </cell>
          <cell r="E18">
            <v>62771.439747555822</v>
          </cell>
          <cell r="F18">
            <v>32036.118072450918</v>
          </cell>
          <cell r="G18">
            <v>167033.12672078676</v>
          </cell>
        </row>
        <row r="19">
          <cell r="C19">
            <v>5681.0290577007199</v>
          </cell>
          <cell r="D19">
            <v>74245.167016280961</v>
          </cell>
          <cell r="E19">
            <v>68230.698461355787</v>
          </cell>
          <cell r="F19">
            <v>35765.055397940559</v>
          </cell>
          <cell r="G19">
            <v>187411.16818072274</v>
          </cell>
        </row>
        <row r="20">
          <cell r="C20">
            <v>6093.140701897255</v>
          </cell>
          <cell r="D20">
            <v>82474.69008807838</v>
          </cell>
          <cell r="E20">
            <v>73989.155492156977</v>
          </cell>
          <cell r="F20">
            <v>39830.532181585157</v>
          </cell>
          <cell r="G20">
            <v>210275.33069877097</v>
          </cell>
        </row>
        <row r="28">
          <cell r="C28">
            <v>4383.9982678933238</v>
          </cell>
          <cell r="D28">
            <v>51435.568618416459</v>
          </cell>
          <cell r="E28">
            <v>50702.277198411044</v>
          </cell>
          <cell r="F28">
            <v>24646.151307304975</v>
          </cell>
          <cell r="G28">
            <v>131623.38640956199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emeFM">
  <a:themeElements>
    <a:clrScheme name="Office">
      <a:dk1>
        <a:srgbClr val="000000"/>
      </a:dk1>
      <a:lt1>
        <a:srgbClr val="FFFFFF"/>
      </a:lt1>
      <a:dk2>
        <a:srgbClr val="F9F9F5"/>
      </a:dk2>
      <a:lt2>
        <a:srgbClr val="C00000"/>
      </a:lt2>
      <a:accent1>
        <a:srgbClr val="EAE8DA"/>
      </a:accent1>
      <a:accent2>
        <a:srgbClr val="D7D3BB"/>
      </a:accent2>
      <a:accent3>
        <a:srgbClr val="C9C4A3"/>
      </a:accent3>
      <a:accent4>
        <a:srgbClr val="B0A978"/>
      </a:accent4>
      <a:accent5>
        <a:srgbClr val="968F58"/>
      </a:accent5>
      <a:accent6>
        <a:srgbClr val="645F3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comcom.govt.nz/regulated-industries/gas-pipelines/gas-pipelines-performance-and-data/information-disclosed-by-gas-pipeline-businesses" TargetMode="External"/><Relationship Id="rId1" Type="http://schemas.openxmlformats.org/officeDocument/2006/relationships/hyperlink" Target="https://ccc-production-media.s3.ap-southeast-2.amazonaws.com/public/Inaia-tonu-nei-a-low-emissions-future-for-Aotearoa/Modelling-files/Scenarios-dataset-2021-final-advice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3B578-6F29-42C7-BD26-76FD75ED47EA}">
  <sheetPr codeName="Sheet2">
    <pageSetUpPr fitToPage="1"/>
  </sheetPr>
  <dimension ref="A1:D18"/>
  <sheetViews>
    <sheetView showGridLines="0" tabSelected="1" view="pageBreakPreview" zoomScaleNormal="100" zoomScaleSheetLayoutView="100" workbookViewId="0"/>
  </sheetViews>
  <sheetFormatPr defaultColWidth="9.1328125" defaultRowHeight="15" customHeight="1" x14ac:dyDescent="0.45"/>
  <cols>
    <col min="1" max="1" width="26.59765625" customWidth="1"/>
    <col min="2" max="2" width="43.1328125" customWidth="1"/>
    <col min="3" max="3" width="32.73046875" customWidth="1"/>
    <col min="4" max="4" width="32.265625" customWidth="1"/>
  </cols>
  <sheetData>
    <row r="1" spans="1:4" ht="15" customHeight="1" x14ac:dyDescent="0.45">
      <c r="A1" s="29"/>
      <c r="B1" s="18"/>
      <c r="C1" s="18"/>
      <c r="D1" s="30"/>
    </row>
    <row r="2" spans="1:4" ht="189" customHeight="1" x14ac:dyDescent="0.45">
      <c r="A2" s="31"/>
      <c r="D2" s="32"/>
    </row>
    <row r="3" spans="1:4" ht="22.5" customHeight="1" x14ac:dyDescent="0.75">
      <c r="A3" s="33" t="s">
        <v>107</v>
      </c>
      <c r="B3" s="34"/>
      <c r="C3" s="34"/>
      <c r="D3" s="35"/>
    </row>
    <row r="4" spans="1:4" ht="22.5" customHeight="1" x14ac:dyDescent="0.75">
      <c r="A4" s="33" t="s">
        <v>108</v>
      </c>
      <c r="B4" s="34"/>
      <c r="C4" s="34"/>
      <c r="D4" s="35"/>
    </row>
    <row r="5" spans="1:4" ht="22.5" customHeight="1" x14ac:dyDescent="0.75">
      <c r="A5" s="33" t="s">
        <v>111</v>
      </c>
      <c r="B5" s="34"/>
      <c r="C5" s="34"/>
      <c r="D5" s="35"/>
    </row>
    <row r="6" spans="1:4" ht="22.5" customHeight="1" x14ac:dyDescent="0.75">
      <c r="A6" s="33"/>
      <c r="B6" s="34"/>
      <c r="C6" s="34"/>
      <c r="D6" s="35"/>
    </row>
    <row r="7" spans="1:4" ht="42" customHeight="1" x14ac:dyDescent="0.45">
      <c r="A7" s="31"/>
      <c r="D7" s="32"/>
    </row>
    <row r="8" spans="1:4" ht="15" customHeight="1" x14ac:dyDescent="0.45">
      <c r="A8" s="36"/>
      <c r="D8" s="32"/>
    </row>
    <row r="9" spans="1:4" ht="15" customHeight="1" x14ac:dyDescent="0.45">
      <c r="A9" s="36"/>
      <c r="D9" s="32"/>
    </row>
    <row r="10" spans="1:4" ht="15" customHeight="1" x14ac:dyDescent="0.45">
      <c r="A10" s="36"/>
      <c r="D10" s="32"/>
    </row>
    <row r="11" spans="1:4" ht="15" customHeight="1" x14ac:dyDescent="0.45">
      <c r="A11" s="36"/>
      <c r="D11" s="32"/>
    </row>
    <row r="12" spans="1:4" ht="15" customHeight="1" x14ac:dyDescent="0.45">
      <c r="A12" s="36"/>
      <c r="D12" s="32"/>
    </row>
    <row r="13" spans="1:4" ht="15" customHeight="1" x14ac:dyDescent="0.45">
      <c r="A13" s="36"/>
      <c r="D13" s="32"/>
    </row>
    <row r="14" spans="1:4" ht="15" customHeight="1" x14ac:dyDescent="0.45">
      <c r="A14" s="36"/>
      <c r="D14" s="32"/>
    </row>
    <row r="15" spans="1:4" ht="15" customHeight="1" x14ac:dyDescent="0.45">
      <c r="A15" s="36"/>
      <c r="D15" s="32"/>
    </row>
    <row r="16" spans="1:4" ht="15" customHeight="1" x14ac:dyDescent="0.45">
      <c r="A16" s="36"/>
      <c r="D16" s="32"/>
    </row>
    <row r="17" spans="1:4" ht="15" customHeight="1" x14ac:dyDescent="0.45">
      <c r="A17" s="37" t="s">
        <v>109</v>
      </c>
      <c r="B17" s="34"/>
      <c r="C17" s="34"/>
      <c r="D17" s="35"/>
    </row>
    <row r="18" spans="1:4" ht="15" customHeight="1" x14ac:dyDescent="0.45">
      <c r="A18" s="38"/>
      <c r="B18" s="39"/>
      <c r="C18" s="39"/>
      <c r="D18" s="40"/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&amp;R&amp;D &amp;T</oddHeader>
    <oddFooter>&amp;L&amp;F&amp;C&amp;A&amp;R&amp;P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5694-EA45-4F82-A56A-4F9209AC9C01}">
  <sheetPr codeName="Sheet1"/>
  <dimension ref="A1:C28"/>
  <sheetViews>
    <sheetView showGridLines="0" view="pageBreakPreview" zoomScaleNormal="100" zoomScaleSheetLayoutView="100" workbookViewId="0"/>
  </sheetViews>
  <sheetFormatPr defaultRowHeight="14.25" x14ac:dyDescent="0.45"/>
  <cols>
    <col min="1" max="1" width="3.73046875" customWidth="1"/>
    <col min="2" max="2" width="23.59765625" customWidth="1"/>
    <col min="3" max="3" width="92" customWidth="1"/>
  </cols>
  <sheetData>
    <row r="1" spans="1:3" ht="23.25" x14ac:dyDescent="0.7">
      <c r="A1" s="41" t="s">
        <v>110</v>
      </c>
    </row>
    <row r="3" spans="1:3" ht="14.65" thickBot="1" x14ac:dyDescent="0.5"/>
    <row r="4" spans="1:3" ht="15.75" x14ac:dyDescent="0.5">
      <c r="B4" s="19" t="s">
        <v>103</v>
      </c>
      <c r="C4" s="20" t="s">
        <v>104</v>
      </c>
    </row>
    <row r="5" spans="1:3" x14ac:dyDescent="0.45">
      <c r="B5" s="21" t="s">
        <v>37</v>
      </c>
      <c r="C5" s="22" t="s">
        <v>37</v>
      </c>
    </row>
    <row r="6" spans="1:3" x14ac:dyDescent="0.45">
      <c r="B6" s="23"/>
      <c r="C6" s="24" t="s">
        <v>89</v>
      </c>
    </row>
    <row r="7" spans="1:3" x14ac:dyDescent="0.45">
      <c r="B7" s="23"/>
      <c r="C7" s="24" t="s">
        <v>90</v>
      </c>
    </row>
    <row r="8" spans="1:3" x14ac:dyDescent="0.45">
      <c r="B8" s="25" t="s">
        <v>38</v>
      </c>
      <c r="C8" s="26" t="s">
        <v>38</v>
      </c>
    </row>
    <row r="9" spans="1:3" x14ac:dyDescent="0.45">
      <c r="B9" s="27"/>
      <c r="C9" s="28" t="s">
        <v>30</v>
      </c>
    </row>
    <row r="10" spans="1:3" x14ac:dyDescent="0.45">
      <c r="B10" s="27"/>
      <c r="C10" s="28" t="s">
        <v>35</v>
      </c>
    </row>
    <row r="11" spans="1:3" x14ac:dyDescent="0.45">
      <c r="B11" s="27"/>
      <c r="C11" s="28" t="s">
        <v>62</v>
      </c>
    </row>
    <row r="12" spans="1:3" x14ac:dyDescent="0.45">
      <c r="B12" s="27"/>
      <c r="C12" s="28" t="s">
        <v>93</v>
      </c>
    </row>
    <row r="13" spans="1:3" x14ac:dyDescent="0.45">
      <c r="B13" s="21" t="s">
        <v>105</v>
      </c>
      <c r="C13" s="22" t="s">
        <v>74</v>
      </c>
    </row>
    <row r="14" spans="1:3" x14ac:dyDescent="0.45">
      <c r="B14" s="23"/>
      <c r="C14" s="24" t="s">
        <v>68</v>
      </c>
    </row>
    <row r="15" spans="1:3" x14ac:dyDescent="0.45">
      <c r="B15" s="23"/>
      <c r="C15" s="24" t="s">
        <v>69</v>
      </c>
    </row>
    <row r="16" spans="1:3" x14ac:dyDescent="0.45">
      <c r="B16" s="23"/>
      <c r="C16" s="24" t="s">
        <v>70</v>
      </c>
    </row>
    <row r="17" spans="2:3" x14ac:dyDescent="0.45">
      <c r="B17" s="23"/>
      <c r="C17" s="24" t="s">
        <v>73</v>
      </c>
    </row>
    <row r="18" spans="2:3" x14ac:dyDescent="0.45">
      <c r="B18" s="23"/>
      <c r="C18" s="24" t="s">
        <v>75</v>
      </c>
    </row>
    <row r="19" spans="2:3" x14ac:dyDescent="0.45">
      <c r="B19" s="23"/>
      <c r="C19" s="24" t="s">
        <v>76</v>
      </c>
    </row>
    <row r="20" spans="2:3" x14ac:dyDescent="0.45">
      <c r="B20" s="25" t="s">
        <v>106</v>
      </c>
      <c r="C20" s="26" t="s">
        <v>74</v>
      </c>
    </row>
    <row r="21" spans="2:3" x14ac:dyDescent="0.45">
      <c r="B21" s="27"/>
      <c r="C21" s="28" t="s">
        <v>84</v>
      </c>
    </row>
    <row r="22" spans="2:3" x14ac:dyDescent="0.45">
      <c r="B22" s="27"/>
      <c r="C22" s="28" t="s">
        <v>94</v>
      </c>
    </row>
    <row r="23" spans="2:3" x14ac:dyDescent="0.45">
      <c r="B23" s="27"/>
      <c r="C23" s="28" t="s">
        <v>81</v>
      </c>
    </row>
    <row r="24" spans="2:3" x14ac:dyDescent="0.45">
      <c r="B24" s="27"/>
      <c r="C24" s="28" t="s">
        <v>80</v>
      </c>
    </row>
    <row r="25" spans="2:3" x14ac:dyDescent="0.45">
      <c r="B25" s="27"/>
      <c r="C25" s="28" t="s">
        <v>100</v>
      </c>
    </row>
    <row r="26" spans="2:3" x14ac:dyDescent="0.45">
      <c r="B26" s="27"/>
      <c r="C26" s="28" t="s">
        <v>82</v>
      </c>
    </row>
    <row r="27" spans="2:3" x14ac:dyDescent="0.45">
      <c r="B27" s="27"/>
      <c r="C27" s="28" t="s">
        <v>83</v>
      </c>
    </row>
    <row r="28" spans="2:3" ht="14.65" thickBot="1" x14ac:dyDescent="0.5">
      <c r="B28" s="42"/>
      <c r="C28" s="43" t="s">
        <v>99</v>
      </c>
    </row>
  </sheetData>
  <hyperlinks>
    <hyperlink ref="C5" location="'Calculations'!$A$1" tooltip="Section title. Click once to follow" display="Calculations" xr:uid="{D25D9A2A-40B4-49CE-9055-5B60251A2986}"/>
    <hyperlink ref="C6" location="'Calculations'!$A$3" tooltip="Section subtitle. Click once to follow" display="Calculated metrics for GPBs" xr:uid="{CBC497D2-F378-4291-BDA2-BAF06898920C}"/>
    <hyperlink ref="C7" location="'Calculations'!$A$14" tooltip="Section subtitle. Click once to follow" display="Gas demand GDBs" xr:uid="{A743E8BB-235B-47C3-B11D-9917D14FDC24}"/>
    <hyperlink ref="C8" location="'Gas Bill Breakdown'!$A$1" tooltip="Section title. Click once to follow" display="Gas Bill Breakdown" xr:uid="{3A702717-6BD5-43BE-9D50-006BA5211F2B}"/>
    <hyperlink ref="C9" location="'Gas Bill Breakdown'!$A$4" tooltip="Section subtitle. Click once to follow" display="Residential gas bill breakdown - generic" xr:uid="{C6A7F638-0160-4FF2-9A2B-A0BABB6A0997}"/>
    <hyperlink ref="C10" location="'Gas Bill Breakdown'!$A$13" tooltip="Section subtitle. Click once to follow" display="Residential gas bill breakdown - GDB specific in c/kWh" xr:uid="{ED911BE6-716D-4D40-941A-61B5412CCBE3}"/>
    <hyperlink ref="C11" location="'Gas Bill Breakdown'!$A$25" tooltip="Section subtitle. Click once to follow" display="Residential gas rollover bill - GDB specific in c/kWh" xr:uid="{DBFB9F0F-5E0B-4264-978B-9BD6F95DA591}"/>
    <hyperlink ref="C12" location="'Gas Bill Breakdown'!$A$36" tooltip="Section subtitle. Click once to follow" display="Residential gas bill -% incl. GST split" xr:uid="{182DAA39-D83F-4879-81A5-7011CD071D3B}"/>
    <hyperlink ref="C13" location="'GPBs Gas Bill DPP3 Impact'!$A$1" tooltip="Section title. Click once to follow" display="Distribution and Transmission Gas Bill DPP3 Impact" xr:uid="{8E0652E9-E368-491D-8E02-26768E01E65E}"/>
    <hyperlink ref="C14" location="'GPBs Gas Bill DPP3 Impact'!$A$4" tooltip="Section subtitle. Click once to follow" display="Residential gas bill breakdown - assumed price increases" xr:uid="{C7389D5C-A891-41E4-ADBC-B080A4FEFA86}"/>
    <hyperlink ref="C15" location="'GPBs Gas Bill DPP3 Impact'!$A$12" tooltip="Section subtitle. Click once to follow" display="Residential gas bill DPP3 prices - GDB specific in c/kWh" xr:uid="{85A0A727-30E7-409A-9B7F-2E1F0A5FCB15}"/>
    <hyperlink ref="C16" location="'GPBs Gas Bill DPP3 Impact'!$A$21" tooltip="Section subtitle. Click once to follow" display="Residential gas price impact - GDB specific in c/kWh" xr:uid="{E6D5E0FA-FAD5-4455-9426-01F01CE627EA}"/>
    <hyperlink ref="C17" location="'GPBs Gas Bill DPP3 Impact'!$A$30" tooltip="Section subtitle. Click once to follow" display="Residential gas price for distribution and transmissionper household - GDB specfic in $" xr:uid="{90C81672-ABD7-441B-B0E2-9DBDBDD508EB}"/>
    <hyperlink ref="C18" location="'GPBs Gas Bill DPP3 Impact'!$A$39" tooltip="Section subtitle. Click once to follow" display="Residential gas price change for distribution and transmission per household - GDB specific in $ (excl GST)" xr:uid="{905AE742-AA05-4CB2-BC41-91C117EABF77}"/>
    <hyperlink ref="C19" location="'GPBs Gas Bill DPP3 Impact'!$A$48" tooltip="Section subtitle. Click once to follow" display="Residential gas price change for distribution and transmission per household - GDB specific in $ (incl GST)" xr:uid="{54F2A05A-6CD6-4EA0-80A9-4A5175BA2C9D}"/>
    <hyperlink ref="C20" location="'Gas Bill DPP3 Impact'!$A$1" tooltip="Section title. Click once to follow" display="Distribution and Transmission Gas Bill DPP3 Impact" xr:uid="{ABF596FF-E73D-48F2-8712-6429AC7E5DC6}"/>
    <hyperlink ref="C21" location="'Gas Bill DPP3 Impact'!$A$3" tooltip="Section subtitle. Click once to follow" display="Typical Residential Gas Rollover Bill $" xr:uid="{9C351F0B-7A03-489D-98E3-B3C6F62E98E7}"/>
    <hyperlink ref="C22" location="'Gas Bill DPP3 Impact'!$A$14" tooltip="Section subtitle. Click once to follow" display="Typical Residential Gas Rollover Bill %" xr:uid="{409D6451-A645-4E43-B430-1AE165B3D2B4}"/>
    <hyperlink ref="C23" location="'Gas Bill DPP3 Impact'!$A$25" tooltip="Section subtitle. Click once to follow" display="Bill increases for distribution and transmission excl. GST" xr:uid="{164E0E03-F8AC-4A18-B626-17D626F3F230}"/>
    <hyperlink ref="C24" location="'Gas Bill DPP3 Impact'!$A$33" tooltip="Section subtitle. Click once to follow" display="Bill increases for distribution and transmission incl. GST" xr:uid="{455D1F22-7F0D-434B-9AC3-EF07E15C47E0}"/>
    <hyperlink ref="C25" location="'Gas Bill DPP3 Impact'!$A$41" tooltip="Section subtitle. Click once to follow" display="Bill increases for distribution and transmission incl. GST YoY" xr:uid="{561D4A73-741C-4175-87E0-FEAB11C69786}"/>
    <hyperlink ref="C26" location="'Gas Bill DPP3 Impact'!$A$49" tooltip="Section subtitle. Click once to follow" display="Values of residential gas bill before and after reset incl. GST" xr:uid="{78437100-286C-48EC-909A-4FF3BDDD8777}"/>
    <hyperlink ref="C27" location="'Gas Bill DPP3 Impact'!$A$58" tooltip="Section subtitle. Click once to follow" display="% change of residential gas bill before and after reset incl. GST" xr:uid="{89E13C29-F60F-4F1A-B6AD-C6872A8D985F}"/>
    <hyperlink ref="C28" location="'Gas Bill DPP3 Impact'!$A$65" tooltip="Section subtitle. Click once to follow" display="% change of residential gas bill before and after reset incl. GST in DPP3" xr:uid="{A98EAE46-1225-4C06-A340-117F858C582A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Q56"/>
  <sheetViews>
    <sheetView showGridLines="0" view="pageBreakPreview" zoomScaleNormal="100" zoomScaleSheetLayoutView="100" workbookViewId="0"/>
  </sheetViews>
  <sheetFormatPr defaultRowHeight="14.25" x14ac:dyDescent="0.45"/>
  <cols>
    <col min="1" max="1" width="61.3984375" customWidth="1"/>
    <col min="2" max="2" width="12.1328125" customWidth="1"/>
    <col min="3" max="4" width="12.73046875" bestFit="1" customWidth="1"/>
    <col min="5" max="5" width="16" customWidth="1"/>
    <col min="6" max="6" width="22.06640625" customWidth="1"/>
    <col min="7" max="8" width="11" bestFit="1" customWidth="1"/>
    <col min="9" max="40" width="10.59765625" bestFit="1" customWidth="1"/>
  </cols>
  <sheetData>
    <row r="1" spans="1:17" ht="25.5" x14ac:dyDescent="0.75">
      <c r="A1" s="47" t="s">
        <v>36</v>
      </c>
    </row>
    <row r="2" spans="1:17" x14ac:dyDescent="0.45">
      <c r="A2" s="6"/>
    </row>
    <row r="3" spans="1:17" ht="18" x14ac:dyDescent="0.55000000000000004">
      <c r="A3" s="49" t="s">
        <v>85</v>
      </c>
      <c r="B3" s="6"/>
      <c r="C3" s="6"/>
      <c r="D3" s="6"/>
    </row>
    <row r="4" spans="1:17" x14ac:dyDescent="0.45">
      <c r="A4" s="63" t="s">
        <v>46</v>
      </c>
      <c r="B4" s="55" t="s">
        <v>45</v>
      </c>
      <c r="C4" s="55" t="s">
        <v>14</v>
      </c>
      <c r="D4" s="55" t="s">
        <v>77</v>
      </c>
      <c r="E4" s="56"/>
    </row>
    <row r="5" spans="1:17" x14ac:dyDescent="0.45">
      <c r="A5" s="8" t="s">
        <v>13</v>
      </c>
      <c r="B5" s="112">
        <v>277777.77778</v>
      </c>
      <c r="C5" s="98" t="s">
        <v>15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x14ac:dyDescent="0.45">
      <c r="A6" s="8" t="s">
        <v>29</v>
      </c>
      <c r="B6" s="112">
        <v>277.77778000000001</v>
      </c>
      <c r="C6" s="98" t="s">
        <v>28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7" x14ac:dyDescent="0.45">
      <c r="A7" s="8" t="s">
        <v>23</v>
      </c>
      <c r="B7" s="112">
        <v>75.25</v>
      </c>
      <c r="C7" s="98" t="s">
        <v>22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8" spans="1:17" x14ac:dyDescent="0.45">
      <c r="A8" s="8" t="s">
        <v>49</v>
      </c>
      <c r="B8" s="112">
        <v>55.82</v>
      </c>
      <c r="C8" s="98" t="s">
        <v>50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</row>
    <row r="9" spans="1:17" x14ac:dyDescent="0.45">
      <c r="A9" s="8" t="s">
        <v>26</v>
      </c>
      <c r="B9" s="113">
        <v>14.24224989812036</v>
      </c>
      <c r="C9" s="98" t="s">
        <v>24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7" x14ac:dyDescent="0.45">
      <c r="A10" s="8" t="s">
        <v>25</v>
      </c>
      <c r="B10" s="113">
        <v>8.2097690762381195</v>
      </c>
      <c r="C10" s="98" t="s">
        <v>24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</row>
    <row r="11" spans="1:17" x14ac:dyDescent="0.45">
      <c r="A11" s="8" t="s">
        <v>27</v>
      </c>
      <c r="B11" s="113">
        <v>1.362016074255388</v>
      </c>
      <c r="C11" s="98" t="s">
        <v>24</v>
      </c>
      <c r="D11" s="115" t="s">
        <v>91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7" x14ac:dyDescent="0.45">
      <c r="A12" s="8" t="s">
        <v>32</v>
      </c>
      <c r="B12" s="113">
        <v>0.15</v>
      </c>
      <c r="C12" s="98" t="s">
        <v>47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7" x14ac:dyDescent="0.45">
      <c r="A13" s="8" t="s">
        <v>48</v>
      </c>
      <c r="B13" s="112"/>
      <c r="C13" s="98" t="s">
        <v>24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</row>
    <row r="14" spans="1:17" x14ac:dyDescent="0.45">
      <c r="A14" s="8" t="s">
        <v>0</v>
      </c>
      <c r="B14" s="98"/>
      <c r="C14" s="114" t="s">
        <v>1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6" spans="1:17" ht="18" x14ac:dyDescent="0.55000000000000004">
      <c r="A16" s="49" t="s">
        <v>0</v>
      </c>
      <c r="B16" s="6"/>
      <c r="C16" s="6"/>
      <c r="D16" s="6"/>
      <c r="E16" s="6"/>
      <c r="F16" s="6"/>
      <c r="G16" s="6"/>
      <c r="H16" s="6"/>
      <c r="I16" s="6"/>
    </row>
    <row r="17" spans="1:8" ht="28.5" x14ac:dyDescent="0.45">
      <c r="A17" s="63" t="s">
        <v>88</v>
      </c>
      <c r="B17" s="67" t="s">
        <v>2</v>
      </c>
      <c r="C17" s="67" t="s">
        <v>3</v>
      </c>
      <c r="D17" s="67" t="s">
        <v>4</v>
      </c>
      <c r="E17" s="67" t="s">
        <v>5</v>
      </c>
      <c r="F17" s="67" t="s">
        <v>6</v>
      </c>
      <c r="G17" s="67"/>
      <c r="H17" s="67" t="s">
        <v>16</v>
      </c>
    </row>
    <row r="18" spans="1:8" x14ac:dyDescent="0.45">
      <c r="A18" s="58" t="s">
        <v>11</v>
      </c>
      <c r="B18" s="59">
        <v>9892</v>
      </c>
      <c r="C18" s="59">
        <v>107905.5</v>
      </c>
      <c r="D18" s="59">
        <v>106654</v>
      </c>
      <c r="E18" s="59">
        <v>60705</v>
      </c>
      <c r="F18" s="59"/>
      <c r="G18" s="59"/>
      <c r="H18" s="59">
        <f>SUM(B18:E18)</f>
        <v>285156.5</v>
      </c>
    </row>
    <row r="19" spans="1:8" x14ac:dyDescent="0.45">
      <c r="A19" s="58" t="s">
        <v>7</v>
      </c>
      <c r="B19" s="59">
        <v>240.66780200000011</v>
      </c>
      <c r="C19" s="59">
        <v>3270.380932</v>
      </c>
      <c r="D19" s="59">
        <v>2488.1049684720001</v>
      </c>
      <c r="E19" s="59">
        <v>1293.0073595896561</v>
      </c>
      <c r="F19" s="59">
        <v>209065</v>
      </c>
      <c r="G19" s="59"/>
      <c r="H19" s="59">
        <f>SUM(B19:E19)</f>
        <v>7292.1610620616557</v>
      </c>
    </row>
    <row r="20" spans="1:8" x14ac:dyDescent="0.45">
      <c r="A20" s="58" t="s">
        <v>12</v>
      </c>
      <c r="B20" s="59">
        <v>3370.4656070000478</v>
      </c>
      <c r="C20" s="59">
        <v>38734.170188184748</v>
      </c>
      <c r="D20" s="59">
        <v>27536</v>
      </c>
      <c r="E20" s="59">
        <v>15529.13078999993</v>
      </c>
      <c r="F20" s="59">
        <v>132542.37117963799</v>
      </c>
      <c r="G20" s="59"/>
      <c r="H20" s="59">
        <f>SUM(B20:E20)</f>
        <v>85169.766585184727</v>
      </c>
    </row>
    <row r="21" spans="1:8" x14ac:dyDescent="0.45">
      <c r="A21" s="4"/>
      <c r="B21" s="5"/>
      <c r="C21" s="5"/>
      <c r="D21" s="5"/>
      <c r="E21" s="5"/>
      <c r="F21" s="5"/>
      <c r="G21" s="6"/>
    </row>
    <row r="22" spans="1:8" x14ac:dyDescent="0.45">
      <c r="A22" s="7"/>
      <c r="B22" s="5"/>
      <c r="C22" s="5"/>
      <c r="D22" s="5"/>
      <c r="E22" s="5"/>
      <c r="F22" s="5"/>
      <c r="G22" s="6"/>
    </row>
    <row r="23" spans="1:8" ht="18" x14ac:dyDescent="0.55000000000000004">
      <c r="A23" s="49" t="s">
        <v>54</v>
      </c>
      <c r="B23" s="6"/>
      <c r="C23" s="6"/>
      <c r="D23" s="6"/>
      <c r="E23" s="6"/>
      <c r="F23" s="6"/>
      <c r="G23" s="6"/>
      <c r="H23" s="6"/>
    </row>
    <row r="24" spans="1:8" s="53" customFormat="1" ht="27.75" customHeight="1" x14ac:dyDescent="0.45">
      <c r="A24" s="57"/>
      <c r="B24" s="66" t="str">
        <f>B17</f>
        <v>GasNet</v>
      </c>
      <c r="C24" s="66" t="str">
        <f>C17</f>
        <v>Powerco</v>
      </c>
      <c r="D24" s="66" t="str">
        <f>D17</f>
        <v>Vector</v>
      </c>
      <c r="E24" s="66" t="str">
        <f>E17</f>
        <v>First Gas distribution</v>
      </c>
      <c r="F24" s="66" t="str">
        <f>F17</f>
        <v>First Gas transmission</v>
      </c>
    </row>
    <row r="25" spans="1:8" s="53" customFormat="1" x14ac:dyDescent="0.45">
      <c r="A25" s="51" t="s">
        <v>44</v>
      </c>
      <c r="B25" s="60">
        <f>[2]Outputs!C28</f>
        <v>4383.9982678933238</v>
      </c>
      <c r="C25" s="60">
        <f>[2]Outputs!D28</f>
        <v>51435.568618416459</v>
      </c>
      <c r="D25" s="60">
        <f>[2]Outputs!E28</f>
        <v>50702.277198411044</v>
      </c>
      <c r="E25" s="60">
        <f>[2]Outputs!F28</f>
        <v>24646.151307304975</v>
      </c>
      <c r="F25" s="60">
        <f>[2]Outputs!G28</f>
        <v>131623.38640956199</v>
      </c>
    </row>
    <row r="26" spans="1:8" s="53" customFormat="1" x14ac:dyDescent="0.45">
      <c r="A26" s="51" t="s">
        <v>40</v>
      </c>
      <c r="B26" s="60">
        <f>[2]Outputs!C17</f>
        <v>4838.7890143305831</v>
      </c>
      <c r="C26" s="60">
        <f>[2]Outputs!D17</f>
        <v>58875.074667292029</v>
      </c>
      <c r="D26" s="60">
        <f>[2]Outputs!E17</f>
        <v>56856.017451413769</v>
      </c>
      <c r="E26" s="60">
        <f>[2]Outputs!F17</f>
        <v>28249.9679349664</v>
      </c>
      <c r="F26" s="60">
        <f>[2]Outputs!G17</f>
        <v>148761.85123351694</v>
      </c>
    </row>
    <row r="27" spans="1:8" s="53" customFormat="1" x14ac:dyDescent="0.45">
      <c r="A27" s="51" t="s">
        <v>41</v>
      </c>
      <c r="B27" s="60">
        <f>[2]Outputs!C18</f>
        <v>5284.1277471938447</v>
      </c>
      <c r="C27" s="60">
        <f>[2]Outputs!D18</f>
        <v>66647.731492930165</v>
      </c>
      <c r="D27" s="60">
        <f>[2]Outputs!E18</f>
        <v>62771.439747555822</v>
      </c>
      <c r="E27" s="60">
        <f>[2]Outputs!F18</f>
        <v>32036.118072450918</v>
      </c>
      <c r="F27" s="60">
        <f>[2]Outputs!G18</f>
        <v>167033.12672078676</v>
      </c>
    </row>
    <row r="28" spans="1:8" s="53" customFormat="1" x14ac:dyDescent="0.45">
      <c r="A28" s="51" t="s">
        <v>42</v>
      </c>
      <c r="B28" s="60">
        <f>[2]Outputs!C19</f>
        <v>5681.0290577007199</v>
      </c>
      <c r="C28" s="60">
        <f>[2]Outputs!D19</f>
        <v>74245.167016280961</v>
      </c>
      <c r="D28" s="60">
        <f>[2]Outputs!E19</f>
        <v>68230.698461355787</v>
      </c>
      <c r="E28" s="60">
        <f>[2]Outputs!F19</f>
        <v>35765.055397940559</v>
      </c>
      <c r="F28" s="60">
        <f>[2]Outputs!G19</f>
        <v>187411.16818072274</v>
      </c>
    </row>
    <row r="29" spans="1:8" s="53" customFormat="1" x14ac:dyDescent="0.45">
      <c r="A29" s="51" t="s">
        <v>43</v>
      </c>
      <c r="B29" s="60">
        <f>[2]Outputs!C20</f>
        <v>6093.140701897255</v>
      </c>
      <c r="C29" s="60">
        <f>[2]Outputs!D20</f>
        <v>82474.69008807838</v>
      </c>
      <c r="D29" s="60">
        <f>[2]Outputs!E20</f>
        <v>73989.155492156977</v>
      </c>
      <c r="E29" s="60">
        <f>[2]Outputs!F20</f>
        <v>39830.532181585157</v>
      </c>
      <c r="F29" s="60">
        <f>[2]Outputs!G20</f>
        <v>210275.33069877097</v>
      </c>
    </row>
    <row r="31" spans="1:8" ht="18" x14ac:dyDescent="0.55000000000000004">
      <c r="A31" s="49" t="s">
        <v>53</v>
      </c>
      <c r="B31" s="6"/>
      <c r="C31" s="6"/>
      <c r="D31" s="6"/>
      <c r="E31" s="6"/>
      <c r="F31" s="6"/>
      <c r="G31" s="6"/>
    </row>
    <row r="32" spans="1:8" s="53" customFormat="1" ht="29.25" customHeight="1" x14ac:dyDescent="0.45">
      <c r="A32" s="57"/>
      <c r="B32" s="68" t="str">
        <f>B24</f>
        <v>GasNet</v>
      </c>
      <c r="C32" s="68" t="str">
        <f>C24</f>
        <v>Powerco</v>
      </c>
      <c r="D32" s="68" t="str">
        <f>D24</f>
        <v>Vector</v>
      </c>
      <c r="E32" s="68" t="str">
        <f>E24</f>
        <v>First Gas distribution</v>
      </c>
      <c r="F32" s="68" t="str">
        <f>F24</f>
        <v>First Gas transmission</v>
      </c>
    </row>
    <row r="33" spans="1:16" s="53" customFormat="1" x14ac:dyDescent="0.45">
      <c r="A33" s="51" t="s">
        <v>40</v>
      </c>
      <c r="B33" s="64">
        <f t="shared" ref="B33:F36" si="0">B26/B25-1</f>
        <v>0.10373880614140929</v>
      </c>
      <c r="C33" s="64">
        <f t="shared" si="0"/>
        <v>0.14463738320979425</v>
      </c>
      <c r="D33" s="64">
        <f t="shared" si="0"/>
        <v>0.12137009603970172</v>
      </c>
      <c r="E33" s="64">
        <f t="shared" si="0"/>
        <v>0.146222287720569</v>
      </c>
      <c r="F33" s="64">
        <f t="shared" si="0"/>
        <v>0.13020835651976426</v>
      </c>
    </row>
    <row r="34" spans="1:16" s="53" customFormat="1" x14ac:dyDescent="0.45">
      <c r="A34" s="51" t="s">
        <v>41</v>
      </c>
      <c r="B34" s="64">
        <f t="shared" si="0"/>
        <v>9.2035162422735128E-2</v>
      </c>
      <c r="C34" s="64">
        <f t="shared" si="0"/>
        <v>0.13201948141148123</v>
      </c>
      <c r="D34" s="64">
        <f t="shared" si="0"/>
        <v>0.10404215000104555</v>
      </c>
      <c r="E34" s="64">
        <f t="shared" si="0"/>
        <v>0.13402316583864904</v>
      </c>
      <c r="F34" s="64">
        <f t="shared" si="0"/>
        <v>0.12282231859691461</v>
      </c>
    </row>
    <row r="35" spans="1:16" s="53" customFormat="1" x14ac:dyDescent="0.45">
      <c r="A35" s="51" t="s">
        <v>42</v>
      </c>
      <c r="B35" s="64">
        <f t="shared" si="0"/>
        <v>7.5111982430336122E-2</v>
      </c>
      <c r="C35" s="64">
        <f t="shared" si="0"/>
        <v>0.11399391026769923</v>
      </c>
      <c r="D35" s="64">
        <f t="shared" si="0"/>
        <v>8.697042374294961E-2</v>
      </c>
      <c r="E35" s="64">
        <f t="shared" si="0"/>
        <v>0.11639791428713386</v>
      </c>
      <c r="F35" s="64">
        <f t="shared" si="0"/>
        <v>0.12199999999999989</v>
      </c>
    </row>
    <row r="36" spans="1:16" s="53" customFormat="1" x14ac:dyDescent="0.45">
      <c r="A36" s="51" t="s">
        <v>43</v>
      </c>
      <c r="B36" s="64">
        <f t="shared" si="0"/>
        <v>7.2541724397257035E-2</v>
      </c>
      <c r="C36" s="64">
        <f t="shared" si="0"/>
        <v>0.11084254238384017</v>
      </c>
      <c r="D36" s="64">
        <f t="shared" si="0"/>
        <v>8.43968647640716E-2</v>
      </c>
      <c r="E36" s="64">
        <f t="shared" si="0"/>
        <v>0.11367175972216437</v>
      </c>
      <c r="F36" s="64">
        <f t="shared" si="0"/>
        <v>0.12200000000000033</v>
      </c>
    </row>
    <row r="38" spans="1:16" ht="18" x14ac:dyDescent="0.55000000000000004">
      <c r="A38" s="49" t="s">
        <v>39</v>
      </c>
    </row>
    <row r="39" spans="1:16" s="52" customFormat="1" x14ac:dyDescent="0.45">
      <c r="A39" s="65" t="s">
        <v>86</v>
      </c>
      <c r="B39" s="69">
        <v>43646</v>
      </c>
      <c r="C39" s="69">
        <v>43738</v>
      </c>
      <c r="D39" s="69">
        <v>43830</v>
      </c>
      <c r="E39" s="69">
        <v>43921</v>
      </c>
      <c r="F39" s="69">
        <v>44012</v>
      </c>
      <c r="G39" s="69">
        <v>44104</v>
      </c>
      <c r="H39" s="69">
        <v>44196</v>
      </c>
      <c r="I39" s="69">
        <v>44286</v>
      </c>
      <c r="J39" s="69">
        <v>44377</v>
      </c>
      <c r="K39" s="69">
        <v>44469</v>
      </c>
      <c r="L39" s="69">
        <v>44561</v>
      </c>
      <c r="M39" s="69">
        <v>44651</v>
      </c>
      <c r="N39" s="69">
        <v>44742</v>
      </c>
      <c r="O39" s="69">
        <v>44834</v>
      </c>
      <c r="P39" s="69">
        <v>44926</v>
      </c>
    </row>
    <row r="40" spans="1:16" s="53" customFormat="1" x14ac:dyDescent="0.45">
      <c r="A40" s="51" t="s">
        <v>58</v>
      </c>
      <c r="B40" s="50">
        <v>1032</v>
      </c>
      <c r="C40" s="50">
        <v>1039</v>
      </c>
      <c r="D40" s="50">
        <v>1044</v>
      </c>
      <c r="E40" s="50">
        <v>1052</v>
      </c>
      <c r="F40" s="50">
        <v>1047</v>
      </c>
      <c r="G40" s="50">
        <v>1054</v>
      </c>
      <c r="H40" s="50">
        <v>1059</v>
      </c>
      <c r="I40" s="50">
        <v>1068</v>
      </c>
      <c r="J40" s="50">
        <v>1082</v>
      </c>
      <c r="K40" s="50">
        <v>1106</v>
      </c>
      <c r="L40" s="50">
        <v>1119.3629999999998</v>
      </c>
      <c r="M40" s="50">
        <v>1128.876</v>
      </c>
      <c r="N40" s="50">
        <v>1138.2640000000001</v>
      </c>
      <c r="O40" s="50">
        <v>1150.24</v>
      </c>
      <c r="P40" s="50">
        <v>1156.3019789999996</v>
      </c>
    </row>
    <row r="41" spans="1:16" s="53" customFormat="1" x14ac:dyDescent="0.45">
      <c r="A41" s="51" t="s">
        <v>59</v>
      </c>
      <c r="B41" s="50"/>
      <c r="C41" s="50"/>
      <c r="D41" s="50"/>
      <c r="E41" s="50"/>
      <c r="F41" s="50">
        <f>SUM(C40:F40)/SUM($C$40:$F$40)</f>
        <v>1</v>
      </c>
      <c r="G41" s="50"/>
      <c r="H41" s="50"/>
      <c r="I41" s="50"/>
      <c r="J41" s="50">
        <f>SUM(G40:J40)/SUM($C$40:$F$40)</f>
        <v>1.0193687230989956</v>
      </c>
      <c r="K41" s="50"/>
      <c r="L41" s="50"/>
      <c r="M41" s="50"/>
      <c r="N41" s="50">
        <f>SUM(K40:N40)/SUM($C$40:$F$40)</f>
        <v>1.0742474892395981</v>
      </c>
      <c r="O41" s="50"/>
      <c r="P41" s="50"/>
    </row>
    <row r="42" spans="1:16" s="53" customFormat="1" x14ac:dyDescent="0.45">
      <c r="A42" s="51" t="s">
        <v>60</v>
      </c>
      <c r="B42" s="50"/>
      <c r="C42" s="50"/>
      <c r="D42" s="50"/>
      <c r="E42" s="50"/>
      <c r="F42" s="50"/>
      <c r="G42" s="50">
        <f>SUM(D40:G40)/SUM($D$40:$G$40)</f>
        <v>1</v>
      </c>
      <c r="H42" s="50"/>
      <c r="I42" s="50"/>
      <c r="J42" s="50"/>
      <c r="K42" s="50">
        <f>SUM(H40:K40)/SUM($D$40:$G$40)</f>
        <v>1.0281153204670002</v>
      </c>
      <c r="L42" s="50"/>
      <c r="M42" s="50"/>
      <c r="N42" s="50"/>
      <c r="O42" s="50">
        <f>SUM(L40:O40)/SUM($D$40:$G$40)</f>
        <v>1.080949011198475</v>
      </c>
      <c r="P42" s="50"/>
    </row>
    <row r="43" spans="1:16" s="53" customFormat="1" x14ac:dyDescent="0.45">
      <c r="A43" s="51" t="s">
        <v>61</v>
      </c>
      <c r="B43" s="50"/>
      <c r="C43" s="50"/>
      <c r="D43" s="50"/>
      <c r="E43" s="50"/>
      <c r="F43" s="50"/>
      <c r="G43" s="50"/>
      <c r="H43" s="50">
        <f>SUM(E40:H40)/SUM($E$40:$H$40)</f>
        <v>1</v>
      </c>
      <c r="I43" s="50"/>
      <c r="J43" s="50"/>
      <c r="K43" s="50"/>
      <c r="L43" s="50">
        <f>SUM(I40:L40)/SUM($E$40:$H$40)</f>
        <v>1.0387851377018043</v>
      </c>
      <c r="M43" s="50"/>
      <c r="N43" s="50"/>
      <c r="O43" s="50"/>
      <c r="P43" s="50">
        <f>SUM(M40:P40)/SUM($E$40:$H$40)</f>
        <v>1.085869415716999</v>
      </c>
    </row>
    <row r="46" spans="1:16" ht="18" x14ac:dyDescent="0.55000000000000004">
      <c r="A46" s="2"/>
    </row>
    <row r="48" spans="1:16" x14ac:dyDescent="0.45">
      <c r="B48" s="1"/>
      <c r="C48" s="1"/>
      <c r="D48" s="1"/>
      <c r="E48" s="1"/>
      <c r="F48" s="1"/>
    </row>
    <row r="56" spans="1:1" ht="18" x14ac:dyDescent="0.55000000000000004">
      <c r="A56" s="2"/>
    </row>
  </sheetData>
  <phoneticPr fontId="8" type="noConversion"/>
  <hyperlinks>
    <hyperlink ref="C11" r:id="rId1" xr:uid="{E610B24E-C4E3-46FF-880D-539347370F6F}"/>
    <hyperlink ref="C14" r:id="rId2" xr:uid="{CB9E0285-76E9-4C9F-96E9-925B8CA66375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B9B8-6FF6-4556-9779-18053496ED1A}">
  <sheetPr codeName="Sheet4"/>
  <dimension ref="A1:H18"/>
  <sheetViews>
    <sheetView showGridLines="0" view="pageBreakPreview" zoomScaleNormal="100" zoomScaleSheetLayoutView="100" workbookViewId="0"/>
  </sheetViews>
  <sheetFormatPr defaultColWidth="12.86328125" defaultRowHeight="14.25" x14ac:dyDescent="0.45"/>
  <cols>
    <col min="1" max="1" width="58.86328125" customWidth="1"/>
    <col min="2" max="2" width="19.265625" bestFit="1" customWidth="1"/>
    <col min="4" max="4" width="23.3984375" customWidth="1"/>
  </cols>
  <sheetData>
    <row r="1" spans="1:8" ht="25.5" x14ac:dyDescent="0.75">
      <c r="A1" s="47" t="s">
        <v>37</v>
      </c>
    </row>
    <row r="3" spans="1:8" ht="19.5" x14ac:dyDescent="0.6">
      <c r="A3" s="49" t="s">
        <v>89</v>
      </c>
      <c r="B3" s="11"/>
      <c r="C3" s="6"/>
      <c r="D3" s="6"/>
      <c r="E3" s="6"/>
      <c r="F3" s="6"/>
      <c r="G3" s="6"/>
      <c r="H3" s="6"/>
    </row>
    <row r="4" spans="1:8" ht="30.4" customHeight="1" x14ac:dyDescent="0.45">
      <c r="A4" s="63" t="s">
        <v>102</v>
      </c>
      <c r="B4" s="67" t="s">
        <v>2</v>
      </c>
      <c r="C4" s="67" t="s">
        <v>3</v>
      </c>
      <c r="D4" s="67" t="s">
        <v>4</v>
      </c>
      <c r="E4" s="67" t="s">
        <v>5</v>
      </c>
      <c r="F4" s="67" t="s">
        <v>6</v>
      </c>
      <c r="G4" s="67" t="s">
        <v>16</v>
      </c>
    </row>
    <row r="5" spans="1:8" x14ac:dyDescent="0.45">
      <c r="A5" s="54" t="s">
        <v>11</v>
      </c>
      <c r="B5" s="59">
        <f>Inputs!B18</f>
        <v>9892</v>
      </c>
      <c r="C5" s="59">
        <f>Inputs!C18</f>
        <v>107905.5</v>
      </c>
      <c r="D5" s="59">
        <f>Inputs!D18</f>
        <v>106654</v>
      </c>
      <c r="E5" s="59">
        <f>Inputs!E18</f>
        <v>60705</v>
      </c>
      <c r="F5" s="59"/>
      <c r="G5" s="59"/>
    </row>
    <row r="6" spans="1:8" x14ac:dyDescent="0.45">
      <c r="A6" s="54" t="s">
        <v>7</v>
      </c>
      <c r="B6" s="59">
        <f>Inputs!B19</f>
        <v>240.66780200000011</v>
      </c>
      <c r="C6" s="59">
        <f>Inputs!C19</f>
        <v>3270.380932</v>
      </c>
      <c r="D6" s="59">
        <f>Inputs!D19</f>
        <v>2488.1049684720001</v>
      </c>
      <c r="E6" s="59">
        <f>Inputs!E19</f>
        <v>1293.0073595896561</v>
      </c>
      <c r="F6" s="59">
        <f>Inputs!F19</f>
        <v>209065</v>
      </c>
      <c r="G6" s="59"/>
    </row>
    <row r="7" spans="1:8" x14ac:dyDescent="0.45">
      <c r="A7" s="54" t="s">
        <v>12</v>
      </c>
      <c r="B7" s="59">
        <f>Inputs!B20</f>
        <v>3370.4656070000478</v>
      </c>
      <c r="C7" s="59">
        <f>Inputs!C20</f>
        <v>38734.170188184748</v>
      </c>
      <c r="D7" s="59">
        <f>Inputs!D20</f>
        <v>27536</v>
      </c>
      <c r="E7" s="59">
        <f>Inputs!E20</f>
        <v>15529.13078999993</v>
      </c>
      <c r="F7" s="59">
        <f>Inputs!F20</f>
        <v>132542.37117963799</v>
      </c>
      <c r="G7" s="59"/>
    </row>
    <row r="8" spans="1:8" x14ac:dyDescent="0.45">
      <c r="A8" s="54" t="s">
        <v>8</v>
      </c>
      <c r="B8" s="59">
        <f>B7/B6</f>
        <v>14.004638672023299</v>
      </c>
      <c r="C8" s="59">
        <f t="shared" ref="C8:F8" si="0">C7/C6</f>
        <v>11.843932249353253</v>
      </c>
      <c r="D8" s="59">
        <f t="shared" si="0"/>
        <v>11.067057197715602</v>
      </c>
      <c r="E8" s="59">
        <f t="shared" si="0"/>
        <v>12.010086930153435</v>
      </c>
      <c r="F8" s="59">
        <f t="shared" si="0"/>
        <v>0.63397685494768607</v>
      </c>
      <c r="G8" s="59"/>
    </row>
    <row r="9" spans="1:8" x14ac:dyDescent="0.45">
      <c r="A9" s="54" t="s">
        <v>34</v>
      </c>
      <c r="B9" s="59">
        <f>B8*100/Inputs!$B$6</f>
        <v>5.0416698815950287</v>
      </c>
      <c r="C9" s="59">
        <f>C8*100/Inputs!$B$6</f>
        <v>4.2638155756566469</v>
      </c>
      <c r="D9" s="59">
        <f>D8*100/Inputs!$B$6</f>
        <v>3.9841405593044925</v>
      </c>
      <c r="E9" s="59">
        <f>E8*100/Inputs!$B$6</f>
        <v>4.3236312602661862</v>
      </c>
      <c r="F9" s="59"/>
      <c r="G9" s="59"/>
    </row>
    <row r="10" spans="1:8" x14ac:dyDescent="0.45">
      <c r="A10" s="54" t="s">
        <v>9</v>
      </c>
      <c r="B10" s="59">
        <f>B6*Inputs!$B$5</f>
        <v>66852167.222757071</v>
      </c>
      <c r="C10" s="59">
        <f>C6*Inputs!$B$5</f>
        <v>908439147.78504527</v>
      </c>
      <c r="D10" s="59">
        <f>D6*Inputs!$B$5</f>
        <v>691140269.02552915</v>
      </c>
      <c r="E10" s="59">
        <f>E6*Inputs!$B$5</f>
        <v>359168711.00000006</v>
      </c>
      <c r="F10" s="59"/>
      <c r="G10" s="59"/>
    </row>
    <row r="11" spans="1:8" x14ac:dyDescent="0.45">
      <c r="A11" s="54" t="s">
        <v>10</v>
      </c>
      <c r="B11" s="59">
        <f>B10/B5</f>
        <v>6758.2053399471361</v>
      </c>
      <c r="C11" s="59">
        <f t="shared" ref="C11:E11" si="1">C10/C5</f>
        <v>8418.8400756684805</v>
      </c>
      <c r="D11" s="59">
        <f t="shared" si="1"/>
        <v>6480.2095469980413</v>
      </c>
      <c r="E11" s="59">
        <f t="shared" si="1"/>
        <v>5916.6248414463398</v>
      </c>
      <c r="F11" s="59"/>
      <c r="G11" s="59">
        <f>SUM(B10:E10)/SUM(B5:E5)</f>
        <v>7103.4687795415202</v>
      </c>
    </row>
    <row r="12" spans="1:8" ht="19.5" x14ac:dyDescent="0.6">
      <c r="B12" s="11"/>
      <c r="C12" s="11"/>
      <c r="D12" s="11"/>
      <c r="E12" s="11"/>
      <c r="F12" s="11"/>
      <c r="G12" s="11"/>
    </row>
    <row r="14" spans="1:8" ht="19.5" x14ac:dyDescent="0.6">
      <c r="A14" s="49" t="s">
        <v>90</v>
      </c>
      <c r="B14" s="11"/>
      <c r="C14" s="3"/>
      <c r="D14" s="3"/>
      <c r="E14" s="3"/>
      <c r="F14" s="3"/>
      <c r="G14" s="3"/>
    </row>
    <row r="15" spans="1:8" x14ac:dyDescent="0.45">
      <c r="A15" s="63" t="s">
        <v>87</v>
      </c>
      <c r="B15" s="61">
        <v>2020</v>
      </c>
    </row>
    <row r="16" spans="1:8" ht="16.899999999999999" customHeight="1" x14ac:dyDescent="0.45">
      <c r="A16" s="54" t="s">
        <v>71</v>
      </c>
      <c r="B16" s="62">
        <f>SUM($B$5:$E$5)</f>
        <v>285156.5</v>
      </c>
      <c r="C16" s="9"/>
      <c r="D16" s="9"/>
      <c r="E16" s="9"/>
      <c r="F16" s="9"/>
      <c r="G16" s="9"/>
      <c r="H16" s="9"/>
    </row>
    <row r="17" spans="1:8" ht="16.899999999999999" customHeight="1" x14ac:dyDescent="0.45">
      <c r="A17" s="54" t="s">
        <v>72</v>
      </c>
      <c r="B17" s="62">
        <f>SUM(B10:E10)</f>
        <v>2025600295.0333314</v>
      </c>
      <c r="C17" s="9"/>
      <c r="D17" s="9"/>
      <c r="E17" s="9"/>
      <c r="F17" s="9"/>
      <c r="G17" s="9"/>
      <c r="H17" s="9"/>
    </row>
    <row r="18" spans="1:8" x14ac:dyDescent="0.45">
      <c r="A18" s="54" t="s">
        <v>98</v>
      </c>
      <c r="B18" s="62">
        <f>B17/B16</f>
        <v>7103.4687795415202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AFE2-BDE1-4344-B5E6-E9ECFA760835}">
  <sheetPr codeName="Sheet5"/>
  <dimension ref="A1:I45"/>
  <sheetViews>
    <sheetView showGridLines="0" view="pageBreakPreview" zoomScaleNormal="100" zoomScaleSheetLayoutView="100" workbookViewId="0"/>
  </sheetViews>
  <sheetFormatPr defaultRowHeight="14.25" x14ac:dyDescent="0.45"/>
  <cols>
    <col min="1" max="1" width="67" customWidth="1"/>
    <col min="2" max="6" width="19.59765625" customWidth="1"/>
  </cols>
  <sheetData>
    <row r="1" spans="1:9" ht="25.5" x14ac:dyDescent="0.75">
      <c r="A1" s="47" t="s">
        <v>38</v>
      </c>
    </row>
    <row r="3" spans="1:9" x14ac:dyDescent="0.45">
      <c r="F3" s="6"/>
    </row>
    <row r="4" spans="1:9" ht="19.5" x14ac:dyDescent="0.6">
      <c r="A4" s="49" t="s">
        <v>30</v>
      </c>
      <c r="B4" s="11"/>
    </row>
    <row r="5" spans="1:9" x14ac:dyDescent="0.45">
      <c r="A5" s="111" t="s">
        <v>55</v>
      </c>
      <c r="B5" s="76" t="s">
        <v>8</v>
      </c>
      <c r="C5" s="76" t="s">
        <v>34</v>
      </c>
      <c r="D5" s="6"/>
    </row>
    <row r="6" spans="1:9" x14ac:dyDescent="0.45">
      <c r="A6" s="99" t="s">
        <v>17</v>
      </c>
      <c r="B6" s="93">
        <f>Inputs!B7*Inputs!B8/1000</f>
        <v>4.2004549999999998</v>
      </c>
      <c r="C6" s="93">
        <f>B6*100/Inputs!$B$6</f>
        <v>1.5121637879026897</v>
      </c>
      <c r="D6" s="12"/>
    </row>
    <row r="7" spans="1:9" ht="14.25" customHeight="1" x14ac:dyDescent="0.45">
      <c r="A7" s="99" t="s">
        <v>18</v>
      </c>
      <c r="B7" s="93">
        <f>Inputs!B9</f>
        <v>14.24224989812036</v>
      </c>
      <c r="C7" s="93">
        <f>B7*100/Inputs!$B$6</f>
        <v>5.1272099223056502</v>
      </c>
    </row>
    <row r="8" spans="1:9" x14ac:dyDescent="0.45">
      <c r="A8" s="99" t="s">
        <v>19</v>
      </c>
      <c r="B8" s="93">
        <f>Inputs!B10</f>
        <v>8.2097690762381195</v>
      </c>
      <c r="C8" s="93">
        <f>B8*100/Inputs!$B$6</f>
        <v>2.955516843801588</v>
      </c>
      <c r="E8" s="6"/>
    </row>
    <row r="9" spans="1:9" x14ac:dyDescent="0.45">
      <c r="A9" s="99" t="s">
        <v>20</v>
      </c>
      <c r="B9" s="100" t="s">
        <v>51</v>
      </c>
      <c r="C9" s="100" t="str">
        <f>B9</f>
        <v>derived below</v>
      </c>
    </row>
    <row r="10" spans="1:9" x14ac:dyDescent="0.45">
      <c r="A10" s="99" t="s">
        <v>21</v>
      </c>
      <c r="B10" s="93">
        <f>Inputs!B11</f>
        <v>1.362016074255388</v>
      </c>
      <c r="C10" s="101">
        <f>B10*100/Inputs!$B$6</f>
        <v>0.49032578280933337</v>
      </c>
    </row>
    <row r="13" spans="1:9" ht="18" x14ac:dyDescent="0.55000000000000004">
      <c r="A13" s="49" t="s">
        <v>35</v>
      </c>
    </row>
    <row r="14" spans="1:9" x14ac:dyDescent="0.45">
      <c r="A14" s="110" t="s">
        <v>56</v>
      </c>
      <c r="B14" s="3" t="s">
        <v>2</v>
      </c>
      <c r="C14" s="3" t="s">
        <v>3</v>
      </c>
      <c r="D14" s="3" t="s">
        <v>4</v>
      </c>
      <c r="E14" s="3" t="s">
        <v>5</v>
      </c>
      <c r="F14" s="3" t="s">
        <v>52</v>
      </c>
      <c r="I14" s="10"/>
    </row>
    <row r="15" spans="1:9" x14ac:dyDescent="0.45">
      <c r="A15" s="102" t="s">
        <v>17</v>
      </c>
      <c r="B15" s="103">
        <f>$C$6</f>
        <v>1.5121637879026897</v>
      </c>
      <c r="C15" s="103">
        <f t="shared" ref="C15:E15" si="0">$C$6</f>
        <v>1.5121637879026897</v>
      </c>
      <c r="D15" s="103">
        <f t="shared" si="0"/>
        <v>1.5121637879026897</v>
      </c>
      <c r="E15" s="103">
        <f t="shared" si="0"/>
        <v>1.5121637879026897</v>
      </c>
      <c r="F15" s="103">
        <f>AVERAGE(B15:E15)</f>
        <v>1.5121637879026897</v>
      </c>
    </row>
    <row r="16" spans="1:9" x14ac:dyDescent="0.45">
      <c r="A16" s="102" t="s">
        <v>18</v>
      </c>
      <c r="B16" s="93">
        <f>$C$7</f>
        <v>5.1272099223056502</v>
      </c>
      <c r="C16" s="93">
        <f t="shared" ref="C16:E16" si="1">$C$7</f>
        <v>5.1272099223056502</v>
      </c>
      <c r="D16" s="93">
        <f t="shared" si="1"/>
        <v>5.1272099223056502</v>
      </c>
      <c r="E16" s="93">
        <f t="shared" si="1"/>
        <v>5.1272099223056502</v>
      </c>
      <c r="F16" s="103">
        <f t="shared" ref="F16:F22" si="2">AVERAGE(B16:E16)</f>
        <v>5.1272099223056502</v>
      </c>
    </row>
    <row r="17" spans="1:6" x14ac:dyDescent="0.45">
      <c r="A17" s="102" t="s">
        <v>19</v>
      </c>
      <c r="B17" s="93">
        <f>$C$8</f>
        <v>2.955516843801588</v>
      </c>
      <c r="C17" s="93">
        <f t="shared" ref="C17:E17" si="3">$C$8</f>
        <v>2.955516843801588</v>
      </c>
      <c r="D17" s="93">
        <f t="shared" si="3"/>
        <v>2.955516843801588</v>
      </c>
      <c r="E17" s="93">
        <f t="shared" si="3"/>
        <v>2.955516843801588</v>
      </c>
      <c r="F17" s="103">
        <f t="shared" si="2"/>
        <v>2.955516843801588</v>
      </c>
    </row>
    <row r="18" spans="1:6" x14ac:dyDescent="0.45">
      <c r="A18" s="104" t="s">
        <v>20</v>
      </c>
      <c r="B18" s="101">
        <f>Calculations!B9</f>
        <v>5.0416698815950287</v>
      </c>
      <c r="C18" s="101">
        <f>Calculations!C9</f>
        <v>4.2638155756566469</v>
      </c>
      <c r="D18" s="101">
        <f>Calculations!D9</f>
        <v>3.9841405593044925</v>
      </c>
      <c r="E18" s="101">
        <f>Calculations!E9</f>
        <v>4.3236312602661862</v>
      </c>
      <c r="F18" s="101">
        <f t="shared" si="2"/>
        <v>4.4033143192055881</v>
      </c>
    </row>
    <row r="19" spans="1:6" x14ac:dyDescent="0.45">
      <c r="A19" s="104" t="s">
        <v>21</v>
      </c>
      <c r="B19" s="101">
        <f>$C$10</f>
        <v>0.49032578280933337</v>
      </c>
      <c r="C19" s="101">
        <f t="shared" ref="C19:E19" si="4">$C$10</f>
        <v>0.49032578280933337</v>
      </c>
      <c r="D19" s="101">
        <f t="shared" si="4"/>
        <v>0.49032578280933337</v>
      </c>
      <c r="E19" s="101">
        <f t="shared" si="4"/>
        <v>0.49032578280933337</v>
      </c>
      <c r="F19" s="101">
        <f t="shared" si="2"/>
        <v>0.49032578280933337</v>
      </c>
    </row>
    <row r="20" spans="1:6" x14ac:dyDescent="0.45">
      <c r="A20" s="102" t="s">
        <v>31</v>
      </c>
      <c r="B20" s="93">
        <f>SUM(B15:B19)</f>
        <v>15.126886218414292</v>
      </c>
      <c r="C20" s="93">
        <f t="shared" ref="C20:E20" si="5">SUM(C15:C19)</f>
        <v>14.34903191247591</v>
      </c>
      <c r="D20" s="93">
        <f t="shared" si="5"/>
        <v>14.069356896123756</v>
      </c>
      <c r="E20" s="93">
        <f t="shared" si="5"/>
        <v>14.408847597085449</v>
      </c>
      <c r="F20" s="103">
        <f t="shared" si="2"/>
        <v>14.488530656024851</v>
      </c>
    </row>
    <row r="21" spans="1:6" x14ac:dyDescent="0.45">
      <c r="A21" s="102" t="s">
        <v>32</v>
      </c>
      <c r="B21" s="93">
        <f>B20*0.15</f>
        <v>2.2690329327621437</v>
      </c>
      <c r="C21" s="93">
        <f t="shared" ref="C21:E21" si="6">C20*0.15</f>
        <v>2.1523547868713866</v>
      </c>
      <c r="D21" s="93">
        <f t="shared" si="6"/>
        <v>2.1104035344185634</v>
      </c>
      <c r="E21" s="93">
        <f t="shared" si="6"/>
        <v>2.1613271395628173</v>
      </c>
      <c r="F21" s="103">
        <f t="shared" si="2"/>
        <v>2.1732795984037279</v>
      </c>
    </row>
    <row r="22" spans="1:6" x14ac:dyDescent="0.45">
      <c r="A22" s="105" t="s">
        <v>33</v>
      </c>
      <c r="B22" s="106">
        <f>B20+B21</f>
        <v>17.395919151176436</v>
      </c>
      <c r="C22" s="106">
        <f t="shared" ref="C22:E22" si="7">C20+C21</f>
        <v>16.501386699347297</v>
      </c>
      <c r="D22" s="106">
        <f t="shared" si="7"/>
        <v>16.17976043054232</v>
      </c>
      <c r="E22" s="106">
        <f t="shared" si="7"/>
        <v>16.570174736648266</v>
      </c>
      <c r="F22" s="106">
        <f t="shared" si="2"/>
        <v>16.66181025442858</v>
      </c>
    </row>
    <row r="25" spans="1:6" ht="18" x14ac:dyDescent="0.55000000000000004">
      <c r="A25" s="49" t="s">
        <v>62</v>
      </c>
    </row>
    <row r="26" spans="1:6" x14ac:dyDescent="0.45">
      <c r="A26" s="110" t="s">
        <v>57</v>
      </c>
      <c r="B26" s="3" t="s">
        <v>2</v>
      </c>
      <c r="C26" s="3" t="s">
        <v>3</v>
      </c>
      <c r="D26" s="3" t="s">
        <v>4</v>
      </c>
      <c r="E26" s="3" t="s">
        <v>5</v>
      </c>
      <c r="F26" s="3" t="s">
        <v>52</v>
      </c>
    </row>
    <row r="27" spans="1:6" x14ac:dyDescent="0.45">
      <c r="A27" s="102" t="s">
        <v>17</v>
      </c>
      <c r="B27" s="103">
        <f>$C$6*CPI_JUNE_YE_2022</f>
        <v>1.6244381524735045</v>
      </c>
      <c r="C27" s="103">
        <f>$C$6*CPI_SEP_YE_2022</f>
        <v>1.6345719513035528</v>
      </c>
      <c r="D27" s="103">
        <f>$C$6*CPI_JUNE_YE_2022</f>
        <v>1.6244381524735045</v>
      </c>
      <c r="E27" s="103">
        <f>$C$6*CPI_SEP_YE_2022</f>
        <v>1.6345719513035528</v>
      </c>
      <c r="F27" s="103">
        <f>AVERAGE(B27:E27)</f>
        <v>1.6295050518885286</v>
      </c>
    </row>
    <row r="28" spans="1:6" x14ac:dyDescent="0.45">
      <c r="A28" s="102" t="s">
        <v>18</v>
      </c>
      <c r="B28" s="93">
        <f>$C$7*CPI_JUNE_YE_2022</f>
        <v>5.5078923858411999</v>
      </c>
      <c r="C28" s="93">
        <f>$C$7*CPI_SEP_YE_2022</f>
        <v>5.5422524957233019</v>
      </c>
      <c r="D28" s="93">
        <f>$C$7*CPI_JUNE_YE_2022</f>
        <v>5.5078923858411999</v>
      </c>
      <c r="E28" s="93">
        <f>$C$7*CPI_SEP_YE_2022</f>
        <v>5.5422524957233019</v>
      </c>
      <c r="F28" s="103">
        <f t="shared" ref="F28:F34" si="8">AVERAGE(B28:E28)</f>
        <v>5.5250724407822513</v>
      </c>
    </row>
    <row r="29" spans="1:6" x14ac:dyDescent="0.45">
      <c r="A29" s="102" t="s">
        <v>19</v>
      </c>
      <c r="B29" s="93">
        <f>$C$8*CPI_JUNE_YE_2022</f>
        <v>3.1749565488591975</v>
      </c>
      <c r="C29" s="93">
        <f>$C$8*CPI_SEP_YE_2022</f>
        <v>3.194763009887764</v>
      </c>
      <c r="D29" s="93">
        <f>$C$8*CPI_JUNE_YE_2022</f>
        <v>3.1749565488591975</v>
      </c>
      <c r="E29" s="93">
        <f>$C$8*CPI_SEP_YE_2022</f>
        <v>3.194763009887764</v>
      </c>
      <c r="F29" s="103">
        <f t="shared" si="8"/>
        <v>3.1848597793734807</v>
      </c>
    </row>
    <row r="30" spans="1:6" x14ac:dyDescent="0.45">
      <c r="A30" s="104" t="s">
        <v>20</v>
      </c>
      <c r="B30" s="101">
        <f>B18*CPI_JUNE_YE_2022</f>
        <v>5.4160012118783616</v>
      </c>
      <c r="C30" s="101">
        <f>C18*CPI_SEP_YE_2022</f>
        <v>4.6089672304387088</v>
      </c>
      <c r="D30" s="101">
        <f>D18*CPI_JUNE_YE_2022</f>
        <v>4.2799529926104993</v>
      </c>
      <c r="E30" s="101">
        <f>E18*CPI_SEP_YE_2022</f>
        <v>4.6736249355715502</v>
      </c>
      <c r="F30" s="101">
        <f t="shared" si="8"/>
        <v>4.7446365926247802</v>
      </c>
    </row>
    <row r="31" spans="1:6" x14ac:dyDescent="0.45">
      <c r="A31" s="104" t="s">
        <v>21</v>
      </c>
      <c r="B31" s="101">
        <f>B19*CPI_JUNE_YE_2022</f>
        <v>0.52673124109236691</v>
      </c>
      <c r="C31" s="101">
        <f>C19*CPI_SEP_YE_2022</f>
        <v>0.53001717009286708</v>
      </c>
      <c r="D31" s="101">
        <f>D19*CPI_JUNE_YE_2022</f>
        <v>0.52673124109236691</v>
      </c>
      <c r="E31" s="101">
        <f>E19*CPI_SEP_YE_2022</f>
        <v>0.53001717009286708</v>
      </c>
      <c r="F31" s="101">
        <f t="shared" si="8"/>
        <v>0.52837420559261705</v>
      </c>
    </row>
    <row r="32" spans="1:6" x14ac:dyDescent="0.45">
      <c r="A32" s="102" t="s">
        <v>31</v>
      </c>
      <c r="B32" s="93">
        <f>SUM(B27:B31)</f>
        <v>16.250019540144631</v>
      </c>
      <c r="C32" s="93">
        <f t="shared" ref="C32:E32" si="9">SUM(C27:C31)</f>
        <v>15.510571857446193</v>
      </c>
      <c r="D32" s="93">
        <f t="shared" si="9"/>
        <v>15.113971320876768</v>
      </c>
      <c r="E32" s="93">
        <f t="shared" si="9"/>
        <v>15.575229562579034</v>
      </c>
      <c r="F32" s="103">
        <f t="shared" si="8"/>
        <v>15.612448070261655</v>
      </c>
    </row>
    <row r="33" spans="1:6" x14ac:dyDescent="0.45">
      <c r="A33" s="102" t="s">
        <v>32</v>
      </c>
      <c r="B33" s="93">
        <f>B32*Inputs!$B$12</f>
        <v>2.4375029310216947</v>
      </c>
      <c r="C33" s="93">
        <f>C32*Inputs!$B$12</f>
        <v>2.3265857786169288</v>
      </c>
      <c r="D33" s="93">
        <f>D32*Inputs!$B$12</f>
        <v>2.2670956981315151</v>
      </c>
      <c r="E33" s="93">
        <f>E32*Inputs!$B$12</f>
        <v>2.336284434386855</v>
      </c>
      <c r="F33" s="93">
        <f>F32*Inputs!$B$12</f>
        <v>2.341867210539248</v>
      </c>
    </row>
    <row r="34" spans="1:6" x14ac:dyDescent="0.45">
      <c r="A34" s="105" t="s">
        <v>33</v>
      </c>
      <c r="B34" s="106">
        <f>B32+B33</f>
        <v>18.687522471166325</v>
      </c>
      <c r="C34" s="106">
        <f t="shared" ref="C34:E34" si="10">C32+C33</f>
        <v>17.837157636063122</v>
      </c>
      <c r="D34" s="106">
        <f t="shared" si="10"/>
        <v>17.381067019008285</v>
      </c>
      <c r="E34" s="106">
        <f t="shared" si="10"/>
        <v>17.911513996965891</v>
      </c>
      <c r="F34" s="106">
        <f t="shared" si="8"/>
        <v>17.954315280800905</v>
      </c>
    </row>
    <row r="36" spans="1:6" ht="18" x14ac:dyDescent="0.55000000000000004">
      <c r="A36" s="49" t="s">
        <v>93</v>
      </c>
    </row>
    <row r="37" spans="1:6" x14ac:dyDescent="0.45">
      <c r="A37" s="110" t="s">
        <v>92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52</v>
      </c>
    </row>
    <row r="38" spans="1:6" x14ac:dyDescent="0.45">
      <c r="A38" s="77" t="s">
        <v>17</v>
      </c>
      <c r="B38" s="107">
        <f>B27*(1+Inputs!$B$12)/B$34</f>
        <v>9.9965304562276633E-2</v>
      </c>
      <c r="C38" s="107">
        <f>C27*(1+Inputs!$B$12)/C$34</f>
        <v>0.10538437694796149</v>
      </c>
      <c r="D38" s="107">
        <f>D27*(1+Inputs!$B$12)/D$34</f>
        <v>0.10747924010082546</v>
      </c>
      <c r="E38" s="107">
        <f>E27*(1+Inputs!$B$12)/E$34</f>
        <v>0.10494689306093867</v>
      </c>
      <c r="F38" s="107">
        <f>F27*(1+Inputs!$B$12)/F$34</f>
        <v>0.10437216793645475</v>
      </c>
    </row>
    <row r="39" spans="1:6" x14ac:dyDescent="0.45">
      <c r="A39" s="77" t="s">
        <v>18</v>
      </c>
      <c r="B39" s="108">
        <f>B28*(1+Inputs!$B$12)/B$34</f>
        <v>0.33894681617054706</v>
      </c>
      <c r="C39" s="108">
        <f>C28*(1+Inputs!$B$12)/C$34</f>
        <v>0.35732096447898665</v>
      </c>
      <c r="D39" s="108">
        <f>D28*(1+Inputs!$B$12)/D$34</f>
        <v>0.36442390083360854</v>
      </c>
      <c r="E39" s="108">
        <f>E28*(1+Inputs!$B$12)/E$34</f>
        <v>0.35583761211706877</v>
      </c>
      <c r="F39" s="108">
        <f>F28*(1+Inputs!$B$12)/F$34</f>
        <v>0.35388892349985274</v>
      </c>
    </row>
    <row r="40" spans="1:6" x14ac:dyDescent="0.45">
      <c r="A40" s="77" t="s">
        <v>19</v>
      </c>
      <c r="B40" s="108">
        <f>B29*(1+Inputs!$B$12)/B$34</f>
        <v>0.1953817065275319</v>
      </c>
      <c r="C40" s="108">
        <f>C29*(1+Inputs!$B$12)/C$34</f>
        <v>0.20597325741758821</v>
      </c>
      <c r="D40" s="108">
        <f>D29*(1+Inputs!$B$12)/D$34</f>
        <v>0.21006765736505423</v>
      </c>
      <c r="E40" s="108">
        <f>E29*(1+Inputs!$B$12)/E$34</f>
        <v>0.20511819726647784</v>
      </c>
      <c r="F40" s="108">
        <f>F29*(1+Inputs!$B$12)/F$34</f>
        <v>0.2039948997774379</v>
      </c>
    </row>
    <row r="41" spans="1:6" x14ac:dyDescent="0.45">
      <c r="A41" s="79" t="s">
        <v>20</v>
      </c>
      <c r="B41" s="109">
        <f>B30*(1+Inputs!$B$12)/B$34</f>
        <v>0.33329198149568234</v>
      </c>
      <c r="C41" s="109">
        <f>C30*(1+Inputs!$B$12)/C$34</f>
        <v>0.29715005177104881</v>
      </c>
      <c r="D41" s="109">
        <f>D30*(1+Inputs!$B$12)/D$34</f>
        <v>0.28317858369220572</v>
      </c>
      <c r="E41" s="109">
        <f>E30*(1+Inputs!$B$12)/E$34</f>
        <v>0.30006780425248925</v>
      </c>
      <c r="F41" s="109">
        <f>F30*(1+Inputs!$B$12)/F$34</f>
        <v>0.30390087264163829</v>
      </c>
    </row>
    <row r="42" spans="1:6" x14ac:dyDescent="0.45">
      <c r="A42" s="79" t="s">
        <v>21</v>
      </c>
      <c r="B42" s="109">
        <f>B31*(1+Inputs!$B$12)/B$34</f>
        <v>3.2414191243961957E-2</v>
      </c>
      <c r="C42" s="109">
        <f>C31*(1+Inputs!$B$12)/C$34</f>
        <v>3.4171349384414899E-2</v>
      </c>
      <c r="D42" s="109">
        <f>D31*(1+Inputs!$B$12)/D$34</f>
        <v>3.4850618008305898E-2</v>
      </c>
      <c r="E42" s="109">
        <f>E31*(1+Inputs!$B$12)/E$34</f>
        <v>3.4029493303025432E-2</v>
      </c>
      <c r="F42" s="109">
        <f>F31*(1+Inputs!$B$12)/F$34</f>
        <v>3.384313614461628E-2</v>
      </c>
    </row>
    <row r="43" spans="1:6" x14ac:dyDescent="0.45">
      <c r="A43" s="77" t="s">
        <v>31</v>
      </c>
      <c r="B43" s="108">
        <f>SUM(B38:B42)</f>
        <v>0.99999999999999978</v>
      </c>
      <c r="C43" s="108">
        <f t="shared" ref="C43:E43" si="11">SUM(C38:C42)</f>
        <v>1</v>
      </c>
      <c r="D43" s="108">
        <f t="shared" si="11"/>
        <v>0.99999999999999989</v>
      </c>
      <c r="E43" s="108">
        <f t="shared" si="11"/>
        <v>0.99999999999999989</v>
      </c>
      <c r="F43" s="107">
        <f t="shared" ref="F43" si="12">AVERAGE(B43:E43)</f>
        <v>0.99999999999999989</v>
      </c>
    </row>
    <row r="44" spans="1:6" x14ac:dyDescent="0.45">
      <c r="A44" s="77" t="s">
        <v>32</v>
      </c>
      <c r="B44" s="108">
        <f>B43*Inputs!$B$12</f>
        <v>0.14999999999999997</v>
      </c>
      <c r="C44" s="108">
        <f>C43*Inputs!$B$12</f>
        <v>0.15</v>
      </c>
      <c r="D44" s="108">
        <f>D43*Inputs!$B$12</f>
        <v>0.14999999999999997</v>
      </c>
      <c r="E44" s="108">
        <f>E43*Inputs!$B$12</f>
        <v>0.14999999999999997</v>
      </c>
      <c r="F44" s="108">
        <f>F43*Inputs!$B$12</f>
        <v>0.14999999999999997</v>
      </c>
    </row>
    <row r="45" spans="1:6" x14ac:dyDescent="0.45">
      <c r="A45" s="82" t="s">
        <v>33</v>
      </c>
      <c r="B45" s="97">
        <f>B43+B44</f>
        <v>1.1499999999999997</v>
      </c>
      <c r="C45" s="97">
        <f t="shared" ref="C45:E45" si="13">C43+C44</f>
        <v>1.1499999999999999</v>
      </c>
      <c r="D45" s="97">
        <f t="shared" si="13"/>
        <v>1.1499999999999999</v>
      </c>
      <c r="E45" s="97">
        <f t="shared" si="13"/>
        <v>1.1499999999999999</v>
      </c>
      <c r="F45" s="97">
        <f t="shared" ref="F45" si="14">AVERAGE(B45:E45)</f>
        <v>1.1499999999999999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2B491-D320-42F2-B4B8-9C8992C2D460}">
  <sheetPr codeName="Sheet6"/>
  <dimension ref="A1:G54"/>
  <sheetViews>
    <sheetView showGridLines="0" view="pageBreakPreview" zoomScaleNormal="100" zoomScaleSheetLayoutView="100" workbookViewId="0"/>
  </sheetViews>
  <sheetFormatPr defaultRowHeight="14.25" x14ac:dyDescent="0.45"/>
  <cols>
    <col min="1" max="1" width="69" customWidth="1"/>
    <col min="2" max="6" width="13.59765625" customWidth="1"/>
  </cols>
  <sheetData>
    <row r="1" spans="1:7" ht="25.5" x14ac:dyDescent="0.75">
      <c r="A1" s="47" t="s">
        <v>74</v>
      </c>
    </row>
    <row r="4" spans="1:7" ht="18" x14ac:dyDescent="0.55000000000000004">
      <c r="A4" s="49" t="s">
        <v>68</v>
      </c>
      <c r="B4" s="6"/>
      <c r="C4" s="6"/>
      <c r="D4" s="6"/>
      <c r="E4" s="6"/>
      <c r="F4" s="6"/>
      <c r="G4" s="6"/>
    </row>
    <row r="5" spans="1:7" ht="57" x14ac:dyDescent="0.45">
      <c r="A5" s="63" t="s">
        <v>96</v>
      </c>
      <c r="B5" s="57" t="s">
        <v>2</v>
      </c>
      <c r="C5" s="57" t="s">
        <v>3</v>
      </c>
      <c r="D5" s="57" t="s">
        <v>4</v>
      </c>
      <c r="E5" s="57" t="s">
        <v>5</v>
      </c>
      <c r="F5" s="57" t="s">
        <v>6</v>
      </c>
    </row>
    <row r="6" spans="1:7" x14ac:dyDescent="0.45">
      <c r="A6" s="51" t="s">
        <v>101</v>
      </c>
      <c r="B6" s="91" t="s">
        <v>67</v>
      </c>
      <c r="C6" s="91" t="s">
        <v>67</v>
      </c>
      <c r="D6" s="91" t="s">
        <v>67</v>
      </c>
      <c r="E6" s="91" t="s">
        <v>67</v>
      </c>
      <c r="F6" s="91" t="s">
        <v>67</v>
      </c>
    </row>
    <row r="7" spans="1:7" x14ac:dyDescent="0.45">
      <c r="A7" s="51" t="s">
        <v>63</v>
      </c>
      <c r="B7" s="92">
        <f>Inputs!B33</f>
        <v>0.10373880614140929</v>
      </c>
      <c r="C7" s="92">
        <f>Inputs!C33</f>
        <v>0.14463738320979425</v>
      </c>
      <c r="D7" s="92">
        <f>Inputs!D33</f>
        <v>0.12137009603970172</v>
      </c>
      <c r="E7" s="92">
        <f>Inputs!E33</f>
        <v>0.146222287720569</v>
      </c>
      <c r="F7" s="92">
        <f>Inputs!F33</f>
        <v>0.13020835651976426</v>
      </c>
    </row>
    <row r="8" spans="1:7" x14ac:dyDescent="0.45">
      <c r="A8" s="51" t="s">
        <v>64</v>
      </c>
      <c r="B8" s="92">
        <f>Inputs!B34</f>
        <v>9.2035162422735128E-2</v>
      </c>
      <c r="C8" s="92">
        <f>Inputs!C34</f>
        <v>0.13201948141148123</v>
      </c>
      <c r="D8" s="92">
        <f>Inputs!D34</f>
        <v>0.10404215000104555</v>
      </c>
      <c r="E8" s="92">
        <f>Inputs!E34</f>
        <v>0.13402316583864904</v>
      </c>
      <c r="F8" s="92">
        <f>Inputs!F34</f>
        <v>0.12282231859691461</v>
      </c>
    </row>
    <row r="9" spans="1:7" x14ac:dyDescent="0.45">
      <c r="A9" s="51" t="s">
        <v>65</v>
      </c>
      <c r="B9" s="92">
        <f>Inputs!B35</f>
        <v>7.5111982430336122E-2</v>
      </c>
      <c r="C9" s="92">
        <f>Inputs!C35</f>
        <v>0.11399391026769923</v>
      </c>
      <c r="D9" s="92">
        <f>Inputs!D35</f>
        <v>8.697042374294961E-2</v>
      </c>
      <c r="E9" s="92">
        <f>Inputs!E35</f>
        <v>0.11639791428713386</v>
      </c>
      <c r="F9" s="92">
        <f>Inputs!F35</f>
        <v>0.12199999999999989</v>
      </c>
    </row>
    <row r="10" spans="1:7" x14ac:dyDescent="0.45">
      <c r="A10" s="51" t="s">
        <v>66</v>
      </c>
      <c r="B10" s="92">
        <f>Inputs!B36</f>
        <v>7.2541724397257035E-2</v>
      </c>
      <c r="C10" s="92">
        <f>Inputs!C36</f>
        <v>0.11084254238384017</v>
      </c>
      <c r="D10" s="92">
        <f>Inputs!D36</f>
        <v>8.43968647640716E-2</v>
      </c>
      <c r="E10" s="92">
        <f>Inputs!E36</f>
        <v>0.11367175972216437</v>
      </c>
      <c r="F10" s="92">
        <f>Inputs!F36</f>
        <v>0.12200000000000033</v>
      </c>
    </row>
    <row r="12" spans="1:7" ht="18" x14ac:dyDescent="0.55000000000000004">
      <c r="A12" s="49" t="s">
        <v>69</v>
      </c>
      <c r="B12" s="6"/>
      <c r="C12" s="6"/>
      <c r="D12" s="6"/>
      <c r="E12" s="6"/>
      <c r="F12" s="6"/>
    </row>
    <row r="13" spans="1:7" ht="57" x14ac:dyDescent="0.45">
      <c r="A13" s="57"/>
      <c r="B13" s="57" t="s">
        <v>2</v>
      </c>
      <c r="C13" s="57" t="s">
        <v>3</v>
      </c>
      <c r="D13" s="57" t="s">
        <v>4</v>
      </c>
      <c r="E13" s="57" t="s">
        <v>5</v>
      </c>
      <c r="F13" s="57" t="s">
        <v>6</v>
      </c>
    </row>
    <row r="14" spans="1:7" x14ac:dyDescent="0.45">
      <c r="A14" s="51" t="s">
        <v>101</v>
      </c>
      <c r="B14" s="93">
        <f>Calculations!B9</f>
        <v>5.0416698815950287</v>
      </c>
      <c r="C14" s="93">
        <f>Calculations!C9</f>
        <v>4.2638155756566469</v>
      </c>
      <c r="D14" s="93">
        <f>Calculations!D9</f>
        <v>3.9841405593044925</v>
      </c>
      <c r="E14" s="93">
        <f>Calculations!E9</f>
        <v>4.3236312602661862</v>
      </c>
      <c r="F14" s="93">
        <f>'Gas Bill Breakdown'!C10</f>
        <v>0.49032578280933337</v>
      </c>
    </row>
    <row r="15" spans="1:7" x14ac:dyDescent="0.45">
      <c r="A15" s="51" t="s">
        <v>63</v>
      </c>
      <c r="B15" s="93">
        <f>B14*(1+B7)</f>
        <v>5.5646866960707975</v>
      </c>
      <c r="C15" s="93">
        <f t="shared" ref="C15:F18" si="0">C14*(1+C7)</f>
        <v>4.8805227030087872</v>
      </c>
      <c r="D15" s="93">
        <f t="shared" si="0"/>
        <v>4.4676960816229494</v>
      </c>
      <c r="E15" s="93">
        <f t="shared" si="0"/>
        <v>4.9558425144024749</v>
      </c>
      <c r="F15" s="93">
        <f t="shared" si="0"/>
        <v>0.55417029714820354</v>
      </c>
    </row>
    <row r="16" spans="1:7" x14ac:dyDescent="0.45">
      <c r="A16" s="51" t="s">
        <v>64</v>
      </c>
      <c r="B16" s="93">
        <f t="shared" ref="B16:B18" si="1">B15*(1+B8)</f>
        <v>6.0768335399753068</v>
      </c>
      <c r="C16" s="93">
        <f t="shared" si="0"/>
        <v>5.5248467792769675</v>
      </c>
      <c r="D16" s="93">
        <f t="shared" si="0"/>
        <v>4.9325247875062477</v>
      </c>
      <c r="E16" s="93">
        <f t="shared" si="0"/>
        <v>5.6200402175804651</v>
      </c>
      <c r="F16" s="93">
        <f t="shared" si="0"/>
        <v>0.62223477794148707</v>
      </c>
    </row>
    <row r="17" spans="1:6" x14ac:dyDescent="0.45">
      <c r="A17" s="51" t="s">
        <v>65</v>
      </c>
      <c r="B17" s="93">
        <f t="shared" si="1"/>
        <v>6.5332765540620095</v>
      </c>
      <c r="C17" s="93">
        <f t="shared" si="0"/>
        <v>6.154645667276653</v>
      </c>
      <c r="D17" s="93">
        <f t="shared" si="0"/>
        <v>5.3615085583982687</v>
      </c>
      <c r="E17" s="93">
        <f t="shared" si="0"/>
        <v>6.274201177116641</v>
      </c>
      <c r="F17" s="93">
        <f t="shared" si="0"/>
        <v>0.69814742085034842</v>
      </c>
    </row>
    <row r="18" spans="1:6" x14ac:dyDescent="0.45">
      <c r="A18" s="51" t="s">
        <v>66</v>
      </c>
      <c r="B18" s="93">
        <f t="shared" si="1"/>
        <v>7.0072117012578365</v>
      </c>
      <c r="C18" s="93">
        <f t="shared" si="0"/>
        <v>6.8368422405092835</v>
      </c>
      <c r="D18" s="93">
        <f t="shared" si="0"/>
        <v>5.8140030711328201</v>
      </c>
      <c r="E18" s="93">
        <f t="shared" si="0"/>
        <v>6.9874006657703651</v>
      </c>
      <c r="F18" s="93">
        <f t="shared" si="0"/>
        <v>0.78332140619409119</v>
      </c>
    </row>
    <row r="21" spans="1:6" ht="18" x14ac:dyDescent="0.55000000000000004">
      <c r="A21" s="49" t="s">
        <v>70</v>
      </c>
      <c r="B21" s="6"/>
      <c r="C21" s="6"/>
      <c r="D21" s="6"/>
      <c r="E21" s="6"/>
      <c r="F21" s="6"/>
    </row>
    <row r="22" spans="1:6" ht="57" x14ac:dyDescent="0.45">
      <c r="A22" s="63" t="s">
        <v>97</v>
      </c>
      <c r="B22" s="57" t="s">
        <v>2</v>
      </c>
      <c r="C22" s="57" t="s">
        <v>3</v>
      </c>
      <c r="D22" s="57" t="s">
        <v>4</v>
      </c>
      <c r="E22" s="57" t="s">
        <v>5</v>
      </c>
      <c r="F22" s="57" t="s">
        <v>6</v>
      </c>
    </row>
    <row r="23" spans="1:6" x14ac:dyDescent="0.45">
      <c r="A23" s="51" t="s">
        <v>101</v>
      </c>
      <c r="B23" s="93">
        <f>B14-B$14</f>
        <v>0</v>
      </c>
      <c r="C23" s="93">
        <f t="shared" ref="C23:F23" si="2">C14-C$14</f>
        <v>0</v>
      </c>
      <c r="D23" s="93">
        <f t="shared" si="2"/>
        <v>0</v>
      </c>
      <c r="E23" s="93">
        <f t="shared" si="2"/>
        <v>0</v>
      </c>
      <c r="F23" s="93">
        <f t="shared" si="2"/>
        <v>0</v>
      </c>
    </row>
    <row r="24" spans="1:6" x14ac:dyDescent="0.45">
      <c r="A24" s="51" t="s">
        <v>63</v>
      </c>
      <c r="B24" s="93">
        <f t="shared" ref="B24:F27" si="3">B15-B$14</f>
        <v>0.52301681447576875</v>
      </c>
      <c r="C24" s="93">
        <f t="shared" si="3"/>
        <v>0.61670712735214028</v>
      </c>
      <c r="D24" s="93">
        <f t="shared" si="3"/>
        <v>0.48355552231845689</v>
      </c>
      <c r="E24" s="93">
        <f t="shared" si="3"/>
        <v>0.63221125413628876</v>
      </c>
      <c r="F24" s="93">
        <f t="shared" si="3"/>
        <v>6.3844514338870173E-2</v>
      </c>
    </row>
    <row r="25" spans="1:6" x14ac:dyDescent="0.45">
      <c r="A25" s="51" t="s">
        <v>64</v>
      </c>
      <c r="B25" s="93">
        <f t="shared" si="3"/>
        <v>1.0351636583802781</v>
      </c>
      <c r="C25" s="93">
        <f t="shared" si="3"/>
        <v>1.2610312036203206</v>
      </c>
      <c r="D25" s="93">
        <f t="shared" si="3"/>
        <v>0.94838422820175516</v>
      </c>
      <c r="E25" s="93">
        <f t="shared" si="3"/>
        <v>1.296408957314279</v>
      </c>
      <c r="F25" s="93">
        <f t="shared" si="3"/>
        <v>0.13190899513215371</v>
      </c>
    </row>
    <row r="26" spans="1:6" x14ac:dyDescent="0.45">
      <c r="A26" s="51" t="s">
        <v>65</v>
      </c>
      <c r="B26" s="93">
        <f t="shared" si="3"/>
        <v>1.4916066724669808</v>
      </c>
      <c r="C26" s="93">
        <f t="shared" si="3"/>
        <v>1.890830091620006</v>
      </c>
      <c r="D26" s="93">
        <f t="shared" si="3"/>
        <v>1.3773679990937762</v>
      </c>
      <c r="E26" s="93">
        <f t="shared" si="3"/>
        <v>1.9505699168504549</v>
      </c>
      <c r="F26" s="93">
        <f t="shared" si="3"/>
        <v>0.20782163804101506</v>
      </c>
    </row>
    <row r="27" spans="1:6" x14ac:dyDescent="0.45">
      <c r="A27" s="51" t="s">
        <v>66</v>
      </c>
      <c r="B27" s="93">
        <f t="shared" si="3"/>
        <v>1.9655418196628078</v>
      </c>
      <c r="C27" s="93">
        <f t="shared" si="3"/>
        <v>2.5730266648526365</v>
      </c>
      <c r="D27" s="93">
        <f t="shared" si="3"/>
        <v>1.8298625118283276</v>
      </c>
      <c r="E27" s="93">
        <f t="shared" si="3"/>
        <v>2.663769405504179</v>
      </c>
      <c r="F27" s="93">
        <f t="shared" si="3"/>
        <v>0.29299562338475782</v>
      </c>
    </row>
    <row r="30" spans="1:6" ht="18" x14ac:dyDescent="0.55000000000000004">
      <c r="A30" s="49" t="s">
        <v>73</v>
      </c>
      <c r="B30" s="6"/>
      <c r="C30" s="6"/>
      <c r="D30" s="6"/>
      <c r="E30" s="6"/>
      <c r="F30" s="6"/>
    </row>
    <row r="31" spans="1:6" ht="40.9" customHeight="1" x14ac:dyDescent="0.45">
      <c r="A31" s="57"/>
      <c r="B31" s="57" t="s">
        <v>2</v>
      </c>
      <c r="C31" s="57" t="s">
        <v>3</v>
      </c>
      <c r="D31" s="57" t="s">
        <v>4</v>
      </c>
      <c r="E31" s="57" t="s">
        <v>5</v>
      </c>
      <c r="F31" s="57" t="s">
        <v>6</v>
      </c>
    </row>
    <row r="32" spans="1:6" x14ac:dyDescent="0.45">
      <c r="A32" s="51" t="s">
        <v>101</v>
      </c>
      <c r="B32" s="93">
        <f t="shared" ref="B32:F36" si="4">B14*demand_kWh_per_household/100</f>
        <v>358.13344600665079</v>
      </c>
      <c r="C32" s="93">
        <f t="shared" si="4"/>
        <v>302.87880823399848</v>
      </c>
      <c r="D32" s="93">
        <f t="shared" si="4"/>
        <v>283.01218076324551</v>
      </c>
      <c r="E32" s="93">
        <f t="shared" si="4"/>
        <v>307.12779671550612</v>
      </c>
      <c r="F32" s="93">
        <f t="shared" si="4"/>
        <v>34.830138899903559</v>
      </c>
    </row>
    <row r="33" spans="1:6" x14ac:dyDescent="0.45">
      <c r="A33" s="51" t="s">
        <v>63</v>
      </c>
      <c r="B33" s="93">
        <f t="shared" si="4"/>
        <v>395.28578213468967</v>
      </c>
      <c r="C33" s="93">
        <f t="shared" si="4"/>
        <v>346.68640648666513</v>
      </c>
      <c r="D33" s="93">
        <f t="shared" si="4"/>
        <v>317.36139632288604</v>
      </c>
      <c r="E33" s="93">
        <f t="shared" si="4"/>
        <v>352.03672577382531</v>
      </c>
      <c r="F33" s="93">
        <f t="shared" si="4"/>
        <v>39.365314043415111</v>
      </c>
    </row>
    <row r="34" spans="1:6" x14ac:dyDescent="0.45">
      <c r="A34" s="51" t="s">
        <v>64</v>
      </c>
      <c r="B34" s="93">
        <f t="shared" si="4"/>
        <v>431.66597329685368</v>
      </c>
      <c r="C34" s="93">
        <f t="shared" si="4"/>
        <v>392.45576608344459</v>
      </c>
      <c r="D34" s="93">
        <f t="shared" si="4"/>
        <v>350.38035832365296</v>
      </c>
      <c r="E34" s="93">
        <f t="shared" si="4"/>
        <v>399.21780225350562</v>
      </c>
      <c r="F34" s="93">
        <f t="shared" si="4"/>
        <v>44.200253186523042</v>
      </c>
    </row>
    <row r="35" spans="1:6" x14ac:dyDescent="0.45">
      <c r="A35" s="51" t="s">
        <v>65</v>
      </c>
      <c r="B35" s="93">
        <f t="shared" si="4"/>
        <v>464.08926029890091</v>
      </c>
      <c r="C35" s="93">
        <f t="shared" si="4"/>
        <v>437.1933334664019</v>
      </c>
      <c r="D35" s="93">
        <f t="shared" si="4"/>
        <v>380.85308655826771</v>
      </c>
      <c r="E35" s="93">
        <f t="shared" si="4"/>
        <v>445.68592178210719</v>
      </c>
      <c r="F35" s="93">
        <f t="shared" si="4"/>
        <v>49.592684075278846</v>
      </c>
    </row>
    <row r="36" spans="1:6" x14ac:dyDescent="0.45">
      <c r="A36" s="51" t="s">
        <v>66</v>
      </c>
      <c r="B36" s="93">
        <f t="shared" si="4"/>
        <v>497.75509551523066</v>
      </c>
      <c r="C36" s="93">
        <f t="shared" si="4"/>
        <v>485.65295406108396</v>
      </c>
      <c r="D36" s="93">
        <f t="shared" si="4"/>
        <v>412.99589299950503</v>
      </c>
      <c r="E36" s="93">
        <f t="shared" si="4"/>
        <v>496.34782479447421</v>
      </c>
      <c r="F36" s="93">
        <f t="shared" si="4"/>
        <v>55.642991532462887</v>
      </c>
    </row>
    <row r="39" spans="1:6" ht="18" x14ac:dyDescent="0.55000000000000004">
      <c r="A39" s="49" t="s">
        <v>75</v>
      </c>
      <c r="B39" s="6"/>
      <c r="C39" s="6"/>
      <c r="D39" s="6"/>
      <c r="E39" s="6"/>
      <c r="F39" s="6"/>
    </row>
    <row r="40" spans="1:6" ht="57" x14ac:dyDescent="0.45">
      <c r="A40" s="96" t="s">
        <v>78</v>
      </c>
      <c r="B40" s="57" t="s">
        <v>2</v>
      </c>
      <c r="C40" s="57" t="s">
        <v>3</v>
      </c>
      <c r="D40" s="57" t="s">
        <v>4</v>
      </c>
      <c r="E40" s="57" t="s">
        <v>5</v>
      </c>
      <c r="F40" s="57" t="s">
        <v>6</v>
      </c>
    </row>
    <row r="41" spans="1:6" x14ac:dyDescent="0.45">
      <c r="A41" s="51" t="s">
        <v>101</v>
      </c>
      <c r="B41" s="94">
        <f>B32-B$32</f>
        <v>0</v>
      </c>
      <c r="C41" s="94">
        <f t="shared" ref="C41:F41" si="5">C32-C$32</f>
        <v>0</v>
      </c>
      <c r="D41" s="94">
        <f t="shared" si="5"/>
        <v>0</v>
      </c>
      <c r="E41" s="94">
        <f t="shared" si="5"/>
        <v>0</v>
      </c>
      <c r="F41" s="94">
        <f t="shared" si="5"/>
        <v>0</v>
      </c>
    </row>
    <row r="42" spans="1:6" x14ac:dyDescent="0.45">
      <c r="A42" s="51" t="s">
        <v>63</v>
      </c>
      <c r="B42" s="94">
        <f t="shared" ref="B42:F45" si="6">B33-B$32</f>
        <v>37.152336128038883</v>
      </c>
      <c r="C42" s="94">
        <f t="shared" si="6"/>
        <v>43.807598252666651</v>
      </c>
      <c r="D42" s="94">
        <f t="shared" si="6"/>
        <v>34.349215559640527</v>
      </c>
      <c r="E42" s="94">
        <f t="shared" si="6"/>
        <v>44.908929058319188</v>
      </c>
      <c r="F42" s="94">
        <f t="shared" si="6"/>
        <v>4.5351751435115517</v>
      </c>
    </row>
    <row r="43" spans="1:6" x14ac:dyDescent="0.45">
      <c r="A43" s="51" t="s">
        <v>64</v>
      </c>
      <c r="B43" s="94">
        <f t="shared" si="6"/>
        <v>73.532527290202893</v>
      </c>
      <c r="C43" s="94">
        <f t="shared" si="6"/>
        <v>89.576957849446103</v>
      </c>
      <c r="D43" s="94">
        <f t="shared" si="6"/>
        <v>67.368177560407446</v>
      </c>
      <c r="E43" s="94">
        <f t="shared" si="6"/>
        <v>92.090005537999502</v>
      </c>
      <c r="F43" s="94">
        <f t="shared" si="6"/>
        <v>9.3701142866194829</v>
      </c>
    </row>
    <row r="44" spans="1:6" x14ac:dyDescent="0.45">
      <c r="A44" s="51" t="s">
        <v>65</v>
      </c>
      <c r="B44" s="94">
        <f t="shared" si="6"/>
        <v>105.95581429225012</v>
      </c>
      <c r="C44" s="94">
        <f t="shared" si="6"/>
        <v>134.31452523240341</v>
      </c>
      <c r="D44" s="94">
        <f t="shared" si="6"/>
        <v>97.840905795022195</v>
      </c>
      <c r="E44" s="94">
        <f t="shared" si="6"/>
        <v>138.55812506660106</v>
      </c>
      <c r="F44" s="94">
        <f t="shared" si="6"/>
        <v>14.762545175375287</v>
      </c>
    </row>
    <row r="45" spans="1:6" x14ac:dyDescent="0.45">
      <c r="A45" s="51" t="s">
        <v>66</v>
      </c>
      <c r="B45" s="94">
        <f t="shared" si="6"/>
        <v>139.62164950857988</v>
      </c>
      <c r="C45" s="94">
        <f t="shared" si="6"/>
        <v>182.77414582708548</v>
      </c>
      <c r="D45" s="94">
        <f t="shared" si="6"/>
        <v>129.98371223625952</v>
      </c>
      <c r="E45" s="94">
        <f t="shared" si="6"/>
        <v>189.22002807896808</v>
      </c>
      <c r="F45" s="94">
        <f t="shared" si="6"/>
        <v>20.812852632559327</v>
      </c>
    </row>
    <row r="48" spans="1:6" ht="18" x14ac:dyDescent="0.55000000000000004">
      <c r="A48" s="49" t="s">
        <v>76</v>
      </c>
      <c r="B48" s="6"/>
      <c r="C48" s="6"/>
      <c r="D48" s="6"/>
      <c r="E48" s="6"/>
      <c r="F48" s="6"/>
    </row>
    <row r="49" spans="1:6" ht="57" x14ac:dyDescent="0.45">
      <c r="A49" s="63" t="s">
        <v>79</v>
      </c>
      <c r="B49" s="57" t="s">
        <v>2</v>
      </c>
      <c r="C49" s="57" t="s">
        <v>3</v>
      </c>
      <c r="D49" s="57" t="s">
        <v>4</v>
      </c>
      <c r="E49" s="57" t="s">
        <v>5</v>
      </c>
      <c r="F49" s="57" t="s">
        <v>6</v>
      </c>
    </row>
    <row r="50" spans="1:6" x14ac:dyDescent="0.45">
      <c r="A50" s="51" t="s">
        <v>101</v>
      </c>
      <c r="B50" s="95">
        <f>B41*(1+Inputs!$B$12)</f>
        <v>0</v>
      </c>
      <c r="C50" s="95">
        <f>C41*(1+Inputs!$B$12)</f>
        <v>0</v>
      </c>
      <c r="D50" s="95">
        <f>D41*(1+Inputs!$B$12)</f>
        <v>0</v>
      </c>
      <c r="E50" s="95">
        <f>E41*(1+Inputs!$B$12)</f>
        <v>0</v>
      </c>
      <c r="F50" s="95">
        <f>F41*(1+Inputs!$B$12)</f>
        <v>0</v>
      </c>
    </row>
    <row r="51" spans="1:6" x14ac:dyDescent="0.45">
      <c r="A51" s="51" t="s">
        <v>63</v>
      </c>
      <c r="B51" s="95">
        <f>B42*(1+Inputs!$B$12)</f>
        <v>42.725186547244711</v>
      </c>
      <c r="C51" s="95">
        <f>C42*(1+Inputs!$B$12)</f>
        <v>50.378737990566641</v>
      </c>
      <c r="D51" s="95">
        <f>D42*(1+Inputs!$B$12)</f>
        <v>39.501597893586606</v>
      </c>
      <c r="E51" s="95">
        <f>E42*(1+Inputs!$B$12)</f>
        <v>51.645268417067065</v>
      </c>
      <c r="F51" s="95">
        <f>F42*(1+Inputs!$B$12)</f>
        <v>5.2154514150382845</v>
      </c>
    </row>
    <row r="52" spans="1:6" x14ac:dyDescent="0.45">
      <c r="A52" s="51" t="s">
        <v>64</v>
      </c>
      <c r="B52" s="95">
        <f>B43*(1+Inputs!$B$12)</f>
        <v>84.562406383733318</v>
      </c>
      <c r="C52" s="95">
        <f>C43*(1+Inputs!$B$12)</f>
        <v>103.01350152686301</v>
      </c>
      <c r="D52" s="95">
        <f>D43*(1+Inputs!$B$12)</f>
        <v>77.473404194468557</v>
      </c>
      <c r="E52" s="95">
        <f>E43*(1+Inputs!$B$12)</f>
        <v>105.90350636869942</v>
      </c>
      <c r="F52" s="95">
        <f>F43*(1+Inputs!$B$12)</f>
        <v>10.775631429612405</v>
      </c>
    </row>
    <row r="53" spans="1:6" x14ac:dyDescent="0.45">
      <c r="A53" s="51" t="s">
        <v>65</v>
      </c>
      <c r="B53" s="95">
        <f>B44*(1+Inputs!$B$12)</f>
        <v>121.84918643608763</v>
      </c>
      <c r="C53" s="95">
        <f>C44*(1+Inputs!$B$12)</f>
        <v>154.46170401726391</v>
      </c>
      <c r="D53" s="95">
        <f>D44*(1+Inputs!$B$12)</f>
        <v>112.51704166427551</v>
      </c>
      <c r="E53" s="95">
        <f>E44*(1+Inputs!$B$12)</f>
        <v>159.3418438265912</v>
      </c>
      <c r="F53" s="95">
        <f>F44*(1+Inputs!$B$12)</f>
        <v>16.97692695168158</v>
      </c>
    </row>
    <row r="54" spans="1:6" x14ac:dyDescent="0.45">
      <c r="A54" s="51" t="s">
        <v>66</v>
      </c>
      <c r="B54" s="95">
        <f>B45*(1+Inputs!$B$12)</f>
        <v>160.56489693486685</v>
      </c>
      <c r="C54" s="95">
        <f>C45*(1+Inputs!$B$12)</f>
        <v>210.19026770114829</v>
      </c>
      <c r="D54" s="95">
        <f>D45*(1+Inputs!$B$12)</f>
        <v>149.48126907169845</v>
      </c>
      <c r="E54" s="95">
        <f>E45*(1+Inputs!$B$12)</f>
        <v>217.60303229081327</v>
      </c>
      <c r="F54" s="95">
        <f>F45*(1+Inputs!$B$12)</f>
        <v>23.934780527443223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CBCC-B86D-47D6-8A42-CE82A49F1167}">
  <sheetPr codeName="Sheet7"/>
  <dimension ref="A1:M71"/>
  <sheetViews>
    <sheetView showGridLines="0" view="pageBreakPreview" zoomScaleNormal="85" zoomScaleSheetLayoutView="100" workbookViewId="0"/>
  </sheetViews>
  <sheetFormatPr defaultRowHeight="14.25" x14ac:dyDescent="0.45"/>
  <cols>
    <col min="1" max="1" width="82.86328125" customWidth="1"/>
    <col min="2" max="2" width="19.73046875" customWidth="1"/>
    <col min="3" max="3" width="18.73046875" customWidth="1"/>
    <col min="4" max="5" width="17.59765625" customWidth="1"/>
    <col min="6" max="6" width="10.73046875" bestFit="1" customWidth="1"/>
  </cols>
  <sheetData>
    <row r="1" spans="1:13" ht="25.5" x14ac:dyDescent="0.75">
      <c r="A1" s="47" t="s">
        <v>74</v>
      </c>
    </row>
    <row r="3" spans="1:13" ht="18" x14ac:dyDescent="0.55000000000000004">
      <c r="A3" s="49" t="s">
        <v>84</v>
      </c>
      <c r="B3" s="6"/>
      <c r="C3" s="6"/>
      <c r="D3" s="6"/>
      <c r="E3" s="6"/>
    </row>
    <row r="4" spans="1:13" s="53" customFormat="1" ht="42.75" x14ac:dyDescent="0.45">
      <c r="A4" s="75" t="s">
        <v>57</v>
      </c>
      <c r="B4" s="76" t="s">
        <v>2</v>
      </c>
      <c r="C4" s="76" t="s">
        <v>3</v>
      </c>
      <c r="D4" s="76" t="s">
        <v>4</v>
      </c>
      <c r="E4" s="76" t="s">
        <v>5</v>
      </c>
      <c r="F4" s="76" t="s">
        <v>95</v>
      </c>
    </row>
    <row r="5" spans="1:13" s="53" customFormat="1" x14ac:dyDescent="0.45">
      <c r="A5" s="77" t="s">
        <v>17</v>
      </c>
      <c r="B5" s="78">
        <f>'Gas Bill Breakdown'!B27*Calculations!$B$18/100</f>
        <v>115.39145700391647</v>
      </c>
      <c r="C5" s="78">
        <f>'Gas Bill Breakdown'!C27*Calculations!$B$18/100</f>
        <v>116.11130823999051</v>
      </c>
      <c r="D5" s="78">
        <f>'Gas Bill Breakdown'!D27*Calculations!$B$18/100</f>
        <v>115.39145700391647</v>
      </c>
      <c r="E5" s="78">
        <f>'Gas Bill Breakdown'!E27*Calculations!$B$18/100</f>
        <v>116.11130823999051</v>
      </c>
      <c r="F5" s="78">
        <f>AVERAGE(B5:E5)</f>
        <v>115.7513826219535</v>
      </c>
    </row>
    <row r="6" spans="1:13" s="53" customFormat="1" x14ac:dyDescent="0.45">
      <c r="A6" s="77" t="s">
        <v>18</v>
      </c>
      <c r="B6" s="78">
        <f>'Gas Bill Breakdown'!B28*Calculations!$B$18/100</f>
        <v>391.25141603897418</v>
      </c>
      <c r="C6" s="78">
        <f>'Gas Bill Breakdown'!C28*Calculations!$B$18/100</f>
        <v>393.69217571706548</v>
      </c>
      <c r="D6" s="78">
        <f>'Gas Bill Breakdown'!D28*Calculations!$B$18/100</f>
        <v>391.25141603897418</v>
      </c>
      <c r="E6" s="78">
        <f>'Gas Bill Breakdown'!E28*Calculations!$B$18/100</f>
        <v>393.69217571706548</v>
      </c>
      <c r="F6" s="78">
        <f t="shared" ref="F6:F12" si="0">AVERAGE(B6:E6)</f>
        <v>392.47179587801986</v>
      </c>
    </row>
    <row r="7" spans="1:13" s="53" customFormat="1" x14ac:dyDescent="0.45">
      <c r="A7" s="77" t="s">
        <v>19</v>
      </c>
      <c r="B7" s="78">
        <f>'Gas Bill Breakdown'!B29*Calculations!$B$18/100</f>
        <v>225.53204721222201</v>
      </c>
      <c r="C7" s="78">
        <f>'Gas Bill Breakdown'!C29*Calculations!$B$18/100</f>
        <v>226.93899298771831</v>
      </c>
      <c r="D7" s="78">
        <f>'Gas Bill Breakdown'!D29*Calculations!$B$18/100</f>
        <v>225.53204721222201</v>
      </c>
      <c r="E7" s="78">
        <f>'Gas Bill Breakdown'!E29*Calculations!$B$18/100</f>
        <v>226.93899298771831</v>
      </c>
      <c r="F7" s="78">
        <f t="shared" si="0"/>
        <v>226.23552009997016</v>
      </c>
    </row>
    <row r="8" spans="1:13" s="53" customFormat="1" x14ac:dyDescent="0.45">
      <c r="A8" s="79" t="s">
        <v>20</v>
      </c>
      <c r="B8" s="80">
        <f>'Gas Bill Breakdown'!B30*Calculations!$B$18/100</f>
        <v>384.72395518536979</v>
      </c>
      <c r="C8" s="80">
        <f>'Gas Bill Breakdown'!C30*Calculations!$B$18/100</f>
        <v>327.39654827351313</v>
      </c>
      <c r="D8" s="80">
        <f>'Gas Bill Breakdown'!D30*Calculations!$B$18/100</f>
        <v>304.02512460913982</v>
      </c>
      <c r="E8" s="80">
        <f>'Gas Bill Breakdown'!E30*Calculations!$B$18/100</f>
        <v>331.98948817119259</v>
      </c>
      <c r="F8" s="80">
        <f t="shared" si="0"/>
        <v>337.03377905980381</v>
      </c>
    </row>
    <row r="9" spans="1:13" s="53" customFormat="1" x14ac:dyDescent="0.45">
      <c r="A9" s="79" t="s">
        <v>21</v>
      </c>
      <c r="B9" s="80">
        <f>'Gas Bill Breakdown'!B31*Calculations!$B$18/100</f>
        <v>37.416189263087858</v>
      </c>
      <c r="C9" s="80">
        <f>'Gas Bill Breakdown'!C31*Calculations!$B$18/100</f>
        <v>37.64960420375629</v>
      </c>
      <c r="D9" s="80">
        <f>'Gas Bill Breakdown'!D31*Calculations!$B$18/100</f>
        <v>37.416189263087858</v>
      </c>
      <c r="E9" s="80">
        <f>'Gas Bill Breakdown'!E31*Calculations!$B$18/100</f>
        <v>37.64960420375629</v>
      </c>
      <c r="F9" s="80">
        <f t="shared" si="0"/>
        <v>37.532896733422078</v>
      </c>
      <c r="K9" s="81"/>
      <c r="L9" s="81"/>
      <c r="M9" s="81"/>
    </row>
    <row r="10" spans="1:13" s="53" customFormat="1" x14ac:dyDescent="0.45">
      <c r="A10" s="77" t="s">
        <v>31</v>
      </c>
      <c r="B10" s="78">
        <f>SUM(B5:B9)</f>
        <v>1154.3150647035704</v>
      </c>
      <c r="C10" s="78">
        <f t="shared" ref="C10:E10" si="1">SUM(C5:C9)</f>
        <v>1101.7886294220436</v>
      </c>
      <c r="D10" s="78">
        <f t="shared" si="1"/>
        <v>1073.6162341273402</v>
      </c>
      <c r="E10" s="78">
        <f t="shared" si="1"/>
        <v>1106.3815693197232</v>
      </c>
      <c r="F10" s="78">
        <f t="shared" si="0"/>
        <v>1109.0253743931694</v>
      </c>
    </row>
    <row r="11" spans="1:13" s="53" customFormat="1" x14ac:dyDescent="0.45">
      <c r="A11" s="77" t="s">
        <v>32</v>
      </c>
      <c r="B11" s="78">
        <f>B10*0.15</f>
        <v>173.14725970553556</v>
      </c>
      <c r="C11" s="78">
        <f t="shared" ref="C11:E11" si="2">C10*0.15</f>
        <v>165.26829441330653</v>
      </c>
      <c r="D11" s="78">
        <f t="shared" si="2"/>
        <v>161.04243511910104</v>
      </c>
      <c r="E11" s="78">
        <f t="shared" si="2"/>
        <v>165.95723539795847</v>
      </c>
      <c r="F11" s="78">
        <f t="shared" si="0"/>
        <v>166.3538061589754</v>
      </c>
    </row>
    <row r="12" spans="1:13" s="53" customFormat="1" x14ac:dyDescent="0.45">
      <c r="A12" s="82" t="s">
        <v>33</v>
      </c>
      <c r="B12" s="73">
        <f>B10+B11</f>
        <v>1327.462324409106</v>
      </c>
      <c r="C12" s="73">
        <f t="shared" ref="C12:E12" si="3">C10+C11</f>
        <v>1267.0569238353501</v>
      </c>
      <c r="D12" s="73">
        <f t="shared" si="3"/>
        <v>1234.6586692464414</v>
      </c>
      <c r="E12" s="73">
        <f t="shared" si="3"/>
        <v>1272.3388047176818</v>
      </c>
      <c r="F12" s="74">
        <f t="shared" si="0"/>
        <v>1275.379180552145</v>
      </c>
    </row>
    <row r="14" spans="1:13" ht="18" x14ac:dyDescent="0.55000000000000004">
      <c r="A14" s="49" t="s">
        <v>94</v>
      </c>
      <c r="B14" s="6"/>
      <c r="C14" s="6"/>
      <c r="D14" s="6"/>
      <c r="E14" s="6"/>
    </row>
    <row r="15" spans="1:13" s="53" customFormat="1" ht="42.75" x14ac:dyDescent="0.45">
      <c r="A15" s="75" t="s">
        <v>92</v>
      </c>
      <c r="B15" s="76" t="s">
        <v>2</v>
      </c>
      <c r="C15" s="76" t="s">
        <v>3</v>
      </c>
      <c r="D15" s="76" t="s">
        <v>4</v>
      </c>
      <c r="E15" s="76" t="s">
        <v>5</v>
      </c>
      <c r="F15" s="76" t="s">
        <v>95</v>
      </c>
    </row>
    <row r="16" spans="1:13" s="53" customFormat="1" x14ac:dyDescent="0.45">
      <c r="A16" s="77" t="s">
        <v>17</v>
      </c>
      <c r="B16" s="83">
        <f>B5*(1+Inputs!$B$12)/B$12</f>
        <v>9.9965304562276633E-2</v>
      </c>
      <c r="C16" s="83">
        <f>C5*(1+Inputs!$B$12)/C$12</f>
        <v>0.10538437694796149</v>
      </c>
      <c r="D16" s="83">
        <f>D5*(1+Inputs!$B$12)/D$12</f>
        <v>0.10747924010082548</v>
      </c>
      <c r="E16" s="83">
        <f>E5*(1+Inputs!$B$12)/E$12</f>
        <v>0.10494689306093866</v>
      </c>
      <c r="F16" s="83">
        <f>F5*(1+Inputs!$B$12)/F$12</f>
        <v>0.10437216793645475</v>
      </c>
    </row>
    <row r="17" spans="1:6" s="53" customFormat="1" x14ac:dyDescent="0.45">
      <c r="A17" s="77" t="s">
        <v>18</v>
      </c>
      <c r="B17" s="83">
        <f>B6*(1+Inputs!$B$12)/B$12</f>
        <v>0.33894681617054695</v>
      </c>
      <c r="C17" s="83">
        <f>C6*(1+Inputs!$B$12)/C$12</f>
        <v>0.3573209644789867</v>
      </c>
      <c r="D17" s="83">
        <f>D6*(1+Inputs!$B$12)/D$12</f>
        <v>0.36442390083360854</v>
      </c>
      <c r="E17" s="83">
        <f>E6*(1+Inputs!$B$12)/E$12</f>
        <v>0.35583761211706871</v>
      </c>
      <c r="F17" s="83">
        <f>F6*(1+Inputs!$B$12)/F$12</f>
        <v>0.35388892349985263</v>
      </c>
    </row>
    <row r="18" spans="1:6" s="53" customFormat="1" x14ac:dyDescent="0.45">
      <c r="A18" s="77" t="s">
        <v>19</v>
      </c>
      <c r="B18" s="83">
        <f>B7*(1+Inputs!$B$12)/B$12</f>
        <v>0.19538170652753192</v>
      </c>
      <c r="C18" s="83">
        <f>C7*(1+Inputs!$B$12)/C$12</f>
        <v>0.20597325741758823</v>
      </c>
      <c r="D18" s="83">
        <f>D7*(1+Inputs!$B$12)/D$12</f>
        <v>0.21006765736505428</v>
      </c>
      <c r="E18" s="83">
        <f>E7*(1+Inputs!$B$12)/E$12</f>
        <v>0.20511819726647781</v>
      </c>
      <c r="F18" s="83">
        <f>F7*(1+Inputs!$B$12)/F$12</f>
        <v>0.20399489977743787</v>
      </c>
    </row>
    <row r="19" spans="1:6" s="53" customFormat="1" ht="15" customHeight="1" x14ac:dyDescent="0.45">
      <c r="A19" s="79" t="s">
        <v>20</v>
      </c>
      <c r="B19" s="84">
        <f>B8*(1+Inputs!$B$12)/B$12</f>
        <v>0.33329198149568234</v>
      </c>
      <c r="C19" s="84">
        <f>C8*(1+Inputs!$B$12)/C$12</f>
        <v>0.29715005177104881</v>
      </c>
      <c r="D19" s="84">
        <f>D8*(1+Inputs!$B$12)/D$12</f>
        <v>0.28317858369220572</v>
      </c>
      <c r="E19" s="84">
        <f>E8*(1+Inputs!$B$12)/E$12</f>
        <v>0.30006780425248919</v>
      </c>
      <c r="F19" s="71">
        <f>F8*(1+Inputs!$B$12)/F$12</f>
        <v>0.30390087264163818</v>
      </c>
    </row>
    <row r="20" spans="1:6" s="53" customFormat="1" x14ac:dyDescent="0.45">
      <c r="A20" s="79" t="s">
        <v>21</v>
      </c>
      <c r="B20" s="84">
        <f>B9*(1+Inputs!$B$12)/B$12</f>
        <v>3.2414191243961957E-2</v>
      </c>
      <c r="C20" s="84">
        <f>C9*(1+Inputs!$B$12)/C$12</f>
        <v>3.4171349384414899E-2</v>
      </c>
      <c r="D20" s="84">
        <f>D9*(1+Inputs!$B$12)/D$12</f>
        <v>3.4850618008305904E-2</v>
      </c>
      <c r="E20" s="84">
        <f>E9*(1+Inputs!$B$12)/E$12</f>
        <v>3.4029493303025425E-2</v>
      </c>
      <c r="F20" s="71">
        <f>F9*(1+Inputs!$B$12)/F$12</f>
        <v>3.3843136144616273E-2</v>
      </c>
    </row>
    <row r="21" spans="1:6" s="53" customFormat="1" x14ac:dyDescent="0.45">
      <c r="A21" s="77" t="s">
        <v>31</v>
      </c>
      <c r="B21" s="83">
        <f>SUM(B16:B20)</f>
        <v>0.99999999999999978</v>
      </c>
      <c r="C21" s="83">
        <f t="shared" ref="C21:E21" si="4">SUM(C16:C20)</f>
        <v>1</v>
      </c>
      <c r="D21" s="83">
        <f t="shared" si="4"/>
        <v>0.99999999999999989</v>
      </c>
      <c r="E21" s="83">
        <f t="shared" si="4"/>
        <v>0.99999999999999978</v>
      </c>
      <c r="F21" s="83">
        <f t="shared" ref="F21" si="5">SUM(F16:F20)</f>
        <v>0.99999999999999978</v>
      </c>
    </row>
    <row r="22" spans="1:6" s="53" customFormat="1" x14ac:dyDescent="0.45">
      <c r="A22" s="77" t="s">
        <v>32</v>
      </c>
      <c r="B22" s="83">
        <f>B21*0.15</f>
        <v>0.14999999999999997</v>
      </c>
      <c r="C22" s="83">
        <f t="shared" ref="C22:E22" si="6">C21*0.15</f>
        <v>0.15</v>
      </c>
      <c r="D22" s="83">
        <f t="shared" si="6"/>
        <v>0.14999999999999997</v>
      </c>
      <c r="E22" s="83">
        <f t="shared" si="6"/>
        <v>0.14999999999999997</v>
      </c>
      <c r="F22" s="83">
        <f t="shared" ref="F22" si="7">F21*0.15</f>
        <v>0.14999999999999997</v>
      </c>
    </row>
    <row r="23" spans="1:6" s="53" customFormat="1" x14ac:dyDescent="0.45">
      <c r="A23" s="82" t="s">
        <v>33</v>
      </c>
      <c r="B23" s="72">
        <f>B21+B22</f>
        <v>1.1499999999999997</v>
      </c>
      <c r="C23" s="72">
        <f t="shared" ref="C23:F23" si="8">C21+C22</f>
        <v>1.1499999999999999</v>
      </c>
      <c r="D23" s="72">
        <f t="shared" si="8"/>
        <v>1.1499999999999999</v>
      </c>
      <c r="E23" s="72">
        <f t="shared" si="8"/>
        <v>1.1499999999999997</v>
      </c>
      <c r="F23" s="72">
        <f t="shared" si="8"/>
        <v>1.1499999999999997</v>
      </c>
    </row>
    <row r="24" spans="1:6" x14ac:dyDescent="0.45">
      <c r="A24" s="13"/>
      <c r="B24" s="14"/>
      <c r="C24" s="14"/>
      <c r="D24" s="14"/>
      <c r="E24" s="14"/>
    </row>
    <row r="25" spans="1:6" ht="18" x14ac:dyDescent="0.55000000000000004">
      <c r="A25" s="49" t="s">
        <v>81</v>
      </c>
      <c r="B25" s="6"/>
      <c r="C25" s="6"/>
      <c r="D25" s="6"/>
      <c r="E25" s="6"/>
      <c r="F25" s="6"/>
    </row>
    <row r="26" spans="1:6" s="53" customFormat="1" ht="22.5" customHeight="1" x14ac:dyDescent="0.45">
      <c r="A26" s="57"/>
      <c r="B26" s="76" t="s">
        <v>2</v>
      </c>
      <c r="C26" s="76" t="s">
        <v>3</v>
      </c>
      <c r="D26" s="76" t="s">
        <v>4</v>
      </c>
      <c r="E26" s="76" t="s">
        <v>5</v>
      </c>
      <c r="F26" s="76"/>
    </row>
    <row r="27" spans="1:6" s="53" customFormat="1" x14ac:dyDescent="0.45">
      <c r="A27" s="51" t="s">
        <v>63</v>
      </c>
      <c r="B27" s="85">
        <f>'GPBs Gas Bill DPP3 Impact'!B42+'GPBs Gas Bill DPP3 Impact'!$F42</f>
        <v>41.687511271550434</v>
      </c>
      <c r="C27" s="85">
        <f>'GPBs Gas Bill DPP3 Impact'!C42+'GPBs Gas Bill DPP3 Impact'!$F42</f>
        <v>48.342773396178202</v>
      </c>
      <c r="D27" s="85">
        <f>'GPBs Gas Bill DPP3 Impact'!D42+'GPBs Gas Bill DPP3 Impact'!$F42</f>
        <v>38.884390703152079</v>
      </c>
      <c r="E27" s="85">
        <f>'GPBs Gas Bill DPP3 Impact'!E42+'GPBs Gas Bill DPP3 Impact'!$F42</f>
        <v>49.44410420183074</v>
      </c>
    </row>
    <row r="28" spans="1:6" s="53" customFormat="1" x14ac:dyDescent="0.45">
      <c r="A28" s="51" t="s">
        <v>64</v>
      </c>
      <c r="B28" s="85">
        <f>'GPBs Gas Bill DPP3 Impact'!B43+'GPBs Gas Bill DPP3 Impact'!$F43</f>
        <v>82.902641576822376</v>
      </c>
      <c r="C28" s="85">
        <f>'GPBs Gas Bill DPP3 Impact'!C43+'GPBs Gas Bill DPP3 Impact'!$F43</f>
        <v>98.947072136065586</v>
      </c>
      <c r="D28" s="85">
        <f>'GPBs Gas Bill DPP3 Impact'!D43+'GPBs Gas Bill DPP3 Impact'!$F43</f>
        <v>76.738291847026929</v>
      </c>
      <c r="E28" s="85">
        <f>'GPBs Gas Bill DPP3 Impact'!E43+'GPBs Gas Bill DPP3 Impact'!$F43</f>
        <v>101.46011982461899</v>
      </c>
    </row>
    <row r="29" spans="1:6" s="53" customFormat="1" x14ac:dyDescent="0.45">
      <c r="A29" s="51" t="s">
        <v>65</v>
      </c>
      <c r="B29" s="85">
        <f>'GPBs Gas Bill DPP3 Impact'!B44+'GPBs Gas Bill DPP3 Impact'!$F44</f>
        <v>120.71835946762542</v>
      </c>
      <c r="C29" s="85">
        <f>'GPBs Gas Bill DPP3 Impact'!C44+'GPBs Gas Bill DPP3 Impact'!$F44</f>
        <v>149.07707040777871</v>
      </c>
      <c r="D29" s="85">
        <f>'GPBs Gas Bill DPP3 Impact'!D44+'GPBs Gas Bill DPP3 Impact'!$F44</f>
        <v>112.60345097039749</v>
      </c>
      <c r="E29" s="85">
        <f>'GPBs Gas Bill DPP3 Impact'!E44+'GPBs Gas Bill DPP3 Impact'!$F44</f>
        <v>153.32067024197636</v>
      </c>
    </row>
    <row r="30" spans="1:6" s="53" customFormat="1" x14ac:dyDescent="0.45">
      <c r="A30" s="51" t="s">
        <v>66</v>
      </c>
      <c r="B30" s="85">
        <f>'GPBs Gas Bill DPP3 Impact'!B45+'GPBs Gas Bill DPP3 Impact'!$F45</f>
        <v>160.43450214113921</v>
      </c>
      <c r="C30" s="85">
        <f>'GPBs Gas Bill DPP3 Impact'!C45+'GPBs Gas Bill DPP3 Impact'!$F45</f>
        <v>203.5869984596448</v>
      </c>
      <c r="D30" s="85">
        <f>'GPBs Gas Bill DPP3 Impact'!D45+'GPBs Gas Bill DPP3 Impact'!$F45</f>
        <v>150.79656486881885</v>
      </c>
      <c r="E30" s="85">
        <f>'GPBs Gas Bill DPP3 Impact'!E45+'GPBs Gas Bill DPP3 Impact'!$F45</f>
        <v>210.03288071152741</v>
      </c>
    </row>
    <row r="33" spans="1:6" ht="18" x14ac:dyDescent="0.55000000000000004">
      <c r="A33" s="49" t="s">
        <v>80</v>
      </c>
      <c r="B33" s="6"/>
      <c r="C33" s="6"/>
      <c r="D33" s="6"/>
      <c r="E33" s="6"/>
    </row>
    <row r="34" spans="1:6" s="53" customFormat="1" ht="42.75" x14ac:dyDescent="0.45">
      <c r="A34" s="48"/>
      <c r="B34" s="76" t="s">
        <v>2</v>
      </c>
      <c r="C34" s="76" t="s">
        <v>3</v>
      </c>
      <c r="D34" s="76" t="s">
        <v>4</v>
      </c>
      <c r="E34" s="76" t="s">
        <v>5</v>
      </c>
      <c r="F34" s="76" t="s">
        <v>95</v>
      </c>
    </row>
    <row r="35" spans="1:6" s="53" customFormat="1" ht="15" customHeight="1" x14ac:dyDescent="0.45">
      <c r="A35" s="51" t="s">
        <v>63</v>
      </c>
      <c r="B35" s="86">
        <f t="shared" ref="B35:E37" si="9">B27*1.15</f>
        <v>47.940637962282999</v>
      </c>
      <c r="C35" s="86">
        <f t="shared" si="9"/>
        <v>55.594189405604929</v>
      </c>
      <c r="D35" s="87">
        <f t="shared" si="9"/>
        <v>44.717049308624887</v>
      </c>
      <c r="E35" s="87">
        <f t="shared" si="9"/>
        <v>56.860719832105346</v>
      </c>
      <c r="F35" s="86">
        <f>AVERAGE(B35:E35)</f>
        <v>51.278149127154535</v>
      </c>
    </row>
    <row r="36" spans="1:6" s="53" customFormat="1" x14ac:dyDescent="0.45">
      <c r="A36" s="51" t="s">
        <v>64</v>
      </c>
      <c r="B36" s="86">
        <f t="shared" si="9"/>
        <v>95.338037813345721</v>
      </c>
      <c r="C36" s="86">
        <f t="shared" si="9"/>
        <v>113.78913295647541</v>
      </c>
      <c r="D36" s="87">
        <f t="shared" si="9"/>
        <v>88.24903562408096</v>
      </c>
      <c r="E36" s="87">
        <f t="shared" si="9"/>
        <v>116.67913779831183</v>
      </c>
      <c r="F36" s="86">
        <f t="shared" ref="F36:F38" si="10">AVERAGE(B36:E36)</f>
        <v>103.51383604805348</v>
      </c>
    </row>
    <row r="37" spans="1:6" s="53" customFormat="1" x14ac:dyDescent="0.45">
      <c r="A37" s="51" t="s">
        <v>65</v>
      </c>
      <c r="B37" s="86">
        <f t="shared" si="9"/>
        <v>138.82611338776923</v>
      </c>
      <c r="C37" s="86">
        <f t="shared" si="9"/>
        <v>171.43863096894549</v>
      </c>
      <c r="D37" s="87">
        <f t="shared" si="9"/>
        <v>129.4939686159571</v>
      </c>
      <c r="E37" s="87">
        <f t="shared" si="9"/>
        <v>176.31877077827281</v>
      </c>
      <c r="F37" s="86">
        <f t="shared" si="10"/>
        <v>154.01937093773614</v>
      </c>
    </row>
    <row r="38" spans="1:6" s="53" customFormat="1" x14ac:dyDescent="0.45">
      <c r="A38" s="51" t="s">
        <v>66</v>
      </c>
      <c r="B38" s="86">
        <f t="shared" ref="B38:E38" si="11">B30*1.15</f>
        <v>184.49967746231007</v>
      </c>
      <c r="C38" s="86">
        <f t="shared" si="11"/>
        <v>234.12504822859151</v>
      </c>
      <c r="D38" s="87">
        <f t="shared" si="11"/>
        <v>173.41604959914167</v>
      </c>
      <c r="E38" s="87">
        <f t="shared" si="11"/>
        <v>241.5378128182565</v>
      </c>
      <c r="F38" s="86">
        <f t="shared" si="10"/>
        <v>208.39464702707494</v>
      </c>
    </row>
    <row r="39" spans="1:6" s="53" customFormat="1" x14ac:dyDescent="0.45">
      <c r="D39" s="88"/>
      <c r="E39" s="88"/>
    </row>
    <row r="40" spans="1:6" x14ac:dyDescent="0.45">
      <c r="D40" s="44"/>
      <c r="E40" s="44"/>
    </row>
    <row r="41" spans="1:6" ht="18" x14ac:dyDescent="0.55000000000000004">
      <c r="A41" s="49" t="s">
        <v>100</v>
      </c>
      <c r="B41" s="6"/>
      <c r="C41" s="6"/>
      <c r="D41" s="46"/>
      <c r="E41" s="46"/>
    </row>
    <row r="42" spans="1:6" s="53" customFormat="1" ht="42.75" x14ac:dyDescent="0.45">
      <c r="A42" s="48"/>
      <c r="B42" s="76" t="s">
        <v>2</v>
      </c>
      <c r="C42" s="76" t="s">
        <v>3</v>
      </c>
      <c r="D42" s="76" t="s">
        <v>4</v>
      </c>
      <c r="E42" s="76" t="s">
        <v>5</v>
      </c>
      <c r="F42" s="76" t="s">
        <v>95</v>
      </c>
    </row>
    <row r="43" spans="1:6" s="53" customFormat="1" x14ac:dyDescent="0.45">
      <c r="A43" s="51" t="s">
        <v>63</v>
      </c>
      <c r="B43" s="86">
        <f>B35</f>
        <v>47.940637962282999</v>
      </c>
      <c r="C43" s="86">
        <f t="shared" ref="C43:F43" si="12">C35</f>
        <v>55.594189405604929</v>
      </c>
      <c r="D43" s="87">
        <f t="shared" si="12"/>
        <v>44.717049308624887</v>
      </c>
      <c r="E43" s="87">
        <f t="shared" si="12"/>
        <v>56.860719832105346</v>
      </c>
      <c r="F43" s="86">
        <f t="shared" si="12"/>
        <v>51.278149127154535</v>
      </c>
    </row>
    <row r="44" spans="1:6" s="53" customFormat="1" x14ac:dyDescent="0.45">
      <c r="A44" s="51" t="s">
        <v>64</v>
      </c>
      <c r="B44" s="86">
        <f>B36-B35</f>
        <v>47.397399851062723</v>
      </c>
      <c r="C44" s="86">
        <f t="shared" ref="C44:F44" si="13">C36-C35</f>
        <v>58.194943550870484</v>
      </c>
      <c r="D44" s="87">
        <f t="shared" si="13"/>
        <v>43.531986315456074</v>
      </c>
      <c r="E44" s="87">
        <f t="shared" si="13"/>
        <v>59.818417966206482</v>
      </c>
      <c r="F44" s="86">
        <f t="shared" si="13"/>
        <v>52.235686920898942</v>
      </c>
    </row>
    <row r="45" spans="1:6" s="53" customFormat="1" x14ac:dyDescent="0.45">
      <c r="A45" s="51" t="s">
        <v>65</v>
      </c>
      <c r="B45" s="86">
        <f t="shared" ref="B45:F46" si="14">B37-B36</f>
        <v>43.488075574423505</v>
      </c>
      <c r="C45" s="86">
        <f t="shared" si="14"/>
        <v>57.649498012470076</v>
      </c>
      <c r="D45" s="87">
        <f t="shared" si="14"/>
        <v>41.244932991876141</v>
      </c>
      <c r="E45" s="87">
        <f t="shared" si="14"/>
        <v>59.639632979960979</v>
      </c>
      <c r="F45" s="86">
        <f t="shared" si="14"/>
        <v>50.505534889682664</v>
      </c>
    </row>
    <row r="46" spans="1:6" s="53" customFormat="1" x14ac:dyDescent="0.45">
      <c r="A46" s="51" t="s">
        <v>66</v>
      </c>
      <c r="B46" s="86">
        <f t="shared" si="14"/>
        <v>45.673564074540849</v>
      </c>
      <c r="C46" s="86">
        <f t="shared" si="14"/>
        <v>62.686417259646021</v>
      </c>
      <c r="D46" s="87">
        <f t="shared" si="14"/>
        <v>43.922080983184571</v>
      </c>
      <c r="E46" s="87">
        <f t="shared" si="14"/>
        <v>65.219042039983691</v>
      </c>
      <c r="F46" s="86">
        <f t="shared" si="14"/>
        <v>54.375276089338797</v>
      </c>
    </row>
    <row r="47" spans="1:6" x14ac:dyDescent="0.45">
      <c r="B47" s="15"/>
      <c r="C47" s="15"/>
      <c r="D47" s="45"/>
      <c r="E47" s="45"/>
      <c r="F47" s="16">
        <f>AVERAGE(F43:F46)</f>
        <v>52.098661756768735</v>
      </c>
    </row>
    <row r="49" spans="1:6" ht="18" x14ac:dyDescent="0.55000000000000004">
      <c r="A49" s="49" t="s">
        <v>82</v>
      </c>
      <c r="B49" s="6"/>
      <c r="C49" s="6"/>
      <c r="D49" s="6"/>
      <c r="E49" s="6"/>
    </row>
    <row r="50" spans="1:6" s="53" customFormat="1" ht="42.75" x14ac:dyDescent="0.45">
      <c r="A50" s="48"/>
      <c r="B50" s="67" t="s">
        <v>2</v>
      </c>
      <c r="C50" s="67" t="s">
        <v>3</v>
      </c>
      <c r="D50" s="67" t="s">
        <v>4</v>
      </c>
      <c r="E50" s="67" t="s">
        <v>5</v>
      </c>
      <c r="F50" s="76" t="s">
        <v>95</v>
      </c>
    </row>
    <row r="51" spans="1:6" s="53" customFormat="1" x14ac:dyDescent="0.45">
      <c r="A51" s="51" t="s">
        <v>101</v>
      </c>
      <c r="B51" s="89">
        <f>B12</f>
        <v>1327.462324409106</v>
      </c>
      <c r="C51" s="89">
        <f>C12</f>
        <v>1267.0569238353501</v>
      </c>
      <c r="D51" s="89">
        <f>D12</f>
        <v>1234.6586692464414</v>
      </c>
      <c r="E51" s="89">
        <f>E12</f>
        <v>1272.3388047176818</v>
      </c>
      <c r="F51" s="90">
        <f>AVERAGE(B51:E51)</f>
        <v>1275.379180552145</v>
      </c>
    </row>
    <row r="52" spans="1:6" s="53" customFormat="1" x14ac:dyDescent="0.45">
      <c r="A52" s="51" t="s">
        <v>63</v>
      </c>
      <c r="B52" s="89">
        <f t="shared" ref="B52:E55" si="15">B$51+B35</f>
        <v>1375.4029623713891</v>
      </c>
      <c r="C52" s="89">
        <f t="shared" si="15"/>
        <v>1322.6511132409551</v>
      </c>
      <c r="D52" s="89">
        <f t="shared" si="15"/>
        <v>1279.3757185550662</v>
      </c>
      <c r="E52" s="89">
        <f t="shared" si="15"/>
        <v>1329.1995245497872</v>
      </c>
      <c r="F52" s="90">
        <f t="shared" ref="F52:F55" si="16">AVERAGE(B52:E52)</f>
        <v>1326.6573296792994</v>
      </c>
    </row>
    <row r="53" spans="1:6" s="53" customFormat="1" x14ac:dyDescent="0.45">
      <c r="A53" s="51" t="s">
        <v>64</v>
      </c>
      <c r="B53" s="89">
        <f t="shared" si="15"/>
        <v>1422.8003622224517</v>
      </c>
      <c r="C53" s="89">
        <f t="shared" si="15"/>
        <v>1380.8460567918255</v>
      </c>
      <c r="D53" s="89">
        <f t="shared" si="15"/>
        <v>1322.9077048705224</v>
      </c>
      <c r="E53" s="89">
        <f t="shared" si="15"/>
        <v>1389.0179425159936</v>
      </c>
      <c r="F53" s="90">
        <f t="shared" si="16"/>
        <v>1378.8930166001983</v>
      </c>
    </row>
    <row r="54" spans="1:6" s="53" customFormat="1" x14ac:dyDescent="0.45">
      <c r="A54" s="51" t="s">
        <v>65</v>
      </c>
      <c r="B54" s="89">
        <f t="shared" si="15"/>
        <v>1466.2884377968753</v>
      </c>
      <c r="C54" s="89">
        <f t="shared" si="15"/>
        <v>1438.4955548042956</v>
      </c>
      <c r="D54" s="89">
        <f t="shared" si="15"/>
        <v>1364.1526378623985</v>
      </c>
      <c r="E54" s="89">
        <f t="shared" si="15"/>
        <v>1448.6575754959547</v>
      </c>
      <c r="F54" s="90">
        <f t="shared" si="16"/>
        <v>1429.3985514898811</v>
      </c>
    </row>
    <row r="55" spans="1:6" s="53" customFormat="1" x14ac:dyDescent="0.45">
      <c r="A55" s="51" t="s">
        <v>66</v>
      </c>
      <c r="B55" s="89">
        <f t="shared" si="15"/>
        <v>1511.9620018714161</v>
      </c>
      <c r="C55" s="89">
        <f t="shared" si="15"/>
        <v>1501.1819720639417</v>
      </c>
      <c r="D55" s="89">
        <f t="shared" si="15"/>
        <v>1408.074718845583</v>
      </c>
      <c r="E55" s="89">
        <f t="shared" si="15"/>
        <v>1513.8766175359383</v>
      </c>
      <c r="F55" s="90">
        <f t="shared" si="16"/>
        <v>1483.7738275792199</v>
      </c>
    </row>
    <row r="56" spans="1:6" x14ac:dyDescent="0.45">
      <c r="F56" s="16">
        <f>AVERAGE(F51:F55)</f>
        <v>1378.8203811801488</v>
      </c>
    </row>
    <row r="58" spans="1:6" ht="18" x14ac:dyDescent="0.55000000000000004">
      <c r="A58" s="49" t="s">
        <v>83</v>
      </c>
      <c r="B58" s="6"/>
      <c r="C58" s="6"/>
      <c r="D58" s="6"/>
      <c r="E58" s="6"/>
    </row>
    <row r="59" spans="1:6" s="53" customFormat="1" ht="42.75" x14ac:dyDescent="0.45">
      <c r="A59" s="57"/>
      <c r="B59" s="67" t="s">
        <v>2</v>
      </c>
      <c r="C59" s="67" t="s">
        <v>3</v>
      </c>
      <c r="D59" s="67" t="s">
        <v>4</v>
      </c>
      <c r="E59" s="67" t="s">
        <v>5</v>
      </c>
      <c r="F59" s="76" t="s">
        <v>95</v>
      </c>
    </row>
    <row r="60" spans="1:6" s="53" customFormat="1" x14ac:dyDescent="0.45">
      <c r="A60" s="51" t="s">
        <v>63</v>
      </c>
      <c r="B60" s="70">
        <f t="shared" ref="B60:D63" si="17">B52/B$51-1</f>
        <v>3.6114499885051554E-2</v>
      </c>
      <c r="C60" s="70">
        <f t="shared" si="17"/>
        <v>4.3876631238731312E-2</v>
      </c>
      <c r="D60" s="70">
        <f t="shared" si="17"/>
        <v>3.6218147106128695E-2</v>
      </c>
      <c r="E60" s="70">
        <f t="shared" ref="E60:F60" si="18">E52/E$51-1</f>
        <v>4.4689920342972034E-2</v>
      </c>
      <c r="F60" s="70">
        <f t="shared" si="18"/>
        <v>4.0206198994839015E-2</v>
      </c>
    </row>
    <row r="61" spans="1:6" s="53" customFormat="1" x14ac:dyDescent="0.45">
      <c r="A61" s="51" t="s">
        <v>64</v>
      </c>
      <c r="B61" s="70">
        <f t="shared" si="17"/>
        <v>7.1819769239615416E-2</v>
      </c>
      <c r="C61" s="70">
        <f t="shared" si="17"/>
        <v>8.9805857034456205E-2</v>
      </c>
      <c r="D61" s="70">
        <f t="shared" si="17"/>
        <v>7.1476463756531716E-2</v>
      </c>
      <c r="E61" s="70">
        <f t="shared" ref="E61:F61" si="19">E53/E$51-1</f>
        <v>9.1704455893099723E-2</v>
      </c>
      <c r="F61" s="70">
        <f t="shared" si="19"/>
        <v>8.1163184742626404E-2</v>
      </c>
    </row>
    <row r="62" spans="1:6" s="53" customFormat="1" x14ac:dyDescent="0.45">
      <c r="A62" s="51" t="s">
        <v>65</v>
      </c>
      <c r="B62" s="70">
        <f t="shared" si="17"/>
        <v>0.10458007796911684</v>
      </c>
      <c r="C62" s="70">
        <f t="shared" si="17"/>
        <v>0.13530460056206861</v>
      </c>
      <c r="D62" s="70">
        <f t="shared" si="17"/>
        <v>0.10488240340546273</v>
      </c>
      <c r="E62" s="70">
        <f t="shared" ref="E62:F62" si="20">E54/E$51-1</f>
        <v>0.13857847463623973</v>
      </c>
      <c r="F62" s="70">
        <f t="shared" si="20"/>
        <v>0.12076359194687258</v>
      </c>
    </row>
    <row r="63" spans="1:6" s="53" customFormat="1" x14ac:dyDescent="0.45">
      <c r="A63" s="51" t="s">
        <v>66</v>
      </c>
      <c r="B63" s="70">
        <f t="shared" si="17"/>
        <v>0.1389867524446966</v>
      </c>
      <c r="C63" s="70">
        <f t="shared" si="17"/>
        <v>0.18477863450672838</v>
      </c>
      <c r="D63" s="70">
        <f t="shared" si="17"/>
        <v>0.14045667350716773</v>
      </c>
      <c r="E63" s="70">
        <f t="shared" ref="E63:F63" si="21">E55/E$51-1</f>
        <v>0.18983765324350932</v>
      </c>
      <c r="F63" s="70">
        <f t="shared" si="21"/>
        <v>0.16339818793094563</v>
      </c>
    </row>
    <row r="64" spans="1:6" s="53" customFormat="1" x14ac:dyDescent="0.45"/>
    <row r="65" spans="1:6" ht="18" x14ac:dyDescent="0.55000000000000004">
      <c r="A65" s="49" t="s">
        <v>99</v>
      </c>
      <c r="B65" s="6"/>
      <c r="C65" s="6"/>
      <c r="D65" s="6"/>
      <c r="E65" s="6"/>
    </row>
    <row r="66" spans="1:6" s="53" customFormat="1" ht="36.75" customHeight="1" x14ac:dyDescent="0.45">
      <c r="A66" s="57"/>
      <c r="B66" s="67" t="s">
        <v>2</v>
      </c>
      <c r="C66" s="67" t="s">
        <v>3</v>
      </c>
      <c r="D66" s="67" t="s">
        <v>4</v>
      </c>
      <c r="E66" s="67" t="s">
        <v>5</v>
      </c>
      <c r="F66" s="76" t="s">
        <v>95</v>
      </c>
    </row>
    <row r="67" spans="1:6" s="53" customFormat="1" x14ac:dyDescent="0.45">
      <c r="A67" s="51" t="s">
        <v>63</v>
      </c>
      <c r="B67" s="70">
        <f>B60</f>
        <v>3.6114499885051554E-2</v>
      </c>
      <c r="C67" s="70">
        <f t="shared" ref="C67:E67" si="22">C60</f>
        <v>4.3876631238731312E-2</v>
      </c>
      <c r="D67" s="70">
        <f t="shared" si="22"/>
        <v>3.6218147106128695E-2</v>
      </c>
      <c r="E67" s="70">
        <f t="shared" si="22"/>
        <v>4.4689920342972034E-2</v>
      </c>
      <c r="F67" s="70">
        <f t="shared" ref="F67" si="23">F60</f>
        <v>4.0206198994839015E-2</v>
      </c>
    </row>
    <row r="68" spans="1:6" s="53" customFormat="1" x14ac:dyDescent="0.45">
      <c r="A68" s="51" t="s">
        <v>64</v>
      </c>
      <c r="B68" s="70">
        <f>B61-B60</f>
        <v>3.5705269354563862E-2</v>
      </c>
      <c r="C68" s="70">
        <f t="shared" ref="C68:E68" si="24">C61-C60</f>
        <v>4.5929225795724893E-2</v>
      </c>
      <c r="D68" s="70">
        <f t="shared" si="24"/>
        <v>3.5258316650403021E-2</v>
      </c>
      <c r="E68" s="70">
        <f t="shared" si="24"/>
        <v>4.701453555012769E-2</v>
      </c>
      <c r="F68" s="70">
        <f t="shared" ref="F68" si="25">F61-F60</f>
        <v>4.0956985747787389E-2</v>
      </c>
    </row>
    <row r="69" spans="1:6" s="53" customFormat="1" x14ac:dyDescent="0.45">
      <c r="A69" s="51" t="s">
        <v>65</v>
      </c>
      <c r="B69" s="70">
        <f t="shared" ref="B69:E69" si="26">B62-B61</f>
        <v>3.2760308729501419E-2</v>
      </c>
      <c r="C69" s="70">
        <f t="shared" si="26"/>
        <v>4.5498743527612406E-2</v>
      </c>
      <c r="D69" s="70">
        <f t="shared" si="26"/>
        <v>3.3405939648931016E-2</v>
      </c>
      <c r="E69" s="70">
        <f t="shared" si="26"/>
        <v>4.6874018743140011E-2</v>
      </c>
      <c r="F69" s="70">
        <f t="shared" ref="F69" si="27">F62-F61</f>
        <v>3.960040720424618E-2</v>
      </c>
    </row>
    <row r="70" spans="1:6" s="53" customFormat="1" x14ac:dyDescent="0.45">
      <c r="A70" s="51" t="s">
        <v>66</v>
      </c>
      <c r="B70" s="70">
        <f t="shared" ref="B70:E70" si="28">B63-B62</f>
        <v>3.4406674475579768E-2</v>
      </c>
      <c r="C70" s="70">
        <f t="shared" si="28"/>
        <v>4.9474033944659768E-2</v>
      </c>
      <c r="D70" s="70">
        <f t="shared" si="28"/>
        <v>3.5574270101704997E-2</v>
      </c>
      <c r="E70" s="70">
        <f t="shared" si="28"/>
        <v>5.1259178607269584E-2</v>
      </c>
      <c r="F70" s="70">
        <f t="shared" ref="F70" si="29">F63-F62</f>
        <v>4.2634595984073043E-2</v>
      </c>
    </row>
    <row r="71" spans="1:6" s="53" customFormat="1" x14ac:dyDescent="0.45">
      <c r="F71" s="17">
        <f>AVERAGE(F67:F70)</f>
        <v>4.0849546982736407E-2</v>
      </c>
    </row>
  </sheetData>
  <conditionalFormatting sqref="B67:F70">
    <cfRule type="top10" dxfId="5" priority="9" bottom="1" rank="1"/>
    <cfRule type="top10" dxfId="4" priority="10" rank="1"/>
  </conditionalFormatting>
  <conditionalFormatting sqref="B35:E38">
    <cfRule type="top10" dxfId="3" priority="7" bottom="1" rank="1"/>
    <cfRule type="top10" dxfId="2" priority="8" rank="1"/>
  </conditionalFormatting>
  <conditionalFormatting sqref="B43:E47">
    <cfRule type="top10" dxfId="1" priority="11" bottom="1" rank="1"/>
    <cfRule type="top10" dxfId="0" priority="12" rank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CoverSheet</vt:lpstr>
      <vt:lpstr>Table of Contents</vt:lpstr>
      <vt:lpstr>Inputs</vt:lpstr>
      <vt:lpstr>Calculations</vt:lpstr>
      <vt:lpstr>Gas Bill Breakdown</vt:lpstr>
      <vt:lpstr>GPBs Gas Bill DPP3 Impact</vt:lpstr>
      <vt:lpstr>Gas Bill DPP3 Impact</vt:lpstr>
      <vt:lpstr>CPI_JUNE_YE_2022</vt:lpstr>
      <vt:lpstr>CPI_SEP_YE_2022</vt:lpstr>
      <vt:lpstr>demand_kWh_per_household</vt:lpstr>
      <vt:lpstr>Calculations!Print_Area</vt:lpstr>
      <vt:lpstr>CoverSheet!Print_Area</vt:lpstr>
      <vt:lpstr>'Gas Bill Breakdown'!Print_Area</vt:lpstr>
      <vt:lpstr>'Gas Bill DPP3 Impact'!Print_Area</vt:lpstr>
      <vt:lpstr>'GPBs Gas Bill DPP3 Impact'!Print_Area</vt:lpstr>
      <vt:lpstr>Inputs!Print_Area</vt:lpstr>
      <vt:lpstr>'Table of Contents'!Print_Area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2022-02-07T00:25:04Z</dcterms:created>
  <dcterms:modified xsi:type="dcterms:W3CDTF">2022-02-07T17:55:44Z</dcterms:modified>
  <cp:category/>
  <cp:contentStatus/>
</cp:coreProperties>
</file>