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1520" windowHeight="9360"/>
  </bookViews>
  <sheets>
    <sheet name="CoverSheet" sheetId="9" r:id="rId1"/>
    <sheet name="Description" sheetId="10" r:id="rId2"/>
    <sheet name="Table of Contents" sheetId="11" r:id="rId3"/>
    <sheet name="Inputs" sheetId="2" r:id="rId4"/>
    <sheet name="Scenario Manager" sheetId="14" r:id="rId5"/>
    <sheet name="Timing factors" sheetId="19" r:id="rId6"/>
    <sheet name="Default asset base" sheetId="12" r:id="rId7"/>
    <sheet name="Scenario asset base" sheetId="17" r:id="rId8"/>
    <sheet name="Forecast revenue and tax" sheetId="15" r:id="rId9"/>
    <sheet name="Required revenue (mid point)" sheetId="18" r:id="rId10"/>
    <sheet name="Req Rev (reasonable target)" sheetId="20" r:id="rId11"/>
    <sheet name="IRR" sheetId="16" r:id="rId12"/>
    <sheet name="Output" sheetId="13" r:id="rId13"/>
  </sheets>
  <definedNames>
    <definedName name="_xlnm.Print_Area" localSheetId="0">CoverSheet!$A$1:$D$18</definedName>
    <definedName name="_xlnm.Print_Area" localSheetId="6">'Default asset base'!$A$1:$K$163</definedName>
    <definedName name="_xlnm.Print_Area" localSheetId="1">Description!$A$1:$F$9</definedName>
    <definedName name="_xlnm.Print_Area" localSheetId="8">'Forecast revenue and tax'!$A$1:$K$68</definedName>
    <definedName name="_xlnm.Print_Area" localSheetId="3">Inputs!$A$1:$K$121</definedName>
    <definedName name="_xlnm.Print_Area" localSheetId="11">IRR!$A$1:$Q$110</definedName>
    <definedName name="_xlnm.Print_Area" localSheetId="12">Output!$A$1:$H$23</definedName>
    <definedName name="_xlnm.Print_Area" localSheetId="10">'Req Rev (reasonable target)'!$A$1:$K$107</definedName>
    <definedName name="_xlnm.Print_Area" localSheetId="9">'Required revenue (mid point)'!$A$1:$K$107</definedName>
    <definedName name="_xlnm.Print_Area" localSheetId="7">'Scenario asset base'!$A$1:$K$177</definedName>
    <definedName name="_xlnm.Print_Area" localSheetId="4">'Scenario Manager'!$A$1:$K$95</definedName>
    <definedName name="_xlnm.Print_Area" localSheetId="2">'Table of Contents'!$A$1:$D$41</definedName>
    <definedName name="RIVProp" localSheetId="7">'Scenario asset base'!$E$18</definedName>
    <definedName name="RIVProp">'Default asset base'!$E$17</definedName>
  </definedNames>
  <calcPr calcId="145621"/>
</workbook>
</file>

<file path=xl/calcChain.xml><?xml version="1.0" encoding="utf-8"?>
<calcChain xmlns="http://schemas.openxmlformats.org/spreadsheetml/2006/main">
  <c r="E18" i="17" l="1"/>
  <c r="G95" i="18" l="1"/>
  <c r="H95" i="18"/>
  <c r="I95" i="18"/>
  <c r="J95" i="18"/>
  <c r="G95" i="20"/>
  <c r="H95" i="20"/>
  <c r="I95" i="20"/>
  <c r="J95" i="20"/>
  <c r="J25" i="20"/>
  <c r="I25" i="20"/>
  <c r="H25" i="20"/>
  <c r="G25" i="20"/>
  <c r="F25" i="20"/>
  <c r="J173" i="17"/>
  <c r="I173" i="17"/>
  <c r="H173" i="17"/>
  <c r="G173" i="17"/>
  <c r="F173" i="17"/>
  <c r="C4" i="13"/>
  <c r="E17" i="17"/>
  <c r="H165" i="17" s="1"/>
  <c r="F162" i="17"/>
  <c r="G162" i="17" s="1"/>
  <c r="H162" i="17" s="1"/>
  <c r="I162" i="17" s="1"/>
  <c r="J162" i="17" s="1"/>
  <c r="E14" i="2"/>
  <c r="E17" i="14"/>
  <c r="I165" i="17" l="1"/>
  <c r="F165" i="17"/>
  <c r="J165" i="17"/>
  <c r="G165" i="17"/>
  <c r="P95" i="16"/>
  <c r="N95" i="16"/>
  <c r="L95" i="16"/>
  <c r="J95" i="16"/>
  <c r="H95" i="16"/>
  <c r="F95" i="16"/>
  <c r="E95" i="16"/>
  <c r="P74" i="16"/>
  <c r="N74" i="16"/>
  <c r="L74" i="16"/>
  <c r="J74" i="16"/>
  <c r="H74" i="16"/>
  <c r="F74" i="16"/>
  <c r="E74" i="16"/>
  <c r="H97" i="2"/>
  <c r="I97" i="2" s="1"/>
  <c r="J97" i="2" s="1"/>
  <c r="G97" i="2"/>
  <c r="F167" i="17"/>
  <c r="G167" i="17" s="1"/>
  <c r="H167" i="17" s="1"/>
  <c r="I167" i="17" s="1"/>
  <c r="J167" i="17" s="1"/>
  <c r="F156" i="17"/>
  <c r="G156" i="17" s="1"/>
  <c r="H156" i="17" s="1"/>
  <c r="I156" i="17" s="1"/>
  <c r="J156" i="17" s="1"/>
  <c r="F149" i="17"/>
  <c r="G149" i="17" s="1"/>
  <c r="H149" i="17" s="1"/>
  <c r="I149" i="17" s="1"/>
  <c r="J149" i="17" s="1"/>
  <c r="F141" i="17"/>
  <c r="G141" i="17" s="1"/>
  <c r="H141" i="17" s="1"/>
  <c r="I141" i="17" s="1"/>
  <c r="J141" i="17" s="1"/>
  <c r="F134" i="17"/>
  <c r="G134" i="17" s="1"/>
  <c r="H134" i="17" s="1"/>
  <c r="I134" i="17" s="1"/>
  <c r="J134" i="17" s="1"/>
  <c r="F127" i="17"/>
  <c r="G127" i="17" s="1"/>
  <c r="H127" i="17" s="1"/>
  <c r="I127" i="17" s="1"/>
  <c r="J127" i="17" s="1"/>
  <c r="F120" i="17"/>
  <c r="G120" i="17" s="1"/>
  <c r="H120" i="17" s="1"/>
  <c r="I120" i="17" s="1"/>
  <c r="J120" i="17" s="1"/>
  <c r="F111" i="17"/>
  <c r="G111" i="17" s="1"/>
  <c r="H111" i="17" s="1"/>
  <c r="I111" i="17" s="1"/>
  <c r="J111" i="17" s="1"/>
  <c r="G102" i="17"/>
  <c r="H102" i="17" s="1"/>
  <c r="I102" i="17" s="1"/>
  <c r="J102" i="17" s="1"/>
  <c r="F102" i="17"/>
  <c r="F93" i="17"/>
  <c r="G93" i="17" s="1"/>
  <c r="H93" i="17" s="1"/>
  <c r="I93" i="17" s="1"/>
  <c r="J93" i="17" s="1"/>
  <c r="F84" i="17"/>
  <c r="G84" i="17" s="1"/>
  <c r="H84" i="17" s="1"/>
  <c r="I84" i="17" s="1"/>
  <c r="J84" i="17" s="1"/>
  <c r="F75" i="17"/>
  <c r="G75" i="17" s="1"/>
  <c r="H75" i="17" s="1"/>
  <c r="I75" i="17" s="1"/>
  <c r="J75" i="17" s="1"/>
  <c r="F66" i="17"/>
  <c r="F154" i="12"/>
  <c r="G154" i="12" s="1"/>
  <c r="H154" i="12" s="1"/>
  <c r="I154" i="12" s="1"/>
  <c r="J154" i="12" s="1"/>
  <c r="F146" i="12"/>
  <c r="G146" i="12" s="1"/>
  <c r="H146" i="12" s="1"/>
  <c r="I146" i="12" s="1"/>
  <c r="J146" i="12" s="1"/>
  <c r="F138" i="12"/>
  <c r="G138" i="12" s="1"/>
  <c r="H138" i="12" s="1"/>
  <c r="I138" i="12" s="1"/>
  <c r="J138" i="12" s="1"/>
  <c r="F130" i="12"/>
  <c r="G130" i="12" s="1"/>
  <c r="H130" i="12" s="1"/>
  <c r="I130" i="12" s="1"/>
  <c r="J130" i="12" s="1"/>
  <c r="F122" i="12"/>
  <c r="G122" i="12" s="1"/>
  <c r="H122" i="12" s="1"/>
  <c r="I122" i="12" s="1"/>
  <c r="J122" i="12" s="1"/>
  <c r="F114" i="12"/>
  <c r="G114" i="12" s="1"/>
  <c r="H114" i="12" s="1"/>
  <c r="I114" i="12" s="1"/>
  <c r="J114" i="12" s="1"/>
  <c r="F105" i="12"/>
  <c r="G105" i="12" s="1"/>
  <c r="H105" i="12" s="1"/>
  <c r="I105" i="12" s="1"/>
  <c r="J105" i="12" s="1"/>
  <c r="F96" i="12"/>
  <c r="G96" i="12" s="1"/>
  <c r="H96" i="12" s="1"/>
  <c r="I96" i="12" s="1"/>
  <c r="J96" i="12" s="1"/>
  <c r="F86" i="12"/>
  <c r="G86" i="12" s="1"/>
  <c r="H86" i="12" s="1"/>
  <c r="I86" i="12" s="1"/>
  <c r="J86" i="12" s="1"/>
  <c r="F76" i="12"/>
  <c r="G76" i="12" s="1"/>
  <c r="H76" i="12" s="1"/>
  <c r="I76" i="12" s="1"/>
  <c r="J76" i="12" s="1"/>
  <c r="F66" i="12"/>
  <c r="G66" i="12" s="1"/>
  <c r="H66" i="12" s="1"/>
  <c r="I66" i="12" s="1"/>
  <c r="J66" i="12" s="1"/>
  <c r="F56" i="12"/>
  <c r="E7" i="13" l="1"/>
  <c r="F7" i="13" s="1"/>
  <c r="G7" i="13" s="1"/>
  <c r="D7" i="13"/>
  <c r="G109" i="2"/>
  <c r="H109" i="2" s="1"/>
  <c r="I109" i="2" s="1"/>
  <c r="J109" i="2" s="1"/>
  <c r="F110" i="2"/>
  <c r="G110" i="2"/>
  <c r="H110" i="2"/>
  <c r="I110" i="2"/>
  <c r="I114" i="2" s="1"/>
  <c r="J110" i="2"/>
  <c r="F111" i="2"/>
  <c r="G111" i="2"/>
  <c r="H111" i="2"/>
  <c r="I111" i="2"/>
  <c r="J111" i="2"/>
  <c r="F112" i="2"/>
  <c r="G112" i="2"/>
  <c r="H112" i="2"/>
  <c r="I112" i="2"/>
  <c r="J112" i="2"/>
  <c r="F113" i="2"/>
  <c r="G113" i="2"/>
  <c r="G114" i="2" s="1"/>
  <c r="H113" i="2"/>
  <c r="I113" i="2"/>
  <c r="J113" i="2"/>
  <c r="F114" i="2"/>
  <c r="E20" i="14"/>
  <c r="E18" i="20" s="1"/>
  <c r="H114" i="2" l="1"/>
  <c r="J114" i="2"/>
  <c r="J55" i="14"/>
  <c r="I55" i="14"/>
  <c r="H55" i="14"/>
  <c r="G55" i="14"/>
  <c r="F55" i="14"/>
  <c r="J54" i="14"/>
  <c r="I54" i="14"/>
  <c r="H54" i="14"/>
  <c r="G54" i="14"/>
  <c r="F54" i="14"/>
  <c r="J53" i="14"/>
  <c r="I53" i="14"/>
  <c r="H53" i="14"/>
  <c r="G53" i="14"/>
  <c r="F53" i="14"/>
  <c r="J52" i="14"/>
  <c r="I52" i="14"/>
  <c r="H52" i="14"/>
  <c r="G52" i="14"/>
  <c r="F52" i="14"/>
  <c r="E21" i="14" l="1"/>
  <c r="J82" i="2" l="1"/>
  <c r="H82" i="2"/>
  <c r="F82" i="2"/>
  <c r="G82" i="2"/>
  <c r="I82" i="2"/>
  <c r="G100" i="20" l="1"/>
  <c r="H100" i="20" s="1"/>
  <c r="I100" i="20" s="1"/>
  <c r="J100" i="20" s="1"/>
  <c r="G71" i="20"/>
  <c r="H71" i="20" s="1"/>
  <c r="I71" i="20" s="1"/>
  <c r="J71" i="20" s="1"/>
  <c r="G58" i="20"/>
  <c r="H58" i="20" s="1"/>
  <c r="I58" i="20" s="1"/>
  <c r="J58" i="20" s="1"/>
  <c r="G31" i="20"/>
  <c r="H31" i="20" s="1"/>
  <c r="I31" i="20" s="1"/>
  <c r="J31" i="20" s="1"/>
  <c r="G3" i="20"/>
  <c r="H3" i="20" s="1"/>
  <c r="I3" i="20" s="1"/>
  <c r="J3" i="20" s="1"/>
  <c r="E22" i="14" l="1"/>
  <c r="E23" i="14"/>
  <c r="P17" i="16" l="1"/>
  <c r="P61" i="16" s="1"/>
  <c r="J33" i="20"/>
  <c r="J33" i="18"/>
  <c r="F33" i="18"/>
  <c r="F33" i="20"/>
  <c r="B29" i="14"/>
  <c r="C9" i="17" s="1"/>
  <c r="B28" i="14"/>
  <c r="C8" i="17" s="1"/>
  <c r="B27" i="14"/>
  <c r="C7" i="17" s="1"/>
  <c r="B26" i="14"/>
  <c r="C6" i="17" s="1"/>
  <c r="C30" i="2"/>
  <c r="B33" i="14" s="1"/>
  <c r="C29" i="2"/>
  <c r="B32" i="14" s="1"/>
  <c r="C28" i="2"/>
  <c r="B31" i="14" s="1"/>
  <c r="C27" i="2"/>
  <c r="B30" i="14" s="1"/>
  <c r="C10" i="17" l="1"/>
  <c r="C10" i="12"/>
  <c r="C11" i="17"/>
  <c r="C11" i="12"/>
  <c r="C12" i="17"/>
  <c r="C12" i="12"/>
  <c r="C13" i="17"/>
  <c r="C13" i="12"/>
  <c r="C7" i="12"/>
  <c r="C8" i="12"/>
  <c r="C9" i="12"/>
  <c r="C6" i="12"/>
  <c r="G100" i="18"/>
  <c r="H100" i="18" s="1"/>
  <c r="I100" i="18" s="1"/>
  <c r="J100" i="18" s="1"/>
  <c r="G71" i="18"/>
  <c r="H71" i="18" s="1"/>
  <c r="I71" i="18" s="1"/>
  <c r="J71" i="18" s="1"/>
  <c r="G58" i="18"/>
  <c r="H58" i="18" s="1"/>
  <c r="I58" i="18" s="1"/>
  <c r="J58" i="18" s="1"/>
  <c r="G60" i="15"/>
  <c r="H60" i="15" s="1"/>
  <c r="I60" i="15" s="1"/>
  <c r="J60" i="15" s="1"/>
  <c r="G39" i="15"/>
  <c r="H39" i="15" s="1"/>
  <c r="I39" i="15" s="1"/>
  <c r="J39" i="15" s="1"/>
  <c r="G26" i="15"/>
  <c r="H26" i="15" s="1"/>
  <c r="I26" i="15" s="1"/>
  <c r="J26" i="15" s="1"/>
  <c r="G66" i="17"/>
  <c r="H66" i="17" s="1"/>
  <c r="I66" i="17" s="1"/>
  <c r="J66" i="17" s="1"/>
  <c r="G65" i="15" l="1"/>
  <c r="H65" i="15" s="1"/>
  <c r="I65" i="15" s="1"/>
  <c r="J65" i="15" s="1"/>
  <c r="G86" i="14"/>
  <c r="H86" i="14" s="1"/>
  <c r="I86" i="14" s="1"/>
  <c r="J86" i="14" s="1"/>
  <c r="G57" i="2"/>
  <c r="H57" i="2" s="1"/>
  <c r="I57" i="2" s="1"/>
  <c r="J57" i="2" s="1"/>
  <c r="G10" i="13" l="1"/>
  <c r="F10" i="13"/>
  <c r="E10" i="13"/>
  <c r="D10" i="13"/>
  <c r="J120" i="2"/>
  <c r="I120" i="2"/>
  <c r="H120" i="2"/>
  <c r="G120" i="2"/>
  <c r="F120" i="2"/>
  <c r="G119" i="2"/>
  <c r="H119" i="2" s="1"/>
  <c r="I119" i="2" s="1"/>
  <c r="J119" i="2" s="1"/>
  <c r="B7" i="13" l="1"/>
  <c r="I83" i="14" l="1"/>
  <c r="H83" i="14"/>
  <c r="G83" i="14"/>
  <c r="F83" i="14"/>
  <c r="J83" i="14"/>
  <c r="J81" i="14" l="1"/>
  <c r="J15" i="20" s="1"/>
  <c r="J53" i="20" s="1"/>
  <c r="I81" i="14"/>
  <c r="I15" i="20" s="1"/>
  <c r="I53" i="20" s="1"/>
  <c r="H81" i="14"/>
  <c r="H15" i="20" s="1"/>
  <c r="H53" i="20" s="1"/>
  <c r="G81" i="14"/>
  <c r="G15" i="20" s="1"/>
  <c r="G53" i="20" s="1"/>
  <c r="F81" i="14"/>
  <c r="F15" i="20" s="1"/>
  <c r="F53" i="20" s="1"/>
  <c r="J80" i="14"/>
  <c r="J14" i="20" s="1"/>
  <c r="J49" i="20" s="1"/>
  <c r="I80" i="14"/>
  <c r="I14" i="20" s="1"/>
  <c r="I49" i="20" s="1"/>
  <c r="H80" i="14"/>
  <c r="H14" i="20" s="1"/>
  <c r="H49" i="20" s="1"/>
  <c r="G80" i="14"/>
  <c r="G14" i="20" s="1"/>
  <c r="G49" i="20" s="1"/>
  <c r="F80" i="14"/>
  <c r="F14" i="20" s="1"/>
  <c r="F49" i="20" s="1"/>
  <c r="J79" i="14"/>
  <c r="J13" i="20" s="1"/>
  <c r="I79" i="14"/>
  <c r="I13" i="20" s="1"/>
  <c r="H79" i="14"/>
  <c r="H13" i="20" s="1"/>
  <c r="G79" i="14"/>
  <c r="G13" i="20" s="1"/>
  <c r="F79" i="14"/>
  <c r="F13" i="20" s="1"/>
  <c r="J78" i="14"/>
  <c r="J12" i="20" s="1"/>
  <c r="J47" i="20" s="1"/>
  <c r="I78" i="14"/>
  <c r="I12" i="20" s="1"/>
  <c r="I47" i="20" s="1"/>
  <c r="H78" i="14"/>
  <c r="H12" i="20" s="1"/>
  <c r="H47" i="20" s="1"/>
  <c r="G78" i="14"/>
  <c r="G12" i="20" s="1"/>
  <c r="G47" i="20" s="1"/>
  <c r="G82" i="20" s="1"/>
  <c r="F78" i="14"/>
  <c r="F12" i="20" s="1"/>
  <c r="F47" i="20" s="1"/>
  <c r="F82" i="20" s="1"/>
  <c r="J77" i="14"/>
  <c r="J11" i="20" s="1"/>
  <c r="I77" i="14"/>
  <c r="I11" i="20" s="1"/>
  <c r="H77" i="14"/>
  <c r="H11" i="20" s="1"/>
  <c r="G77" i="14"/>
  <c r="G11" i="20" s="1"/>
  <c r="F77" i="14"/>
  <c r="F11" i="20" s="1"/>
  <c r="G91" i="2"/>
  <c r="H91" i="2" s="1"/>
  <c r="I91" i="2" s="1"/>
  <c r="J91" i="2" s="1"/>
  <c r="H75" i="20" l="1"/>
  <c r="H46" i="20"/>
  <c r="F76" i="20"/>
  <c r="F48" i="20"/>
  <c r="F83" i="20" s="1"/>
  <c r="J76" i="20"/>
  <c r="J48" i="20"/>
  <c r="J83" i="20" s="1"/>
  <c r="I75" i="20"/>
  <c r="I46" i="20"/>
  <c r="H82" i="20"/>
  <c r="G48" i="20"/>
  <c r="G83" i="20" s="1"/>
  <c r="G76" i="20"/>
  <c r="I82" i="20"/>
  <c r="H48" i="20"/>
  <c r="H83" i="20" s="1"/>
  <c r="H76" i="20"/>
  <c r="F75" i="20"/>
  <c r="F46" i="20"/>
  <c r="J75" i="20"/>
  <c r="J46" i="20"/>
  <c r="G75" i="20"/>
  <c r="G46" i="20"/>
  <c r="J82" i="20"/>
  <c r="I48" i="20"/>
  <c r="I83" i="20" s="1"/>
  <c r="I76" i="20"/>
  <c r="E4" i="14"/>
  <c r="J88" i="14" l="1"/>
  <c r="I88" i="14"/>
  <c r="H88" i="14"/>
  <c r="G88" i="14"/>
  <c r="F88" i="14"/>
  <c r="J93" i="14"/>
  <c r="J23" i="17" s="1"/>
  <c r="F93" i="14"/>
  <c r="F23" i="17" s="1"/>
  <c r="H92" i="14"/>
  <c r="H22" i="17" s="1"/>
  <c r="J91" i="14"/>
  <c r="J21" i="17" s="1"/>
  <c r="F91" i="14"/>
  <c r="F21" i="17" s="1"/>
  <c r="I93" i="14"/>
  <c r="I23" i="17" s="1"/>
  <c r="G92" i="14"/>
  <c r="G22" i="17" s="1"/>
  <c r="I91" i="14"/>
  <c r="I21" i="17" s="1"/>
  <c r="G93" i="14"/>
  <c r="G23" i="17" s="1"/>
  <c r="I92" i="14"/>
  <c r="I22" i="17" s="1"/>
  <c r="G91" i="14"/>
  <c r="G21" i="17" s="1"/>
  <c r="H93" i="14"/>
  <c r="H23" i="17" s="1"/>
  <c r="J92" i="14"/>
  <c r="J22" i="17" s="1"/>
  <c r="F92" i="14"/>
  <c r="F22" i="17" s="1"/>
  <c r="H91" i="14"/>
  <c r="H21" i="17" s="1"/>
  <c r="J90" i="14"/>
  <c r="J20" i="17" s="1"/>
  <c r="F90" i="14"/>
  <c r="F20" i="17" s="1"/>
  <c r="I90" i="14"/>
  <c r="I20" i="17" s="1"/>
  <c r="G90" i="14"/>
  <c r="G20" i="17" s="1"/>
  <c r="H90" i="14"/>
  <c r="H20" i="17" s="1"/>
  <c r="G23" i="18" l="1"/>
  <c r="G23" i="20"/>
  <c r="F23" i="18"/>
  <c r="F23" i="20"/>
  <c r="H21" i="15"/>
  <c r="H23" i="20"/>
  <c r="I23" i="18"/>
  <c r="I23" i="20"/>
  <c r="J23" i="18"/>
  <c r="J23" i="20"/>
  <c r="I21" i="15"/>
  <c r="F21" i="15"/>
  <c r="G21" i="15"/>
  <c r="H23" i="18"/>
  <c r="J21" i="15"/>
  <c r="J117" i="2" l="1"/>
  <c r="I117" i="2"/>
  <c r="H117" i="2"/>
  <c r="G117" i="2"/>
  <c r="F117" i="2"/>
  <c r="G116" i="2"/>
  <c r="H116" i="2" s="1"/>
  <c r="I116" i="2" s="1"/>
  <c r="J116" i="2" s="1"/>
  <c r="E11" i="14" l="1"/>
  <c r="C6" i="19" s="1"/>
  <c r="G31" i="18" l="1"/>
  <c r="H31" i="18" s="1"/>
  <c r="I31" i="18" s="1"/>
  <c r="J31" i="18" s="1"/>
  <c r="J15" i="18" l="1"/>
  <c r="J53" i="18" s="1"/>
  <c r="I15" i="18"/>
  <c r="I53" i="18" s="1"/>
  <c r="H15" i="18"/>
  <c r="H53" i="18" s="1"/>
  <c r="G15" i="18"/>
  <c r="G53" i="18" s="1"/>
  <c r="F15" i="18"/>
  <c r="F53" i="18" s="1"/>
  <c r="J14" i="18"/>
  <c r="J49" i="18" s="1"/>
  <c r="I14" i="18"/>
  <c r="I49" i="18" s="1"/>
  <c r="H14" i="18"/>
  <c r="H49" i="18" s="1"/>
  <c r="G14" i="18"/>
  <c r="G49" i="18" s="1"/>
  <c r="F14" i="18"/>
  <c r="F49" i="18" s="1"/>
  <c r="J13" i="18"/>
  <c r="J76" i="18" s="1"/>
  <c r="I13" i="18"/>
  <c r="I76" i="18" s="1"/>
  <c r="H13" i="18"/>
  <c r="H76" i="18" s="1"/>
  <c r="G13" i="18"/>
  <c r="G76" i="18" s="1"/>
  <c r="F13" i="18"/>
  <c r="F76" i="18" s="1"/>
  <c r="J12" i="18"/>
  <c r="J47" i="18" s="1"/>
  <c r="I12" i="18"/>
  <c r="I47" i="18" s="1"/>
  <c r="H12" i="18"/>
  <c r="H47" i="18" s="1"/>
  <c r="G12" i="18"/>
  <c r="G47" i="18" s="1"/>
  <c r="F12" i="18"/>
  <c r="F47" i="18" s="1"/>
  <c r="J11" i="18"/>
  <c r="J75" i="18" s="1"/>
  <c r="I11" i="18"/>
  <c r="I75" i="18" s="1"/>
  <c r="H11" i="18"/>
  <c r="H46" i="18" s="1"/>
  <c r="G11" i="18"/>
  <c r="G75" i="18" s="1"/>
  <c r="F11" i="18"/>
  <c r="F75" i="18" s="1"/>
  <c r="G3" i="18"/>
  <c r="H3" i="18" s="1"/>
  <c r="I3" i="18" s="1"/>
  <c r="J3" i="18" s="1"/>
  <c r="H82" i="18" l="1"/>
  <c r="I82" i="18"/>
  <c r="F82" i="18"/>
  <c r="J82" i="18"/>
  <c r="G82" i="18"/>
  <c r="I46" i="18"/>
  <c r="G48" i="18"/>
  <c r="G83" i="18" s="1"/>
  <c r="H75" i="18"/>
  <c r="F46" i="18"/>
  <c r="J46" i="18"/>
  <c r="H48" i="18"/>
  <c r="H83" i="18" s="1"/>
  <c r="G46" i="18"/>
  <c r="I48" i="18"/>
  <c r="I83" i="18" s="1"/>
  <c r="F48" i="18"/>
  <c r="F83" i="18" s="1"/>
  <c r="J48" i="18"/>
  <c r="J83" i="18" s="1"/>
  <c r="J106" i="2"/>
  <c r="I106" i="2"/>
  <c r="H106" i="2"/>
  <c r="G106" i="2"/>
  <c r="F106" i="2"/>
  <c r="J105" i="2"/>
  <c r="I105" i="2"/>
  <c r="H105" i="2"/>
  <c r="G105" i="2"/>
  <c r="F105" i="2"/>
  <c r="J104" i="2"/>
  <c r="I104" i="2"/>
  <c r="H104" i="2"/>
  <c r="G104" i="2"/>
  <c r="F104" i="2"/>
  <c r="J103" i="2"/>
  <c r="I103" i="2"/>
  <c r="H103" i="2"/>
  <c r="G103" i="2"/>
  <c r="F103" i="2"/>
  <c r="G102" i="2"/>
  <c r="H102" i="2" s="1"/>
  <c r="I102" i="2" s="1"/>
  <c r="J102" i="2" s="1"/>
  <c r="G4" i="17"/>
  <c r="H4" i="17" s="1"/>
  <c r="I4" i="17" s="1"/>
  <c r="J4" i="17" s="1"/>
  <c r="F107" i="2" l="1"/>
  <c r="H107" i="2"/>
  <c r="G107" i="2"/>
  <c r="J107" i="2"/>
  <c r="I107" i="2"/>
  <c r="J40" i="14" l="1"/>
  <c r="I40" i="14"/>
  <c r="H40" i="14"/>
  <c r="G40" i="14"/>
  <c r="F40" i="14"/>
  <c r="F8" i="20" s="1"/>
  <c r="F77" i="20" s="1"/>
  <c r="J39" i="14"/>
  <c r="I39" i="14"/>
  <c r="H39" i="14"/>
  <c r="G39" i="14"/>
  <c r="F39" i="14"/>
  <c r="F7" i="18" l="1"/>
  <c r="F60" i="18" s="1"/>
  <c r="F7" i="20"/>
  <c r="H7" i="18"/>
  <c r="H60" i="18" s="1"/>
  <c r="H7" i="20"/>
  <c r="G8" i="18"/>
  <c r="G77" i="18" s="1"/>
  <c r="G8" i="20"/>
  <c r="G77" i="20" s="1"/>
  <c r="J7" i="18"/>
  <c r="J60" i="18" s="1"/>
  <c r="J7" i="20"/>
  <c r="I7" i="18"/>
  <c r="I43" i="18" s="1"/>
  <c r="I7" i="20"/>
  <c r="H8" i="18"/>
  <c r="H77" i="18" s="1"/>
  <c r="H8" i="20"/>
  <c r="H77" i="20" s="1"/>
  <c r="I8" i="18"/>
  <c r="I77" i="18" s="1"/>
  <c r="I8" i="20"/>
  <c r="I77" i="20" s="1"/>
  <c r="G7" i="18"/>
  <c r="G60" i="18" s="1"/>
  <c r="G7" i="20"/>
  <c r="J8" i="18"/>
  <c r="J77" i="18" s="1"/>
  <c r="J8" i="20"/>
  <c r="J77" i="20" s="1"/>
  <c r="I60" i="18"/>
  <c r="F8" i="15"/>
  <c r="F8" i="18"/>
  <c r="F77" i="18" s="1"/>
  <c r="J75" i="14"/>
  <c r="J53" i="17" s="1"/>
  <c r="J145" i="17" s="1"/>
  <c r="I75" i="14"/>
  <c r="I53" i="17" s="1"/>
  <c r="I145" i="17" s="1"/>
  <c r="H75" i="14"/>
  <c r="H53" i="17" s="1"/>
  <c r="H145" i="17" s="1"/>
  <c r="G75" i="14"/>
  <c r="G53" i="17" s="1"/>
  <c r="G145" i="17" s="1"/>
  <c r="F75" i="14"/>
  <c r="F53" i="17" s="1"/>
  <c r="F145" i="17" s="1"/>
  <c r="J74" i="14"/>
  <c r="J52" i="17" s="1"/>
  <c r="J138" i="17" s="1"/>
  <c r="I74" i="14"/>
  <c r="I52" i="17" s="1"/>
  <c r="I138" i="17" s="1"/>
  <c r="H74" i="14"/>
  <c r="H52" i="17" s="1"/>
  <c r="H138" i="17" s="1"/>
  <c r="G74" i="14"/>
  <c r="G52" i="17" s="1"/>
  <c r="G138" i="17" s="1"/>
  <c r="F74" i="14"/>
  <c r="F52" i="17" s="1"/>
  <c r="F138" i="17" s="1"/>
  <c r="J73" i="14"/>
  <c r="J51" i="17" s="1"/>
  <c r="J131" i="17" s="1"/>
  <c r="I73" i="14"/>
  <c r="I51" i="17" s="1"/>
  <c r="I131" i="17" s="1"/>
  <c r="H73" i="14"/>
  <c r="H51" i="17" s="1"/>
  <c r="H131" i="17" s="1"/>
  <c r="G73" i="14"/>
  <c r="G51" i="17" s="1"/>
  <c r="G131" i="17" s="1"/>
  <c r="F73" i="14"/>
  <c r="F51" i="17" s="1"/>
  <c r="F131" i="17" s="1"/>
  <c r="J72" i="14"/>
  <c r="J50" i="17" s="1"/>
  <c r="J124" i="17" s="1"/>
  <c r="I72" i="14"/>
  <c r="I50" i="17" s="1"/>
  <c r="I124" i="17" s="1"/>
  <c r="H72" i="14"/>
  <c r="H50" i="17" s="1"/>
  <c r="H124" i="17" s="1"/>
  <c r="G72" i="14"/>
  <c r="G50" i="17" s="1"/>
  <c r="G124" i="17" s="1"/>
  <c r="F72" i="14"/>
  <c r="F50" i="17" s="1"/>
  <c r="F124" i="17" s="1"/>
  <c r="J89" i="2"/>
  <c r="I89" i="2"/>
  <c r="H89" i="2"/>
  <c r="G89" i="2"/>
  <c r="F89" i="2"/>
  <c r="G84" i="2"/>
  <c r="H84" i="2" s="1"/>
  <c r="I84" i="2" s="1"/>
  <c r="J84" i="2" s="1"/>
  <c r="J67" i="14"/>
  <c r="I67" i="14"/>
  <c r="H67" i="14"/>
  <c r="G67" i="14"/>
  <c r="F67" i="14"/>
  <c r="J62" i="14"/>
  <c r="I62" i="14"/>
  <c r="H62" i="14"/>
  <c r="G62" i="14"/>
  <c r="F62" i="14"/>
  <c r="J65" i="14"/>
  <c r="I65" i="14"/>
  <c r="H65" i="14"/>
  <c r="H43" i="17" s="1"/>
  <c r="G65" i="14"/>
  <c r="G43" i="17" s="1"/>
  <c r="F65" i="14"/>
  <c r="J64" i="14"/>
  <c r="I64" i="14"/>
  <c r="H64" i="14"/>
  <c r="G64" i="14"/>
  <c r="F64" i="14"/>
  <c r="J63" i="14"/>
  <c r="J41" i="17" s="1"/>
  <c r="I63" i="14"/>
  <c r="I41" i="17" s="1"/>
  <c r="H63" i="14"/>
  <c r="H41" i="17" s="1"/>
  <c r="G63" i="14"/>
  <c r="G41" i="17" s="1"/>
  <c r="F63" i="14"/>
  <c r="F41" i="17" s="1"/>
  <c r="J70" i="14"/>
  <c r="I70" i="14"/>
  <c r="H70" i="14"/>
  <c r="G70" i="14"/>
  <c r="F70" i="14"/>
  <c r="J69" i="14"/>
  <c r="I69" i="14"/>
  <c r="H69" i="14"/>
  <c r="G69" i="14"/>
  <c r="F69" i="14"/>
  <c r="J60" i="14"/>
  <c r="I60" i="14"/>
  <c r="H60" i="14"/>
  <c r="G60" i="14"/>
  <c r="F60" i="14"/>
  <c r="J59" i="14"/>
  <c r="I59" i="14"/>
  <c r="H59" i="14"/>
  <c r="G59" i="14"/>
  <c r="F59" i="14"/>
  <c r="J57" i="14"/>
  <c r="I57" i="14"/>
  <c r="H57" i="14"/>
  <c r="G57" i="14"/>
  <c r="F57" i="14"/>
  <c r="J50" i="14"/>
  <c r="I50" i="14"/>
  <c r="H50" i="14"/>
  <c r="G50" i="14"/>
  <c r="F50" i="14"/>
  <c r="J49" i="14"/>
  <c r="I49" i="14"/>
  <c r="H49" i="14"/>
  <c r="G49" i="14"/>
  <c r="F49" i="14"/>
  <c r="J47" i="14"/>
  <c r="I47" i="14"/>
  <c r="H47" i="14"/>
  <c r="G47" i="14"/>
  <c r="F47" i="14"/>
  <c r="J45" i="14"/>
  <c r="I45" i="14"/>
  <c r="H45" i="14"/>
  <c r="G45" i="14"/>
  <c r="F45" i="14"/>
  <c r="J44" i="14"/>
  <c r="I44" i="14"/>
  <c r="H44" i="14"/>
  <c r="G44" i="14"/>
  <c r="F44" i="14"/>
  <c r="J42" i="14"/>
  <c r="I42" i="14"/>
  <c r="H42" i="14"/>
  <c r="G42" i="14"/>
  <c r="F42" i="14"/>
  <c r="H42" i="12" l="1"/>
  <c r="G42" i="12"/>
  <c r="F43" i="18"/>
  <c r="G43" i="18"/>
  <c r="H43" i="18"/>
  <c r="J43" i="18"/>
  <c r="G43" i="20"/>
  <c r="G60" i="20"/>
  <c r="J60" i="20"/>
  <c r="J43" i="20"/>
  <c r="H43" i="20"/>
  <c r="H60" i="20"/>
  <c r="I60" i="20"/>
  <c r="I43" i="20"/>
  <c r="F60" i="20"/>
  <c r="F43" i="20"/>
  <c r="F45" i="15"/>
  <c r="F62" i="15"/>
  <c r="F153" i="17"/>
  <c r="J153" i="17"/>
  <c r="I153" i="17"/>
  <c r="F50" i="12"/>
  <c r="F126" i="12" s="1"/>
  <c r="G50" i="12"/>
  <c r="G126" i="12" s="1"/>
  <c r="J50" i="12"/>
  <c r="J126" i="12" s="1"/>
  <c r="H49" i="12"/>
  <c r="H118" i="12" s="1"/>
  <c r="I51" i="12"/>
  <c r="I134" i="12" s="1"/>
  <c r="J19" i="12"/>
  <c r="J116" i="12" s="1"/>
  <c r="F22" i="12"/>
  <c r="F140" i="12" s="1"/>
  <c r="F26" i="12"/>
  <c r="F81" i="12" s="1"/>
  <c r="F27" i="17"/>
  <c r="F89" i="17" s="1"/>
  <c r="F34" i="12"/>
  <c r="F62" i="12" s="1"/>
  <c r="F35" i="17"/>
  <c r="F72" i="17" s="1"/>
  <c r="G19" i="12"/>
  <c r="G116" i="12" s="1"/>
  <c r="I21" i="12"/>
  <c r="I132" i="12" s="1"/>
  <c r="G22" i="12"/>
  <c r="I24" i="12"/>
  <c r="I61" i="12" s="1"/>
  <c r="I25" i="17"/>
  <c r="I71" i="17" s="1"/>
  <c r="G26" i="12"/>
  <c r="G81" i="12" s="1"/>
  <c r="G27" i="17"/>
  <c r="G89" i="17" s="1"/>
  <c r="I27" i="12"/>
  <c r="I91" i="12" s="1"/>
  <c r="I28" i="17"/>
  <c r="I98" i="17" s="1"/>
  <c r="G34" i="12"/>
  <c r="G62" i="12" s="1"/>
  <c r="G35" i="17"/>
  <c r="G72" i="17" s="1"/>
  <c r="I36" i="12"/>
  <c r="I82" i="12" s="1"/>
  <c r="I37" i="17"/>
  <c r="I90" i="17" s="1"/>
  <c r="G37" i="12"/>
  <c r="G92" i="12" s="1"/>
  <c r="G38" i="17"/>
  <c r="G99" i="17" s="1"/>
  <c r="I46" i="12"/>
  <c r="I133" i="12" s="1"/>
  <c r="I47" i="17"/>
  <c r="G47" i="12"/>
  <c r="G141" i="12" s="1"/>
  <c r="G48" i="17"/>
  <c r="H41" i="12"/>
  <c r="H80" i="12" s="1"/>
  <c r="H42" i="17"/>
  <c r="I39" i="12"/>
  <c r="I60" i="12" s="1"/>
  <c r="I40" i="17"/>
  <c r="G44" i="12"/>
  <c r="G117" i="12" s="1"/>
  <c r="G45" i="17"/>
  <c r="G153" i="17"/>
  <c r="F49" i="12"/>
  <c r="F118" i="12" s="1"/>
  <c r="J49" i="12"/>
  <c r="J118" i="12" s="1"/>
  <c r="H50" i="12"/>
  <c r="H126" i="12" s="1"/>
  <c r="F51" i="12"/>
  <c r="F134" i="12" s="1"/>
  <c r="J51" i="12"/>
  <c r="J134" i="12" s="1"/>
  <c r="H52" i="12"/>
  <c r="H142" i="12" s="1"/>
  <c r="G21" i="12"/>
  <c r="G132" i="12" s="1"/>
  <c r="F19" i="12"/>
  <c r="F116" i="12" s="1"/>
  <c r="H21" i="12"/>
  <c r="H132" i="12" s="1"/>
  <c r="H24" i="12"/>
  <c r="H61" i="12" s="1"/>
  <c r="H25" i="17"/>
  <c r="H71" i="17" s="1"/>
  <c r="H27" i="12"/>
  <c r="H91" i="12" s="1"/>
  <c r="H28" i="17"/>
  <c r="H98" i="17" s="1"/>
  <c r="H19" i="12"/>
  <c r="H116" i="12" s="1"/>
  <c r="F21" i="12"/>
  <c r="F132" i="12" s="1"/>
  <c r="J21" i="12"/>
  <c r="J132" i="12" s="1"/>
  <c r="H22" i="12"/>
  <c r="H88" i="12" s="1"/>
  <c r="F24" i="12"/>
  <c r="F61" i="12" s="1"/>
  <c r="F25" i="17"/>
  <c r="F71" i="17" s="1"/>
  <c r="J24" i="12"/>
  <c r="J61" i="12" s="1"/>
  <c r="J25" i="17"/>
  <c r="J71" i="17" s="1"/>
  <c r="H26" i="12"/>
  <c r="H81" i="12" s="1"/>
  <c r="H27" i="17"/>
  <c r="H89" i="17" s="1"/>
  <c r="F27" i="12"/>
  <c r="F91" i="12" s="1"/>
  <c r="F28" i="17"/>
  <c r="F98" i="17" s="1"/>
  <c r="J27" i="12"/>
  <c r="J91" i="12" s="1"/>
  <c r="J28" i="17"/>
  <c r="J98" i="17" s="1"/>
  <c r="H34" i="12"/>
  <c r="H62" i="12" s="1"/>
  <c r="H35" i="17"/>
  <c r="H72" i="17" s="1"/>
  <c r="F36" i="12"/>
  <c r="F82" i="12" s="1"/>
  <c r="F37" i="17"/>
  <c r="F90" i="17" s="1"/>
  <c r="J36" i="12"/>
  <c r="J82" i="12" s="1"/>
  <c r="J37" i="17"/>
  <c r="J90" i="17" s="1"/>
  <c r="H37" i="12"/>
  <c r="H92" i="12" s="1"/>
  <c r="H38" i="17"/>
  <c r="H99" i="17" s="1"/>
  <c r="F46" i="12"/>
  <c r="F133" i="12" s="1"/>
  <c r="F47" i="17"/>
  <c r="J46" i="12"/>
  <c r="J133" i="12" s="1"/>
  <c r="J47" i="17"/>
  <c r="H47" i="12"/>
  <c r="H141" i="12" s="1"/>
  <c r="H48" i="17"/>
  <c r="I41" i="12"/>
  <c r="I80" i="12" s="1"/>
  <c r="I42" i="17"/>
  <c r="F39" i="12"/>
  <c r="F60" i="12" s="1"/>
  <c r="F40" i="17"/>
  <c r="J39" i="12"/>
  <c r="J60" i="12" s="1"/>
  <c r="J40" i="17"/>
  <c r="H44" i="12"/>
  <c r="H117" i="12" s="1"/>
  <c r="H45" i="17"/>
  <c r="H153" i="17"/>
  <c r="G49" i="12"/>
  <c r="G118" i="12" s="1"/>
  <c r="I50" i="12"/>
  <c r="I126" i="12" s="1"/>
  <c r="G51" i="12"/>
  <c r="G134" i="12" s="1"/>
  <c r="I52" i="12"/>
  <c r="I142" i="12" s="1"/>
  <c r="I19" i="12"/>
  <c r="I58" i="12" s="1"/>
  <c r="G24" i="12"/>
  <c r="G61" i="12" s="1"/>
  <c r="G25" i="17"/>
  <c r="G71" i="17" s="1"/>
  <c r="I26" i="12"/>
  <c r="I81" i="12" s="1"/>
  <c r="I27" i="17"/>
  <c r="I89" i="17" s="1"/>
  <c r="G27" i="12"/>
  <c r="G91" i="12" s="1"/>
  <c r="G28" i="17"/>
  <c r="G98" i="17" s="1"/>
  <c r="I34" i="12"/>
  <c r="I62" i="12" s="1"/>
  <c r="I35" i="17"/>
  <c r="I72" i="17" s="1"/>
  <c r="G36" i="12"/>
  <c r="G82" i="12" s="1"/>
  <c r="G37" i="17"/>
  <c r="G90" i="17" s="1"/>
  <c r="I37" i="12"/>
  <c r="I92" i="12" s="1"/>
  <c r="I38" i="17"/>
  <c r="I99" i="17" s="1"/>
  <c r="G46" i="12"/>
  <c r="G133" i="12" s="1"/>
  <c r="G47" i="17"/>
  <c r="I47" i="12"/>
  <c r="I141" i="12" s="1"/>
  <c r="I48" i="17"/>
  <c r="F41" i="12"/>
  <c r="F80" i="12" s="1"/>
  <c r="F42" i="17"/>
  <c r="J41" i="12"/>
  <c r="J80" i="12" s="1"/>
  <c r="J42" i="17"/>
  <c r="I42" i="12"/>
  <c r="I90" i="12" s="1"/>
  <c r="I43" i="17"/>
  <c r="G39" i="12"/>
  <c r="G60" i="12" s="1"/>
  <c r="G40" i="17"/>
  <c r="I44" i="12"/>
  <c r="I117" i="12" s="1"/>
  <c r="I45" i="17"/>
  <c r="H51" i="12"/>
  <c r="H134" i="12" s="1"/>
  <c r="F52" i="12"/>
  <c r="F142" i="12" s="1"/>
  <c r="J52" i="12"/>
  <c r="J142" i="12" s="1"/>
  <c r="I22" i="12"/>
  <c r="I88" i="12" s="1"/>
  <c r="J22" i="12"/>
  <c r="J140" i="12" s="1"/>
  <c r="J26" i="12"/>
  <c r="J81" i="12" s="1"/>
  <c r="J27" i="17"/>
  <c r="J89" i="17" s="1"/>
  <c r="J34" i="12"/>
  <c r="J62" i="12" s="1"/>
  <c r="J35" i="17"/>
  <c r="J72" i="17" s="1"/>
  <c r="H36" i="12"/>
  <c r="H82" i="12" s="1"/>
  <c r="H37" i="17"/>
  <c r="H90" i="17" s="1"/>
  <c r="F37" i="12"/>
  <c r="F92" i="12" s="1"/>
  <c r="F38" i="17"/>
  <c r="F99" i="17" s="1"/>
  <c r="J37" i="12"/>
  <c r="J92" i="12" s="1"/>
  <c r="J38" i="17"/>
  <c r="J99" i="17" s="1"/>
  <c r="H46" i="12"/>
  <c r="H133" i="12" s="1"/>
  <c r="H47" i="17"/>
  <c r="F47" i="12"/>
  <c r="F141" i="12" s="1"/>
  <c r="F48" i="17"/>
  <c r="J47" i="12"/>
  <c r="J141" i="12" s="1"/>
  <c r="J48" i="17"/>
  <c r="G41" i="12"/>
  <c r="G80" i="12" s="1"/>
  <c r="G42" i="17"/>
  <c r="F42" i="12"/>
  <c r="F90" i="12" s="1"/>
  <c r="F43" i="17"/>
  <c r="J42" i="12"/>
  <c r="J90" i="12" s="1"/>
  <c r="J43" i="17"/>
  <c r="H39" i="12"/>
  <c r="H60" i="12" s="1"/>
  <c r="H40" i="17"/>
  <c r="F44" i="12"/>
  <c r="F117" i="12" s="1"/>
  <c r="F45" i="17"/>
  <c r="J44" i="12"/>
  <c r="J117" i="12" s="1"/>
  <c r="J45" i="17"/>
  <c r="I49" i="12"/>
  <c r="I118" i="12" s="1"/>
  <c r="G52" i="12"/>
  <c r="G142" i="12" s="1"/>
  <c r="P40" i="16"/>
  <c r="E7" i="16"/>
  <c r="E5" i="16"/>
  <c r="J14" i="15"/>
  <c r="I14" i="15"/>
  <c r="H14" i="15"/>
  <c r="G14" i="15"/>
  <c r="F14" i="15"/>
  <c r="G56" i="12"/>
  <c r="H56" i="12" s="1"/>
  <c r="I56" i="12" s="1"/>
  <c r="J56" i="12" s="1"/>
  <c r="E16" i="14"/>
  <c r="E15" i="14"/>
  <c r="J8" i="15"/>
  <c r="J62" i="15" s="1"/>
  <c r="I8" i="15"/>
  <c r="I62" i="15" s="1"/>
  <c r="H8" i="15"/>
  <c r="H62" i="15" s="1"/>
  <c r="G8" i="15"/>
  <c r="G62" i="15" s="1"/>
  <c r="F29" i="15"/>
  <c r="J13" i="15"/>
  <c r="J51" i="15" s="1"/>
  <c r="I13" i="15"/>
  <c r="I51" i="15" s="1"/>
  <c r="H13" i="15"/>
  <c r="H51" i="15" s="1"/>
  <c r="G13" i="15"/>
  <c r="G51" i="15" s="1"/>
  <c r="J12" i="15"/>
  <c r="I12" i="15"/>
  <c r="H12" i="15"/>
  <c r="G12" i="15"/>
  <c r="J11" i="15"/>
  <c r="J50" i="15" s="1"/>
  <c r="I11" i="15"/>
  <c r="I50" i="15" s="1"/>
  <c r="H11" i="15"/>
  <c r="H50" i="15" s="1"/>
  <c r="G11" i="15"/>
  <c r="G50" i="15" s="1"/>
  <c r="J10" i="15"/>
  <c r="I10" i="15"/>
  <c r="H10" i="15"/>
  <c r="G10" i="15"/>
  <c r="F13" i="15"/>
  <c r="F51" i="15" s="1"/>
  <c r="F12" i="15"/>
  <c r="F11" i="15"/>
  <c r="F50" i="15" s="1"/>
  <c r="F10" i="15"/>
  <c r="J7" i="15"/>
  <c r="J28" i="15" s="1"/>
  <c r="I7" i="15"/>
  <c r="I28" i="15" s="1"/>
  <c r="H7" i="15"/>
  <c r="H28" i="15" s="1"/>
  <c r="G7" i="15"/>
  <c r="G28" i="15" s="1"/>
  <c r="F7" i="15"/>
  <c r="F28" i="15" s="1"/>
  <c r="E18" i="14"/>
  <c r="G140" i="12"/>
  <c r="I116" i="12"/>
  <c r="E33" i="14"/>
  <c r="E32" i="14"/>
  <c r="E31" i="14"/>
  <c r="E30" i="14"/>
  <c r="E24" i="14"/>
  <c r="H90" i="12"/>
  <c r="G90" i="12"/>
  <c r="G88" i="12"/>
  <c r="F88" i="12"/>
  <c r="G4" i="12"/>
  <c r="H4" i="12" s="1"/>
  <c r="I4" i="12" s="1"/>
  <c r="J4" i="12" s="1"/>
  <c r="C16" i="15"/>
  <c r="G3" i="15"/>
  <c r="H3" i="15" s="1"/>
  <c r="I3" i="15" s="1"/>
  <c r="J3" i="15" s="1"/>
  <c r="C7" i="15"/>
  <c r="C6" i="15"/>
  <c r="C5" i="15"/>
  <c r="E27" i="14"/>
  <c r="E29" i="14"/>
  <c r="E28" i="14"/>
  <c r="E26" i="14"/>
  <c r="J68" i="14"/>
  <c r="I68" i="14"/>
  <c r="H68" i="14"/>
  <c r="G68" i="14"/>
  <c r="F68" i="14"/>
  <c r="J40" i="12"/>
  <c r="J70" i="12" s="1"/>
  <c r="I40" i="12"/>
  <c r="I70" i="12" s="1"/>
  <c r="H40" i="12"/>
  <c r="H70" i="12" s="1"/>
  <c r="G40" i="12"/>
  <c r="G70" i="12" s="1"/>
  <c r="F40" i="12"/>
  <c r="F70" i="12" s="1"/>
  <c r="J58" i="14"/>
  <c r="I58" i="14"/>
  <c r="H58" i="14"/>
  <c r="G58" i="14"/>
  <c r="F58" i="14"/>
  <c r="J48" i="14"/>
  <c r="I48" i="14"/>
  <c r="H48" i="14"/>
  <c r="G48" i="14"/>
  <c r="F48" i="14"/>
  <c r="J43" i="14"/>
  <c r="I43" i="14"/>
  <c r="H43" i="14"/>
  <c r="G43" i="14"/>
  <c r="F43" i="14"/>
  <c r="J38" i="14"/>
  <c r="J6" i="20" s="1"/>
  <c r="I38" i="14"/>
  <c r="I6" i="20" s="1"/>
  <c r="H38" i="14"/>
  <c r="H6" i="20" s="1"/>
  <c r="G38" i="14"/>
  <c r="G6" i="20" s="1"/>
  <c r="F38" i="14"/>
  <c r="F6" i="20" s="1"/>
  <c r="J37" i="14"/>
  <c r="J5" i="20" s="1"/>
  <c r="I37" i="14"/>
  <c r="I5" i="20" s="1"/>
  <c r="H37" i="14"/>
  <c r="H5" i="20" s="1"/>
  <c r="G37" i="14"/>
  <c r="G5" i="20" s="1"/>
  <c r="F37" i="14"/>
  <c r="F5" i="20" s="1"/>
  <c r="G35" i="14"/>
  <c r="H35" i="14" s="1"/>
  <c r="I35" i="14" s="1"/>
  <c r="J35" i="14" s="1"/>
  <c r="E19" i="14"/>
  <c r="E14" i="14"/>
  <c r="E17" i="20" s="1"/>
  <c r="E13" i="14"/>
  <c r="C7" i="19" s="1"/>
  <c r="E12" i="14"/>
  <c r="C8" i="19" s="1"/>
  <c r="E10" i="14"/>
  <c r="E9" i="14"/>
  <c r="G77" i="2"/>
  <c r="H77" i="2" s="1"/>
  <c r="I77" i="2" s="1"/>
  <c r="J77" i="2" s="1"/>
  <c r="J75" i="2"/>
  <c r="I75" i="2"/>
  <c r="H75" i="2"/>
  <c r="G75" i="2"/>
  <c r="F75" i="2"/>
  <c r="G70" i="2"/>
  <c r="H70" i="2" s="1"/>
  <c r="I70" i="2" s="1"/>
  <c r="J70" i="2" s="1"/>
  <c r="J68" i="2"/>
  <c r="I68" i="2"/>
  <c r="H68" i="2"/>
  <c r="G68" i="2"/>
  <c r="F68" i="2"/>
  <c r="G63" i="2"/>
  <c r="H63" i="2" s="1"/>
  <c r="I63" i="2" s="1"/>
  <c r="J63" i="2" s="1"/>
  <c r="J55" i="2"/>
  <c r="I55" i="2"/>
  <c r="H55" i="2"/>
  <c r="G55" i="2"/>
  <c r="F55" i="2"/>
  <c r="G50" i="2"/>
  <c r="H50" i="2" s="1"/>
  <c r="I50" i="2" s="1"/>
  <c r="J50" i="2" s="1"/>
  <c r="J48" i="2"/>
  <c r="I48" i="2"/>
  <c r="H48" i="2"/>
  <c r="G48" i="2"/>
  <c r="F48" i="2"/>
  <c r="G43" i="2"/>
  <c r="H43" i="2" s="1"/>
  <c r="I43" i="2" s="1"/>
  <c r="J43" i="2" s="1"/>
  <c r="G40" i="2"/>
  <c r="H40" i="2" s="1"/>
  <c r="I40" i="2" s="1"/>
  <c r="J40" i="2" s="1"/>
  <c r="G34" i="2"/>
  <c r="H34" i="2" s="1"/>
  <c r="I34" i="2" s="1"/>
  <c r="J34" i="2" s="1"/>
  <c r="M5" i="16" l="1"/>
  <c r="J5" i="16"/>
  <c r="L5" i="16"/>
  <c r="I5" i="16"/>
  <c r="N5" i="16"/>
  <c r="P5" i="16"/>
  <c r="F5" i="16"/>
  <c r="O5" i="16"/>
  <c r="O28" i="16" s="1"/>
  <c r="H5" i="16"/>
  <c r="G5" i="16"/>
  <c r="K5" i="16"/>
  <c r="C5" i="19"/>
  <c r="E51" i="16"/>
  <c r="C9" i="19"/>
  <c r="C15" i="19" s="1"/>
  <c r="C19" i="19" s="1"/>
  <c r="G33" i="20"/>
  <c r="H33" i="20" s="1"/>
  <c r="I33" i="20" s="1"/>
  <c r="F44" i="18"/>
  <c r="F44" i="20"/>
  <c r="F61" i="20" s="1"/>
  <c r="I140" i="12"/>
  <c r="G58" i="12"/>
  <c r="G100" i="12"/>
  <c r="F100" i="12"/>
  <c r="I100" i="12"/>
  <c r="J100" i="12"/>
  <c r="H100" i="12"/>
  <c r="E6" i="17"/>
  <c r="E73" i="17" s="1"/>
  <c r="F67" i="17" s="1"/>
  <c r="E6" i="12"/>
  <c r="E63" i="12" s="1"/>
  <c r="F57" i="12" s="1"/>
  <c r="E13" i="17"/>
  <c r="E146" i="17" s="1"/>
  <c r="F142" i="17" s="1"/>
  <c r="E13" i="12"/>
  <c r="E143" i="12" s="1"/>
  <c r="F139" i="12" s="1"/>
  <c r="E8" i="17"/>
  <c r="E91" i="17" s="1"/>
  <c r="F85" i="17" s="1"/>
  <c r="E8" i="12"/>
  <c r="E83" i="12" s="1"/>
  <c r="F77" i="12" s="1"/>
  <c r="E10" i="17"/>
  <c r="E125" i="17" s="1"/>
  <c r="F121" i="17" s="1"/>
  <c r="E10" i="12"/>
  <c r="E119" i="12" s="1"/>
  <c r="E9" i="17"/>
  <c r="E100" i="17" s="1"/>
  <c r="F94" i="17" s="1"/>
  <c r="E9" i="12"/>
  <c r="E93" i="12" s="1"/>
  <c r="E11" i="17"/>
  <c r="E132" i="17" s="1"/>
  <c r="F128" i="17" s="1"/>
  <c r="E11" i="12"/>
  <c r="E127" i="12" s="1"/>
  <c r="F123" i="12" s="1"/>
  <c r="E7" i="17"/>
  <c r="E82" i="17" s="1"/>
  <c r="F76" i="17" s="1"/>
  <c r="E7" i="12"/>
  <c r="E73" i="12" s="1"/>
  <c r="F67" i="12" s="1"/>
  <c r="E12" i="17"/>
  <c r="E139" i="17" s="1"/>
  <c r="F135" i="17" s="1"/>
  <c r="E12" i="12"/>
  <c r="E135" i="12" s="1"/>
  <c r="F131" i="12" s="1"/>
  <c r="J78" i="12"/>
  <c r="F58" i="12"/>
  <c r="J58" i="12"/>
  <c r="I78" i="12"/>
  <c r="H58" i="12"/>
  <c r="J88" i="12"/>
  <c r="H78" i="12"/>
  <c r="H140" i="12"/>
  <c r="E30" i="16"/>
  <c r="G33" i="18"/>
  <c r="E16" i="15"/>
  <c r="E17" i="18"/>
  <c r="F6" i="15"/>
  <c r="F6" i="18"/>
  <c r="J6" i="15"/>
  <c r="J6" i="18"/>
  <c r="E18" i="18"/>
  <c r="H5" i="15"/>
  <c r="H5" i="18"/>
  <c r="G6" i="15"/>
  <c r="G6" i="18"/>
  <c r="I5" i="15"/>
  <c r="I5" i="18"/>
  <c r="H6" i="15"/>
  <c r="H6" i="18"/>
  <c r="F78" i="12"/>
  <c r="G5" i="15"/>
  <c r="G5" i="18"/>
  <c r="F5" i="15"/>
  <c r="F5" i="18"/>
  <c r="J5" i="15"/>
  <c r="J5" i="18"/>
  <c r="I6" i="15"/>
  <c r="I6" i="18"/>
  <c r="G78" i="12"/>
  <c r="P28" i="16"/>
  <c r="E28" i="16"/>
  <c r="F20" i="12"/>
  <c r="F68" i="12" s="1"/>
  <c r="J20" i="12"/>
  <c r="J68" i="12" s="1"/>
  <c r="G25" i="12"/>
  <c r="G71" i="12" s="1"/>
  <c r="G101" i="12" s="1"/>
  <c r="G26" i="17"/>
  <c r="G80" i="17" s="1"/>
  <c r="G107" i="17" s="1"/>
  <c r="G174" i="17" s="1"/>
  <c r="G24" i="15" s="1"/>
  <c r="G61" i="15" s="1"/>
  <c r="G63" i="15" s="1"/>
  <c r="G66" i="15" s="1"/>
  <c r="H57" i="16" s="1"/>
  <c r="I35" i="12"/>
  <c r="I72" i="12" s="1"/>
  <c r="I102" i="12" s="1"/>
  <c r="I36" i="17"/>
  <c r="I81" i="17" s="1"/>
  <c r="I108" i="17" s="1"/>
  <c r="G20" i="12"/>
  <c r="G68" i="12" s="1"/>
  <c r="H25" i="12"/>
  <c r="H71" i="12" s="1"/>
  <c r="H101" i="12" s="1"/>
  <c r="H26" i="17"/>
  <c r="H80" i="17" s="1"/>
  <c r="H107" i="17" s="1"/>
  <c r="H174" i="17" s="1"/>
  <c r="H24" i="15" s="1"/>
  <c r="H61" i="15" s="1"/>
  <c r="H63" i="15" s="1"/>
  <c r="H66" i="15" s="1"/>
  <c r="J57" i="16" s="1"/>
  <c r="F35" i="12"/>
  <c r="F72" i="12" s="1"/>
  <c r="F102" i="12" s="1"/>
  <c r="F36" i="17"/>
  <c r="F81" i="17" s="1"/>
  <c r="F108" i="17" s="1"/>
  <c r="J35" i="12"/>
  <c r="J72" i="12" s="1"/>
  <c r="J102" i="12" s="1"/>
  <c r="J36" i="17"/>
  <c r="J81" i="17" s="1"/>
  <c r="J108" i="17" s="1"/>
  <c r="F45" i="12"/>
  <c r="F125" i="12" s="1"/>
  <c r="F149" i="12" s="1"/>
  <c r="F46" i="17"/>
  <c r="J45" i="12"/>
  <c r="J125" i="12" s="1"/>
  <c r="J46" i="17"/>
  <c r="H29" i="12"/>
  <c r="H30" i="17"/>
  <c r="G30" i="12"/>
  <c r="G31" i="17"/>
  <c r="F31" i="12"/>
  <c r="F32" i="17"/>
  <c r="J31" i="12"/>
  <c r="J32" i="17"/>
  <c r="I32" i="12"/>
  <c r="I33" i="17"/>
  <c r="E15" i="12"/>
  <c r="E15" i="17"/>
  <c r="I122" i="17"/>
  <c r="I68" i="17"/>
  <c r="G95" i="17"/>
  <c r="G143" i="17"/>
  <c r="F95" i="17"/>
  <c r="F143" i="17"/>
  <c r="H20" i="12"/>
  <c r="H68" i="12" s="1"/>
  <c r="I25" i="12"/>
  <c r="I71" i="12" s="1"/>
  <c r="I101" i="12" s="1"/>
  <c r="I26" i="17"/>
  <c r="I80" i="17" s="1"/>
  <c r="I107" i="17" s="1"/>
  <c r="I174" i="17" s="1"/>
  <c r="I24" i="15" s="1"/>
  <c r="I61" i="15" s="1"/>
  <c r="I63" i="15" s="1"/>
  <c r="I66" i="15" s="1"/>
  <c r="L57" i="16" s="1"/>
  <c r="G35" i="12"/>
  <c r="G72" i="12" s="1"/>
  <c r="G102" i="12" s="1"/>
  <c r="G36" i="17"/>
  <c r="G81" i="17" s="1"/>
  <c r="G108" i="17" s="1"/>
  <c r="G45" i="12"/>
  <c r="G125" i="12" s="1"/>
  <c r="G46" i="17"/>
  <c r="I29" i="12"/>
  <c r="I30" i="17"/>
  <c r="H30" i="12"/>
  <c r="H31" i="17"/>
  <c r="G31" i="12"/>
  <c r="G32" i="17"/>
  <c r="F32" i="12"/>
  <c r="F33" i="17"/>
  <c r="J32" i="12"/>
  <c r="J33" i="17"/>
  <c r="E16" i="12"/>
  <c r="E16" i="17"/>
  <c r="J95" i="17"/>
  <c r="J143" i="17"/>
  <c r="H95" i="17"/>
  <c r="H143" i="17"/>
  <c r="F136" i="17"/>
  <c r="F86" i="17"/>
  <c r="H136" i="17"/>
  <c r="H86" i="17"/>
  <c r="G136" i="17"/>
  <c r="G86" i="17"/>
  <c r="I20" i="12"/>
  <c r="I68" i="12" s="1"/>
  <c r="F25" i="12"/>
  <c r="F71" i="12" s="1"/>
  <c r="F101" i="12" s="1"/>
  <c r="F26" i="17"/>
  <c r="F80" i="17" s="1"/>
  <c r="F107" i="17" s="1"/>
  <c r="F174" i="17" s="1"/>
  <c r="F24" i="15" s="1"/>
  <c r="F61" i="15" s="1"/>
  <c r="F63" i="15" s="1"/>
  <c r="J25" i="12"/>
  <c r="J71" i="12" s="1"/>
  <c r="J101" i="12" s="1"/>
  <c r="J26" i="17"/>
  <c r="J80" i="17" s="1"/>
  <c r="J107" i="17" s="1"/>
  <c r="J174" i="17" s="1"/>
  <c r="J24" i="15" s="1"/>
  <c r="J61" i="15" s="1"/>
  <c r="J63" i="15" s="1"/>
  <c r="J66" i="15" s="1"/>
  <c r="N57" i="16" s="1"/>
  <c r="H35" i="12"/>
  <c r="H72" i="12" s="1"/>
  <c r="H102" i="12" s="1"/>
  <c r="H36" i="17"/>
  <c r="H81" i="17" s="1"/>
  <c r="H108" i="17" s="1"/>
  <c r="H45" i="12"/>
  <c r="H125" i="12" s="1"/>
  <c r="H46" i="17"/>
  <c r="F29" i="12"/>
  <c r="F30" i="17"/>
  <c r="J29" i="12"/>
  <c r="J30" i="17"/>
  <c r="I30" i="12"/>
  <c r="I31" i="17"/>
  <c r="H31" i="12"/>
  <c r="H32" i="17"/>
  <c r="G32" i="12"/>
  <c r="G33" i="17"/>
  <c r="E17" i="12"/>
  <c r="G110" i="12" s="1"/>
  <c r="I136" i="17"/>
  <c r="I86" i="17"/>
  <c r="G122" i="17"/>
  <c r="G68" i="17"/>
  <c r="J122" i="17"/>
  <c r="J68" i="17"/>
  <c r="I45" i="12"/>
  <c r="I125" i="12" s="1"/>
  <c r="I46" i="17"/>
  <c r="G29" i="12"/>
  <c r="G30" i="17"/>
  <c r="F30" i="12"/>
  <c r="F31" i="17"/>
  <c r="J30" i="12"/>
  <c r="J31" i="17"/>
  <c r="I31" i="12"/>
  <c r="I32" i="17"/>
  <c r="H32" i="12"/>
  <c r="H33" i="17"/>
  <c r="I143" i="17"/>
  <c r="I95" i="17"/>
  <c r="J136" i="17"/>
  <c r="J86" i="17"/>
  <c r="H122" i="17"/>
  <c r="H68" i="17"/>
  <c r="F122" i="17"/>
  <c r="F68" i="17"/>
  <c r="G43" i="15"/>
  <c r="G44" i="15"/>
  <c r="J29" i="15"/>
  <c r="J45" i="15"/>
  <c r="H43" i="15"/>
  <c r="H44" i="15"/>
  <c r="G29" i="15"/>
  <c r="G45" i="15"/>
  <c r="I43" i="15"/>
  <c r="I44" i="15"/>
  <c r="H29" i="15"/>
  <c r="H45" i="15"/>
  <c r="J43" i="15"/>
  <c r="J44" i="15"/>
  <c r="I29" i="15"/>
  <c r="I45" i="15"/>
  <c r="L28" i="16"/>
  <c r="F44" i="15"/>
  <c r="F43" i="15"/>
  <c r="I28" i="16"/>
  <c r="M28" i="16"/>
  <c r="F28" i="16"/>
  <c r="J28" i="16"/>
  <c r="N28" i="16"/>
  <c r="G28" i="16"/>
  <c r="K28" i="16"/>
  <c r="H28" i="16"/>
  <c r="I150" i="12"/>
  <c r="F150" i="12"/>
  <c r="J150" i="12"/>
  <c r="G150" i="12"/>
  <c r="H150" i="12"/>
  <c r="J124" i="12"/>
  <c r="J148" i="12" s="1"/>
  <c r="H164" i="17" l="1"/>
  <c r="G164" i="17"/>
  <c r="J164" i="17"/>
  <c r="F164" i="17"/>
  <c r="I164" i="17"/>
  <c r="C13" i="19"/>
  <c r="C12" i="19"/>
  <c r="F115" i="12"/>
  <c r="E151" i="12"/>
  <c r="E6" i="16" s="1"/>
  <c r="F87" i="12"/>
  <c r="E111" i="12"/>
  <c r="F106" i="12" s="1"/>
  <c r="C14" i="19"/>
  <c r="C16" i="19"/>
  <c r="C20" i="19" s="1"/>
  <c r="E28" i="18" s="1"/>
  <c r="F61" i="18" s="1"/>
  <c r="G71" i="16"/>
  <c r="G83" i="16" s="1"/>
  <c r="G49" i="16"/>
  <c r="G92" i="16" s="1"/>
  <c r="G104" i="16" s="1"/>
  <c r="M71" i="16"/>
  <c r="M83" i="16" s="1"/>
  <c r="M49" i="16"/>
  <c r="M92" i="16" s="1"/>
  <c r="M104" i="16" s="1"/>
  <c r="L71" i="16"/>
  <c r="L83" i="16" s="1"/>
  <c r="L49" i="16"/>
  <c r="L92" i="16" s="1"/>
  <c r="L104" i="16" s="1"/>
  <c r="H71" i="16"/>
  <c r="H83" i="16" s="1"/>
  <c r="H49" i="16"/>
  <c r="H92" i="16" s="1"/>
  <c r="H104" i="16" s="1"/>
  <c r="N71" i="16"/>
  <c r="N83" i="16" s="1"/>
  <c r="N49" i="16"/>
  <c r="N92" i="16" s="1"/>
  <c r="N104" i="16" s="1"/>
  <c r="I71" i="16"/>
  <c r="I83" i="16" s="1"/>
  <c r="I49" i="16"/>
  <c r="I92" i="16" s="1"/>
  <c r="I104" i="16" s="1"/>
  <c r="E71" i="16"/>
  <c r="E83" i="16" s="1"/>
  <c r="E49" i="16"/>
  <c r="E92" i="16" s="1"/>
  <c r="E104" i="16" s="1"/>
  <c r="O71" i="16"/>
  <c r="O83" i="16" s="1"/>
  <c r="O49" i="16"/>
  <c r="O92" i="16" s="1"/>
  <c r="O104" i="16" s="1"/>
  <c r="J71" i="16"/>
  <c r="J83" i="16" s="1"/>
  <c r="J49" i="16"/>
  <c r="J92" i="16" s="1"/>
  <c r="J104" i="16" s="1"/>
  <c r="P71" i="16"/>
  <c r="P83" i="16" s="1"/>
  <c r="P49" i="16"/>
  <c r="P92" i="16" s="1"/>
  <c r="P104" i="16" s="1"/>
  <c r="K71" i="16"/>
  <c r="K83" i="16" s="1"/>
  <c r="K49" i="16"/>
  <c r="K92" i="16" s="1"/>
  <c r="K104" i="16" s="1"/>
  <c r="F71" i="16"/>
  <c r="F83" i="16" s="1"/>
  <c r="F49" i="16"/>
  <c r="F92" i="16" s="1"/>
  <c r="F104" i="16" s="1"/>
  <c r="E27" i="18"/>
  <c r="E27" i="20"/>
  <c r="F136" i="12"/>
  <c r="F161" i="12" s="1"/>
  <c r="F62" i="17" s="1"/>
  <c r="I35" i="20"/>
  <c r="F35" i="20"/>
  <c r="G35" i="20"/>
  <c r="J35" i="20"/>
  <c r="H35" i="20"/>
  <c r="I44" i="18"/>
  <c r="I61" i="18" s="1"/>
  <c r="I44" i="20"/>
  <c r="I61" i="20" s="1"/>
  <c r="H44" i="18"/>
  <c r="H61" i="18" s="1"/>
  <c r="H44" i="20"/>
  <c r="H61" i="20" s="1"/>
  <c r="G44" i="18"/>
  <c r="G61" i="18" s="1"/>
  <c r="G44" i="20"/>
  <c r="G61" i="20" s="1"/>
  <c r="J44" i="18"/>
  <c r="J61" i="18" s="1"/>
  <c r="J44" i="20"/>
  <c r="J61" i="20" s="1"/>
  <c r="F120" i="12"/>
  <c r="F143" i="12"/>
  <c r="G139" i="12" s="1"/>
  <c r="J98" i="12"/>
  <c r="L36" i="16"/>
  <c r="L13" i="16"/>
  <c r="N36" i="16"/>
  <c r="N13" i="16"/>
  <c r="J13" i="16"/>
  <c r="J36" i="16"/>
  <c r="H36" i="16"/>
  <c r="H13" i="16"/>
  <c r="F66" i="15"/>
  <c r="F57" i="16" s="1"/>
  <c r="I98" i="12"/>
  <c r="F107" i="12"/>
  <c r="F98" i="12"/>
  <c r="H27" i="15"/>
  <c r="K10" i="16" s="1"/>
  <c r="J27" i="15"/>
  <c r="G27" i="15"/>
  <c r="H109" i="12"/>
  <c r="I124" i="12"/>
  <c r="I148" i="12" s="1"/>
  <c r="G98" i="12"/>
  <c r="I109" i="12"/>
  <c r="F109" i="12"/>
  <c r="I110" i="12"/>
  <c r="H107" i="12"/>
  <c r="I107" i="12"/>
  <c r="F110" i="12"/>
  <c r="H98" i="12"/>
  <c r="G108" i="12"/>
  <c r="F27" i="15"/>
  <c r="J149" i="12"/>
  <c r="F108" i="12"/>
  <c r="F124" i="12"/>
  <c r="F148" i="12" s="1"/>
  <c r="G124" i="12"/>
  <c r="G148" i="12" s="1"/>
  <c r="I27" i="15"/>
  <c r="I35" i="18"/>
  <c r="J35" i="18"/>
  <c r="G35" i="18"/>
  <c r="F35" i="18"/>
  <c r="H35" i="18"/>
  <c r="J107" i="12"/>
  <c r="I108" i="12"/>
  <c r="J109" i="12"/>
  <c r="J110" i="12"/>
  <c r="H110" i="12"/>
  <c r="H124" i="12"/>
  <c r="H148" i="12" s="1"/>
  <c r="G107" i="12"/>
  <c r="J108" i="12"/>
  <c r="H108" i="12"/>
  <c r="G109" i="12"/>
  <c r="G149" i="12"/>
  <c r="I116" i="17"/>
  <c r="I115" i="17"/>
  <c r="J115" i="17"/>
  <c r="I149" i="12"/>
  <c r="H149" i="12"/>
  <c r="H115" i="17"/>
  <c r="G158" i="17"/>
  <c r="J158" i="17"/>
  <c r="F158" i="17"/>
  <c r="H158" i="17"/>
  <c r="I158" i="17"/>
  <c r="G129" i="17"/>
  <c r="G151" i="17" s="1"/>
  <c r="H12" i="16" s="1"/>
  <c r="G77" i="17"/>
  <c r="G114" i="17" s="1"/>
  <c r="F129" i="17"/>
  <c r="F151" i="17" s="1"/>
  <c r="F12" i="16" s="1"/>
  <c r="F77" i="17"/>
  <c r="F114" i="17" s="1"/>
  <c r="G113" i="17"/>
  <c r="H116" i="17"/>
  <c r="H129" i="17"/>
  <c r="H151" i="17" s="1"/>
  <c r="J12" i="16" s="1"/>
  <c r="H77" i="17"/>
  <c r="H114" i="17" s="1"/>
  <c r="H113" i="17"/>
  <c r="G115" i="17"/>
  <c r="F115" i="17"/>
  <c r="G159" i="17"/>
  <c r="H159" i="17"/>
  <c r="J159" i="17"/>
  <c r="F159" i="17"/>
  <c r="I159" i="17"/>
  <c r="F116" i="17"/>
  <c r="J129" i="17"/>
  <c r="J151" i="17" s="1"/>
  <c r="N12" i="16" s="1"/>
  <c r="J77" i="17"/>
  <c r="J114" i="17" s="1"/>
  <c r="F113" i="17"/>
  <c r="J113" i="17"/>
  <c r="I129" i="17"/>
  <c r="I151" i="17" s="1"/>
  <c r="L12" i="16" s="1"/>
  <c r="I77" i="17"/>
  <c r="I114" i="17" s="1"/>
  <c r="J116" i="17"/>
  <c r="G116" i="17"/>
  <c r="I113" i="17"/>
  <c r="I32" i="15"/>
  <c r="L11" i="16" s="1"/>
  <c r="H32" i="15"/>
  <c r="J11" i="16" s="1"/>
  <c r="F32" i="15"/>
  <c r="F11" i="16" s="1"/>
  <c r="J32" i="15"/>
  <c r="G32" i="15"/>
  <c r="H11" i="16" s="1"/>
  <c r="F135" i="12"/>
  <c r="G131" i="12" s="1"/>
  <c r="F89" i="12"/>
  <c r="F79" i="12"/>
  <c r="O10" i="16" l="1"/>
  <c r="O93" i="16" s="1"/>
  <c r="M10" i="16"/>
  <c r="M93" i="16" s="1"/>
  <c r="E28" i="20"/>
  <c r="F96" i="17"/>
  <c r="F87" i="17"/>
  <c r="H35" i="16"/>
  <c r="H56" i="16"/>
  <c r="K19" i="16"/>
  <c r="K105" i="16" s="1"/>
  <c r="K93" i="16"/>
  <c r="L35" i="16"/>
  <c r="L56" i="16"/>
  <c r="N35" i="16"/>
  <c r="N56" i="16"/>
  <c r="F35" i="16"/>
  <c r="F56" i="16"/>
  <c r="J35" i="16"/>
  <c r="J56" i="16"/>
  <c r="G144" i="12"/>
  <c r="G162" i="12" s="1"/>
  <c r="G63" i="17" s="1"/>
  <c r="F94" i="12"/>
  <c r="F158" i="12" s="1"/>
  <c r="F58" i="17" s="1"/>
  <c r="F97" i="17" s="1"/>
  <c r="G136" i="12"/>
  <c r="G161" i="12" s="1"/>
  <c r="G62" i="17" s="1"/>
  <c r="G42" i="18"/>
  <c r="J42" i="18"/>
  <c r="F42" i="18"/>
  <c r="I42" i="18"/>
  <c r="H42" i="18"/>
  <c r="F84" i="12"/>
  <c r="F157" i="12" s="1"/>
  <c r="F57" i="17" s="1"/>
  <c r="F88" i="17" s="1"/>
  <c r="F137" i="17"/>
  <c r="F139" i="17" s="1"/>
  <c r="G135" i="17" s="1"/>
  <c r="F144" i="12"/>
  <c r="F162" i="12" s="1"/>
  <c r="F63" i="17" s="1"/>
  <c r="F144" i="17" s="1"/>
  <c r="F146" i="17" s="1"/>
  <c r="G142" i="17" s="1"/>
  <c r="H42" i="20"/>
  <c r="I42" i="20"/>
  <c r="F42" i="20"/>
  <c r="J42" i="20"/>
  <c r="G42" i="20"/>
  <c r="H30" i="15"/>
  <c r="H33" i="15" s="1"/>
  <c r="F13" i="16"/>
  <c r="F36" i="16"/>
  <c r="I10" i="16"/>
  <c r="K72" i="16"/>
  <c r="G10" i="16"/>
  <c r="O72" i="16"/>
  <c r="J30" i="15"/>
  <c r="J33" i="15" s="1"/>
  <c r="G30" i="15"/>
  <c r="G33" i="15" s="1"/>
  <c r="F150" i="17"/>
  <c r="I30" i="15"/>
  <c r="I33" i="15" s="1"/>
  <c r="F30" i="15"/>
  <c r="F33" i="15" s="1"/>
  <c r="F119" i="12"/>
  <c r="G115" i="12" s="1"/>
  <c r="F159" i="12"/>
  <c r="F60" i="17" s="1"/>
  <c r="F123" i="17" s="1"/>
  <c r="F128" i="12"/>
  <c r="J104" i="17"/>
  <c r="G104" i="17"/>
  <c r="F104" i="17"/>
  <c r="H104" i="17"/>
  <c r="I104" i="17"/>
  <c r="N11" i="16"/>
  <c r="G135" i="12"/>
  <c r="G143" i="12"/>
  <c r="F59" i="12"/>
  <c r="F69" i="12"/>
  <c r="F93" i="12"/>
  <c r="G87" i="12" s="1"/>
  <c r="G89" i="12" s="1"/>
  <c r="M72" i="16" l="1"/>
  <c r="F78" i="17"/>
  <c r="F100" i="17"/>
  <c r="G94" i="17" s="1"/>
  <c r="G96" i="17" s="1"/>
  <c r="F91" i="17"/>
  <c r="G85" i="17" s="1"/>
  <c r="G87" i="17" s="1"/>
  <c r="F69" i="17"/>
  <c r="K84" i="16"/>
  <c r="G72" i="16"/>
  <c r="G93" i="16"/>
  <c r="I72" i="16"/>
  <c r="I93" i="16"/>
  <c r="G137" i="17"/>
  <c r="G139" i="17" s="1"/>
  <c r="H135" i="17" s="1"/>
  <c r="F64" i="12"/>
  <c r="F155" i="12" s="1"/>
  <c r="F55" i="17" s="1"/>
  <c r="F70" i="17" s="1"/>
  <c r="F73" i="17" s="1"/>
  <c r="G94" i="12"/>
  <c r="G158" i="12" s="1"/>
  <c r="G58" i="17" s="1"/>
  <c r="F74" i="12"/>
  <c r="F156" i="12" s="1"/>
  <c r="F56" i="17" s="1"/>
  <c r="F79" i="17" s="1"/>
  <c r="G64" i="20"/>
  <c r="G102" i="20"/>
  <c r="H55" i="16" s="1"/>
  <c r="H102" i="20"/>
  <c r="J55" i="16" s="1"/>
  <c r="H64" i="20"/>
  <c r="I102" i="18"/>
  <c r="L34" i="16" s="1"/>
  <c r="I64" i="18"/>
  <c r="J102" i="20"/>
  <c r="N55" i="16" s="1"/>
  <c r="J64" i="20"/>
  <c r="F102" i="18"/>
  <c r="F34" i="16" s="1"/>
  <c r="F64" i="18"/>
  <c r="F102" i="20"/>
  <c r="F55" i="16" s="1"/>
  <c r="F64" i="20"/>
  <c r="J102" i="18"/>
  <c r="N34" i="16" s="1"/>
  <c r="J64" i="18"/>
  <c r="G120" i="12"/>
  <c r="G159" i="12" s="1"/>
  <c r="G60" i="17" s="1"/>
  <c r="I102" i="20"/>
  <c r="L55" i="16" s="1"/>
  <c r="I64" i="20"/>
  <c r="H102" i="18"/>
  <c r="J34" i="16" s="1"/>
  <c r="H64" i="18"/>
  <c r="G102" i="18"/>
  <c r="H34" i="16" s="1"/>
  <c r="G64" i="18"/>
  <c r="G19" i="16"/>
  <c r="I19" i="16"/>
  <c r="O19" i="16"/>
  <c r="O105" i="16" s="1"/>
  <c r="M19" i="16"/>
  <c r="M105" i="16" s="1"/>
  <c r="F125" i="17"/>
  <c r="G121" i="17" s="1"/>
  <c r="F127" i="12"/>
  <c r="F151" i="12" s="1"/>
  <c r="F160" i="12"/>
  <c r="F61" i="17" s="1"/>
  <c r="F130" i="17" s="1"/>
  <c r="F132" i="17" s="1"/>
  <c r="G128" i="17" s="1"/>
  <c r="G144" i="17"/>
  <c r="G146" i="17" s="1"/>
  <c r="H142" i="17" s="1"/>
  <c r="F147" i="12"/>
  <c r="F103" i="17"/>
  <c r="F112" i="17" s="1"/>
  <c r="F97" i="12"/>
  <c r="E50" i="16"/>
  <c r="G119" i="12"/>
  <c r="H139" i="12"/>
  <c r="H131" i="12"/>
  <c r="F99" i="12"/>
  <c r="G93" i="12"/>
  <c r="H87" i="12" s="1"/>
  <c r="H89" i="12" s="1"/>
  <c r="F83" i="12"/>
  <c r="G77" i="12" s="1"/>
  <c r="F73" i="12"/>
  <c r="D97" i="16" l="1"/>
  <c r="C17" i="13" s="1"/>
  <c r="F85" i="20"/>
  <c r="F52" i="20" s="1"/>
  <c r="F85" i="18"/>
  <c r="F52" i="18" s="1"/>
  <c r="F52" i="15"/>
  <c r="D76" i="16"/>
  <c r="C15" i="13" s="1"/>
  <c r="F82" i="17"/>
  <c r="G76" i="17" s="1"/>
  <c r="G78" i="17" s="1"/>
  <c r="F105" i="17"/>
  <c r="F169" i="17" s="1"/>
  <c r="F19" i="15" s="1"/>
  <c r="F47" i="15" s="1"/>
  <c r="G97" i="17"/>
  <c r="G100" i="17" s="1"/>
  <c r="H94" i="17" s="1"/>
  <c r="H96" i="17" s="1"/>
  <c r="G84" i="12"/>
  <c r="G157" i="12" s="1"/>
  <c r="G57" i="17" s="1"/>
  <c r="G88" i="17" s="1"/>
  <c r="G91" i="17" s="1"/>
  <c r="H85" i="17" s="1"/>
  <c r="G79" i="12"/>
  <c r="G83" i="12" s="1"/>
  <c r="H77" i="12" s="1"/>
  <c r="F117" i="17"/>
  <c r="I84" i="16"/>
  <c r="I105" i="16"/>
  <c r="G84" i="16"/>
  <c r="G105" i="16"/>
  <c r="H144" i="12"/>
  <c r="H162" i="12" s="1"/>
  <c r="H63" i="17" s="1"/>
  <c r="H144" i="17" s="1"/>
  <c r="H146" i="17" s="1"/>
  <c r="I142" i="17" s="1"/>
  <c r="G123" i="17"/>
  <c r="G125" i="17" s="1"/>
  <c r="H136" i="12"/>
  <c r="H161" i="12" s="1"/>
  <c r="H62" i="17" s="1"/>
  <c r="H137" i="17" s="1"/>
  <c r="H139" i="17" s="1"/>
  <c r="I135" i="17" s="1"/>
  <c r="H94" i="12"/>
  <c r="H158" i="12" s="1"/>
  <c r="H58" i="17" s="1"/>
  <c r="O84" i="16"/>
  <c r="M84" i="16"/>
  <c r="F106" i="17"/>
  <c r="F170" i="17" s="1"/>
  <c r="F22" i="20" s="1"/>
  <c r="F154" i="17"/>
  <c r="G123" i="12"/>
  <c r="F152" i="17"/>
  <c r="F171" i="17" s="1"/>
  <c r="F24" i="20" s="1"/>
  <c r="F80" i="20" s="1"/>
  <c r="E8" i="16"/>
  <c r="E29" i="16"/>
  <c r="E31" i="16" s="1"/>
  <c r="E42" i="16" s="1"/>
  <c r="E85" i="16" s="1"/>
  <c r="G150" i="17"/>
  <c r="G67" i="17"/>
  <c r="H115" i="12"/>
  <c r="H120" i="12" s="1"/>
  <c r="H135" i="12"/>
  <c r="H143" i="12"/>
  <c r="F111" i="12"/>
  <c r="G67" i="12"/>
  <c r="G69" i="12" s="1"/>
  <c r="F63" i="12"/>
  <c r="F103" i="12" s="1"/>
  <c r="H93" i="12"/>
  <c r="I87" i="12" s="1"/>
  <c r="F109" i="17" l="1"/>
  <c r="G112" i="17" s="1"/>
  <c r="G157" i="17" s="1"/>
  <c r="H97" i="17"/>
  <c r="H100" i="17" s="1"/>
  <c r="I94" i="17" s="1"/>
  <c r="I96" i="17" s="1"/>
  <c r="F21" i="20"/>
  <c r="F68" i="20" s="1"/>
  <c r="F21" i="18"/>
  <c r="H87" i="17"/>
  <c r="G69" i="17"/>
  <c r="G105" i="17" s="1"/>
  <c r="G169" i="17" s="1"/>
  <c r="I94" i="12"/>
  <c r="I158" i="12" s="1"/>
  <c r="I58" i="17" s="1"/>
  <c r="I89" i="12"/>
  <c r="I93" i="12" s="1"/>
  <c r="J87" i="12" s="1"/>
  <c r="H84" i="12"/>
  <c r="H157" i="12" s="1"/>
  <c r="H57" i="17" s="1"/>
  <c r="H88" i="17" s="1"/>
  <c r="H79" i="12"/>
  <c r="H83" i="12" s="1"/>
  <c r="I77" i="12" s="1"/>
  <c r="I79" i="12" s="1"/>
  <c r="F157" i="17"/>
  <c r="E19" i="16"/>
  <c r="E52" i="16"/>
  <c r="E63" i="16" s="1"/>
  <c r="E106" i="16" s="1"/>
  <c r="G74" i="12"/>
  <c r="G156" i="12" s="1"/>
  <c r="G56" i="17" s="1"/>
  <c r="G79" i="17" s="1"/>
  <c r="G82" i="17" s="1"/>
  <c r="H76" i="17" s="1"/>
  <c r="F74" i="20"/>
  <c r="F38" i="20"/>
  <c r="F67" i="20"/>
  <c r="F50" i="20"/>
  <c r="G147" i="12"/>
  <c r="G128" i="12"/>
  <c r="G160" i="12" s="1"/>
  <c r="G61" i="17" s="1"/>
  <c r="G130" i="17" s="1"/>
  <c r="G152" i="17" s="1"/>
  <c r="G171" i="17" s="1"/>
  <c r="G24" i="20" s="1"/>
  <c r="G80" i="20" s="1"/>
  <c r="G106" i="12"/>
  <c r="F20" i="15"/>
  <c r="F35" i="15" s="1"/>
  <c r="F22" i="18"/>
  <c r="F38" i="18" s="1"/>
  <c r="F22" i="15"/>
  <c r="F48" i="15" s="1"/>
  <c r="F24" i="18"/>
  <c r="F168" i="17"/>
  <c r="F20" i="20" s="1"/>
  <c r="F32" i="20" s="1"/>
  <c r="F34" i="20" s="1"/>
  <c r="F36" i="20" s="1"/>
  <c r="G127" i="12"/>
  <c r="H159" i="12"/>
  <c r="H60" i="17" s="1"/>
  <c r="G103" i="17"/>
  <c r="H121" i="17"/>
  <c r="F36" i="15"/>
  <c r="H119" i="12"/>
  <c r="I139" i="12"/>
  <c r="I131" i="12"/>
  <c r="G57" i="12"/>
  <c r="G73" i="12"/>
  <c r="F160" i="17" l="1"/>
  <c r="F172" i="17" s="1"/>
  <c r="F23" i="15" s="1"/>
  <c r="F49" i="15" s="1"/>
  <c r="F163" i="17"/>
  <c r="F166" i="17" s="1"/>
  <c r="G160" i="17"/>
  <c r="G172" i="17" s="1"/>
  <c r="G163" i="17"/>
  <c r="G166" i="17" s="1"/>
  <c r="F79" i="20"/>
  <c r="G117" i="17"/>
  <c r="I97" i="17"/>
  <c r="I100" i="17" s="1"/>
  <c r="J94" i="17" s="1"/>
  <c r="J96" i="17" s="1"/>
  <c r="H78" i="17"/>
  <c r="F37" i="20"/>
  <c r="F39" i="20" s="1"/>
  <c r="F40" i="20" s="1"/>
  <c r="F94" i="20" s="1"/>
  <c r="F79" i="18"/>
  <c r="F37" i="18"/>
  <c r="F68" i="18"/>
  <c r="H91" i="17"/>
  <c r="I85" i="17" s="1"/>
  <c r="I87" i="17" s="1"/>
  <c r="G21" i="20"/>
  <c r="G21" i="18"/>
  <c r="G19" i="15"/>
  <c r="J94" i="12"/>
  <c r="J89" i="12"/>
  <c r="J93" i="12" s="1"/>
  <c r="G64" i="12"/>
  <c r="G59" i="12"/>
  <c r="F80" i="18"/>
  <c r="F50" i="18"/>
  <c r="F51" i="20"/>
  <c r="F54" i="20" s="1"/>
  <c r="F55" i="20" s="1"/>
  <c r="F95" i="20" s="1"/>
  <c r="F25" i="18"/>
  <c r="F51" i="18" s="1"/>
  <c r="E84" i="16"/>
  <c r="E86" i="16" s="1"/>
  <c r="E105" i="16"/>
  <c r="E107" i="16" s="1"/>
  <c r="G50" i="20"/>
  <c r="I136" i="12"/>
  <c r="I161" i="12" s="1"/>
  <c r="I62" i="17" s="1"/>
  <c r="I137" i="17" s="1"/>
  <c r="I139" i="17" s="1"/>
  <c r="J135" i="17" s="1"/>
  <c r="G25" i="18"/>
  <c r="G51" i="18" s="1"/>
  <c r="I84" i="12"/>
  <c r="I157" i="12" s="1"/>
  <c r="I57" i="17" s="1"/>
  <c r="I144" i="12"/>
  <c r="I162" i="12" s="1"/>
  <c r="I63" i="17" s="1"/>
  <c r="I144" i="17" s="1"/>
  <c r="I146" i="17" s="1"/>
  <c r="J142" i="17" s="1"/>
  <c r="F74" i="18"/>
  <c r="F67" i="18"/>
  <c r="F18" i="15"/>
  <c r="F20" i="18"/>
  <c r="F42" i="15"/>
  <c r="G22" i="15"/>
  <c r="G48" i="15" s="1"/>
  <c r="G24" i="18"/>
  <c r="G23" i="15"/>
  <c r="G49" i="15" s="1"/>
  <c r="G168" i="17"/>
  <c r="G20" i="20" s="1"/>
  <c r="G32" i="20" s="1"/>
  <c r="G34" i="20" s="1"/>
  <c r="G36" i="20" s="1"/>
  <c r="G132" i="17"/>
  <c r="H128" i="17" s="1"/>
  <c r="H150" i="17" s="1"/>
  <c r="H123" i="12"/>
  <c r="H128" i="12" s="1"/>
  <c r="G151" i="12"/>
  <c r="H123" i="17"/>
  <c r="H125" i="17" s="1"/>
  <c r="G97" i="12"/>
  <c r="G155" i="12"/>
  <c r="G55" i="17" s="1"/>
  <c r="G70" i="17" s="1"/>
  <c r="J158" i="12"/>
  <c r="J58" i="17" s="1"/>
  <c r="I83" i="12"/>
  <c r="J77" i="12" s="1"/>
  <c r="G111" i="12"/>
  <c r="F37" i="15"/>
  <c r="F40" i="15" s="1"/>
  <c r="I115" i="12"/>
  <c r="I120" i="12" s="1"/>
  <c r="I135" i="12"/>
  <c r="I143" i="12"/>
  <c r="H67" i="12"/>
  <c r="G99" i="12"/>
  <c r="G85" i="20" l="1"/>
  <c r="G52" i="20" s="1"/>
  <c r="G85" i="18"/>
  <c r="G52" i="18" s="1"/>
  <c r="G52" i="15"/>
  <c r="J97" i="17"/>
  <c r="J100" i="17" s="1"/>
  <c r="I88" i="17"/>
  <c r="I91" i="17" s="1"/>
  <c r="J85" i="17" s="1"/>
  <c r="J87" i="17" s="1"/>
  <c r="G79" i="20"/>
  <c r="G37" i="20"/>
  <c r="G68" i="20"/>
  <c r="J84" i="12"/>
  <c r="J79" i="12"/>
  <c r="H74" i="12"/>
  <c r="H69" i="12"/>
  <c r="F54" i="18"/>
  <c r="F55" i="18" s="1"/>
  <c r="F95" i="18" s="1"/>
  <c r="F81" i="18"/>
  <c r="G50" i="18"/>
  <c r="G54" i="18" s="1"/>
  <c r="G55" i="18" s="1"/>
  <c r="G80" i="18"/>
  <c r="F81" i="20"/>
  <c r="F56" i="20"/>
  <c r="F59" i="20" s="1"/>
  <c r="F101" i="20" s="1"/>
  <c r="G54" i="16" s="1"/>
  <c r="F96" i="20"/>
  <c r="G81" i="20"/>
  <c r="G51" i="20"/>
  <c r="G54" i="20" s="1"/>
  <c r="G55" i="20" s="1"/>
  <c r="F32" i="18"/>
  <c r="G18" i="15"/>
  <c r="G20" i="18"/>
  <c r="G32" i="18" s="1"/>
  <c r="G154" i="17"/>
  <c r="H147" i="12"/>
  <c r="H127" i="12"/>
  <c r="H160" i="12"/>
  <c r="H61" i="17" s="1"/>
  <c r="H130" i="17" s="1"/>
  <c r="G37" i="18"/>
  <c r="I159" i="12"/>
  <c r="I60" i="17" s="1"/>
  <c r="G81" i="18"/>
  <c r="J83" i="12"/>
  <c r="J157" i="12"/>
  <c r="J57" i="17" s="1"/>
  <c r="G106" i="17"/>
  <c r="G170" i="17" s="1"/>
  <c r="G73" i="17"/>
  <c r="H73" i="12"/>
  <c r="I67" i="12" s="1"/>
  <c r="I69" i="12" s="1"/>
  <c r="H156" i="12"/>
  <c r="H56" i="17" s="1"/>
  <c r="H79" i="17" s="1"/>
  <c r="I121" i="17"/>
  <c r="F54" i="15"/>
  <c r="F56" i="15" s="1"/>
  <c r="I119" i="12"/>
  <c r="J139" i="12"/>
  <c r="J131" i="12"/>
  <c r="G63" i="12"/>
  <c r="G103" i="12" s="1"/>
  <c r="G20" i="15" l="1"/>
  <c r="G42" i="15" s="1"/>
  <c r="G22" i="20"/>
  <c r="G22" i="18"/>
  <c r="J88" i="17"/>
  <c r="J91" i="17" s="1"/>
  <c r="F62" i="20"/>
  <c r="F65" i="20" s="1"/>
  <c r="F69" i="20" s="1"/>
  <c r="F72" i="20" s="1"/>
  <c r="F87" i="20" s="1"/>
  <c r="F89" i="20" s="1"/>
  <c r="F97" i="20" s="1"/>
  <c r="F58" i="15"/>
  <c r="F14" i="16" s="1"/>
  <c r="F19" i="16" s="1"/>
  <c r="F105" i="16" s="1"/>
  <c r="G94" i="16"/>
  <c r="G95" i="16" s="1"/>
  <c r="G63" i="16"/>
  <c r="G106" i="16" s="1"/>
  <c r="G107" i="16" s="1"/>
  <c r="J136" i="12"/>
  <c r="J161" i="12" s="1"/>
  <c r="J62" i="17" s="1"/>
  <c r="J137" i="17" s="1"/>
  <c r="J139" i="17" s="1"/>
  <c r="I74" i="12"/>
  <c r="I156" i="12" s="1"/>
  <c r="I56" i="17" s="1"/>
  <c r="J144" i="12"/>
  <c r="J162" i="12" s="1"/>
  <c r="J63" i="17" s="1"/>
  <c r="J144" i="17" s="1"/>
  <c r="J146" i="17" s="1"/>
  <c r="H106" i="12"/>
  <c r="H111" i="12" s="1"/>
  <c r="G79" i="18"/>
  <c r="G35" i="15"/>
  <c r="G68" i="18"/>
  <c r="H132" i="17"/>
  <c r="H152" i="17"/>
  <c r="H171" i="17" s="1"/>
  <c r="H24" i="20" s="1"/>
  <c r="H80" i="20" s="1"/>
  <c r="I123" i="12"/>
  <c r="I128" i="12" s="1"/>
  <c r="H151" i="12"/>
  <c r="I123" i="17"/>
  <c r="H67" i="17"/>
  <c r="G109" i="17"/>
  <c r="H112" i="17" s="1"/>
  <c r="H82" i="17"/>
  <c r="I76" i="17" s="1"/>
  <c r="G47" i="15"/>
  <c r="G36" i="15"/>
  <c r="H57" i="12"/>
  <c r="J115" i="12"/>
  <c r="J120" i="12" s="1"/>
  <c r="J143" i="12"/>
  <c r="J135" i="12"/>
  <c r="I73" i="12"/>
  <c r="G38" i="18" l="1"/>
  <c r="G67" i="18"/>
  <c r="G74" i="18"/>
  <c r="G38" i="20"/>
  <c r="G39" i="20" s="1"/>
  <c r="G40" i="20" s="1"/>
  <c r="G74" i="20"/>
  <c r="G67" i="20"/>
  <c r="I78" i="17"/>
  <c r="H69" i="17"/>
  <c r="H105" i="17" s="1"/>
  <c r="H169" i="17" s="1"/>
  <c r="H64" i="12"/>
  <c r="H59" i="12"/>
  <c r="F91" i="20"/>
  <c r="F103" i="20" s="1"/>
  <c r="F58" i="16" s="1"/>
  <c r="F63" i="16" s="1"/>
  <c r="F106" i="16" s="1"/>
  <c r="F107" i="16" s="1"/>
  <c r="H50" i="20"/>
  <c r="F84" i="16"/>
  <c r="H22" i="15"/>
  <c r="H48" i="15" s="1"/>
  <c r="H24" i="18"/>
  <c r="G37" i="15"/>
  <c r="G40" i="15" s="1"/>
  <c r="G54" i="15" s="1"/>
  <c r="G56" i="15" s="1"/>
  <c r="G58" i="15" s="1"/>
  <c r="I79" i="17"/>
  <c r="I127" i="12"/>
  <c r="I160" i="12"/>
  <c r="I61" i="17" s="1"/>
  <c r="I147" i="12"/>
  <c r="I128" i="17"/>
  <c r="I150" i="17" s="1"/>
  <c r="H154" i="17"/>
  <c r="I125" i="17"/>
  <c r="J121" i="17" s="1"/>
  <c r="J159" i="12"/>
  <c r="J60" i="17" s="1"/>
  <c r="H97" i="12"/>
  <c r="H155" i="12"/>
  <c r="H55" i="17" s="1"/>
  <c r="H70" i="17" s="1"/>
  <c r="H106" i="17" s="1"/>
  <c r="H170" i="17" s="1"/>
  <c r="H157" i="17"/>
  <c r="H117" i="17"/>
  <c r="H103" i="17"/>
  <c r="J119" i="12"/>
  <c r="H63" i="12"/>
  <c r="H103" i="12" s="1"/>
  <c r="J67" i="12"/>
  <c r="J69" i="12" s="1"/>
  <c r="G56" i="20" l="1"/>
  <c r="G59" i="20" s="1"/>
  <c r="G101" i="20" s="1"/>
  <c r="I54" i="16" s="1"/>
  <c r="I63" i="16" s="1"/>
  <c r="I106" i="16" s="1"/>
  <c r="I107" i="16" s="1"/>
  <c r="G94" i="20"/>
  <c r="G96" i="20" s="1"/>
  <c r="G62" i="20"/>
  <c r="G65" i="20" s="1"/>
  <c r="G69" i="20" s="1"/>
  <c r="G72" i="20" s="1"/>
  <c r="G87" i="20" s="1"/>
  <c r="G89" i="20" s="1"/>
  <c r="H160" i="17"/>
  <c r="H172" i="17" s="1"/>
  <c r="H163" i="17"/>
  <c r="H166" i="17" s="1"/>
  <c r="I94" i="16"/>
  <c r="I95" i="16" s="1"/>
  <c r="H20" i="15"/>
  <c r="H42" i="15" s="1"/>
  <c r="H22" i="20"/>
  <c r="H22" i="18"/>
  <c r="H85" i="20"/>
  <c r="H52" i="20" s="1"/>
  <c r="H85" i="18"/>
  <c r="H52" i="18" s="1"/>
  <c r="H52" i="15"/>
  <c r="H21" i="20"/>
  <c r="H21" i="18"/>
  <c r="H19" i="15"/>
  <c r="H50" i="18"/>
  <c r="H80" i="18"/>
  <c r="J74" i="12"/>
  <c r="J156" i="12" s="1"/>
  <c r="J56" i="17" s="1"/>
  <c r="H25" i="18"/>
  <c r="H81" i="18" s="1"/>
  <c r="I106" i="12"/>
  <c r="I111" i="12" s="1"/>
  <c r="H14" i="16"/>
  <c r="H19" i="16" s="1"/>
  <c r="H105" i="16" s="1"/>
  <c r="H23" i="15"/>
  <c r="H49" i="15" s="1"/>
  <c r="H168" i="17"/>
  <c r="H20" i="20" s="1"/>
  <c r="H32" i="20" s="1"/>
  <c r="H34" i="20" s="1"/>
  <c r="H36" i="20" s="1"/>
  <c r="J123" i="17"/>
  <c r="J125" i="17" s="1"/>
  <c r="J123" i="12"/>
  <c r="J128" i="12" s="1"/>
  <c r="I151" i="12"/>
  <c r="I130" i="17"/>
  <c r="H73" i="17"/>
  <c r="I67" i="17" s="1"/>
  <c r="I69" i="17" s="1"/>
  <c r="I105" i="17" s="1"/>
  <c r="I169" i="17" s="1"/>
  <c r="I82" i="17"/>
  <c r="J76" i="17" s="1"/>
  <c r="H99" i="12"/>
  <c r="I57" i="12"/>
  <c r="J73" i="12"/>
  <c r="G91" i="20" l="1"/>
  <c r="G103" i="20" s="1"/>
  <c r="H58" i="16" s="1"/>
  <c r="H63" i="16" s="1"/>
  <c r="H106" i="16" s="1"/>
  <c r="G97" i="20"/>
  <c r="H35" i="15"/>
  <c r="H107" i="16"/>
  <c r="H74" i="20"/>
  <c r="H67" i="20"/>
  <c r="H38" i="20"/>
  <c r="H38" i="18"/>
  <c r="H74" i="18"/>
  <c r="H67" i="18"/>
  <c r="J78" i="17"/>
  <c r="H79" i="20"/>
  <c r="H68" i="20"/>
  <c r="H37" i="20"/>
  <c r="I21" i="20"/>
  <c r="I19" i="15"/>
  <c r="I21" i="18"/>
  <c r="I64" i="12"/>
  <c r="I155" i="12" s="1"/>
  <c r="I55" i="17" s="1"/>
  <c r="I70" i="17" s="1"/>
  <c r="I59" i="12"/>
  <c r="I103" i="17"/>
  <c r="H81" i="20"/>
  <c r="H51" i="20"/>
  <c r="H54" i="20" s="1"/>
  <c r="H55" i="20" s="1"/>
  <c r="H84" i="16"/>
  <c r="H18" i="15"/>
  <c r="H20" i="18"/>
  <c r="H32" i="18" s="1"/>
  <c r="H51" i="18"/>
  <c r="H54" i="18" s="1"/>
  <c r="H55" i="18" s="1"/>
  <c r="J79" i="17"/>
  <c r="J160" i="12"/>
  <c r="J61" i="17" s="1"/>
  <c r="J127" i="12"/>
  <c r="J151" i="12" s="1"/>
  <c r="J147" i="12"/>
  <c r="I132" i="17"/>
  <c r="I152" i="17"/>
  <c r="I171" i="17" s="1"/>
  <c r="I24" i="20" s="1"/>
  <c r="I80" i="20" s="1"/>
  <c r="H109" i="17"/>
  <c r="I112" i="17" s="1"/>
  <c r="I97" i="12"/>
  <c r="H36" i="15"/>
  <c r="H37" i="15" s="1"/>
  <c r="H40" i="15" s="1"/>
  <c r="H39" i="20" l="1"/>
  <c r="H40" i="20" s="1"/>
  <c r="I52" i="15"/>
  <c r="I85" i="20"/>
  <c r="I52" i="20" s="1"/>
  <c r="I85" i="18"/>
  <c r="I52" i="18" s="1"/>
  <c r="J82" i="17"/>
  <c r="I37" i="20"/>
  <c r="I79" i="20"/>
  <c r="I68" i="20"/>
  <c r="I50" i="20"/>
  <c r="I22" i="15"/>
  <c r="I48" i="15" s="1"/>
  <c r="I24" i="18"/>
  <c r="J128" i="17"/>
  <c r="J150" i="17" s="1"/>
  <c r="I154" i="17"/>
  <c r="I117" i="17"/>
  <c r="I157" i="17"/>
  <c r="I106" i="17"/>
  <c r="I170" i="17" s="1"/>
  <c r="I73" i="17"/>
  <c r="H47" i="15"/>
  <c r="H54" i="15" s="1"/>
  <c r="H56" i="15" s="1"/>
  <c r="H58" i="15" s="1"/>
  <c r="H37" i="18"/>
  <c r="H79" i="18"/>
  <c r="H68" i="18"/>
  <c r="I99" i="12"/>
  <c r="I63" i="12"/>
  <c r="I103" i="12" s="1"/>
  <c r="H56" i="20" l="1"/>
  <c r="H59" i="20" s="1"/>
  <c r="H101" i="20" s="1"/>
  <c r="K54" i="16" s="1"/>
  <c r="H94" i="20"/>
  <c r="H96" i="20" s="1"/>
  <c r="I160" i="17"/>
  <c r="I172" i="17" s="1"/>
  <c r="I25" i="18" s="1"/>
  <c r="I163" i="17"/>
  <c r="I166" i="17" s="1"/>
  <c r="I20" i="15"/>
  <c r="I22" i="18"/>
  <c r="I22" i="20"/>
  <c r="H62" i="20"/>
  <c r="H65" i="20" s="1"/>
  <c r="H69" i="20" s="1"/>
  <c r="H72" i="20" s="1"/>
  <c r="H87" i="20" s="1"/>
  <c r="H89" i="20" s="1"/>
  <c r="I80" i="18"/>
  <c r="I50" i="18"/>
  <c r="K94" i="16"/>
  <c r="K95" i="16" s="1"/>
  <c r="K63" i="16"/>
  <c r="K106" i="16" s="1"/>
  <c r="K107" i="16" s="1"/>
  <c r="J106" i="12"/>
  <c r="J111" i="12" s="1"/>
  <c r="J14" i="16"/>
  <c r="J19" i="16" s="1"/>
  <c r="J105" i="16" s="1"/>
  <c r="I168" i="17"/>
  <c r="I20" i="20" s="1"/>
  <c r="I32" i="20" s="1"/>
  <c r="I34" i="20" s="1"/>
  <c r="I36" i="20" s="1"/>
  <c r="I42" i="15"/>
  <c r="I35" i="15"/>
  <c r="J130" i="17"/>
  <c r="J67" i="17"/>
  <c r="I109" i="17"/>
  <c r="J112" i="17" s="1"/>
  <c r="I47" i="15"/>
  <c r="I36" i="15"/>
  <c r="J57" i="12"/>
  <c r="H91" i="20" l="1"/>
  <c r="H103" i="20" s="1"/>
  <c r="J58" i="16" s="1"/>
  <c r="J63" i="16" s="1"/>
  <c r="J106" i="16" s="1"/>
  <c r="H97" i="20"/>
  <c r="I23" i="15"/>
  <c r="I49" i="15" s="1"/>
  <c r="J107" i="16"/>
  <c r="I67" i="20"/>
  <c r="I74" i="20"/>
  <c r="I38" i="20"/>
  <c r="I39" i="20" s="1"/>
  <c r="I40" i="20" s="1"/>
  <c r="I94" i="20" s="1"/>
  <c r="I96" i="20" s="1"/>
  <c r="I67" i="18"/>
  <c r="I38" i="18"/>
  <c r="I74" i="18"/>
  <c r="J69" i="17"/>
  <c r="J105" i="17" s="1"/>
  <c r="J169" i="17" s="1"/>
  <c r="J64" i="12"/>
  <c r="J155" i="12" s="1"/>
  <c r="J55" i="17" s="1"/>
  <c r="J70" i="17" s="1"/>
  <c r="J59" i="12"/>
  <c r="J99" i="12" s="1"/>
  <c r="I81" i="20"/>
  <c r="I51" i="20"/>
  <c r="I54" i="20" s="1"/>
  <c r="I55" i="20" s="1"/>
  <c r="J84" i="16"/>
  <c r="I18" i="15"/>
  <c r="I20" i="18"/>
  <c r="I32" i="18" s="1"/>
  <c r="I37" i="15"/>
  <c r="I40" i="15" s="1"/>
  <c r="I54" i="15" s="1"/>
  <c r="I56" i="15" s="1"/>
  <c r="I58" i="15" s="1"/>
  <c r="I51" i="18"/>
  <c r="I54" i="18" s="1"/>
  <c r="I55" i="18" s="1"/>
  <c r="I81" i="18"/>
  <c r="J132" i="17"/>
  <c r="J154" i="17" s="1"/>
  <c r="J152" i="17"/>
  <c r="J171" i="17" s="1"/>
  <c r="J24" i="20" s="1"/>
  <c r="J80" i="20" s="1"/>
  <c r="J103" i="17"/>
  <c r="J97" i="12"/>
  <c r="J117" i="17"/>
  <c r="J157" i="17"/>
  <c r="I37" i="18"/>
  <c r="I79" i="18"/>
  <c r="I68" i="18"/>
  <c r="J160" i="17" l="1"/>
  <c r="J172" i="17" s="1"/>
  <c r="J163" i="17"/>
  <c r="J166" i="17" s="1"/>
  <c r="I56" i="20"/>
  <c r="I59" i="20" s="1"/>
  <c r="I62" i="20" s="1"/>
  <c r="I65" i="20" s="1"/>
  <c r="I69" i="20" s="1"/>
  <c r="I72" i="20" s="1"/>
  <c r="I87" i="20" s="1"/>
  <c r="I89" i="20" s="1"/>
  <c r="J85" i="20"/>
  <c r="J52" i="20" s="1"/>
  <c r="J85" i="18"/>
  <c r="J52" i="18" s="1"/>
  <c r="J52" i="15"/>
  <c r="J21" i="20"/>
  <c r="J19" i="15"/>
  <c r="J36" i="15" s="1"/>
  <c r="J21" i="18"/>
  <c r="I101" i="20"/>
  <c r="M54" i="16" s="1"/>
  <c r="J25" i="18"/>
  <c r="J81" i="18" s="1"/>
  <c r="J50" i="20"/>
  <c r="L14" i="16"/>
  <c r="L19" i="16" s="1"/>
  <c r="L105" i="16" s="1"/>
  <c r="J22" i="15"/>
  <c r="J48" i="15" s="1"/>
  <c r="J24" i="18"/>
  <c r="J23" i="15"/>
  <c r="J49" i="15" s="1"/>
  <c r="J168" i="17"/>
  <c r="J20" i="20" s="1"/>
  <c r="J32" i="20" s="1"/>
  <c r="J34" i="20" s="1"/>
  <c r="J36" i="20" s="1"/>
  <c r="J106" i="17"/>
  <c r="J170" i="17" s="1"/>
  <c r="J73" i="17"/>
  <c r="J109" i="17" s="1"/>
  <c r="J63" i="12"/>
  <c r="J103" i="12" s="1"/>
  <c r="I91" i="20" l="1"/>
  <c r="I103" i="20" s="1"/>
  <c r="L58" i="16" s="1"/>
  <c r="L63" i="16" s="1"/>
  <c r="L106" i="16" s="1"/>
  <c r="L107" i="16" s="1"/>
  <c r="I97" i="20"/>
  <c r="J20" i="15"/>
  <c r="J35" i="15" s="1"/>
  <c r="J37" i="15" s="1"/>
  <c r="J40" i="15" s="1"/>
  <c r="J22" i="18"/>
  <c r="J22" i="20"/>
  <c r="J37" i="20"/>
  <c r="J68" i="20"/>
  <c r="J79" i="20"/>
  <c r="J80" i="18"/>
  <c r="J50" i="18"/>
  <c r="M63" i="16"/>
  <c r="M106" i="16" s="1"/>
  <c r="M107" i="16" s="1"/>
  <c r="M94" i="16"/>
  <c r="M95" i="16" s="1"/>
  <c r="J81" i="20"/>
  <c r="J51" i="20"/>
  <c r="J54" i="20" s="1"/>
  <c r="J55" i="20" s="1"/>
  <c r="L84" i="16"/>
  <c r="J18" i="15"/>
  <c r="J20" i="18"/>
  <c r="J32" i="18" s="1"/>
  <c r="J51" i="18"/>
  <c r="J42" i="15"/>
  <c r="J47" i="15"/>
  <c r="J37" i="18"/>
  <c r="J68" i="18"/>
  <c r="J79" i="18"/>
  <c r="P16" i="16"/>
  <c r="P60" i="16" s="1"/>
  <c r="J38" i="20" l="1"/>
  <c r="J39" i="20" s="1"/>
  <c r="J40" i="20" s="1"/>
  <c r="J74" i="20"/>
  <c r="J67" i="20"/>
  <c r="J67" i="18"/>
  <c r="J74" i="18"/>
  <c r="J38" i="18"/>
  <c r="J54" i="18"/>
  <c r="J55" i="18" s="1"/>
  <c r="J54" i="15"/>
  <c r="J56" i="15" s="1"/>
  <c r="J58" i="15" s="1"/>
  <c r="P18" i="16"/>
  <c r="P39" i="16"/>
  <c r="P41" i="16" s="1"/>
  <c r="P42" i="16" s="1"/>
  <c r="J34" i="18"/>
  <c r="J36" i="18" s="1"/>
  <c r="J56" i="20" l="1"/>
  <c r="J59" i="20" s="1"/>
  <c r="J62" i="20" s="1"/>
  <c r="J65" i="20" s="1"/>
  <c r="J94" i="20"/>
  <c r="J96" i="20" s="1"/>
  <c r="J39" i="18"/>
  <c r="J40" i="18" s="1"/>
  <c r="J69" i="20"/>
  <c r="J72" i="20" s="1"/>
  <c r="J87" i="20" s="1"/>
  <c r="J89" i="20" s="1"/>
  <c r="J101" i="20"/>
  <c r="O54" i="16" s="1"/>
  <c r="O63" i="16" s="1"/>
  <c r="P19" i="16"/>
  <c r="P105" i="16" s="1"/>
  <c r="P107" i="16" s="1"/>
  <c r="P62" i="16"/>
  <c r="P63" i="16" s="1"/>
  <c r="P106" i="16" s="1"/>
  <c r="P85" i="16"/>
  <c r="N14" i="16"/>
  <c r="N19" i="16" s="1"/>
  <c r="N105" i="16" s="1"/>
  <c r="F34" i="18"/>
  <c r="F36" i="18" s="1"/>
  <c r="F39" i="18" s="1"/>
  <c r="F40" i="18" s="1"/>
  <c r="G34" i="18"/>
  <c r="G36" i="18" s="1"/>
  <c r="G39" i="18" s="1"/>
  <c r="G40" i="18" s="1"/>
  <c r="H33" i="18"/>
  <c r="I33" i="18" s="1"/>
  <c r="I34" i="18" s="1"/>
  <c r="I36" i="18" s="1"/>
  <c r="I39" i="18" s="1"/>
  <c r="I40" i="18" s="1"/>
  <c r="J91" i="20" l="1"/>
  <c r="J103" i="20" s="1"/>
  <c r="N58" i="16" s="1"/>
  <c r="N63" i="16" s="1"/>
  <c r="N106" i="16" s="1"/>
  <c r="J97" i="20"/>
  <c r="I56" i="18"/>
  <c r="I59" i="18" s="1"/>
  <c r="I101" i="18" s="1"/>
  <c r="M33" i="16" s="1"/>
  <c r="I94" i="18"/>
  <c r="I96" i="18" s="1"/>
  <c r="G56" i="18"/>
  <c r="G59" i="18" s="1"/>
  <c r="G101" i="18" s="1"/>
  <c r="G94" i="18"/>
  <c r="G96" i="18" s="1"/>
  <c r="J56" i="18"/>
  <c r="J59" i="18" s="1"/>
  <c r="J101" i="18" s="1"/>
  <c r="J94" i="18"/>
  <c r="J96" i="18" s="1"/>
  <c r="N107" i="16"/>
  <c r="O94" i="16"/>
  <c r="O95" i="16" s="1"/>
  <c r="P84" i="16"/>
  <c r="P86" i="16" s="1"/>
  <c r="O106" i="16"/>
  <c r="O107" i="16" s="1"/>
  <c r="D65" i="16"/>
  <c r="D21" i="16"/>
  <c r="B9" i="13" s="1"/>
  <c r="N84" i="16"/>
  <c r="J62" i="18"/>
  <c r="J65" i="18" s="1"/>
  <c r="J69" i="18" s="1"/>
  <c r="J72" i="18" s="1"/>
  <c r="J87" i="18" s="1"/>
  <c r="J89" i="18" s="1"/>
  <c r="I33" i="16"/>
  <c r="G62" i="18"/>
  <c r="G65" i="18" s="1"/>
  <c r="G69" i="18" s="1"/>
  <c r="G72" i="18" s="1"/>
  <c r="G87" i="18" s="1"/>
  <c r="G89" i="18" s="1"/>
  <c r="F94" i="18"/>
  <c r="F96" i="18" s="1"/>
  <c r="F56" i="18"/>
  <c r="F59" i="18" s="1"/>
  <c r="F101" i="18" s="1"/>
  <c r="G33" i="16" s="1"/>
  <c r="H34" i="18"/>
  <c r="H36" i="18" s="1"/>
  <c r="H39" i="18" s="1"/>
  <c r="H40" i="18" s="1"/>
  <c r="J91" i="18" l="1"/>
  <c r="J103" i="18" s="1"/>
  <c r="N37" i="16" s="1"/>
  <c r="N42" i="16" s="1"/>
  <c r="J97" i="18"/>
  <c r="H56" i="18"/>
  <c r="H59" i="18" s="1"/>
  <c r="H101" i="18" s="1"/>
  <c r="H94" i="18"/>
  <c r="H96" i="18" s="1"/>
  <c r="G91" i="18"/>
  <c r="G103" i="18" s="1"/>
  <c r="H37" i="16" s="1"/>
  <c r="H42" i="16" s="1"/>
  <c r="G97" i="18"/>
  <c r="I62" i="18"/>
  <c r="I65" i="18" s="1"/>
  <c r="I69" i="18" s="1"/>
  <c r="I72" i="18" s="1"/>
  <c r="I87" i="18" s="1"/>
  <c r="I89" i="18" s="1"/>
  <c r="O33" i="16"/>
  <c r="O42" i="16" s="1"/>
  <c r="O85" i="16" s="1"/>
  <c r="O86" i="16" s="1"/>
  <c r="D109" i="16"/>
  <c r="C14" i="13" s="1"/>
  <c r="D99" i="16"/>
  <c r="D100" i="16" s="1"/>
  <c r="C20" i="13" s="1"/>
  <c r="D98" i="16"/>
  <c r="C18" i="13" s="1"/>
  <c r="N85" i="16"/>
  <c r="N86" i="16" s="1"/>
  <c r="H85" i="16"/>
  <c r="H86" i="16" s="1"/>
  <c r="M42" i="16"/>
  <c r="M73" i="16"/>
  <c r="M74" i="16" s="1"/>
  <c r="I42" i="16"/>
  <c r="I73" i="16"/>
  <c r="I74" i="16" s="1"/>
  <c r="F62" i="18"/>
  <c r="F65" i="18" s="1"/>
  <c r="F69" i="18" s="1"/>
  <c r="F72" i="18" s="1"/>
  <c r="F87" i="18" s="1"/>
  <c r="F89" i="18" s="1"/>
  <c r="K33" i="16"/>
  <c r="H62" i="18"/>
  <c r="H65" i="18" s="1"/>
  <c r="H69" i="18" s="1"/>
  <c r="H72" i="18" s="1"/>
  <c r="H87" i="18" s="1"/>
  <c r="H89" i="18" s="1"/>
  <c r="I91" i="18" l="1"/>
  <c r="I103" i="18" s="1"/>
  <c r="L37" i="16" s="1"/>
  <c r="L42" i="16" s="1"/>
  <c r="L85" i="16" s="1"/>
  <c r="L86" i="16" s="1"/>
  <c r="I97" i="18"/>
  <c r="H91" i="18"/>
  <c r="H103" i="18" s="1"/>
  <c r="J37" i="16" s="1"/>
  <c r="J42" i="16" s="1"/>
  <c r="H97" i="18"/>
  <c r="O73" i="16"/>
  <c r="O74" i="16" s="1"/>
  <c r="C13" i="13"/>
  <c r="J85" i="16"/>
  <c r="J86" i="16" s="1"/>
  <c r="I85" i="16"/>
  <c r="I86" i="16" s="1"/>
  <c r="M85" i="16"/>
  <c r="M86" i="16" s="1"/>
  <c r="G42" i="16"/>
  <c r="G73" i="16"/>
  <c r="G74" i="16" s="1"/>
  <c r="K42" i="16"/>
  <c r="K73" i="16"/>
  <c r="K74" i="16" s="1"/>
  <c r="F97" i="18"/>
  <c r="F91" i="18"/>
  <c r="F103" i="18" s="1"/>
  <c r="F37" i="16" s="1"/>
  <c r="F42" i="16" s="1"/>
  <c r="D77" i="16" l="1"/>
  <c r="C16" i="13" s="1"/>
  <c r="D44" i="16"/>
  <c r="G85" i="16"/>
  <c r="G86" i="16" s="1"/>
  <c r="K85" i="16"/>
  <c r="K86" i="16" s="1"/>
  <c r="F85" i="16"/>
  <c r="F86" i="16" s="1"/>
  <c r="D88" i="16" l="1"/>
  <c r="C12" i="13" s="1"/>
  <c r="D78" i="16"/>
  <c r="C11" i="13" s="1"/>
  <c r="D79" i="16" l="1"/>
  <c r="C19" i="13" s="1"/>
</calcChain>
</file>

<file path=xl/sharedStrings.xml><?xml version="1.0" encoding="utf-8"?>
<sst xmlns="http://schemas.openxmlformats.org/spreadsheetml/2006/main" count="1100" uniqueCount="263">
  <si>
    <t>Description</t>
  </si>
  <si>
    <t>Table of Contents</t>
  </si>
  <si>
    <t>Sheet Name</t>
  </si>
  <si>
    <t>Link</t>
  </si>
  <si>
    <t>General Description</t>
  </si>
  <si>
    <t>Inputs</t>
  </si>
  <si>
    <t>Calculations</t>
  </si>
  <si>
    <t>Outputs</t>
  </si>
  <si>
    <t>Output</t>
  </si>
  <si>
    <t>General</t>
  </si>
  <si>
    <t>s53B review of price setting event 3</t>
  </si>
  <si>
    <t>Value</t>
  </si>
  <si>
    <t>Cash flow timing - revenues  - days from year end</t>
  </si>
  <si>
    <t>Cash flow timing - expenditure  - days from year end</t>
  </si>
  <si>
    <t>Tax rate</t>
  </si>
  <si>
    <t>Commission post tax WACC 50th  Percentile</t>
  </si>
  <si>
    <t>Revenues</t>
  </si>
  <si>
    <t>Airport activity charges</t>
  </si>
  <si>
    <t>Lease, rental and concession income</t>
  </si>
  <si>
    <t>Other revenue</t>
  </si>
  <si>
    <t>Operating Expenditure</t>
  </si>
  <si>
    <t>Land</t>
  </si>
  <si>
    <t>Total</t>
  </si>
  <si>
    <t>Tax Adjustments</t>
  </si>
  <si>
    <t>Other permanent differences—not deductible</t>
  </si>
  <si>
    <t>Other temporary adjustments—current period</t>
  </si>
  <si>
    <t>Other permanent differences—non taxable</t>
  </si>
  <si>
    <t>Other temporary adjustments—prior period</t>
  </si>
  <si>
    <t>Utilised tax losses</t>
  </si>
  <si>
    <t>Scenario Manager</t>
  </si>
  <si>
    <t>General Assumptions</t>
  </si>
  <si>
    <t>Revenue</t>
  </si>
  <si>
    <t>Calculation of revenue required to target a specified return</t>
  </si>
  <si>
    <t>Forecast regulatory investment value</t>
  </si>
  <si>
    <t>Cost of capital</t>
  </si>
  <si>
    <t>Required return on RIV</t>
  </si>
  <si>
    <t>Forecast revaluation</t>
  </si>
  <si>
    <t>Forecast regulatory depreciation</t>
  </si>
  <si>
    <t>Tax adjusted</t>
  </si>
  <si>
    <t>plus</t>
  </si>
  <si>
    <t>less</t>
  </si>
  <si>
    <t>Other income</t>
  </si>
  <si>
    <t>Gain/loss on sale</t>
  </si>
  <si>
    <t>Tax depreciation</t>
  </si>
  <si>
    <t>Notional deductible interest</t>
  </si>
  <si>
    <t>Total revenue required</t>
  </si>
  <si>
    <t>Check</t>
  </si>
  <si>
    <t>Tax on revenue</t>
  </si>
  <si>
    <t>Tax adjustments</t>
  </si>
  <si>
    <t>Tax building block</t>
  </si>
  <si>
    <t>Tax on regulatory profit/(Loss)</t>
  </si>
  <si>
    <t>Source</t>
  </si>
  <si>
    <t>Opening value</t>
  </si>
  <si>
    <t>Asset disposals</t>
  </si>
  <si>
    <t>Cost allocation adjustments</t>
  </si>
  <si>
    <t>Closing value</t>
  </si>
  <si>
    <t>Depreciation</t>
  </si>
  <si>
    <t>All assets</t>
  </si>
  <si>
    <t>Regulatory investment value</t>
  </si>
  <si>
    <t>Opening RAB (all assets)</t>
  </si>
  <si>
    <t>Calculation of forecast regulatory asset base</t>
  </si>
  <si>
    <t xml:space="preserve">Proportion of capex attributed to RIV </t>
  </si>
  <si>
    <t>Calculation of forecast tax asset base</t>
  </si>
  <si>
    <t>Tax Depreciation</t>
  </si>
  <si>
    <t>Other</t>
  </si>
  <si>
    <t>Commission vanilla WACC 50th percentile</t>
  </si>
  <si>
    <t>Forecast operating expenditure</t>
  </si>
  <si>
    <t>Forecast tax depreciation</t>
  </si>
  <si>
    <t>Gain or loss on sale of assets</t>
  </si>
  <si>
    <t>Leverage</t>
  </si>
  <si>
    <t>Cost of debt</t>
  </si>
  <si>
    <t>Aggregate opening value RAB</t>
  </si>
  <si>
    <t>Forecast notional deductible interest</t>
  </si>
  <si>
    <t>Calculation of regulatory tax</t>
  </si>
  <si>
    <t>Regulatory profit / (loss) before tax</t>
  </si>
  <si>
    <t>Regulatory depreciation</t>
  </si>
  <si>
    <t>Total revaluations</t>
  </si>
  <si>
    <t xml:space="preserve">Regulatory taxable income (loss) </t>
  </si>
  <si>
    <t>Regulatory tax allowance</t>
  </si>
  <si>
    <t>Gain/loss on sale of assets</t>
  </si>
  <si>
    <t>Revaluations</t>
  </si>
  <si>
    <t>Total regulatory income</t>
  </si>
  <si>
    <t>Calculation of regulatory profit before tax</t>
  </si>
  <si>
    <t>Operating expenses</t>
  </si>
  <si>
    <t>Operating surplus</t>
  </si>
  <si>
    <t>Check (if scenario activated)</t>
  </si>
  <si>
    <t>Opening RAB</t>
  </si>
  <si>
    <t>Opening carry forward adjustment</t>
  </si>
  <si>
    <t>Opening investment value</t>
  </si>
  <si>
    <t>Revenue (excluding gain/loss on sale)</t>
  </si>
  <si>
    <t>Opex</t>
  </si>
  <si>
    <t>Value of commissioned assets</t>
  </si>
  <si>
    <t>Cash received from disposals</t>
  </si>
  <si>
    <t>Forecast closing asset base</t>
  </si>
  <si>
    <t>Forecast closing carry forward adjustment</t>
  </si>
  <si>
    <t>Forecast closing investment value</t>
  </si>
  <si>
    <t xml:space="preserve">Total </t>
  </si>
  <si>
    <t>Closing carry forward adjustment</t>
  </si>
  <si>
    <t>Capital Expenditure - Regulated assets</t>
  </si>
  <si>
    <t>IRR (Post tax)</t>
  </si>
  <si>
    <t>Unlevered Tax</t>
  </si>
  <si>
    <t>Tax value for asset disposals</t>
  </si>
  <si>
    <t>Scenario Number</t>
  </si>
  <si>
    <t>Base case Auckland Airport forecasts (Scenario 1)</t>
  </si>
  <si>
    <t>Forecast revenue and tax</t>
  </si>
  <si>
    <t>Unlevered tax</t>
  </si>
  <si>
    <t>Calculation of unlevered tax</t>
  </si>
  <si>
    <t>Intra-year timing</t>
  </si>
  <si>
    <t>From</t>
  </si>
  <si>
    <t>Days in a year</t>
  </si>
  <si>
    <t>Days from mid-year to year-end</t>
  </si>
  <si>
    <t>Days from revenue date to year-end</t>
  </si>
  <si>
    <t>Mid-year date</t>
  </si>
  <si>
    <t>Revenue date</t>
  </si>
  <si>
    <t>i.e. mid-year</t>
  </si>
  <si>
    <t>Intra-year timing factors: discount from mid year to end of year values</t>
  </si>
  <si>
    <r>
      <t>TF</t>
    </r>
    <r>
      <rPr>
        <vertAlign val="subscript"/>
        <sz val="11"/>
        <color theme="1"/>
        <rFont val="Calibri"/>
        <family val="2"/>
        <scheme val="minor"/>
      </rPr>
      <t>rev</t>
    </r>
  </si>
  <si>
    <t>Intra-year timing factor: discount from revenue date to end of year values</t>
  </si>
  <si>
    <r>
      <t>TF</t>
    </r>
    <r>
      <rPr>
        <sz val="11"/>
        <color theme="1"/>
        <rFont val="Calibri"/>
        <family val="2"/>
        <scheme val="minor"/>
      </rPr>
      <t>rev</t>
    </r>
  </si>
  <si>
    <t>Last day of year 1 of the pricing period</t>
  </si>
  <si>
    <t>Vanilla WACC (mid-point percentile)</t>
  </si>
  <si>
    <t>Cost date</t>
  </si>
  <si>
    <t>TF cost</t>
  </si>
  <si>
    <t>Tfcost</t>
  </si>
  <si>
    <t>12 equal monthly transactions on the 20th of the following month can be approximated by a single payment on the revenue date.</t>
  </si>
  <si>
    <t>Timing factors</t>
  </si>
  <si>
    <t>Forecast opening investment value</t>
  </si>
  <si>
    <t>Days in year</t>
  </si>
  <si>
    <t>Calculation of timing adjusted cash flows</t>
  </si>
  <si>
    <t>Required revenue (excluding gain or loss on sale)</t>
  </si>
  <si>
    <t xml:space="preserve">Tax </t>
  </si>
  <si>
    <t>Adjustment for Gain/loss on disposal for tax purposes</t>
  </si>
  <si>
    <t>Adjusted investment value</t>
  </si>
  <si>
    <t>Revenues to target midpoint</t>
  </si>
  <si>
    <t>Difference</t>
  </si>
  <si>
    <t>PV at midpoint WACC as at 30 June 2017</t>
  </si>
  <si>
    <t>Operating expenditure</t>
  </si>
  <si>
    <t>Scenario</t>
  </si>
  <si>
    <t>Supplier number</t>
  </si>
  <si>
    <t>Scenario number (for output data table)</t>
  </si>
  <si>
    <t>1</t>
  </si>
  <si>
    <t>Active scenario</t>
  </si>
  <si>
    <t>Scenario 1</t>
  </si>
  <si>
    <t>Scenario 2</t>
  </si>
  <si>
    <t>Scenario 3</t>
  </si>
  <si>
    <t>Scenario 4</t>
  </si>
  <si>
    <t>Scenario 5</t>
  </si>
  <si>
    <t>Target IRR</t>
  </si>
  <si>
    <t>PV difference in revenues between forecast and revenues required to target mid-point WACC</t>
  </si>
  <si>
    <t>PV difference in cash flows between forecast and revenues required to target mid-point WACC</t>
  </si>
  <si>
    <t>Accounting depreciation proportion of opening RAB - land</t>
  </si>
  <si>
    <t>Accounting depreciation as a proportion of opening RAB</t>
  </si>
  <si>
    <t>Tax depreciation proportion of opening RAB - land</t>
  </si>
  <si>
    <t>Tax depreciation as a proportion of opening RAB</t>
  </si>
  <si>
    <t>Total accounting depreciation</t>
  </si>
  <si>
    <t>Total tax depreciation</t>
  </si>
  <si>
    <t>Default asset base</t>
  </si>
  <si>
    <t>Scenario asset base</t>
  </si>
  <si>
    <t>Required revenue</t>
  </si>
  <si>
    <t>IRR</t>
  </si>
  <si>
    <t>Forecast asset disposals</t>
  </si>
  <si>
    <t>Forecast gain or loss on sale</t>
  </si>
  <si>
    <t>All financial information is provided in $'000</t>
  </si>
  <si>
    <t>Total revenue (excluding assets held for future use)</t>
  </si>
  <si>
    <t>Total passengers per annum (gross)</t>
  </si>
  <si>
    <t>Total passengers per annum</t>
  </si>
  <si>
    <t>PV of revenue difference per passenger</t>
  </si>
  <si>
    <t>Carry forward adjustment to investment value</t>
  </si>
  <si>
    <t xml:space="preserve">Calculation of receipts from disposals </t>
  </si>
  <si>
    <t>Base Case</t>
  </si>
  <si>
    <t xml:space="preserve"> increase in capital expenditure of 10%</t>
  </si>
  <si>
    <t>decrease in capital expenditure of 10%</t>
  </si>
  <si>
    <t>increase in operating expenditure of 10%</t>
  </si>
  <si>
    <t>decrease in operating expenditure of 10%</t>
  </si>
  <si>
    <t>Commission cost of debt</t>
  </si>
  <si>
    <t>PV of difference at midpoint WACC as at 30 June 2017</t>
  </si>
  <si>
    <t>TFrev</t>
  </si>
  <si>
    <t>This worksheet uses Excel's data table facility to display the calculated IRR for all scenarios</t>
  </si>
  <si>
    <t>Cash receipts from asset disposals</t>
  </si>
  <si>
    <t>Derivation of the timing factors Tfcost and TFrev.</t>
  </si>
  <si>
    <t>Scenario assumptions</t>
  </si>
  <si>
    <t>Selected scenario assumptions</t>
  </si>
  <si>
    <t>PV at of revenues to target midpoint WACC</t>
  </si>
  <si>
    <t>Net cash flows to target midpoint WACC</t>
  </si>
  <si>
    <t>PV of revenue difference between AIAL forecast revenues and revenues set to target midpoint WACC</t>
  </si>
  <si>
    <t>PV of net cash flows difference between AIAL forecast net cash flows and net cash flows required to target midpoint WACC</t>
  </si>
  <si>
    <t>Variance in expected return from base case</t>
  </si>
  <si>
    <t>Profitability analysis to support draft report</t>
  </si>
  <si>
    <t>Required revenue to target a midpoint WACC</t>
  </si>
  <si>
    <t>Calculation of revenues required to target our benchmark return</t>
  </si>
  <si>
    <t>Internal Rate of Return (IRR)</t>
  </si>
  <si>
    <t>IRR - to target a mid point WACC</t>
  </si>
  <si>
    <t>Data from the Inputs sheet that relates to the selected scenario. The scenario can be user-selected in cell C5.</t>
  </si>
  <si>
    <t>Infrastructure &amp; Buildings</t>
  </si>
  <si>
    <t>Sealed Surfaces</t>
  </si>
  <si>
    <t>Vehicles, Plant &amp; Equipment</t>
  </si>
  <si>
    <t>Assets commissioned</t>
  </si>
  <si>
    <t>Accounting depreciation</t>
  </si>
  <si>
    <t>Tax disposals</t>
  </si>
  <si>
    <t>Analysis reflects all regulated assets</t>
  </si>
  <si>
    <t xml:space="preserve">Revaluations </t>
  </si>
  <si>
    <t>Accounting depreciation proportion of opening RAB - infrastructure &amp; buildings</t>
  </si>
  <si>
    <t>Accounting depreciation proportion of opening RAB - sealed surfaces</t>
  </si>
  <si>
    <t>Accounting depreciation proportion of opening RAB - vehicles, plant &amp; equipment</t>
  </si>
  <si>
    <t>Tax depreciation proportion of opening RAB - infrastructure &amp; buildings</t>
  </si>
  <si>
    <t>Tax depreciation proportion of opening RAB - sealed surfaces</t>
  </si>
  <si>
    <t>Tax depreciation proportion of opening RAB - vehicles, plant &amp; equipment</t>
  </si>
  <si>
    <t>Regulatory proportionate investment (land)</t>
  </si>
  <si>
    <t>Regulatory proportionate investment (infrastructure &amp; buildings)</t>
  </si>
  <si>
    <t>Regulatory proportionate investment (sealed surfaces)</t>
  </si>
  <si>
    <t>Regulatory proportionate investment (vehicles, plant &amp; equipment)</t>
  </si>
  <si>
    <t>Start of regulatory period</t>
  </si>
  <si>
    <t>First year of regulatory period</t>
  </si>
  <si>
    <t>Expected internal rate of return (IRR)</t>
  </si>
  <si>
    <t>Christchurch International Airport Limited</t>
  </si>
  <si>
    <t>Forecast revenue and tax based on Christchurch Airport's expected  revenues for PSE3</t>
  </si>
  <si>
    <t>Calculation of expected net cash flows and expected returns for Christchurch Airport and comparison to the revenue and cash flows required to target a mid-point WACC</t>
  </si>
  <si>
    <t>IRR - Christchurch Airport forecast cash flows</t>
  </si>
  <si>
    <t>Christchurch Airport forecast revenues</t>
  </si>
  <si>
    <t>PV at of Christchurch Airport's forecast revenues</t>
  </si>
  <si>
    <t>Christchurch Airport forecast net cash flows</t>
  </si>
  <si>
    <t>Base case Christchurch Airport forecasts (Scenario 1)</t>
  </si>
  <si>
    <t>Calculation of Christchurch Airport's forecast asset base under for the selected scenario</t>
  </si>
  <si>
    <t>Calculation of Christchurch Airport's forecast asset base for the base case scenario</t>
  </si>
  <si>
    <t>Commission post tax WACC 50th percentile</t>
  </si>
  <si>
    <t>PV of revenue difference between CIAL forecast revenues and revenues set to target midpoint WACC</t>
  </si>
  <si>
    <t>PV of net cash flows difference between CIAL forecast net cash flows and net cash flows required to target midpoint WACC</t>
  </si>
  <si>
    <t>Revaluations (as a percentage of opening RAB value)</t>
  </si>
  <si>
    <t>Scenario 2 - increase in assets commissioned of 10%</t>
  </si>
  <si>
    <t>Scenario 3 - decrease in assets commissioned of 10%</t>
  </si>
  <si>
    <t>Scenario 4 - increase in operating expenditure of 10%</t>
  </si>
  <si>
    <t>Scenario 5 - decrease in operating expenditure of 10%</t>
  </si>
  <si>
    <t>Opening asset values as at 1 July 2017</t>
  </si>
  <si>
    <t>Christchurch Airport base case forecasts</t>
  </si>
  <si>
    <t xml:space="preserve">Proportion of Assets commissioned attributed to RIV </t>
  </si>
  <si>
    <t>IRR - to target reasonable return above midpoint WACC</t>
  </si>
  <si>
    <t>Commission vanilla WACC (reasonable target return)</t>
  </si>
  <si>
    <t>Commission post tax WACC (reasonable target return)</t>
  </si>
  <si>
    <t>Reasonable return above midpoint WACC</t>
  </si>
  <si>
    <t xml:space="preserve">Difference </t>
  </si>
  <si>
    <t>PV of revenue difference between CIAL forecast revenues and revenues set to target reasonable return above midpoint WACC</t>
  </si>
  <si>
    <t>PV of net cash flows difference between CIAL forecast net cash flows and net cash flows required to target reasonable return above midpoint WACC</t>
  </si>
  <si>
    <t>Required revenue to target an reasonable return</t>
  </si>
  <si>
    <t>Revenues to target reasonable return above midpoint</t>
  </si>
  <si>
    <t>PV difference in revenues between forecast and revenues required to target reasonable return above the mid-point</t>
  </si>
  <si>
    <t>PV difference in cash flows between forecast and revenues required to target reasonable return above the mid-point</t>
  </si>
  <si>
    <t>PV of total PSE3 revenues - targeting reasonable return above mid-point</t>
  </si>
  <si>
    <t>PV of total PSE3 revenues - Christchurch Airport base case (using mid-point as discount rate)</t>
  </si>
  <si>
    <t>PV of total PSE3 revenues - targeting mid-point return</t>
  </si>
  <si>
    <t>PV of revenue difference per passenger compared to mid-point</t>
  </si>
  <si>
    <t>The purpose of this analysis to calculate:
 - Christchurch Airport's expected return for PSE3;
 - the revenues and returns required to target our benchmark cost of capital; and 
 - any difference between the two approaches.
This analysis also tests the materiality of key assumptions on Christchurch Airport's expected return.
This analysis is based on a building blocks approach that is compliant with the input methodologies (IMs).</t>
  </si>
  <si>
    <t>IRR - to target a reasonable return above the mid-point</t>
  </si>
  <si>
    <t>Adjusted cost of debt (reasonable target return)</t>
  </si>
  <si>
    <t>Adjusted cost of debt</t>
  </si>
  <si>
    <t>Notional Deductible interest (Commission cost of debt)</t>
  </si>
  <si>
    <t>Notional Deductible interest (adjusted cost of debt)</t>
  </si>
  <si>
    <t>Notional deductible interest (Commission benchmark)</t>
  </si>
  <si>
    <t>Notional deductible interest (adjusted cost of debt)</t>
  </si>
  <si>
    <t>Notional deductible interest (Commission Benchmark)</t>
  </si>
  <si>
    <t>Forecast notional deductible interest (Commission benchmark)</t>
  </si>
  <si>
    <t>Forecast notional deductible interest (adjusted cost of debt)</t>
  </si>
  <si>
    <t>PV of revenue difference per passenger compared to reasonable return above the mid-point</t>
  </si>
  <si>
    <t>PV of total PSE3 revenues - Christchurch Airport base case (using reasonable target return as discount rate)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</si>
</sst>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(* #,##0.00_);_(* \(#,##0.00\);_(* &quot;-&quot;??_);_(@_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@_)"/>
    <numFmt numFmtId="169" formatCode="_(* #,##0.0_);_(* \(#,##0.0\);_(* &quot;–&quot;???_);_(* @_)"/>
    <numFmt numFmtId="170" formatCode="_(* #,##0.00_);_(* \(#,##0.00\);_(* &quot;–&quot;???_);_(* @_)"/>
    <numFmt numFmtId="171" formatCode="_(* #,##0.0000_);_(* \(#,##0.0000\);_(* &quot;–&quot;??_);_(* @_)"/>
    <numFmt numFmtId="172" formatCode="[$-1409]d\ mmm\ yy;@"/>
    <numFmt numFmtId="173" formatCode="_(* #,##0%_);_(* \(#,##0%\);_(* &quot;–&quot;???_);_(* @_)"/>
    <numFmt numFmtId="174" formatCode="_(* #,##0.0%_);_(* \(#,##0.0%\);_(* &quot;–&quot;??_);_(* @_)"/>
    <numFmt numFmtId="175" formatCode="_(* #,##0.00%_);_(* \(#,##0.00%\);_(* &quot;–&quot;???_);_(* @_)"/>
    <numFmt numFmtId="176" formatCode="_(* #,##0.000%_);_(* \(#,##0.000%\);_(* &quot;–&quot;???_);_(* @_)"/>
    <numFmt numFmtId="177" formatCode="_(* #,##0%_);_(* \(#,##0%\);_(* &quot;–&quot;??_);_(* @_)"/>
    <numFmt numFmtId="178" formatCode="_(* 0_);_(* \(0\);_(* &quot;–&quot;??_);_(@_)"/>
    <numFmt numFmtId="179" formatCode="_(* #,##0_);_(* \(#,##0\);_(* &quot;–&quot;???_);_(* @_)"/>
    <numFmt numFmtId="180" formatCode="#,##0;[Red]\(#,##0\);\-"/>
    <numFmt numFmtId="181" formatCode="0.0%"/>
    <numFmt numFmtId="182" formatCode="0;\-0;&quot;&quot;"/>
    <numFmt numFmtId="183" formatCode="[$-1409]d\ mmmm\ 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2"/>
      <name val="Cambria"/>
      <family val="1"/>
      <scheme val="maj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9"/>
      <name val="Calibri"/>
      <family val="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B0A978"/>
      </bottom>
      <diagonal/>
    </border>
    <border>
      <left/>
      <right/>
      <top style="thin">
        <color rgb="FFB0A97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64">
    <xf numFmtId="0" fontId="0" fillId="0" borderId="0"/>
    <xf numFmtId="164" fontId="1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9" fontId="20" fillId="0" borderId="0" applyFill="0" applyAlignment="0"/>
    <xf numFmtId="49" fontId="14" fillId="0" borderId="0" applyFill="0" applyAlignment="0"/>
    <xf numFmtId="49" fontId="15" fillId="0" borderId="0" applyFill="0" applyAlignment="0"/>
    <xf numFmtId="49" fontId="16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14" applyNumberFormat="0" applyFill="0" applyAlignment="0">
      <protection locked="0"/>
    </xf>
    <xf numFmtId="0" fontId="1" fillId="36" borderId="14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5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8" fontId="23" fillId="0" borderId="0" applyFont="0" applyFill="0" applyBorder="0" applyAlignment="0" applyProtection="0">
      <alignment horizontal="left"/>
      <protection locked="0"/>
    </xf>
    <xf numFmtId="166" fontId="1" fillId="36" borderId="15" applyNumberFormat="0" applyFont="0" applyFill="0" applyAlignment="0" applyProtection="0"/>
    <xf numFmtId="176" fontId="13" fillId="32" borderId="0" applyFont="0" applyBorder="0"/>
    <xf numFmtId="175" fontId="23" fillId="0" borderId="0" applyFont="0" applyFill="0" applyBorder="0" applyAlignment="0" applyProtection="0">
      <protection locked="0"/>
    </xf>
    <xf numFmtId="174" fontId="13" fillId="0" borderId="0" applyFont="0" applyFill="0" applyBorder="0" applyAlignment="0" applyProtection="0">
      <alignment horizontal="center" vertical="top" wrapText="1"/>
    </xf>
    <xf numFmtId="173" fontId="19" fillId="34" borderId="14" applyNumberFormat="0" applyFill="0" applyAlignment="0"/>
    <xf numFmtId="0" fontId="18" fillId="35" borderId="14" applyNumberFormat="0" applyFill="0">
      <alignment horizontal="centerContinuous" wrapText="1"/>
    </xf>
    <xf numFmtId="172" fontId="23" fillId="0" borderId="0" applyFont="0" applyFill="0" applyBorder="0" applyAlignment="0" applyProtection="0">
      <alignment wrapText="1"/>
    </xf>
    <xf numFmtId="171" fontId="23" fillId="0" borderId="0" applyFont="0" applyFill="0" applyBorder="0" applyAlignment="0" applyProtection="0"/>
    <xf numFmtId="170" fontId="23" fillId="0" borderId="0" applyFont="0" applyFill="0" applyBorder="0" applyAlignment="0" applyProtection="0">
      <protection locked="0"/>
    </xf>
    <xf numFmtId="168" fontId="24" fillId="0" borderId="0" applyFont="0" applyFill="0" applyBorder="0" applyAlignment="0" applyProtection="0">
      <alignment horizontal="left"/>
      <protection locked="0"/>
    </xf>
    <xf numFmtId="169" fontId="23" fillId="0" borderId="0" applyFont="0" applyFill="0" applyBorder="0" applyAlignment="0" applyProtection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9" fontId="13" fillId="0" borderId="0" applyFont="0" applyFill="0" applyBorder="0" applyAlignment="0" applyProtection="0"/>
    <xf numFmtId="176" fontId="23" fillId="32" borderId="0" applyFont="0" applyBorder="0"/>
    <xf numFmtId="176" fontId="13" fillId="32" borderId="0" applyFont="0" applyBorder="0"/>
  </cellStyleXfs>
  <cellXfs count="145">
    <xf numFmtId="0" fontId="0" fillId="0" borderId="0" xfId="0"/>
    <xf numFmtId="0" fontId="0" fillId="0" borderId="0" xfId="0"/>
    <xf numFmtId="0" fontId="12" fillId="32" borderId="6" xfId="0" applyFont="1" applyFill="1" applyBorder="1"/>
    <xf numFmtId="0" fontId="12" fillId="32" borderId="7" xfId="0" applyFont="1" applyFill="1" applyBorder="1"/>
    <xf numFmtId="0" fontId="12" fillId="32" borderId="8" xfId="0" applyFont="1" applyFill="1" applyBorder="1"/>
    <xf numFmtId="0" fontId="12" fillId="32" borderId="9" xfId="0" applyFont="1" applyFill="1" applyBorder="1" applyAlignment="1">
      <alignment horizontal="centerContinuous"/>
    </xf>
    <xf numFmtId="0" fontId="12" fillId="32" borderId="0" xfId="0" applyFont="1" applyFill="1" applyBorder="1" applyAlignment="1">
      <alignment horizontal="centerContinuous"/>
    </xf>
    <xf numFmtId="0" fontId="12" fillId="32" borderId="9" xfId="0" applyFont="1" applyFill="1" applyBorder="1"/>
    <xf numFmtId="0" fontId="0" fillId="0" borderId="0" xfId="0" applyBorder="1"/>
    <xf numFmtId="0" fontId="12" fillId="32" borderId="10" xfId="0" applyFont="1" applyFill="1" applyBorder="1"/>
    <xf numFmtId="0" fontId="12" fillId="32" borderId="9" xfId="0" applyFont="1" applyFill="1" applyBorder="1" applyAlignment="1"/>
    <xf numFmtId="0" fontId="12" fillId="32" borderId="0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49" fontId="20" fillId="0" borderId="0" xfId="5"/>
    <xf numFmtId="49" fontId="20" fillId="0" borderId="13" xfId="5" applyBorder="1"/>
    <xf numFmtId="0" fontId="22" fillId="0" borderId="10" xfId="0" applyFont="1" applyFill="1" applyBorder="1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49" fontId="14" fillId="0" borderId="0" xfId="6" applyFill="1" applyBorder="1" applyAlignment="1">
      <alignment horizontal="left" indent="1"/>
    </xf>
    <xf numFmtId="168" fontId="0" fillId="0" borderId="0" xfId="56" applyFont="1" applyBorder="1" applyAlignment="1" applyProtection="1"/>
    <xf numFmtId="49" fontId="20" fillId="0" borderId="0" xfId="5" applyBorder="1"/>
    <xf numFmtId="49" fontId="14" fillId="0" borderId="0" xfId="6"/>
    <xf numFmtId="177" fontId="0" fillId="0" borderId="0" xfId="50" applyNumberFormat="1" applyFont="1" applyAlignment="1"/>
    <xf numFmtId="168" fontId="1" fillId="0" borderId="14" xfId="14" applyNumberFormat="1" applyFill="1" applyAlignment="1"/>
    <xf numFmtId="0" fontId="18" fillId="0" borderId="14" xfId="52" applyFill="1">
      <alignment horizontal="centerContinuous" wrapText="1"/>
    </xf>
    <xf numFmtId="0" fontId="0" fillId="0" borderId="0" xfId="0" applyFill="1" applyBorder="1"/>
    <xf numFmtId="0" fontId="26" fillId="32" borderId="10" xfId="0" applyFont="1" applyFill="1" applyBorder="1" applyAlignment="1">
      <alignment horizontal="centerContinuous"/>
    </xf>
    <xf numFmtId="0" fontId="0" fillId="0" borderId="13" xfId="0" applyFont="1" applyFill="1" applyBorder="1"/>
    <xf numFmtId="0" fontId="1" fillId="0" borderId="14" xfId="14" applyFill="1" applyAlignment="1">
      <alignment vertical="top" wrapText="1"/>
    </xf>
    <xf numFmtId="49" fontId="16" fillId="0" borderId="0" xfId="8" applyFill="1">
      <alignment horizontal="left"/>
    </xf>
    <xf numFmtId="0" fontId="1" fillId="0" borderId="14" xfId="14" applyFill="1" applyAlignment="1">
      <alignment vertical="top" wrapText="1"/>
    </xf>
    <xf numFmtId="0" fontId="17" fillId="0" borderId="14" xfId="13" applyFill="1">
      <protection locked="0"/>
    </xf>
    <xf numFmtId="0" fontId="1" fillId="0" borderId="14" xfId="14" applyFill="1"/>
    <xf numFmtId="177" fontId="17" fillId="0" borderId="14" xfId="60" applyFont="1" applyFill="1" applyBorder="1" applyProtection="1">
      <protection locked="0"/>
    </xf>
    <xf numFmtId="172" fontId="17" fillId="0" borderId="14" xfId="53" applyFont="1" applyFill="1" applyBorder="1" applyAlignment="1" applyProtection="1">
      <protection locked="0"/>
    </xf>
    <xf numFmtId="175" fontId="17" fillId="0" borderId="14" xfId="49" applyFont="1" applyFill="1" applyBorder="1">
      <protection locked="0"/>
    </xf>
    <xf numFmtId="49" fontId="15" fillId="0" borderId="0" xfId="7"/>
    <xf numFmtId="179" fontId="17" fillId="0" borderId="14" xfId="2" applyFont="1" applyFill="1" applyBorder="1" applyProtection="1">
      <protection locked="0"/>
    </xf>
    <xf numFmtId="179" fontId="0" fillId="0" borderId="0" xfId="2" applyFont="1"/>
    <xf numFmtId="179" fontId="1" fillId="0" borderId="14" xfId="14" applyNumberFormat="1" applyFill="1"/>
    <xf numFmtId="0" fontId="19" fillId="0" borderId="14" xfId="51" applyNumberFormat="1" applyFill="1"/>
    <xf numFmtId="172" fontId="19" fillId="0" borderId="14" xfId="51" applyNumberFormat="1" applyFill="1" applyAlignment="1"/>
    <xf numFmtId="177" fontId="19" fillId="0" borderId="14" xfId="51" applyNumberFormat="1" applyFill="1"/>
    <xf numFmtId="175" fontId="19" fillId="0" borderId="14" xfId="51" applyNumberFormat="1" applyFill="1"/>
    <xf numFmtId="179" fontId="19" fillId="0" borderId="14" xfId="51" applyNumberFormat="1" applyFill="1"/>
    <xf numFmtId="179" fontId="17" fillId="0" borderId="0" xfId="2" applyFont="1" applyFill="1" applyBorder="1" applyProtection="1">
      <protection locked="0"/>
    </xf>
    <xf numFmtId="179" fontId="19" fillId="0" borderId="14" xfId="2" applyFont="1" applyFill="1" applyBorder="1"/>
    <xf numFmtId="177" fontId="19" fillId="0" borderId="14" xfId="60" applyFont="1" applyFill="1" applyBorder="1"/>
    <xf numFmtId="175" fontId="19" fillId="0" borderId="14" xfId="49" applyFont="1" applyFill="1" applyBorder="1" applyProtection="1"/>
    <xf numFmtId="180" fontId="0" fillId="0" borderId="0" xfId="0" applyNumberFormat="1"/>
    <xf numFmtId="180" fontId="28" fillId="0" borderId="0" xfId="0" applyNumberFormat="1" applyFont="1" applyAlignment="1">
      <alignment horizontal="right"/>
    </xf>
    <xf numFmtId="0" fontId="2" fillId="0" borderId="0" xfId="0" applyFont="1"/>
    <xf numFmtId="179" fontId="19" fillId="0" borderId="0" xfId="2" applyFont="1" applyFill="1" applyBorder="1"/>
    <xf numFmtId="180" fontId="2" fillId="0" borderId="0" xfId="0" applyNumberFormat="1" applyFont="1"/>
    <xf numFmtId="180" fontId="2" fillId="0" borderId="0" xfId="0" applyNumberFormat="1" applyFont="1" applyFill="1"/>
    <xf numFmtId="180" fontId="0" fillId="0" borderId="0" xfId="0" applyNumberFormat="1" applyFill="1"/>
    <xf numFmtId="180" fontId="1" fillId="0" borderId="14" xfId="14" applyNumberFormat="1" applyFill="1"/>
    <xf numFmtId="10" fontId="1" fillId="0" borderId="14" xfId="14" applyNumberFormat="1" applyFill="1"/>
    <xf numFmtId="175" fontId="1" fillId="0" borderId="14" xfId="14" applyNumberFormat="1" applyFill="1"/>
    <xf numFmtId="180" fontId="1" fillId="0" borderId="0" xfId="14" applyNumberFormat="1" applyFill="1" applyBorder="1"/>
    <xf numFmtId="175" fontId="17" fillId="0" borderId="14" xfId="49" applyFont="1" applyFill="1" applyBorder="1" applyProtection="1">
      <protection locked="0"/>
    </xf>
    <xf numFmtId="177" fontId="1" fillId="0" borderId="14" xfId="60" applyFill="1" applyBorder="1"/>
    <xf numFmtId="175" fontId="1" fillId="0" borderId="14" xfId="49" applyFont="1" applyFill="1" applyBorder="1" applyProtection="1"/>
    <xf numFmtId="172" fontId="18" fillId="0" borderId="14" xfId="52" applyNumberFormat="1" applyFill="1">
      <alignment horizontal="centerContinuous" wrapText="1"/>
    </xf>
    <xf numFmtId="179" fontId="1" fillId="0" borderId="14" xfId="2" applyFont="1" applyFill="1" applyBorder="1"/>
    <xf numFmtId="0" fontId="1" fillId="0" borderId="14" xfId="14" applyFill="1" applyAlignment="1">
      <alignment vertical="top" wrapText="1"/>
    </xf>
    <xf numFmtId="10" fontId="0" fillId="0" borderId="0" xfId="0" applyNumberFormat="1"/>
    <xf numFmtId="0" fontId="0" fillId="0" borderId="0" xfId="0" applyFill="1"/>
    <xf numFmtId="49" fontId="25" fillId="0" borderId="0" xfId="20" quotePrefix="1" applyFill="1" applyAlignment="1" applyProtection="1">
      <alignment horizontal="left" vertical="top"/>
    </xf>
    <xf numFmtId="0" fontId="29" fillId="0" borderId="0" xfId="0" applyFont="1" applyFill="1"/>
    <xf numFmtId="168" fontId="14" fillId="0" borderId="0" xfId="6" applyNumberFormat="1" applyFont="1" applyFill="1" applyBorder="1"/>
    <xf numFmtId="0" fontId="18" fillId="0" borderId="16" xfId="52" applyFill="1" applyBorder="1">
      <alignment horizontal="centerContinuous" wrapText="1"/>
    </xf>
    <xf numFmtId="168" fontId="18" fillId="0" borderId="16" xfId="52" applyNumberFormat="1" applyFill="1" applyBorder="1" applyAlignment="1">
      <alignment horizontal="right" wrapText="1"/>
    </xf>
    <xf numFmtId="168" fontId="0" fillId="0" borderId="14" xfId="14" applyNumberFormat="1" applyFont="1" applyFill="1" applyAlignment="1"/>
    <xf numFmtId="168" fontId="0" fillId="0" borderId="14" xfId="14" applyNumberFormat="1" applyFont="1" applyFill="1" applyAlignment="1">
      <alignment horizontal="center"/>
    </xf>
    <xf numFmtId="179" fontId="19" fillId="0" borderId="14" xfId="2" applyNumberFormat="1" applyFont="1" applyFill="1" applyBorder="1"/>
    <xf numFmtId="0" fontId="18" fillId="0" borderId="0" xfId="52" applyNumberFormat="1" applyFill="1" applyBorder="1">
      <alignment horizontal="centerContinuous" wrapText="1"/>
    </xf>
    <xf numFmtId="168" fontId="0" fillId="0" borderId="17" xfId="56" applyNumberFormat="1" applyFont="1" applyFill="1" applyBorder="1" applyAlignment="1" applyProtection="1"/>
    <xf numFmtId="168" fontId="0" fillId="0" borderId="17" xfId="56" applyFont="1" applyFill="1" applyBorder="1" applyAlignment="1" applyProtection="1"/>
    <xf numFmtId="172" fontId="0" fillId="0" borderId="17" xfId="53" applyFont="1" applyFill="1" applyBorder="1" applyAlignment="1"/>
    <xf numFmtId="168" fontId="25" fillId="0" borderId="0" xfId="20" applyNumberFormat="1" applyFill="1" applyBorder="1">
      <alignment horizontal="left" indent="1"/>
    </xf>
    <xf numFmtId="171" fontId="0" fillId="0" borderId="17" xfId="54" applyFont="1" applyFill="1" applyBorder="1"/>
    <xf numFmtId="171" fontId="0" fillId="0" borderId="14" xfId="14" applyNumberFormat="1" applyFont="1" applyFill="1"/>
    <xf numFmtId="0" fontId="18" fillId="0" borderId="16" xfId="52" applyNumberFormat="1" applyFill="1" applyBorder="1" applyAlignment="1">
      <alignment horizontal="right" wrapText="1"/>
    </xf>
    <xf numFmtId="171" fontId="1" fillId="0" borderId="14" xfId="14" applyNumberFormat="1" applyFill="1"/>
    <xf numFmtId="0" fontId="25" fillId="0" borderId="0" xfId="20" applyNumberFormat="1" applyFill="1" applyBorder="1">
      <alignment horizontal="left" indent="1"/>
    </xf>
    <xf numFmtId="0" fontId="31" fillId="0" borderId="0" xfId="0" applyFont="1" applyFill="1"/>
    <xf numFmtId="0" fontId="18" fillId="0" borderId="0" xfId="52" applyNumberFormat="1" applyFill="1" applyBorder="1" applyAlignment="1">
      <alignment horizontal="right" wrapText="1"/>
    </xf>
    <xf numFmtId="171" fontId="19" fillId="0" borderId="14" xfId="54" applyFont="1" applyFill="1" applyBorder="1"/>
    <xf numFmtId="179" fontId="0" fillId="0" borderId="0" xfId="0" applyNumberFormat="1"/>
    <xf numFmtId="0" fontId="1" fillId="0" borderId="14" xfId="14" applyFill="1" applyAlignment="1">
      <alignment vertical="top" wrapText="1"/>
    </xf>
    <xf numFmtId="181" fontId="1" fillId="0" borderId="14" xfId="14" applyNumberFormat="1" applyFill="1"/>
    <xf numFmtId="168" fontId="18" fillId="0" borderId="14" xfId="52" applyNumberFormat="1" applyFill="1" applyAlignment="1">
      <alignment horizontal="left" wrapText="1"/>
    </xf>
    <xf numFmtId="0" fontId="18" fillId="0" borderId="14" xfId="52" applyFill="1" applyAlignment="1">
      <alignment horizontal="center" wrapText="1"/>
    </xf>
    <xf numFmtId="0" fontId="0" fillId="0" borderId="14" xfId="14" applyFont="1" applyFill="1"/>
    <xf numFmtId="168" fontId="17" fillId="0" borderId="14" xfId="13" applyNumberFormat="1" applyFill="1" applyAlignment="1">
      <alignment horizontal="center"/>
      <protection locked="0"/>
    </xf>
    <xf numFmtId="168" fontId="1" fillId="0" borderId="14" xfId="14" applyNumberFormat="1" applyFont="1" applyFill="1" applyAlignment="1"/>
    <xf numFmtId="0" fontId="0" fillId="0" borderId="14" xfId="14" applyFont="1" applyFill="1" applyAlignment="1">
      <alignment horizontal="right"/>
    </xf>
    <xf numFmtId="0" fontId="19" fillId="0" borderId="14" xfId="51" applyNumberFormat="1" applyFill="1" applyAlignment="1" applyProtection="1">
      <alignment horizontal="center"/>
      <protection locked="0"/>
    </xf>
    <xf numFmtId="0" fontId="0" fillId="0" borderId="14" xfId="14" applyFont="1" applyFill="1" applyProtection="1">
      <protection locked="0"/>
    </xf>
    <xf numFmtId="182" fontId="0" fillId="0" borderId="14" xfId="2" applyNumberFormat="1" applyFont="1" applyFill="1" applyBorder="1" applyAlignment="1" applyProtection="1">
      <alignment horizontal="center"/>
      <protection locked="0"/>
    </xf>
    <xf numFmtId="168" fontId="0" fillId="0" borderId="14" xfId="56" applyFont="1" applyFill="1" applyBorder="1" applyAlignment="1" applyProtection="1">
      <alignment horizontal="left"/>
    </xf>
    <xf numFmtId="179" fontId="19" fillId="0" borderId="14" xfId="2" applyNumberFormat="1" applyFont="1" applyFill="1" applyBorder="1" applyProtection="1">
      <protection locked="0"/>
    </xf>
    <xf numFmtId="0" fontId="19" fillId="0" borderId="14" xfId="51" applyNumberFormat="1" applyFill="1" applyAlignment="1">
      <alignment horizontal="center"/>
    </xf>
    <xf numFmtId="174" fontId="19" fillId="0" borderId="14" xfId="50" applyFont="1" applyFill="1" applyBorder="1" applyAlignment="1" applyProtection="1">
      <protection locked="0"/>
    </xf>
    <xf numFmtId="177" fontId="1" fillId="0" borderId="14" xfId="14" applyNumberFormat="1" applyFill="1" applyAlignment="1">
      <alignment horizontal="left"/>
    </xf>
    <xf numFmtId="177" fontId="19" fillId="0" borderId="14" xfId="60" applyNumberFormat="1" applyFont="1" applyFill="1" applyBorder="1"/>
    <xf numFmtId="164" fontId="1" fillId="0" borderId="14" xfId="14" applyNumberFormat="1" applyFill="1"/>
    <xf numFmtId="170" fontId="19" fillId="0" borderId="14" xfId="55" applyFont="1" applyFill="1" applyBorder="1" applyProtection="1">
      <protection locked="0"/>
    </xf>
    <xf numFmtId="174" fontId="0" fillId="0" borderId="0" xfId="50" applyFont="1" applyAlignment="1" applyProtection="1"/>
    <xf numFmtId="168" fontId="0" fillId="0" borderId="0" xfId="56" applyFont="1" applyFill="1" applyBorder="1" applyAlignment="1" applyProtection="1">
      <alignment horizontal="left"/>
    </xf>
    <xf numFmtId="0" fontId="19" fillId="0" borderId="14" xfId="51" applyNumberFormat="1" applyFill="1" applyAlignment="1">
      <alignment horizontal="center" wrapText="1"/>
    </xf>
    <xf numFmtId="174" fontId="0" fillId="0" borderId="0" xfId="60" applyNumberFormat="1" applyFont="1"/>
    <xf numFmtId="180" fontId="0" fillId="0" borderId="14" xfId="14" applyNumberFormat="1" applyFont="1" applyFill="1"/>
    <xf numFmtId="0" fontId="21" fillId="35" borderId="18" xfId="0" applyFont="1" applyFill="1" applyBorder="1"/>
    <xf numFmtId="0" fontId="21" fillId="35" borderId="19" xfId="0" applyFont="1" applyFill="1" applyBorder="1"/>
    <xf numFmtId="49" fontId="0" fillId="34" borderId="20" xfId="0" applyNumberFormat="1" applyFill="1" applyBorder="1"/>
    <xf numFmtId="0" fontId="27" fillId="34" borderId="21" xfId="58" applyFill="1" applyBorder="1" applyAlignment="1" applyProtection="1"/>
    <xf numFmtId="49" fontId="0" fillId="34" borderId="22" xfId="0" applyNumberFormat="1" applyFill="1" applyBorder="1"/>
    <xf numFmtId="0" fontId="27" fillId="34" borderId="23" xfId="58" applyFill="1" applyBorder="1" applyAlignment="1" applyProtection="1">
      <alignment horizontal="left" indent="1"/>
    </xf>
    <xf numFmtId="49" fontId="0" fillId="36" borderId="20" xfId="0" applyNumberFormat="1" applyFill="1" applyBorder="1"/>
    <xf numFmtId="0" fontId="27" fillId="36" borderId="21" xfId="58" applyFill="1" applyBorder="1" applyAlignment="1" applyProtection="1"/>
    <xf numFmtId="49" fontId="0" fillId="36" borderId="22" xfId="0" applyNumberFormat="1" applyFill="1" applyBorder="1"/>
    <xf numFmtId="0" fontId="27" fillId="36" borderId="23" xfId="58" applyFill="1" applyBorder="1" applyAlignment="1" applyProtection="1">
      <alignment horizontal="left" indent="1"/>
    </xf>
    <xf numFmtId="49" fontId="0" fillId="34" borderId="24" xfId="0" applyNumberFormat="1" applyFill="1" applyBorder="1"/>
    <xf numFmtId="0" fontId="27" fillId="34" borderId="25" xfId="58" applyFill="1" applyBorder="1" applyAlignment="1" applyProtection="1">
      <alignment horizontal="left" indent="1"/>
    </xf>
    <xf numFmtId="183" fontId="22" fillId="0" borderId="10" xfId="0" applyNumberFormat="1" applyFont="1" applyFill="1" applyBorder="1" applyAlignment="1">
      <alignment horizontal="centerContinuous"/>
    </xf>
    <xf numFmtId="183" fontId="12" fillId="32" borderId="0" xfId="0" applyNumberFormat="1" applyFont="1" applyFill="1" applyBorder="1" applyAlignment="1">
      <alignment horizontal="centerContinuous"/>
    </xf>
    <xf numFmtId="183" fontId="12" fillId="32" borderId="9" xfId="0" applyNumberFormat="1" applyFont="1" applyFill="1" applyBorder="1" applyAlignment="1">
      <alignment horizontal="centerContinuous"/>
    </xf>
    <xf numFmtId="183" fontId="0" fillId="0" borderId="0" xfId="0" applyNumberFormat="1"/>
    <xf numFmtId="179" fontId="19" fillId="0" borderId="14" xfId="61" applyFont="1" applyFill="1" applyBorder="1"/>
    <xf numFmtId="164" fontId="0" fillId="0" borderId="0" xfId="0" applyNumberFormat="1"/>
    <xf numFmtId="175" fontId="19" fillId="0" borderId="14" xfId="49" applyFont="1" applyFill="1" applyBorder="1" applyAlignment="1" applyProtection="1"/>
    <xf numFmtId="179" fontId="1" fillId="0" borderId="14" xfId="61" applyFont="1" applyFill="1" applyBorder="1"/>
    <xf numFmtId="177" fontId="19" fillId="0" borderId="14" xfId="60" applyFont="1" applyFill="1" applyBorder="1" applyProtection="1"/>
    <xf numFmtId="0" fontId="0" fillId="0" borderId="0" xfId="0" applyNumberFormat="1"/>
    <xf numFmtId="0" fontId="1" fillId="0" borderId="14" xfId="14" applyFill="1" applyAlignment="1">
      <alignment vertical="top" wrapText="1"/>
    </xf>
    <xf numFmtId="0" fontId="1" fillId="0" borderId="14" xfId="14" applyFill="1" applyAlignment="1">
      <alignment wrapText="1"/>
    </xf>
    <xf numFmtId="0" fontId="18" fillId="0" borderId="14" xfId="52" applyFill="1" applyAlignment="1">
      <alignment horizontal="center" wrapText="1"/>
    </xf>
    <xf numFmtId="0" fontId="19" fillId="0" borderId="14" xfId="51" applyNumberFormat="1" applyFill="1" applyAlignment="1">
      <alignment horizontal="center"/>
    </xf>
  </cellXfs>
  <cellStyles count="64"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0] 2" xfId="61"/>
    <cellStyle name="Comma [1]" xfId="57"/>
    <cellStyle name="Comma [2]" xfId="55"/>
    <cellStyle name="Comma [4]" xfId="54"/>
    <cellStyle name="Currency" xfId="3" builtinId="4" hidden="1"/>
    <cellStyle name="Currency [0]" xfId="4" builtinId="7" hidden="1"/>
    <cellStyle name="Date (short)" xfId="53"/>
    <cellStyle name="Explanatory Text" xfId="20" builtinId="53" customBuiltin="1"/>
    <cellStyle name="Good" xfId="10" builtinId="26" hidde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Input" xfId="13" builtinId="20" customBuiltin="1"/>
    <cellStyle name="Label" xfId="52"/>
    <cellStyle name="Link" xfId="51"/>
    <cellStyle name="Linked Cell" xfId="16" builtinId="24" hidden="1"/>
    <cellStyle name="Neutral" xfId="12" builtinId="28" hidden="1"/>
    <cellStyle name="Normal" xfId="0" builtinId="0" customBuiltin="1"/>
    <cellStyle name="Note" xfId="19" builtinId="10" hidden="1"/>
    <cellStyle name="Output" xfId="14" builtinId="21" customBuiltin="1"/>
    <cellStyle name="Percent" xfId="59" builtinId="5" hidden="1" customBuiltin="1"/>
    <cellStyle name="Percent [0]" xfId="60"/>
    <cellStyle name="Percent [1]" xfId="50"/>
    <cellStyle name="Percent [2]" xfId="49"/>
    <cellStyle name="Percent [3]" xfId="48"/>
    <cellStyle name="Percent [3] 3" xfId="63"/>
    <cellStyle name="Percent [3] 4" xfId="62"/>
    <cellStyle name="Rt border" xfId="47"/>
    <cellStyle name="Text" xfId="56"/>
    <cellStyle name="Title" xfId="5" builtinId="15" customBuiltin="1"/>
    <cellStyle name="Total" xfId="21" builtinId="25" hidden="1"/>
    <cellStyle name="Warning Text" xfId="18" builtinId="11" hidden="1"/>
    <cellStyle name="Year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38100</xdr:rowOff>
    </xdr:from>
    <xdr:to>
      <xdr:col>1</xdr:col>
      <xdr:colOff>1216152</xdr:colOff>
      <xdr:row>1</xdr:row>
      <xdr:rowOff>888492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8600"/>
          <a:ext cx="2816352" cy="850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25">
      <c r="A1" s="32"/>
      <c r="B1" s="13"/>
      <c r="C1" s="13"/>
      <c r="D1" s="12"/>
    </row>
    <row r="2" spans="1:4" ht="189" customHeight="1" x14ac:dyDescent="0.25">
      <c r="A2" s="9"/>
      <c r="B2" s="11"/>
      <c r="C2" s="11"/>
      <c r="D2" s="7"/>
    </row>
    <row r="3" spans="1:4" ht="22.5" customHeight="1" x14ac:dyDescent="0.4">
      <c r="A3" s="20" t="s">
        <v>214</v>
      </c>
      <c r="B3" s="6"/>
      <c r="C3" s="6"/>
      <c r="D3" s="5"/>
    </row>
    <row r="4" spans="1:4" ht="22.5" customHeight="1" x14ac:dyDescent="0.4">
      <c r="A4" s="20" t="s">
        <v>10</v>
      </c>
      <c r="B4" s="6"/>
      <c r="C4" s="6"/>
      <c r="D4" s="5"/>
    </row>
    <row r="5" spans="1:4" ht="22.5" customHeight="1" x14ac:dyDescent="0.4">
      <c r="A5" s="20" t="s">
        <v>187</v>
      </c>
      <c r="B5" s="6"/>
      <c r="C5" s="6"/>
      <c r="D5" s="5"/>
    </row>
    <row r="6" spans="1:4" s="134" customFormat="1" ht="22.5" customHeight="1" x14ac:dyDescent="0.4">
      <c r="A6" s="131">
        <v>43300</v>
      </c>
      <c r="B6" s="132"/>
      <c r="C6" s="132"/>
      <c r="D6" s="133"/>
    </row>
    <row r="7" spans="1:4" ht="42" customHeight="1" x14ac:dyDescent="0.3">
      <c r="A7" s="9"/>
      <c r="B7" s="11"/>
      <c r="C7" s="11"/>
      <c r="D7" s="7"/>
    </row>
    <row r="8" spans="1:4" ht="15" customHeight="1" x14ac:dyDescent="0.3">
      <c r="A8" s="9"/>
      <c r="B8" s="8"/>
      <c r="C8" s="8"/>
      <c r="D8" s="10"/>
    </row>
    <row r="9" spans="1:4" ht="15" customHeight="1" x14ac:dyDescent="0.3">
      <c r="A9" s="9"/>
      <c r="B9" s="8"/>
      <c r="C9" s="8"/>
      <c r="D9" s="7"/>
    </row>
    <row r="10" spans="1:4" ht="15" customHeight="1" x14ac:dyDescent="0.3">
      <c r="A10" s="9"/>
      <c r="B10" s="8"/>
      <c r="C10" s="8"/>
      <c r="D10" s="7"/>
    </row>
    <row r="11" spans="1:4" ht="15" customHeight="1" x14ac:dyDescent="0.3">
      <c r="A11" s="9"/>
      <c r="B11" s="8"/>
      <c r="C11" s="8"/>
      <c r="D11" s="7"/>
    </row>
    <row r="12" spans="1:4" ht="15" customHeight="1" x14ac:dyDescent="0.3">
      <c r="A12" s="9"/>
      <c r="B12" s="8"/>
      <c r="C12" s="8"/>
      <c r="D12" s="10"/>
    </row>
    <row r="13" spans="1:4" ht="15" customHeight="1" x14ac:dyDescent="0.25">
      <c r="A13" s="9"/>
      <c r="B13" s="8"/>
      <c r="C13" s="8"/>
      <c r="D13" s="10"/>
    </row>
    <row r="14" spans="1:4" ht="15" customHeight="1" x14ac:dyDescent="0.25">
      <c r="A14" s="9"/>
      <c r="B14" s="8"/>
      <c r="C14" s="8"/>
      <c r="D14" s="7"/>
    </row>
    <row r="15" spans="1:4" ht="15" customHeight="1" x14ac:dyDescent="0.25">
      <c r="A15" s="9"/>
      <c r="B15" s="8"/>
      <c r="C15" s="8"/>
      <c r="D15" s="7"/>
    </row>
    <row r="16" spans="1:4" ht="15" customHeight="1" x14ac:dyDescent="0.25">
      <c r="A16" s="9"/>
      <c r="B16" s="8"/>
      <c r="C16" s="8"/>
      <c r="D16" s="7"/>
    </row>
    <row r="17" spans="1:4" ht="15" customHeight="1" x14ac:dyDescent="0.25">
      <c r="A17" s="31"/>
      <c r="B17" s="6"/>
      <c r="C17" s="6"/>
      <c r="D17" s="5"/>
    </row>
    <row r="18" spans="1:4" ht="15" customHeight="1" x14ac:dyDescent="0.25">
      <c r="A18" s="4"/>
      <c r="B18" s="3"/>
      <c r="C18" s="3"/>
      <c r="D18" s="2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K103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2" width="4.85546875" style="1" customWidth="1"/>
    <col min="3" max="3" width="57.28515625" style="1" customWidth="1"/>
    <col min="4" max="4" width="17.7109375" style="1" customWidth="1"/>
    <col min="5" max="5" width="9.140625" style="1" customWidth="1"/>
    <col min="6" max="7" width="10.28515625" style="1" bestFit="1" customWidth="1"/>
    <col min="8" max="10" width="10.5703125" style="1" bestFit="1" customWidth="1"/>
    <col min="11" max="11" width="7.5703125" style="1" customWidth="1"/>
    <col min="12" max="16384" width="8.85546875" style="1"/>
  </cols>
  <sheetData>
    <row r="1" spans="1:10" ht="25.9" x14ac:dyDescent="0.5">
      <c r="A1" s="18" t="s">
        <v>188</v>
      </c>
      <c r="E1" s="27"/>
    </row>
    <row r="2" spans="1:10" ht="14.45" x14ac:dyDescent="0.3">
      <c r="A2" s="73" t="s">
        <v>189</v>
      </c>
    </row>
    <row r="3" spans="1:10" ht="23.45" x14ac:dyDescent="0.45">
      <c r="A3" s="26" t="s">
        <v>5</v>
      </c>
      <c r="D3" s="29" t="s">
        <v>51</v>
      </c>
      <c r="E3" s="29" t="s">
        <v>11</v>
      </c>
      <c r="F3" s="29">
        <v>2018</v>
      </c>
      <c r="G3" s="29">
        <f t="shared" ref="G3:J3" si="0">F3+1</f>
        <v>2019</v>
      </c>
      <c r="H3" s="29">
        <f t="shared" si="0"/>
        <v>2020</v>
      </c>
      <c r="I3" s="29">
        <f t="shared" si="0"/>
        <v>2021</v>
      </c>
      <c r="J3" s="29">
        <f t="shared" si="0"/>
        <v>2022</v>
      </c>
    </row>
    <row r="4" spans="1:10" ht="18" x14ac:dyDescent="0.35">
      <c r="B4" s="34" t="s">
        <v>31</v>
      </c>
      <c r="E4" s="29"/>
      <c r="F4" s="29"/>
      <c r="G4" s="29"/>
      <c r="H4" s="29"/>
      <c r="I4" s="29"/>
      <c r="J4" s="29"/>
    </row>
    <row r="5" spans="1:10" ht="14.45" x14ac:dyDescent="0.3">
      <c r="C5" s="37" t="s">
        <v>17</v>
      </c>
      <c r="D5" s="37" t="s">
        <v>29</v>
      </c>
      <c r="E5" s="51"/>
      <c r="F5" s="51">
        <f>'Scenario Manager'!F37</f>
        <v>79035.643929949147</v>
      </c>
      <c r="G5" s="51">
        <f>'Scenario Manager'!G37</f>
        <v>82551.690307640209</v>
      </c>
      <c r="H5" s="51">
        <f>'Scenario Manager'!H37</f>
        <v>86514.560328074382</v>
      </c>
      <c r="I5" s="51">
        <f>'Scenario Manager'!I37</f>
        <v>90559.1047399042</v>
      </c>
      <c r="J5" s="51">
        <f>'Scenario Manager'!J37</f>
        <v>95531.456914526745</v>
      </c>
    </row>
    <row r="6" spans="1:10" ht="14.45" x14ac:dyDescent="0.3">
      <c r="C6" s="37" t="s">
        <v>18</v>
      </c>
      <c r="D6" s="37" t="s">
        <v>29</v>
      </c>
      <c r="E6" s="51"/>
      <c r="F6" s="51">
        <f>'Scenario Manager'!F38</f>
        <v>12120.862259178784</v>
      </c>
      <c r="G6" s="51">
        <f>'Scenario Manager'!G38</f>
        <v>12310.613704305024</v>
      </c>
      <c r="H6" s="51">
        <f>'Scenario Manager'!H38</f>
        <v>12529.188914055556</v>
      </c>
      <c r="I6" s="51">
        <f>'Scenario Manager'!I38</f>
        <v>12743.545766313102</v>
      </c>
      <c r="J6" s="51">
        <f>'Scenario Manager'!J38</f>
        <v>12968.736681639364</v>
      </c>
    </row>
    <row r="7" spans="1:10" ht="14.45" x14ac:dyDescent="0.3">
      <c r="C7" s="37" t="s">
        <v>19</v>
      </c>
      <c r="D7" s="37" t="s">
        <v>29</v>
      </c>
      <c r="E7" s="51"/>
      <c r="F7" s="51">
        <f>'Scenario Manager'!F39</f>
        <v>0</v>
      </c>
      <c r="G7" s="51">
        <f>'Scenario Manager'!G39</f>
        <v>0</v>
      </c>
      <c r="H7" s="51">
        <f>'Scenario Manager'!H39</f>
        <v>0</v>
      </c>
      <c r="I7" s="51">
        <f>'Scenario Manager'!I39</f>
        <v>0</v>
      </c>
      <c r="J7" s="51">
        <f>'Scenario Manager'!J39</f>
        <v>0</v>
      </c>
    </row>
    <row r="8" spans="1:10" ht="14.45" x14ac:dyDescent="0.3">
      <c r="C8" s="37" t="s">
        <v>68</v>
      </c>
      <c r="D8" s="37" t="s">
        <v>29</v>
      </c>
      <c r="E8" s="51"/>
      <c r="F8" s="51">
        <f>'Scenario Manager'!F40</f>
        <v>0</v>
      </c>
      <c r="G8" s="51">
        <f>'Scenario Manager'!G40</f>
        <v>0</v>
      </c>
      <c r="H8" s="51">
        <f>'Scenario Manager'!H40</f>
        <v>0</v>
      </c>
      <c r="I8" s="51">
        <f>'Scenario Manager'!I40</f>
        <v>0</v>
      </c>
      <c r="J8" s="51">
        <f>'Scenario Manager'!J40</f>
        <v>0</v>
      </c>
    </row>
    <row r="9" spans="1:10" ht="14.45" x14ac:dyDescent="0.3">
      <c r="C9" s="37"/>
      <c r="D9" s="37"/>
      <c r="E9" s="51"/>
      <c r="F9" s="51"/>
      <c r="G9" s="51"/>
      <c r="H9" s="51"/>
      <c r="I9" s="51"/>
      <c r="J9" s="51"/>
    </row>
    <row r="10" spans="1:10" ht="18" x14ac:dyDescent="0.35">
      <c r="B10" s="34" t="s">
        <v>48</v>
      </c>
      <c r="C10" s="37"/>
      <c r="D10" s="37"/>
      <c r="E10" s="51"/>
      <c r="F10" s="57"/>
      <c r="G10" s="57"/>
      <c r="H10" s="57"/>
      <c r="I10" s="57"/>
      <c r="J10" s="57"/>
    </row>
    <row r="11" spans="1:10" ht="14.45" customHeight="1" x14ac:dyDescent="0.3">
      <c r="B11" s="34"/>
      <c r="C11" s="37" t="s">
        <v>24</v>
      </c>
      <c r="D11" s="37" t="s">
        <v>29</v>
      </c>
      <c r="E11" s="51"/>
      <c r="F11" s="51">
        <f>'Scenario Manager'!F77</f>
        <v>0</v>
      </c>
      <c r="G11" s="51">
        <f>'Scenario Manager'!G77</f>
        <v>0</v>
      </c>
      <c r="H11" s="51">
        <f>'Scenario Manager'!H77</f>
        <v>0</v>
      </c>
      <c r="I11" s="51">
        <f>'Scenario Manager'!I77</f>
        <v>0</v>
      </c>
      <c r="J11" s="51">
        <f>'Scenario Manager'!J77</f>
        <v>0</v>
      </c>
    </row>
    <row r="12" spans="1:10" ht="14.45" customHeight="1" x14ac:dyDescent="0.3">
      <c r="B12" s="34"/>
      <c r="C12" s="37" t="s">
        <v>26</v>
      </c>
      <c r="D12" s="37" t="s">
        <v>29</v>
      </c>
      <c r="E12" s="51"/>
      <c r="F12" s="51">
        <f>'Scenario Manager'!F78</f>
        <v>0</v>
      </c>
      <c r="G12" s="51">
        <f>'Scenario Manager'!G78</f>
        <v>0</v>
      </c>
      <c r="H12" s="51">
        <f>'Scenario Manager'!H78</f>
        <v>0</v>
      </c>
      <c r="I12" s="51">
        <f>'Scenario Manager'!I78</f>
        <v>0</v>
      </c>
      <c r="J12" s="51">
        <f>'Scenario Manager'!J78</f>
        <v>0</v>
      </c>
    </row>
    <row r="13" spans="1:10" ht="14.45" customHeight="1" x14ac:dyDescent="0.3">
      <c r="B13" s="34"/>
      <c r="C13" s="37" t="s">
        <v>25</v>
      </c>
      <c r="D13" s="37" t="s">
        <v>29</v>
      </c>
      <c r="E13" s="51"/>
      <c r="F13" s="51">
        <f>'Scenario Manager'!F79</f>
        <v>0</v>
      </c>
      <c r="G13" s="51">
        <f>'Scenario Manager'!G79</f>
        <v>0</v>
      </c>
      <c r="H13" s="51">
        <f>'Scenario Manager'!H79</f>
        <v>0</v>
      </c>
      <c r="I13" s="51">
        <f>'Scenario Manager'!I79</f>
        <v>0</v>
      </c>
      <c r="J13" s="51">
        <f>'Scenario Manager'!J79</f>
        <v>0</v>
      </c>
    </row>
    <row r="14" spans="1:10" ht="14.45" customHeight="1" x14ac:dyDescent="0.3">
      <c r="B14" s="34"/>
      <c r="C14" s="37" t="s">
        <v>27</v>
      </c>
      <c r="D14" s="37" t="s">
        <v>29</v>
      </c>
      <c r="E14" s="51"/>
      <c r="F14" s="51">
        <f>'Scenario Manager'!F80</f>
        <v>0</v>
      </c>
      <c r="G14" s="51">
        <f>'Scenario Manager'!G80</f>
        <v>0</v>
      </c>
      <c r="H14" s="51">
        <f>'Scenario Manager'!H80</f>
        <v>0</v>
      </c>
      <c r="I14" s="51">
        <f>'Scenario Manager'!I80</f>
        <v>0</v>
      </c>
      <c r="J14" s="51">
        <f>'Scenario Manager'!J80</f>
        <v>0</v>
      </c>
    </row>
    <row r="15" spans="1:10" ht="14.45" customHeight="1" x14ac:dyDescent="0.35">
      <c r="B15" s="34"/>
      <c r="C15" s="37" t="s">
        <v>28</v>
      </c>
      <c r="D15" s="37" t="s">
        <v>29</v>
      </c>
      <c r="E15" s="51"/>
      <c r="F15" s="51">
        <f>'Scenario Manager'!F81</f>
        <v>0</v>
      </c>
      <c r="G15" s="51">
        <f>'Scenario Manager'!G81</f>
        <v>0</v>
      </c>
      <c r="H15" s="51">
        <f>'Scenario Manager'!H81</f>
        <v>0</v>
      </c>
      <c r="I15" s="51">
        <f>'Scenario Manager'!I81</f>
        <v>0</v>
      </c>
      <c r="J15" s="51">
        <f>'Scenario Manager'!J81</f>
        <v>0</v>
      </c>
    </row>
    <row r="16" spans="1:10" ht="14.45" customHeight="1" x14ac:dyDescent="0.35">
      <c r="B16" s="34" t="s">
        <v>9</v>
      </c>
      <c r="C16" s="37"/>
      <c r="D16" s="37"/>
      <c r="E16" s="51"/>
      <c r="F16" s="57"/>
      <c r="G16" s="57"/>
      <c r="H16" s="57"/>
      <c r="I16" s="57"/>
      <c r="J16" s="57"/>
    </row>
    <row r="17" spans="1:11" ht="14.45" customHeight="1" x14ac:dyDescent="0.35">
      <c r="B17" s="34"/>
      <c r="C17" s="37" t="s">
        <v>14</v>
      </c>
      <c r="D17" s="37" t="s">
        <v>29</v>
      </c>
      <c r="E17" s="52">
        <f>'Scenario Manager'!E14</f>
        <v>0.28000000000000003</v>
      </c>
      <c r="F17" s="57"/>
      <c r="G17" s="57"/>
      <c r="H17" s="57"/>
      <c r="I17" s="57"/>
      <c r="J17" s="57"/>
    </row>
    <row r="18" spans="1:11" ht="14.45" customHeight="1" x14ac:dyDescent="0.35">
      <c r="B18" s="34"/>
      <c r="C18" s="37" t="s">
        <v>65</v>
      </c>
      <c r="D18" s="37" t="s">
        <v>29</v>
      </c>
      <c r="E18" s="53">
        <f>'Scenario Manager'!E18</f>
        <v>6.6433320000000004E-2</v>
      </c>
      <c r="F18" s="57"/>
      <c r="G18" s="57"/>
      <c r="H18" s="57"/>
      <c r="I18" s="57"/>
      <c r="J18" s="57"/>
    </row>
    <row r="19" spans="1:11" ht="18" x14ac:dyDescent="0.35">
      <c r="A19" s="34"/>
      <c r="B19" s="34" t="s">
        <v>64</v>
      </c>
      <c r="C19" s="37"/>
      <c r="D19" s="37"/>
      <c r="E19" s="51"/>
      <c r="F19" s="57"/>
      <c r="G19" s="57"/>
      <c r="H19" s="57"/>
      <c r="I19" s="57"/>
      <c r="J19" s="57"/>
    </row>
    <row r="20" spans="1:11" ht="14.45" x14ac:dyDescent="0.3">
      <c r="C20" s="61" t="s">
        <v>126</v>
      </c>
      <c r="D20" s="37" t="s">
        <v>157</v>
      </c>
      <c r="E20" s="51"/>
      <c r="F20" s="49">
        <f>'Scenario asset base'!F168</f>
        <v>534218.77409418614</v>
      </c>
      <c r="G20" s="49">
        <f>'Scenario asset base'!G168</f>
        <v>536696.66286932945</v>
      </c>
      <c r="H20" s="49">
        <f>'Scenario asset base'!H168</f>
        <v>544698.03499692376</v>
      </c>
      <c r="I20" s="49">
        <f>'Scenario asset base'!I168</f>
        <v>549399.27789044857</v>
      </c>
      <c r="J20" s="49">
        <f>'Scenario asset base'!J168</f>
        <v>550107.25916371448</v>
      </c>
    </row>
    <row r="21" spans="1:11" ht="14.45" x14ac:dyDescent="0.3">
      <c r="C21" s="61" t="s">
        <v>36</v>
      </c>
      <c r="D21" s="37" t="s">
        <v>157</v>
      </c>
      <c r="E21" s="51"/>
      <c r="F21" s="49">
        <f>'Scenario asset base'!F169</f>
        <v>7288.910598880112</v>
      </c>
      <c r="G21" s="49">
        <f>'Scenario asset base'!G169</f>
        <v>10693.253052283477</v>
      </c>
      <c r="H21" s="49">
        <f>'Scenario asset base'!H169</f>
        <v>10288.792621400475</v>
      </c>
      <c r="I21" s="49">
        <f>'Scenario asset base'!I169</f>
        <v>10872.950940622271</v>
      </c>
      <c r="J21" s="49">
        <f>'Scenario asset base'!J169</f>
        <v>10830.564445026695</v>
      </c>
    </row>
    <row r="22" spans="1:11" ht="14.45" x14ac:dyDescent="0.3">
      <c r="C22" s="61" t="s">
        <v>37</v>
      </c>
      <c r="D22" s="37" t="s">
        <v>157</v>
      </c>
      <c r="E22" s="51"/>
      <c r="F22" s="49">
        <f>'Scenario asset base'!F170</f>
        <v>20968.303721619915</v>
      </c>
      <c r="G22" s="49">
        <f>'Scenario asset base'!G170</f>
        <v>19573.636619958641</v>
      </c>
      <c r="H22" s="49">
        <f>'Scenario asset base'!H170</f>
        <v>21909.724806421127</v>
      </c>
      <c r="I22" s="49">
        <f>'Scenario asset base'!I170</f>
        <v>24495.737439089949</v>
      </c>
      <c r="J22" s="49">
        <f>'Scenario asset base'!J170</f>
        <v>24218.744042060585</v>
      </c>
    </row>
    <row r="23" spans="1:11" ht="14.45" x14ac:dyDescent="0.3">
      <c r="C23" s="61" t="s">
        <v>66</v>
      </c>
      <c r="D23" s="37" t="s">
        <v>29</v>
      </c>
      <c r="E23" s="51"/>
      <c r="F23" s="49">
        <f>'Scenario Manager'!F88</f>
        <v>40765.19669380234</v>
      </c>
      <c r="G23" s="49">
        <f>'Scenario Manager'!G88</f>
        <v>37920.683678528811</v>
      </c>
      <c r="H23" s="49">
        <f>'Scenario Manager'!H88</f>
        <v>38630.272492554555</v>
      </c>
      <c r="I23" s="49">
        <f>'Scenario Manager'!I88</f>
        <v>39385.363659636321</v>
      </c>
      <c r="J23" s="49">
        <f>'Scenario Manager'!J88</f>
        <v>40157.05076450741</v>
      </c>
    </row>
    <row r="24" spans="1:11" ht="14.45" x14ac:dyDescent="0.3">
      <c r="C24" s="61" t="s">
        <v>67</v>
      </c>
      <c r="D24" s="37" t="s">
        <v>157</v>
      </c>
      <c r="E24" s="51"/>
      <c r="F24" s="49">
        <f>'Scenario asset base'!F171</f>
        <v>19358.811822096228</v>
      </c>
      <c r="G24" s="49">
        <f>'Scenario asset base'!G171</f>
        <v>19946.124800469166</v>
      </c>
      <c r="H24" s="49">
        <f>'Scenario asset base'!H171</f>
        <v>17442.706710588212</v>
      </c>
      <c r="I24" s="49">
        <f>'Scenario asset base'!I171</f>
        <v>17253.650363522556</v>
      </c>
      <c r="J24" s="49">
        <f>'Scenario asset base'!J171</f>
        <v>15203.688367884866</v>
      </c>
    </row>
    <row r="25" spans="1:11" ht="14.45" x14ac:dyDescent="0.3">
      <c r="C25" s="61" t="s">
        <v>259</v>
      </c>
      <c r="D25" s="37" t="s">
        <v>157</v>
      </c>
      <c r="E25" s="51"/>
      <c r="F25" s="49">
        <f>'Scenario asset base'!F172</f>
        <v>4393.719721970825</v>
      </c>
      <c r="G25" s="49">
        <f>'Scenario asset base'!G172</f>
        <v>4444.09885932411</v>
      </c>
      <c r="H25" s="49">
        <f>'Scenario asset base'!H172</f>
        <v>4475.4550831265651</v>
      </c>
      <c r="I25" s="49">
        <f>'Scenario asset base'!I172</f>
        <v>4555.2227965735956</v>
      </c>
      <c r="J25" s="49">
        <f>'Scenario asset base'!J172</f>
        <v>4537.4649742438805</v>
      </c>
    </row>
    <row r="26" spans="1:11" ht="18" x14ac:dyDescent="0.35">
      <c r="B26" s="34" t="s">
        <v>125</v>
      </c>
      <c r="C26" s="61"/>
      <c r="D26" s="49"/>
      <c r="E26" s="49"/>
      <c r="F26" s="49"/>
      <c r="G26" s="49"/>
      <c r="H26" s="49"/>
      <c r="I26" s="49"/>
      <c r="J26" s="49"/>
    </row>
    <row r="27" spans="1:11" ht="14.45" x14ac:dyDescent="0.3">
      <c r="C27" s="61" t="s">
        <v>123</v>
      </c>
      <c r="D27" s="37" t="s">
        <v>125</v>
      </c>
      <c r="E27" s="93">
        <f>'Timing factors'!C19</f>
        <v>1.0325915994859556</v>
      </c>
      <c r="F27" s="49"/>
      <c r="G27" s="49"/>
      <c r="H27" s="49"/>
      <c r="I27" s="49"/>
      <c r="J27" s="49"/>
    </row>
    <row r="28" spans="1:11" x14ac:dyDescent="0.25">
      <c r="C28" s="61" t="s">
        <v>176</v>
      </c>
      <c r="D28" s="37" t="s">
        <v>125</v>
      </c>
      <c r="E28" s="93">
        <f>'Timing factors'!C20</f>
        <v>1.0264233985588214</v>
      </c>
      <c r="F28" s="49"/>
      <c r="G28" s="49"/>
      <c r="H28" s="49"/>
      <c r="I28" s="49"/>
      <c r="J28" s="49"/>
    </row>
    <row r="29" spans="1:11" x14ac:dyDescent="0.25">
      <c r="C29" s="61"/>
      <c r="D29" s="37"/>
      <c r="E29" s="51"/>
      <c r="F29" s="49"/>
      <c r="G29" s="49"/>
      <c r="H29" s="49"/>
      <c r="I29" s="49"/>
      <c r="J29" s="49"/>
    </row>
    <row r="31" spans="1:11" ht="23.25" x14ac:dyDescent="0.35">
      <c r="A31" s="26" t="s">
        <v>32</v>
      </c>
      <c r="E31" s="29" t="s">
        <v>11</v>
      </c>
      <c r="F31" s="29">
        <v>2018</v>
      </c>
      <c r="G31" s="29">
        <f t="shared" ref="G31:J31" si="1">F31+1</f>
        <v>2019</v>
      </c>
      <c r="H31" s="29">
        <f t="shared" si="1"/>
        <v>2020</v>
      </c>
      <c r="I31" s="29">
        <f t="shared" si="1"/>
        <v>2021</v>
      </c>
      <c r="J31" s="29">
        <f t="shared" si="1"/>
        <v>2022</v>
      </c>
    </row>
    <row r="32" spans="1:11" s="61" customFormat="1" x14ac:dyDescent="0.25">
      <c r="A32" s="1"/>
      <c r="B32" s="1"/>
      <c r="C32" s="61" t="s">
        <v>88</v>
      </c>
      <c r="F32" s="61">
        <f>F20</f>
        <v>534218.77409418614</v>
      </c>
      <c r="G32" s="61">
        <f>G20</f>
        <v>536696.66286932945</v>
      </c>
      <c r="H32" s="61">
        <f>H20</f>
        <v>544698.03499692376</v>
      </c>
      <c r="I32" s="61">
        <f>I20</f>
        <v>549399.27789044857</v>
      </c>
      <c r="J32" s="61">
        <f>J20</f>
        <v>550107.25916371448</v>
      </c>
      <c r="K32" s="1"/>
    </row>
    <row r="33" spans="1:11" s="61" customFormat="1" x14ac:dyDescent="0.25">
      <c r="A33" s="1"/>
      <c r="B33" s="1"/>
      <c r="C33" s="61" t="s">
        <v>167</v>
      </c>
      <c r="F33" s="61">
        <f>'Scenario Manager'!E22</f>
        <v>-7806</v>
      </c>
      <c r="G33" s="61">
        <f>F33+($J$33-$F$33)/4</f>
        <v>-7810.25</v>
      </c>
      <c r="H33" s="61">
        <f>G33+($J$33-$F$33)/4</f>
        <v>-7814.5</v>
      </c>
      <c r="I33" s="61">
        <f>H33+($J$33-$F$33)/4</f>
        <v>-7818.75</v>
      </c>
      <c r="J33" s="61">
        <f>'Scenario Manager'!E23</f>
        <v>-7823</v>
      </c>
      <c r="K33" s="1"/>
    </row>
    <row r="34" spans="1:11" s="61" customFormat="1" x14ac:dyDescent="0.25">
      <c r="A34" s="1"/>
      <c r="B34" s="1"/>
      <c r="C34" s="61" t="s">
        <v>132</v>
      </c>
      <c r="F34" s="61">
        <f>F32-F33</f>
        <v>542024.77409418614</v>
      </c>
      <c r="G34" s="61">
        <f t="shared" ref="G34:J34" si="2">G32-G33</f>
        <v>544506.91286932945</v>
      </c>
      <c r="H34" s="61">
        <f t="shared" si="2"/>
        <v>552512.53499692376</v>
      </c>
      <c r="I34" s="61">
        <f t="shared" si="2"/>
        <v>557218.02789044857</v>
      </c>
      <c r="J34" s="61">
        <f t="shared" si="2"/>
        <v>557930.25916371448</v>
      </c>
      <c r="K34" s="1"/>
    </row>
    <row r="35" spans="1:11" x14ac:dyDescent="0.25">
      <c r="C35" s="61" t="s">
        <v>34</v>
      </c>
      <c r="D35" s="37"/>
      <c r="E35" s="37"/>
      <c r="F35" s="63">
        <f>$E$18</f>
        <v>6.6433320000000004E-2</v>
      </c>
      <c r="G35" s="63">
        <f t="shared" ref="G35:J35" si="3">$E$18</f>
        <v>6.6433320000000004E-2</v>
      </c>
      <c r="H35" s="63">
        <f t="shared" si="3"/>
        <v>6.6433320000000004E-2</v>
      </c>
      <c r="I35" s="63">
        <f t="shared" si="3"/>
        <v>6.6433320000000004E-2</v>
      </c>
      <c r="J35" s="63">
        <f t="shared" si="3"/>
        <v>6.6433320000000004E-2</v>
      </c>
    </row>
    <row r="36" spans="1:11" x14ac:dyDescent="0.25">
      <c r="C36" s="61" t="s">
        <v>35</v>
      </c>
      <c r="D36" s="37"/>
      <c r="E36" s="37"/>
      <c r="F36" s="44">
        <f>F34*F35</f>
        <v>36008.505265326778</v>
      </c>
      <c r="G36" s="44">
        <f t="shared" ref="G36:J36" si="4">G34*G35</f>
        <v>36173.401984860284</v>
      </c>
      <c r="H36" s="44">
        <f t="shared" si="4"/>
        <v>36705.242041461839</v>
      </c>
      <c r="I36" s="44">
        <f t="shared" si="4"/>
        <v>37017.843556615095</v>
      </c>
      <c r="J36" s="44">
        <f t="shared" si="4"/>
        <v>37065.159444705976</v>
      </c>
    </row>
    <row r="37" spans="1:11" x14ac:dyDescent="0.25">
      <c r="B37" s="55" t="s">
        <v>40</v>
      </c>
      <c r="C37" s="61" t="s">
        <v>36</v>
      </c>
      <c r="D37" s="37"/>
      <c r="E37" s="37"/>
      <c r="F37" s="44">
        <f>-F21</f>
        <v>-7288.910598880112</v>
      </c>
      <c r="G37" s="44">
        <f>-G21</f>
        <v>-10693.253052283477</v>
      </c>
      <c r="H37" s="44">
        <f>-H21</f>
        <v>-10288.792621400475</v>
      </c>
      <c r="I37" s="44">
        <f>-I21</f>
        <v>-10872.950940622271</v>
      </c>
      <c r="J37" s="44">
        <f>-J21</f>
        <v>-10830.564445026695</v>
      </c>
    </row>
    <row r="38" spans="1:11" x14ac:dyDescent="0.25">
      <c r="B38" s="55" t="s">
        <v>39</v>
      </c>
      <c r="C38" s="61" t="s">
        <v>37</v>
      </c>
      <c r="D38" s="37"/>
      <c r="E38" s="37"/>
      <c r="F38" s="44">
        <f>F22</f>
        <v>20968.303721619915</v>
      </c>
      <c r="G38" s="44">
        <f>G22</f>
        <v>19573.636619958641</v>
      </c>
      <c r="H38" s="44">
        <f>H22</f>
        <v>21909.724806421127</v>
      </c>
      <c r="I38" s="44">
        <f>I22</f>
        <v>24495.737439089949</v>
      </c>
      <c r="J38" s="44">
        <f>J22</f>
        <v>24218.744042060585</v>
      </c>
    </row>
    <row r="39" spans="1:11" x14ac:dyDescent="0.25">
      <c r="C39" s="61" t="s">
        <v>22</v>
      </c>
      <c r="D39" s="37"/>
      <c r="E39" s="37"/>
      <c r="F39" s="44">
        <f>SUM(F36:F38)</f>
        <v>49687.898388066576</v>
      </c>
      <c r="G39" s="44">
        <f>SUM(G36:G38)</f>
        <v>45053.785552535446</v>
      </c>
      <c r="H39" s="44">
        <f>SUM(H36:H38)</f>
        <v>48326.174226482486</v>
      </c>
      <c r="I39" s="44">
        <f>SUM(I36:I38)</f>
        <v>50640.630055082773</v>
      </c>
      <c r="J39" s="44">
        <f>SUM(J36:J38)</f>
        <v>50453.339041739862</v>
      </c>
    </row>
    <row r="40" spans="1:11" x14ac:dyDescent="0.25">
      <c r="C40" s="61" t="s">
        <v>38</v>
      </c>
      <c r="D40" s="37"/>
      <c r="E40" s="37"/>
      <c r="F40" s="44">
        <f>F39/(1-$E$17)</f>
        <v>69010.969983425806</v>
      </c>
      <c r="G40" s="44">
        <f t="shared" ref="G40:J40" si="5">G39/(1-$E$17)</f>
        <v>62574.70215629923</v>
      </c>
      <c r="H40" s="44">
        <f t="shared" si="5"/>
        <v>67119.686425670123</v>
      </c>
      <c r="I40" s="44">
        <f t="shared" si="5"/>
        <v>70334.208409837185</v>
      </c>
      <c r="J40" s="44">
        <f t="shared" si="5"/>
        <v>70074.082002416471</v>
      </c>
    </row>
    <row r="42" spans="1:11" x14ac:dyDescent="0.25">
      <c r="B42" s="55" t="s">
        <v>39</v>
      </c>
      <c r="C42" s="61" t="s">
        <v>66</v>
      </c>
      <c r="D42" s="37"/>
      <c r="E42" s="37"/>
      <c r="F42" s="44">
        <f>F23*$E$27</f>
        <v>42093.799657412943</v>
      </c>
      <c r="G42" s="44">
        <f t="shared" ref="G42:J42" si="6">G23*$E$27</f>
        <v>39156.579413213032</v>
      </c>
      <c r="H42" s="44">
        <f t="shared" si="6"/>
        <v>39889.294861665221</v>
      </c>
      <c r="I42" s="44">
        <f t="shared" si="6"/>
        <v>40668.995657639898</v>
      </c>
      <c r="J42" s="44">
        <f t="shared" si="6"/>
        <v>41465.833279561419</v>
      </c>
    </row>
    <row r="43" spans="1:11" x14ac:dyDescent="0.25">
      <c r="B43" s="55" t="s">
        <v>40</v>
      </c>
      <c r="C43" s="61" t="s">
        <v>41</v>
      </c>
      <c r="D43" s="37"/>
      <c r="E43" s="37"/>
      <c r="F43" s="44">
        <f>-F7</f>
        <v>0</v>
      </c>
      <c r="G43" s="44">
        <f>-G7</f>
        <v>0</v>
      </c>
      <c r="H43" s="44">
        <f>-H7</f>
        <v>0</v>
      </c>
      <c r="I43" s="44">
        <f>-I7</f>
        <v>0</v>
      </c>
      <c r="J43" s="44">
        <f>-J7</f>
        <v>0</v>
      </c>
    </row>
    <row r="44" spans="1:11" x14ac:dyDescent="0.25">
      <c r="B44" s="55" t="s">
        <v>40</v>
      </c>
      <c r="C44" s="61" t="s">
        <v>42</v>
      </c>
      <c r="D44" s="37"/>
      <c r="E44" s="37"/>
      <c r="F44" s="44">
        <f>-'Forecast revenue and tax'!F29</f>
        <v>0</v>
      </c>
      <c r="G44" s="44">
        <f>-'Forecast revenue and tax'!G29</f>
        <v>0</v>
      </c>
      <c r="H44" s="44">
        <f>-'Forecast revenue and tax'!H29</f>
        <v>0</v>
      </c>
      <c r="I44" s="44">
        <f>-'Forecast revenue and tax'!I29</f>
        <v>0</v>
      </c>
      <c r="J44" s="44">
        <f>-'Forecast revenue and tax'!J29</f>
        <v>0</v>
      </c>
    </row>
    <row r="45" spans="1:11" x14ac:dyDescent="0.25">
      <c r="B45" s="55"/>
    </row>
    <row r="46" spans="1:11" x14ac:dyDescent="0.25">
      <c r="B46" s="55" t="s">
        <v>39</v>
      </c>
      <c r="C46" s="61" t="s">
        <v>24</v>
      </c>
      <c r="D46" s="37"/>
      <c r="E46" s="37"/>
      <c r="F46" s="44">
        <f>F11</f>
        <v>0</v>
      </c>
      <c r="G46" s="44">
        <f>G11</f>
        <v>0</v>
      </c>
      <c r="H46" s="44">
        <f>H11</f>
        <v>0</v>
      </c>
      <c r="I46" s="44">
        <f>I11</f>
        <v>0</v>
      </c>
      <c r="J46" s="44">
        <f>J11</f>
        <v>0</v>
      </c>
    </row>
    <row r="47" spans="1:11" x14ac:dyDescent="0.25">
      <c r="B47" s="55" t="s">
        <v>40</v>
      </c>
      <c r="C47" s="61" t="s">
        <v>26</v>
      </c>
      <c r="D47" s="37"/>
      <c r="E47" s="37"/>
      <c r="F47" s="44">
        <f>-F12</f>
        <v>0</v>
      </c>
      <c r="G47" s="44">
        <f>-G12</f>
        <v>0</v>
      </c>
      <c r="H47" s="44">
        <f>-H12</f>
        <v>0</v>
      </c>
      <c r="I47" s="44">
        <f>-I12</f>
        <v>0</v>
      </c>
      <c r="J47" s="44">
        <f>-J12</f>
        <v>0</v>
      </c>
    </row>
    <row r="48" spans="1:11" x14ac:dyDescent="0.25">
      <c r="B48" s="55" t="s">
        <v>39</v>
      </c>
      <c r="C48" s="61" t="s">
        <v>25</v>
      </c>
      <c r="D48" s="37"/>
      <c r="E48" s="37"/>
      <c r="F48" s="44">
        <f>F13</f>
        <v>0</v>
      </c>
      <c r="G48" s="44">
        <f>G13</f>
        <v>0</v>
      </c>
      <c r="H48" s="44">
        <f>H13</f>
        <v>0</v>
      </c>
      <c r="I48" s="44">
        <f>I13</f>
        <v>0</v>
      </c>
      <c r="J48" s="44">
        <f>J13</f>
        <v>0</v>
      </c>
    </row>
    <row r="49" spans="1:10" x14ac:dyDescent="0.25">
      <c r="B49" s="55" t="s">
        <v>40</v>
      </c>
      <c r="C49" s="61" t="s">
        <v>27</v>
      </c>
      <c r="D49" s="37"/>
      <c r="E49" s="37"/>
      <c r="F49" s="44">
        <f>-F14</f>
        <v>0</v>
      </c>
      <c r="G49" s="44">
        <f>-G14</f>
        <v>0</v>
      </c>
      <c r="H49" s="44">
        <f>-H14</f>
        <v>0</v>
      </c>
      <c r="I49" s="44">
        <f>-I14</f>
        <v>0</v>
      </c>
      <c r="J49" s="44">
        <f>-J14</f>
        <v>0</v>
      </c>
    </row>
    <row r="50" spans="1:10" x14ac:dyDescent="0.25">
      <c r="B50" s="55" t="s">
        <v>40</v>
      </c>
      <c r="C50" s="61" t="s">
        <v>43</v>
      </c>
      <c r="D50" s="37"/>
      <c r="E50" s="37"/>
      <c r="F50" s="44">
        <f t="shared" ref="F50:J51" si="7">-F24</f>
        <v>-19358.811822096228</v>
      </c>
      <c r="G50" s="44">
        <f t="shared" si="7"/>
        <v>-19946.124800469166</v>
      </c>
      <c r="H50" s="44">
        <f t="shared" si="7"/>
        <v>-17442.706710588212</v>
      </c>
      <c r="I50" s="44">
        <f t="shared" si="7"/>
        <v>-17253.650363522556</v>
      </c>
      <c r="J50" s="44">
        <f t="shared" si="7"/>
        <v>-15203.688367884866</v>
      </c>
    </row>
    <row r="51" spans="1:10" x14ac:dyDescent="0.25">
      <c r="B51" s="55" t="s">
        <v>40</v>
      </c>
      <c r="C51" s="61" t="s">
        <v>44</v>
      </c>
      <c r="D51" s="37"/>
      <c r="E51" s="37"/>
      <c r="F51" s="44">
        <f t="shared" si="7"/>
        <v>-4393.719721970825</v>
      </c>
      <c r="G51" s="44">
        <f t="shared" si="7"/>
        <v>-4444.09885932411</v>
      </c>
      <c r="H51" s="44">
        <f t="shared" si="7"/>
        <v>-4475.4550831265651</v>
      </c>
      <c r="I51" s="44">
        <f t="shared" si="7"/>
        <v>-4555.2227965735956</v>
      </c>
      <c r="J51" s="44">
        <f t="shared" si="7"/>
        <v>-4537.4649742438805</v>
      </c>
    </row>
    <row r="52" spans="1:10" x14ac:dyDescent="0.25">
      <c r="B52" s="55" t="s">
        <v>40</v>
      </c>
      <c r="C52" s="61" t="s">
        <v>131</v>
      </c>
      <c r="D52" s="37"/>
      <c r="E52" s="37"/>
      <c r="F52" s="44">
        <f>F85+F77</f>
        <v>0</v>
      </c>
      <c r="G52" s="44">
        <f t="shared" ref="G52:J52" si="8">G85+G77</f>
        <v>0</v>
      </c>
      <c r="H52" s="44">
        <f t="shared" si="8"/>
        <v>0</v>
      </c>
      <c r="I52" s="44">
        <f t="shared" si="8"/>
        <v>0</v>
      </c>
      <c r="J52" s="44">
        <f t="shared" si="8"/>
        <v>0</v>
      </c>
    </row>
    <row r="53" spans="1:10" x14ac:dyDescent="0.25">
      <c r="B53" s="55" t="s">
        <v>40</v>
      </c>
      <c r="C53" s="61" t="s">
        <v>28</v>
      </c>
      <c r="D53" s="37"/>
      <c r="E53" s="37"/>
      <c r="F53" s="44">
        <f>-F15</f>
        <v>0</v>
      </c>
      <c r="G53" s="44">
        <f>-G15</f>
        <v>0</v>
      </c>
      <c r="H53" s="44">
        <f>-H15</f>
        <v>0</v>
      </c>
      <c r="I53" s="44">
        <f>-I15</f>
        <v>0</v>
      </c>
      <c r="J53" s="44">
        <f>-J15</f>
        <v>0</v>
      </c>
    </row>
    <row r="54" spans="1:10" x14ac:dyDescent="0.25">
      <c r="C54" s="61" t="s">
        <v>22</v>
      </c>
      <c r="D54" s="37"/>
      <c r="E54" s="37"/>
      <c r="F54" s="44">
        <f>SUM(F47:F53)</f>
        <v>-23752.531544067053</v>
      </c>
      <c r="G54" s="44">
        <f>SUM(G47:G53)</f>
        <v>-24390.223659793275</v>
      </c>
      <c r="H54" s="44">
        <f>SUM(H47:H53)</f>
        <v>-21918.161793714778</v>
      </c>
      <c r="I54" s="44">
        <f>SUM(I47:I53)</f>
        <v>-21808.873160096151</v>
      </c>
      <c r="J54" s="44">
        <f>SUM(J47:J53)</f>
        <v>-19741.153342128746</v>
      </c>
    </row>
    <row r="55" spans="1:10" x14ac:dyDescent="0.25">
      <c r="C55" s="61" t="s">
        <v>38</v>
      </c>
      <c r="D55" s="37"/>
      <c r="E55" s="37"/>
      <c r="F55" s="44">
        <f>F54*$E$17/(1-$E$17)</f>
        <v>-9237.0956004705222</v>
      </c>
      <c r="G55" s="44">
        <f t="shared" ref="G55:J55" si="9">G54*$E$17/(1-$E$17)</f>
        <v>-9485.0869788084965</v>
      </c>
      <c r="H55" s="44">
        <f t="shared" si="9"/>
        <v>-8523.7295864446369</v>
      </c>
      <c r="I55" s="44">
        <f t="shared" si="9"/>
        <v>-8481.228451148505</v>
      </c>
      <c r="J55" s="44">
        <f t="shared" si="9"/>
        <v>-7677.115188605625</v>
      </c>
    </row>
    <row r="56" spans="1:10" x14ac:dyDescent="0.25">
      <c r="C56" s="37" t="s">
        <v>45</v>
      </c>
      <c r="D56" s="37"/>
      <c r="E56" s="37"/>
      <c r="F56" s="44">
        <f>SUM(F40:F44)+F55</f>
        <v>101867.67404036823</v>
      </c>
      <c r="G56" s="44">
        <f t="shared" ref="G56:J56" si="10">SUM(G40:G44)+G55</f>
        <v>92246.194590703773</v>
      </c>
      <c r="H56" s="44">
        <f t="shared" si="10"/>
        <v>98485.251700890702</v>
      </c>
      <c r="I56" s="44">
        <f t="shared" si="10"/>
        <v>102521.97561632858</v>
      </c>
      <c r="J56" s="44">
        <f t="shared" si="10"/>
        <v>103862.80009337227</v>
      </c>
    </row>
    <row r="58" spans="1:10" ht="23.25" x14ac:dyDescent="0.35">
      <c r="A58" s="26" t="s">
        <v>82</v>
      </c>
      <c r="F58" s="29">
        <v>2018</v>
      </c>
      <c r="G58" s="29">
        <f t="shared" ref="G58" si="11">F58+1</f>
        <v>2019</v>
      </c>
      <c r="H58" s="29">
        <f t="shared" ref="H58" si="12">G58+1</f>
        <v>2020</v>
      </c>
      <c r="I58" s="29">
        <f t="shared" ref="I58" si="13">H58+1</f>
        <v>2021</v>
      </c>
      <c r="J58" s="29">
        <f t="shared" ref="J58" si="14">I58+1</f>
        <v>2022</v>
      </c>
    </row>
    <row r="59" spans="1:10" x14ac:dyDescent="0.25">
      <c r="C59" s="61" t="s">
        <v>81</v>
      </c>
      <c r="D59" s="37"/>
      <c r="E59" s="37"/>
      <c r="F59" s="44">
        <f>F56</f>
        <v>101867.67404036823</v>
      </c>
      <c r="G59" s="44">
        <f t="shared" ref="G59:J59" si="15">G56</f>
        <v>92246.194590703773</v>
      </c>
      <c r="H59" s="44">
        <f t="shared" si="15"/>
        <v>98485.251700890702</v>
      </c>
      <c r="I59" s="44">
        <f t="shared" si="15"/>
        <v>102521.97561632858</v>
      </c>
      <c r="J59" s="44">
        <f t="shared" si="15"/>
        <v>103862.80009337227</v>
      </c>
    </row>
    <row r="60" spans="1:10" x14ac:dyDescent="0.25">
      <c r="C60" s="61" t="s">
        <v>41</v>
      </c>
      <c r="D60" s="37"/>
      <c r="E60" s="37"/>
      <c r="F60" s="44">
        <f>F7+F9</f>
        <v>0</v>
      </c>
      <c r="G60" s="44">
        <f>G7+G9</f>
        <v>0</v>
      </c>
      <c r="H60" s="44">
        <f>H7+H9</f>
        <v>0</v>
      </c>
      <c r="I60" s="44">
        <f>I7+I9</f>
        <v>0</v>
      </c>
      <c r="J60" s="44">
        <f>J7+J9</f>
        <v>0</v>
      </c>
    </row>
    <row r="61" spans="1:10" x14ac:dyDescent="0.25">
      <c r="C61" s="61" t="s">
        <v>79</v>
      </c>
      <c r="D61" s="37"/>
      <c r="E61" s="37"/>
      <c r="F61" s="44">
        <f>-F44</f>
        <v>0</v>
      </c>
      <c r="G61" s="44">
        <f t="shared" ref="G61:J61" si="16">-G44</f>
        <v>0</v>
      </c>
      <c r="H61" s="44">
        <f t="shared" si="16"/>
        <v>0</v>
      </c>
      <c r="I61" s="44">
        <f t="shared" si="16"/>
        <v>0</v>
      </c>
      <c r="J61" s="44">
        <f t="shared" si="16"/>
        <v>0</v>
      </c>
    </row>
    <row r="62" spans="1:10" x14ac:dyDescent="0.25">
      <c r="C62" s="61" t="s">
        <v>163</v>
      </c>
      <c r="D62" s="37"/>
      <c r="E62" s="37"/>
      <c r="F62" s="44">
        <f>SUM(F59:F61)</f>
        <v>101867.67404036823</v>
      </c>
      <c r="G62" s="44">
        <f t="shared" ref="G62:J62" si="17">SUM(G59:G61)</f>
        <v>92246.194590703773</v>
      </c>
      <c r="H62" s="44">
        <f t="shared" si="17"/>
        <v>98485.251700890702</v>
      </c>
      <c r="I62" s="44">
        <f t="shared" si="17"/>
        <v>102521.97561632858</v>
      </c>
      <c r="J62" s="44">
        <f t="shared" si="17"/>
        <v>103862.80009337227</v>
      </c>
    </row>
    <row r="63" spans="1:10" x14ac:dyDescent="0.25">
      <c r="C63" s="61"/>
      <c r="D63" s="37"/>
      <c r="E63" s="37"/>
      <c r="F63" s="44"/>
      <c r="G63" s="44"/>
      <c r="H63" s="44"/>
      <c r="I63" s="44"/>
      <c r="J63" s="44"/>
    </row>
    <row r="64" spans="1:10" x14ac:dyDescent="0.25">
      <c r="B64" s="55" t="s">
        <v>40</v>
      </c>
      <c r="C64" s="61" t="s">
        <v>83</v>
      </c>
      <c r="D64" s="37"/>
      <c r="E64" s="37"/>
      <c r="F64" s="44">
        <f>-F42</f>
        <v>-42093.799657412943</v>
      </c>
      <c r="G64" s="44">
        <f t="shared" ref="G64:J64" si="18">-G42</f>
        <v>-39156.579413213032</v>
      </c>
      <c r="H64" s="44">
        <f t="shared" si="18"/>
        <v>-39889.294861665221</v>
      </c>
      <c r="I64" s="44">
        <f t="shared" si="18"/>
        <v>-40668.995657639898</v>
      </c>
      <c r="J64" s="44">
        <f t="shared" si="18"/>
        <v>-41465.833279561419</v>
      </c>
    </row>
    <row r="65" spans="1:10" x14ac:dyDescent="0.25">
      <c r="C65" s="61" t="s">
        <v>84</v>
      </c>
      <c r="D65" s="37"/>
      <c r="E65" s="37"/>
      <c r="F65" s="44">
        <f>SUM(F62:F64)</f>
        <v>59773.874382955291</v>
      </c>
      <c r="G65" s="44">
        <f t="shared" ref="G65:J65" si="19">SUM(G62:G64)</f>
        <v>53089.615177490741</v>
      </c>
      <c r="H65" s="44">
        <f t="shared" si="19"/>
        <v>58595.956839225481</v>
      </c>
      <c r="I65" s="44">
        <f t="shared" si="19"/>
        <v>61852.97995868868</v>
      </c>
      <c r="J65" s="44">
        <f t="shared" si="19"/>
        <v>62396.966813810846</v>
      </c>
    </row>
    <row r="66" spans="1:10" x14ac:dyDescent="0.25">
      <c r="C66" s="61"/>
      <c r="D66" s="37"/>
      <c r="E66" s="37"/>
      <c r="F66" s="44"/>
      <c r="G66" s="44"/>
      <c r="H66" s="44"/>
      <c r="I66" s="44"/>
      <c r="J66" s="44"/>
    </row>
    <row r="67" spans="1:10" x14ac:dyDescent="0.25">
      <c r="B67" s="55" t="s">
        <v>40</v>
      </c>
      <c r="C67" s="61" t="s">
        <v>56</v>
      </c>
      <c r="D67" s="37"/>
      <c r="E67" s="37"/>
      <c r="F67" s="44">
        <f>-F22</f>
        <v>-20968.303721619915</v>
      </c>
      <c r="G67" s="44">
        <f>-G22</f>
        <v>-19573.636619958641</v>
      </c>
      <c r="H67" s="44">
        <f>-H22</f>
        <v>-21909.724806421127</v>
      </c>
      <c r="I67" s="44">
        <f>-I22</f>
        <v>-24495.737439089949</v>
      </c>
      <c r="J67" s="44">
        <f>-J22</f>
        <v>-24218.744042060585</v>
      </c>
    </row>
    <row r="68" spans="1:10" x14ac:dyDescent="0.25">
      <c r="B68" s="55" t="s">
        <v>39</v>
      </c>
      <c r="C68" s="61" t="s">
        <v>80</v>
      </c>
      <c r="D68" s="37"/>
      <c r="E68" s="37"/>
      <c r="F68" s="44">
        <f>F21</f>
        <v>7288.910598880112</v>
      </c>
      <c r="G68" s="44">
        <f>G21</f>
        <v>10693.253052283477</v>
      </c>
      <c r="H68" s="44">
        <f>H21</f>
        <v>10288.792621400475</v>
      </c>
      <c r="I68" s="44">
        <f>I21</f>
        <v>10872.950940622271</v>
      </c>
      <c r="J68" s="44">
        <f>J21</f>
        <v>10830.564445026695</v>
      </c>
    </row>
    <row r="69" spans="1:10" x14ac:dyDescent="0.25">
      <c r="B69" s="54"/>
      <c r="C69" s="61" t="s">
        <v>74</v>
      </c>
      <c r="D69" s="37"/>
      <c r="E69" s="37"/>
      <c r="F69" s="44">
        <f>SUM(F65:F68)</f>
        <v>46094.481260215485</v>
      </c>
      <c r="G69" s="44">
        <f t="shared" ref="G69:J69" si="20">SUM(G65:G68)</f>
        <v>44209.231609815579</v>
      </c>
      <c r="H69" s="44">
        <f t="shared" si="20"/>
        <v>46975.024654204833</v>
      </c>
      <c r="I69" s="44">
        <f t="shared" si="20"/>
        <v>48230.193460221002</v>
      </c>
      <c r="J69" s="44">
        <f t="shared" si="20"/>
        <v>49008.787216776953</v>
      </c>
    </row>
    <row r="71" spans="1:10" ht="23.25" x14ac:dyDescent="0.35">
      <c r="A71" s="26" t="s">
        <v>73</v>
      </c>
      <c r="F71" s="29">
        <v>2018</v>
      </c>
      <c r="G71" s="29">
        <f t="shared" ref="G71" si="21">F71+1</f>
        <v>2019</v>
      </c>
      <c r="H71" s="29">
        <f t="shared" ref="H71" si="22">G71+1</f>
        <v>2020</v>
      </c>
      <c r="I71" s="29">
        <f t="shared" ref="I71" si="23">H71+1</f>
        <v>2021</v>
      </c>
      <c r="J71" s="29">
        <f t="shared" ref="J71" si="24">I71+1</f>
        <v>2022</v>
      </c>
    </row>
    <row r="72" spans="1:10" x14ac:dyDescent="0.25">
      <c r="C72" s="61" t="s">
        <v>74</v>
      </c>
      <c r="D72" s="61"/>
      <c r="E72" s="61"/>
      <c r="F72" s="61">
        <f>F69</f>
        <v>46094.481260215485</v>
      </c>
      <c r="G72" s="61">
        <f t="shared" ref="G72:J72" si="25">G69</f>
        <v>44209.231609815579</v>
      </c>
      <c r="H72" s="61">
        <f t="shared" si="25"/>
        <v>46975.024654204833</v>
      </c>
      <c r="I72" s="61">
        <f t="shared" si="25"/>
        <v>48230.193460221002</v>
      </c>
      <c r="J72" s="61">
        <f t="shared" si="25"/>
        <v>49008.787216776953</v>
      </c>
    </row>
    <row r="73" spans="1:10" x14ac:dyDescent="0.25">
      <c r="C73" s="61"/>
      <c r="D73" s="61"/>
      <c r="E73" s="61"/>
      <c r="F73" s="61"/>
      <c r="G73" s="61"/>
      <c r="H73" s="61"/>
      <c r="I73" s="61"/>
      <c r="J73" s="61"/>
    </row>
    <row r="74" spans="1:10" x14ac:dyDescent="0.25">
      <c r="B74" s="55" t="s">
        <v>39</v>
      </c>
      <c r="C74" s="61" t="s">
        <v>75</v>
      </c>
      <c r="D74" s="61"/>
      <c r="E74" s="61"/>
      <c r="F74" s="61">
        <f>F22</f>
        <v>20968.303721619915</v>
      </c>
      <c r="G74" s="61">
        <f>G22</f>
        <v>19573.636619958641</v>
      </c>
      <c r="H74" s="61">
        <f>H22</f>
        <v>21909.724806421127</v>
      </c>
      <c r="I74" s="61">
        <f>I22</f>
        <v>24495.737439089949</v>
      </c>
      <c r="J74" s="61">
        <f>J22</f>
        <v>24218.744042060585</v>
      </c>
    </row>
    <row r="75" spans="1:10" x14ac:dyDescent="0.25">
      <c r="B75" s="55"/>
      <c r="C75" s="61" t="s">
        <v>24</v>
      </c>
      <c r="D75" s="61"/>
      <c r="E75" s="61"/>
      <c r="F75" s="61">
        <f>F11</f>
        <v>0</v>
      </c>
      <c r="G75" s="61">
        <f>G11</f>
        <v>0</v>
      </c>
      <c r="H75" s="61">
        <f>H11</f>
        <v>0</v>
      </c>
      <c r="I75" s="61">
        <f>I11</f>
        <v>0</v>
      </c>
      <c r="J75" s="61">
        <f>J11</f>
        <v>0</v>
      </c>
    </row>
    <row r="76" spans="1:10" x14ac:dyDescent="0.25">
      <c r="B76" s="55"/>
      <c r="C76" s="61" t="s">
        <v>25</v>
      </c>
      <c r="D76" s="61"/>
      <c r="E76" s="61"/>
      <c r="F76" s="61">
        <f>F13</f>
        <v>0</v>
      </c>
      <c r="G76" s="61">
        <f>G13</f>
        <v>0</v>
      </c>
      <c r="H76" s="61">
        <f>H13</f>
        <v>0</v>
      </c>
      <c r="I76" s="61">
        <f>I13</f>
        <v>0</v>
      </c>
      <c r="J76" s="61">
        <f>J13</f>
        <v>0</v>
      </c>
    </row>
    <row r="77" spans="1:10" x14ac:dyDescent="0.25">
      <c r="B77" s="55"/>
      <c r="C77" s="61" t="s">
        <v>53</v>
      </c>
      <c r="D77" s="61"/>
      <c r="E77" s="61"/>
      <c r="F77" s="61">
        <f>-F8</f>
        <v>0</v>
      </c>
      <c r="G77" s="61">
        <f>-G8</f>
        <v>0</v>
      </c>
      <c r="H77" s="61">
        <f>-H8</f>
        <v>0</v>
      </c>
      <c r="I77" s="61">
        <f>-I8</f>
        <v>0</v>
      </c>
      <c r="J77" s="61">
        <f>-J8</f>
        <v>0</v>
      </c>
    </row>
    <row r="78" spans="1:10" x14ac:dyDescent="0.25">
      <c r="B78" s="55"/>
      <c r="C78" s="61"/>
      <c r="D78" s="61"/>
      <c r="E78" s="61"/>
      <c r="F78" s="61"/>
      <c r="G78" s="61"/>
      <c r="H78" s="61"/>
      <c r="I78" s="61"/>
      <c r="J78" s="61"/>
    </row>
    <row r="79" spans="1:10" x14ac:dyDescent="0.25">
      <c r="B79" s="55" t="s">
        <v>40</v>
      </c>
      <c r="C79" s="61" t="s">
        <v>76</v>
      </c>
      <c r="D79" s="61"/>
      <c r="E79" s="61"/>
      <c r="F79" s="61">
        <f>-F21</f>
        <v>-7288.910598880112</v>
      </c>
      <c r="G79" s="61">
        <f>-G21</f>
        <v>-10693.253052283477</v>
      </c>
      <c r="H79" s="61">
        <f>-H21</f>
        <v>-10288.792621400475</v>
      </c>
      <c r="I79" s="61">
        <f>-I21</f>
        <v>-10872.950940622271</v>
      </c>
      <c r="J79" s="61">
        <f>-J21</f>
        <v>-10830.564445026695</v>
      </c>
    </row>
    <row r="80" spans="1:10" x14ac:dyDescent="0.25">
      <c r="C80" s="61" t="s">
        <v>43</v>
      </c>
      <c r="D80" s="61"/>
      <c r="E80" s="61"/>
      <c r="F80" s="61">
        <f t="shared" ref="F80:J81" si="26">-F24</f>
        <v>-19358.811822096228</v>
      </c>
      <c r="G80" s="61">
        <f t="shared" si="26"/>
        <v>-19946.124800469166</v>
      </c>
      <c r="H80" s="61">
        <f t="shared" si="26"/>
        <v>-17442.706710588212</v>
      </c>
      <c r="I80" s="61">
        <f t="shared" si="26"/>
        <v>-17253.650363522556</v>
      </c>
      <c r="J80" s="61">
        <f t="shared" si="26"/>
        <v>-15203.688367884866</v>
      </c>
    </row>
    <row r="81" spans="2:10" x14ac:dyDescent="0.25">
      <c r="C81" s="61" t="s">
        <v>44</v>
      </c>
      <c r="D81" s="61"/>
      <c r="E81" s="61"/>
      <c r="F81" s="61">
        <f t="shared" si="26"/>
        <v>-4393.719721970825</v>
      </c>
      <c r="G81" s="61">
        <f t="shared" si="26"/>
        <v>-4444.09885932411</v>
      </c>
      <c r="H81" s="61">
        <f t="shared" si="26"/>
        <v>-4475.4550831265651</v>
      </c>
      <c r="I81" s="61">
        <f t="shared" si="26"/>
        <v>-4555.2227965735956</v>
      </c>
      <c r="J81" s="61">
        <f t="shared" si="26"/>
        <v>-4537.4649742438805</v>
      </c>
    </row>
    <row r="82" spans="2:10" x14ac:dyDescent="0.25">
      <c r="C82" s="61" t="s">
        <v>26</v>
      </c>
      <c r="D82" s="61"/>
      <c r="E82" s="61"/>
      <c r="F82" s="61">
        <f t="shared" ref="F82:J83" si="27">-F47</f>
        <v>0</v>
      </c>
      <c r="G82" s="61">
        <f t="shared" si="27"/>
        <v>0</v>
      </c>
      <c r="H82" s="61">
        <f t="shared" si="27"/>
        <v>0</v>
      </c>
      <c r="I82" s="61">
        <f t="shared" si="27"/>
        <v>0</v>
      </c>
      <c r="J82" s="61">
        <f t="shared" si="27"/>
        <v>0</v>
      </c>
    </row>
    <row r="83" spans="2:10" x14ac:dyDescent="0.25">
      <c r="C83" s="61" t="s">
        <v>27</v>
      </c>
      <c r="D83" s="61"/>
      <c r="E83" s="61"/>
      <c r="F83" s="61">
        <f t="shared" si="27"/>
        <v>0</v>
      </c>
      <c r="G83" s="61">
        <f t="shared" si="27"/>
        <v>0</v>
      </c>
      <c r="H83" s="61">
        <f t="shared" si="27"/>
        <v>0</v>
      </c>
      <c r="I83" s="61">
        <f t="shared" si="27"/>
        <v>0</v>
      </c>
      <c r="J83" s="61">
        <f t="shared" si="27"/>
        <v>0</v>
      </c>
    </row>
    <row r="84" spans="2:10" x14ac:dyDescent="0.25">
      <c r="C84" s="61"/>
      <c r="D84" s="61"/>
      <c r="E84" s="61"/>
      <c r="F84" s="61"/>
      <c r="G84" s="61"/>
      <c r="H84" s="61"/>
      <c r="I84" s="61"/>
      <c r="J84" s="61"/>
    </row>
    <row r="85" spans="2:10" x14ac:dyDescent="0.25">
      <c r="C85" s="61" t="s">
        <v>101</v>
      </c>
      <c r="D85" s="61"/>
      <c r="E85" s="61"/>
      <c r="F85" s="61">
        <f>-F77*('Default asset base'!F147/'Default asset base'!F97)</f>
        <v>0</v>
      </c>
      <c r="G85" s="61">
        <f>-G77*('Default asset base'!G147/'Default asset base'!G97)</f>
        <v>0</v>
      </c>
      <c r="H85" s="61">
        <f>-H77*('Default asset base'!H147/'Default asset base'!H97)</f>
        <v>0</v>
      </c>
      <c r="I85" s="61">
        <f>-I77*('Default asset base'!I147/'Default asset base'!I97)</f>
        <v>0</v>
      </c>
      <c r="J85" s="61">
        <f>-J77*('Default asset base'!J147/'Default asset base'!J97)</f>
        <v>0</v>
      </c>
    </row>
    <row r="86" spans="2:10" x14ac:dyDescent="0.25">
      <c r="C86" s="61"/>
      <c r="D86" s="61"/>
      <c r="E86" s="61"/>
      <c r="F86" s="61"/>
      <c r="G86" s="61"/>
      <c r="H86" s="61"/>
      <c r="I86" s="61"/>
      <c r="J86" s="61"/>
    </row>
    <row r="87" spans="2:10" x14ac:dyDescent="0.25">
      <c r="C87" s="61" t="s">
        <v>77</v>
      </c>
      <c r="D87" s="61"/>
      <c r="E87" s="61"/>
      <c r="F87" s="61">
        <f>SUM(F72:F85)</f>
        <v>36021.342838888238</v>
      </c>
      <c r="G87" s="61">
        <f>SUM(G72:G85)</f>
        <v>28699.391517697466</v>
      </c>
      <c r="H87" s="61">
        <f>SUM(H72:H85)</f>
        <v>36677.795045510706</v>
      </c>
      <c r="I87" s="61">
        <f>SUM(I72:I85)</f>
        <v>40044.106798592518</v>
      </c>
      <c r="J87" s="61">
        <f>SUM(J72:J85)</f>
        <v>42655.813471682093</v>
      </c>
    </row>
    <row r="88" spans="2:10" x14ac:dyDescent="0.25">
      <c r="C88" s="61"/>
      <c r="D88" s="61"/>
      <c r="E88" s="61"/>
      <c r="F88" s="61"/>
      <c r="G88" s="61"/>
      <c r="H88" s="61"/>
      <c r="I88" s="61"/>
      <c r="J88" s="61"/>
    </row>
    <row r="89" spans="2:10" x14ac:dyDescent="0.25">
      <c r="C89" s="61" t="s">
        <v>78</v>
      </c>
      <c r="D89" s="61"/>
      <c r="E89" s="61"/>
      <c r="F89" s="61">
        <f>F87*$E$17</f>
        <v>10085.975994888708</v>
      </c>
      <c r="G89" s="61">
        <f t="shared" ref="G89:J89" si="28">G87*$E$17</f>
        <v>8035.8296249552914</v>
      </c>
      <c r="H89" s="61">
        <f t="shared" si="28"/>
        <v>10269.782612742998</v>
      </c>
      <c r="I89" s="61">
        <f t="shared" si="28"/>
        <v>11212.349903605906</v>
      </c>
      <c r="J89" s="61">
        <f t="shared" si="28"/>
        <v>11943.627772070988</v>
      </c>
    </row>
    <row r="91" spans="2:10" x14ac:dyDescent="0.25">
      <c r="C91" s="61" t="s">
        <v>105</v>
      </c>
      <c r="D91" s="61"/>
      <c r="E91" s="61"/>
      <c r="F91" s="61">
        <f>F89-(F81*$E$17)</f>
        <v>11316.217517040539</v>
      </c>
      <c r="G91" s="61">
        <f t="shared" ref="G91:J91" si="29">G89-(G81*$E$17)</f>
        <v>9280.1773055660415</v>
      </c>
      <c r="H91" s="61">
        <f t="shared" si="29"/>
        <v>11522.910036018437</v>
      </c>
      <c r="I91" s="61">
        <f t="shared" si="29"/>
        <v>12487.812286646513</v>
      </c>
      <c r="J91" s="61">
        <f t="shared" si="29"/>
        <v>13214.117964859275</v>
      </c>
    </row>
    <row r="92" spans="2:10" x14ac:dyDescent="0.25">
      <c r="F92" s="43"/>
      <c r="G92" s="43"/>
      <c r="H92" s="43"/>
      <c r="I92" s="43"/>
      <c r="J92" s="43"/>
    </row>
    <row r="93" spans="2:10" x14ac:dyDescent="0.25">
      <c r="B93" s="56" t="s">
        <v>46</v>
      </c>
    </row>
    <row r="94" spans="2:10" x14ac:dyDescent="0.25">
      <c r="C94" s="61" t="s">
        <v>47</v>
      </c>
      <c r="D94" s="37"/>
      <c r="E94" s="37"/>
      <c r="F94" s="44">
        <f>F40-F39</f>
        <v>19323.07159535923</v>
      </c>
      <c r="G94" s="44">
        <f t="shared" ref="G94:J94" si="30">G40-G39</f>
        <v>17520.916603763784</v>
      </c>
      <c r="H94" s="44">
        <f t="shared" si="30"/>
        <v>18793.512199187637</v>
      </c>
      <c r="I94" s="44">
        <f t="shared" si="30"/>
        <v>19693.578354754412</v>
      </c>
      <c r="J94" s="44">
        <f t="shared" si="30"/>
        <v>19620.742960676609</v>
      </c>
    </row>
    <row r="95" spans="2:10" x14ac:dyDescent="0.25">
      <c r="C95" s="61" t="s">
        <v>48</v>
      </c>
      <c r="D95" s="37"/>
      <c r="E95" s="37"/>
      <c r="F95" s="44">
        <f>F55</f>
        <v>-9237.0956004705222</v>
      </c>
      <c r="G95" s="44">
        <f t="shared" ref="G95:J95" si="31">G55</f>
        <v>-9485.0869788084965</v>
      </c>
      <c r="H95" s="44">
        <f t="shared" si="31"/>
        <v>-8523.7295864446369</v>
      </c>
      <c r="I95" s="44">
        <f t="shared" si="31"/>
        <v>-8481.228451148505</v>
      </c>
      <c r="J95" s="44">
        <f t="shared" si="31"/>
        <v>-7677.115188605625</v>
      </c>
    </row>
    <row r="96" spans="2:10" x14ac:dyDescent="0.25">
      <c r="C96" s="61" t="s">
        <v>49</v>
      </c>
      <c r="D96" s="37"/>
      <c r="E96" s="37"/>
      <c r="F96" s="44">
        <f>SUM(F94:F95)</f>
        <v>10085.975994888708</v>
      </c>
      <c r="G96" s="44">
        <f t="shared" ref="G96:J96" si="32">SUM(G94:G95)</f>
        <v>8035.8296249552877</v>
      </c>
      <c r="H96" s="44">
        <f t="shared" si="32"/>
        <v>10269.782612743</v>
      </c>
      <c r="I96" s="44">
        <f t="shared" si="32"/>
        <v>11212.349903605907</v>
      </c>
      <c r="J96" s="44">
        <f t="shared" si="32"/>
        <v>11943.627772070984</v>
      </c>
    </row>
    <row r="97" spans="1:10" x14ac:dyDescent="0.25">
      <c r="C97" s="61" t="s">
        <v>50</v>
      </c>
      <c r="D97" s="37"/>
      <c r="E97" s="37"/>
      <c r="F97" s="44">
        <f>F89</f>
        <v>10085.975994888708</v>
      </c>
      <c r="G97" s="44">
        <f t="shared" ref="G97:J97" si="33">G89</f>
        <v>8035.8296249552914</v>
      </c>
      <c r="H97" s="44">
        <f t="shared" si="33"/>
        <v>10269.782612742998</v>
      </c>
      <c r="I97" s="44">
        <f t="shared" si="33"/>
        <v>11212.349903605906</v>
      </c>
      <c r="J97" s="44">
        <f t="shared" si="33"/>
        <v>11943.627772070988</v>
      </c>
    </row>
    <row r="98" spans="1:10" x14ac:dyDescent="0.25">
      <c r="C98" s="64" t="s">
        <v>85</v>
      </c>
    </row>
    <row r="100" spans="1:10" ht="23.25" x14ac:dyDescent="0.35">
      <c r="A100" s="26" t="s">
        <v>128</v>
      </c>
      <c r="F100" s="29">
        <v>2018</v>
      </c>
      <c r="G100" s="29">
        <f t="shared" ref="G100" si="34">F100+1</f>
        <v>2019</v>
      </c>
      <c r="H100" s="29">
        <f t="shared" ref="H100" si="35">G100+1</f>
        <v>2020</v>
      </c>
      <c r="I100" s="29">
        <f t="shared" ref="I100" si="36">H100+1</f>
        <v>2021</v>
      </c>
      <c r="J100" s="29">
        <f t="shared" ref="J100" si="37">I100+1</f>
        <v>2022</v>
      </c>
    </row>
    <row r="101" spans="1:10" x14ac:dyDescent="0.25">
      <c r="C101" s="61" t="s">
        <v>129</v>
      </c>
      <c r="D101" s="61"/>
      <c r="E101" s="61"/>
      <c r="F101" s="61">
        <f>(F59+F60)/$E$28</f>
        <v>99245.276543187152</v>
      </c>
      <c r="G101" s="61">
        <f t="shared" ref="G101:J101" si="38">(G59+G60)/$E$28</f>
        <v>89871.484535742886</v>
      </c>
      <c r="H101" s="61">
        <f t="shared" si="38"/>
        <v>95949.92849848482</v>
      </c>
      <c r="I101" s="61">
        <f t="shared" si="38"/>
        <v>99882.734318291492</v>
      </c>
      <c r="J101" s="61">
        <f t="shared" si="38"/>
        <v>101189.04171436832</v>
      </c>
    </row>
    <row r="102" spans="1:10" x14ac:dyDescent="0.25">
      <c r="C102" s="61" t="s">
        <v>90</v>
      </c>
      <c r="D102" s="61"/>
      <c r="E102" s="61"/>
      <c r="F102" s="61">
        <f>F42/$E$27</f>
        <v>40765.19669380234</v>
      </c>
      <c r="G102" s="61">
        <f t="shared" ref="G102:J102" si="39">G42/$E$27</f>
        <v>37920.683678528811</v>
      </c>
      <c r="H102" s="61">
        <f t="shared" si="39"/>
        <v>38630.272492554555</v>
      </c>
      <c r="I102" s="61">
        <f t="shared" si="39"/>
        <v>39385.363659636321</v>
      </c>
      <c r="J102" s="61">
        <f t="shared" si="39"/>
        <v>40157.05076450741</v>
      </c>
    </row>
    <row r="103" spans="1:10" x14ac:dyDescent="0.25">
      <c r="C103" s="61" t="s">
        <v>130</v>
      </c>
      <c r="D103" s="61"/>
      <c r="E103" s="61"/>
      <c r="F103" s="61">
        <f>F91/$E$27</f>
        <v>10959.044720753078</v>
      </c>
      <c r="G103" s="61">
        <f t="shared" ref="G103:J103" si="40">G91/$E$27</f>
        <v>8987.2678706527313</v>
      </c>
      <c r="H103" s="61">
        <f t="shared" si="40"/>
        <v>11159.213421603245</v>
      </c>
      <c r="I103" s="61">
        <f t="shared" si="40"/>
        <v>12093.660545818106</v>
      </c>
      <c r="J103" s="61">
        <f t="shared" si="40"/>
        <v>12797.041900628983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Footer>&amp;L&amp;F&amp;C&amp;A&amp;R&amp;P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K103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2" width="4.85546875" style="1" customWidth="1"/>
    <col min="3" max="3" width="57.28515625" style="1" customWidth="1"/>
    <col min="4" max="4" width="17.7109375" style="1" customWidth="1"/>
    <col min="5" max="5" width="9.140625" style="1" customWidth="1"/>
    <col min="6" max="7" width="10.28515625" style="1" bestFit="1" customWidth="1"/>
    <col min="8" max="10" width="10.5703125" style="1" bestFit="1" customWidth="1"/>
    <col min="11" max="11" width="7.5703125" style="1" customWidth="1"/>
    <col min="12" max="16384" width="8.85546875" style="1"/>
  </cols>
  <sheetData>
    <row r="1" spans="1:10" ht="25.9" x14ac:dyDescent="0.5">
      <c r="A1" s="18" t="s">
        <v>242</v>
      </c>
      <c r="E1" s="27"/>
    </row>
    <row r="2" spans="1:10" ht="14.45" x14ac:dyDescent="0.3">
      <c r="A2" s="73" t="s">
        <v>189</v>
      </c>
    </row>
    <row r="3" spans="1:10" ht="23.45" x14ac:dyDescent="0.45">
      <c r="A3" s="26" t="s">
        <v>5</v>
      </c>
      <c r="D3" s="29" t="s">
        <v>51</v>
      </c>
      <c r="E3" s="29" t="s">
        <v>11</v>
      </c>
      <c r="F3" s="29">
        <v>2018</v>
      </c>
      <c r="G3" s="29">
        <f t="shared" ref="G3:J3" si="0">F3+1</f>
        <v>2019</v>
      </c>
      <c r="H3" s="29">
        <f t="shared" si="0"/>
        <v>2020</v>
      </c>
      <c r="I3" s="29">
        <f t="shared" si="0"/>
        <v>2021</v>
      </c>
      <c r="J3" s="29">
        <f t="shared" si="0"/>
        <v>2022</v>
      </c>
    </row>
    <row r="4" spans="1:10" ht="18" x14ac:dyDescent="0.35">
      <c r="B4" s="34" t="s">
        <v>31</v>
      </c>
      <c r="E4" s="29"/>
      <c r="F4" s="29"/>
      <c r="G4" s="29"/>
      <c r="H4" s="29"/>
      <c r="I4" s="29"/>
      <c r="J4" s="29"/>
    </row>
    <row r="5" spans="1:10" ht="14.45" x14ac:dyDescent="0.3">
      <c r="C5" s="37" t="s">
        <v>17</v>
      </c>
      <c r="D5" s="37" t="s">
        <v>29</v>
      </c>
      <c r="E5" s="51"/>
      <c r="F5" s="51">
        <f>'Scenario Manager'!F37</f>
        <v>79035.643929949147</v>
      </c>
      <c r="G5" s="51">
        <f>'Scenario Manager'!G37</f>
        <v>82551.690307640209</v>
      </c>
      <c r="H5" s="51">
        <f>'Scenario Manager'!H37</f>
        <v>86514.560328074382</v>
      </c>
      <c r="I5" s="51">
        <f>'Scenario Manager'!I37</f>
        <v>90559.1047399042</v>
      </c>
      <c r="J5" s="51">
        <f>'Scenario Manager'!J37</f>
        <v>95531.456914526745</v>
      </c>
    </row>
    <row r="6" spans="1:10" ht="14.45" x14ac:dyDescent="0.3">
      <c r="C6" s="37" t="s">
        <v>18</v>
      </c>
      <c r="D6" s="37" t="s">
        <v>29</v>
      </c>
      <c r="E6" s="51"/>
      <c r="F6" s="51">
        <f>'Scenario Manager'!F38</f>
        <v>12120.862259178784</v>
      </c>
      <c r="G6" s="51">
        <f>'Scenario Manager'!G38</f>
        <v>12310.613704305024</v>
      </c>
      <c r="H6" s="51">
        <f>'Scenario Manager'!H38</f>
        <v>12529.188914055556</v>
      </c>
      <c r="I6" s="51">
        <f>'Scenario Manager'!I38</f>
        <v>12743.545766313102</v>
      </c>
      <c r="J6" s="51">
        <f>'Scenario Manager'!J38</f>
        <v>12968.736681639364</v>
      </c>
    </row>
    <row r="7" spans="1:10" ht="14.45" x14ac:dyDescent="0.3">
      <c r="C7" s="37" t="s">
        <v>19</v>
      </c>
      <c r="D7" s="37" t="s">
        <v>29</v>
      </c>
      <c r="E7" s="51"/>
      <c r="F7" s="51">
        <f>'Scenario Manager'!F39</f>
        <v>0</v>
      </c>
      <c r="G7" s="51">
        <f>'Scenario Manager'!G39</f>
        <v>0</v>
      </c>
      <c r="H7" s="51">
        <f>'Scenario Manager'!H39</f>
        <v>0</v>
      </c>
      <c r="I7" s="51">
        <f>'Scenario Manager'!I39</f>
        <v>0</v>
      </c>
      <c r="J7" s="51">
        <f>'Scenario Manager'!J39</f>
        <v>0</v>
      </c>
    </row>
    <row r="8" spans="1:10" ht="14.45" x14ac:dyDescent="0.3">
      <c r="C8" s="37" t="s">
        <v>68</v>
      </c>
      <c r="D8" s="37" t="s">
        <v>29</v>
      </c>
      <c r="E8" s="51"/>
      <c r="F8" s="51">
        <f>'Scenario Manager'!F40</f>
        <v>0</v>
      </c>
      <c r="G8" s="51">
        <f>'Scenario Manager'!G40</f>
        <v>0</v>
      </c>
      <c r="H8" s="51">
        <f>'Scenario Manager'!H40</f>
        <v>0</v>
      </c>
      <c r="I8" s="51">
        <f>'Scenario Manager'!I40</f>
        <v>0</v>
      </c>
      <c r="J8" s="51">
        <f>'Scenario Manager'!J40</f>
        <v>0</v>
      </c>
    </row>
    <row r="9" spans="1:10" ht="14.45" x14ac:dyDescent="0.3">
      <c r="C9" s="37"/>
      <c r="D9" s="37"/>
      <c r="E9" s="51"/>
      <c r="F9" s="51"/>
      <c r="G9" s="51"/>
      <c r="H9" s="51"/>
      <c r="I9" s="51"/>
      <c r="J9" s="51"/>
    </row>
    <row r="10" spans="1:10" ht="18" x14ac:dyDescent="0.35">
      <c r="B10" s="34" t="s">
        <v>48</v>
      </c>
      <c r="C10" s="37"/>
      <c r="D10" s="37"/>
      <c r="E10" s="51"/>
      <c r="F10" s="57"/>
      <c r="G10" s="57"/>
      <c r="H10" s="57"/>
      <c r="I10" s="57"/>
      <c r="J10" s="57"/>
    </row>
    <row r="11" spans="1:10" ht="14.45" customHeight="1" x14ac:dyDescent="0.3">
      <c r="B11" s="34"/>
      <c r="C11" s="37" t="s">
        <v>24</v>
      </c>
      <c r="D11" s="37" t="s">
        <v>29</v>
      </c>
      <c r="E11" s="51"/>
      <c r="F11" s="51">
        <f>'Scenario Manager'!F77</f>
        <v>0</v>
      </c>
      <c r="G11" s="51">
        <f>'Scenario Manager'!G77</f>
        <v>0</v>
      </c>
      <c r="H11" s="51">
        <f>'Scenario Manager'!H77</f>
        <v>0</v>
      </c>
      <c r="I11" s="51">
        <f>'Scenario Manager'!I77</f>
        <v>0</v>
      </c>
      <c r="J11" s="51">
        <f>'Scenario Manager'!J77</f>
        <v>0</v>
      </c>
    </row>
    <row r="12" spans="1:10" ht="14.45" customHeight="1" x14ac:dyDescent="0.3">
      <c r="B12" s="34"/>
      <c r="C12" s="37" t="s">
        <v>26</v>
      </c>
      <c r="D12" s="37" t="s">
        <v>29</v>
      </c>
      <c r="E12" s="51"/>
      <c r="F12" s="51">
        <f>'Scenario Manager'!F78</f>
        <v>0</v>
      </c>
      <c r="G12" s="51">
        <f>'Scenario Manager'!G78</f>
        <v>0</v>
      </c>
      <c r="H12" s="51">
        <f>'Scenario Manager'!H78</f>
        <v>0</v>
      </c>
      <c r="I12" s="51">
        <f>'Scenario Manager'!I78</f>
        <v>0</v>
      </c>
      <c r="J12" s="51">
        <f>'Scenario Manager'!J78</f>
        <v>0</v>
      </c>
    </row>
    <row r="13" spans="1:10" ht="14.45" customHeight="1" x14ac:dyDescent="0.3">
      <c r="B13" s="34"/>
      <c r="C13" s="37" t="s">
        <v>25</v>
      </c>
      <c r="D13" s="37" t="s">
        <v>29</v>
      </c>
      <c r="E13" s="51"/>
      <c r="F13" s="51">
        <f>'Scenario Manager'!F79</f>
        <v>0</v>
      </c>
      <c r="G13" s="51">
        <f>'Scenario Manager'!G79</f>
        <v>0</v>
      </c>
      <c r="H13" s="51">
        <f>'Scenario Manager'!H79</f>
        <v>0</v>
      </c>
      <c r="I13" s="51">
        <f>'Scenario Manager'!I79</f>
        <v>0</v>
      </c>
      <c r="J13" s="51">
        <f>'Scenario Manager'!J79</f>
        <v>0</v>
      </c>
    </row>
    <row r="14" spans="1:10" ht="14.45" customHeight="1" x14ac:dyDescent="0.3">
      <c r="B14" s="34"/>
      <c r="C14" s="37" t="s">
        <v>27</v>
      </c>
      <c r="D14" s="37" t="s">
        <v>29</v>
      </c>
      <c r="E14" s="51"/>
      <c r="F14" s="51">
        <f>'Scenario Manager'!F80</f>
        <v>0</v>
      </c>
      <c r="G14" s="51">
        <f>'Scenario Manager'!G80</f>
        <v>0</v>
      </c>
      <c r="H14" s="51">
        <f>'Scenario Manager'!H80</f>
        <v>0</v>
      </c>
      <c r="I14" s="51">
        <f>'Scenario Manager'!I80</f>
        <v>0</v>
      </c>
      <c r="J14" s="51">
        <f>'Scenario Manager'!J80</f>
        <v>0</v>
      </c>
    </row>
    <row r="15" spans="1:10" ht="14.45" customHeight="1" x14ac:dyDescent="0.35">
      <c r="B15" s="34"/>
      <c r="C15" s="37" t="s">
        <v>28</v>
      </c>
      <c r="D15" s="37" t="s">
        <v>29</v>
      </c>
      <c r="E15" s="51"/>
      <c r="F15" s="51">
        <f>'Scenario Manager'!F81</f>
        <v>0</v>
      </c>
      <c r="G15" s="51">
        <f>'Scenario Manager'!G81</f>
        <v>0</v>
      </c>
      <c r="H15" s="51">
        <f>'Scenario Manager'!H81</f>
        <v>0</v>
      </c>
      <c r="I15" s="51">
        <f>'Scenario Manager'!I81</f>
        <v>0</v>
      </c>
      <c r="J15" s="51">
        <f>'Scenario Manager'!J81</f>
        <v>0</v>
      </c>
    </row>
    <row r="16" spans="1:10" ht="14.45" customHeight="1" x14ac:dyDescent="0.35">
      <c r="B16" s="34" t="s">
        <v>9</v>
      </c>
      <c r="C16" s="37"/>
      <c r="D16" s="37"/>
      <c r="E16" s="51"/>
      <c r="F16" s="57"/>
      <c r="G16" s="57"/>
      <c r="H16" s="57"/>
      <c r="I16" s="57"/>
      <c r="J16" s="57"/>
    </row>
    <row r="17" spans="1:11" ht="14.45" customHeight="1" x14ac:dyDescent="0.35">
      <c r="B17" s="34"/>
      <c r="C17" s="37" t="s">
        <v>14</v>
      </c>
      <c r="D17" s="37" t="s">
        <v>29</v>
      </c>
      <c r="E17" s="52">
        <f>'Scenario Manager'!E14</f>
        <v>0.28000000000000003</v>
      </c>
      <c r="F17" s="57"/>
      <c r="G17" s="57"/>
      <c r="H17" s="57"/>
      <c r="I17" s="57"/>
      <c r="J17" s="57"/>
    </row>
    <row r="18" spans="1:11" ht="14.45" customHeight="1" x14ac:dyDescent="0.35">
      <c r="B18" s="34"/>
      <c r="C18" s="37" t="s">
        <v>238</v>
      </c>
      <c r="D18" s="37" t="s">
        <v>29</v>
      </c>
      <c r="E18" s="53">
        <f>'Scenario Manager'!$E$20</f>
        <v>6.7100000000000007E-2</v>
      </c>
      <c r="F18" s="57"/>
      <c r="G18" s="57"/>
      <c r="H18" s="57"/>
      <c r="I18" s="57"/>
      <c r="J18" s="57"/>
    </row>
    <row r="19" spans="1:11" ht="18" x14ac:dyDescent="0.35">
      <c r="A19" s="34"/>
      <c r="B19" s="34" t="s">
        <v>64</v>
      </c>
      <c r="C19" s="37"/>
      <c r="D19" s="37"/>
      <c r="E19" s="51"/>
      <c r="F19" s="57"/>
      <c r="G19" s="57"/>
      <c r="H19" s="57"/>
      <c r="I19" s="57"/>
      <c r="J19" s="57"/>
    </row>
    <row r="20" spans="1:11" ht="14.45" x14ac:dyDescent="0.3">
      <c r="C20" s="61" t="s">
        <v>126</v>
      </c>
      <c r="D20" s="37" t="s">
        <v>157</v>
      </c>
      <c r="E20" s="51"/>
      <c r="F20" s="49">
        <f>'Scenario asset base'!F168</f>
        <v>534218.77409418614</v>
      </c>
      <c r="G20" s="49">
        <f>'Scenario asset base'!G168</f>
        <v>536696.66286932945</v>
      </c>
      <c r="H20" s="49">
        <f>'Scenario asset base'!H168</f>
        <v>544698.03499692376</v>
      </c>
      <c r="I20" s="49">
        <f>'Scenario asset base'!I168</f>
        <v>549399.27789044857</v>
      </c>
      <c r="J20" s="49">
        <f>'Scenario asset base'!J168</f>
        <v>550107.25916371448</v>
      </c>
    </row>
    <row r="21" spans="1:11" ht="14.45" x14ac:dyDescent="0.3">
      <c r="C21" s="61" t="s">
        <v>36</v>
      </c>
      <c r="D21" s="37" t="s">
        <v>157</v>
      </c>
      <c r="E21" s="51"/>
      <c r="F21" s="49">
        <f>'Scenario asset base'!F169</f>
        <v>7288.910598880112</v>
      </c>
      <c r="G21" s="49">
        <f>'Scenario asset base'!G169</f>
        <v>10693.253052283477</v>
      </c>
      <c r="H21" s="49">
        <f>'Scenario asset base'!H169</f>
        <v>10288.792621400475</v>
      </c>
      <c r="I21" s="49">
        <f>'Scenario asset base'!I169</f>
        <v>10872.950940622271</v>
      </c>
      <c r="J21" s="49">
        <f>'Scenario asset base'!J169</f>
        <v>10830.564445026695</v>
      </c>
    </row>
    <row r="22" spans="1:11" ht="14.45" x14ac:dyDescent="0.3">
      <c r="C22" s="61" t="s">
        <v>37</v>
      </c>
      <c r="D22" s="37" t="s">
        <v>157</v>
      </c>
      <c r="E22" s="51"/>
      <c r="F22" s="49">
        <f>'Scenario asset base'!F170</f>
        <v>20968.303721619915</v>
      </c>
      <c r="G22" s="49">
        <f>'Scenario asset base'!G170</f>
        <v>19573.636619958641</v>
      </c>
      <c r="H22" s="49">
        <f>'Scenario asset base'!H170</f>
        <v>21909.724806421127</v>
      </c>
      <c r="I22" s="49">
        <f>'Scenario asset base'!I170</f>
        <v>24495.737439089949</v>
      </c>
      <c r="J22" s="49">
        <f>'Scenario asset base'!J170</f>
        <v>24218.744042060585</v>
      </c>
    </row>
    <row r="23" spans="1:11" ht="14.45" x14ac:dyDescent="0.3">
      <c r="C23" s="61" t="s">
        <v>66</v>
      </c>
      <c r="D23" s="37" t="s">
        <v>29</v>
      </c>
      <c r="E23" s="51"/>
      <c r="F23" s="49">
        <f>'Scenario Manager'!F88</f>
        <v>40765.19669380234</v>
      </c>
      <c r="G23" s="49">
        <f>'Scenario Manager'!G88</f>
        <v>37920.683678528811</v>
      </c>
      <c r="H23" s="49">
        <f>'Scenario Manager'!H88</f>
        <v>38630.272492554555</v>
      </c>
      <c r="I23" s="49">
        <f>'Scenario Manager'!I88</f>
        <v>39385.363659636321</v>
      </c>
      <c r="J23" s="49">
        <f>'Scenario Manager'!J88</f>
        <v>40157.05076450741</v>
      </c>
    </row>
    <row r="24" spans="1:11" ht="14.45" x14ac:dyDescent="0.3">
      <c r="C24" s="61" t="s">
        <v>67</v>
      </c>
      <c r="D24" s="37" t="s">
        <v>157</v>
      </c>
      <c r="E24" s="51"/>
      <c r="F24" s="49">
        <f>'Scenario asset base'!F171</f>
        <v>19358.811822096228</v>
      </c>
      <c r="G24" s="49">
        <f>'Scenario asset base'!G171</f>
        <v>19946.124800469166</v>
      </c>
      <c r="H24" s="49">
        <f>'Scenario asset base'!H171</f>
        <v>17442.706710588212</v>
      </c>
      <c r="I24" s="49">
        <f>'Scenario asset base'!I171</f>
        <v>17253.650363522556</v>
      </c>
      <c r="J24" s="49">
        <f>'Scenario asset base'!J171</f>
        <v>15203.688367884866</v>
      </c>
    </row>
    <row r="25" spans="1:11" ht="14.45" x14ac:dyDescent="0.3">
      <c r="C25" s="61" t="s">
        <v>260</v>
      </c>
      <c r="D25" s="37" t="s">
        <v>157</v>
      </c>
      <c r="E25" s="51"/>
      <c r="F25" s="49">
        <f>'Scenario asset base'!F173</f>
        <v>4782.2799694920541</v>
      </c>
      <c r="G25" s="49">
        <f>'Scenario asset base'!G173</f>
        <v>4837.1144047065136</v>
      </c>
      <c r="H25" s="49">
        <f>'Scenario asset base'!H173</f>
        <v>4871.2436278928599</v>
      </c>
      <c r="I25" s="49">
        <f>'Scenario asset base'!I173</f>
        <v>4958.0656289236422</v>
      </c>
      <c r="J25" s="49">
        <f>'Scenario asset base'!J173</f>
        <v>4938.7373869321145</v>
      </c>
    </row>
    <row r="26" spans="1:11" ht="18" x14ac:dyDescent="0.35">
      <c r="B26" s="34" t="s">
        <v>125</v>
      </c>
      <c r="C26" s="61"/>
      <c r="D26" s="49"/>
      <c r="E26" s="49"/>
      <c r="F26" s="49"/>
      <c r="G26" s="49"/>
      <c r="H26" s="49"/>
      <c r="I26" s="49"/>
      <c r="J26" s="49"/>
    </row>
    <row r="27" spans="1:11" ht="14.45" x14ac:dyDescent="0.3">
      <c r="C27" s="61" t="s">
        <v>123</v>
      </c>
      <c r="D27" s="37" t="s">
        <v>125</v>
      </c>
      <c r="E27" s="93">
        <f>'Timing factors'!C19</f>
        <v>1.0325915994859556</v>
      </c>
      <c r="F27" s="49"/>
      <c r="G27" s="49"/>
      <c r="H27" s="49"/>
      <c r="I27" s="49"/>
      <c r="J27" s="49"/>
    </row>
    <row r="28" spans="1:11" x14ac:dyDescent="0.25">
      <c r="C28" s="61" t="s">
        <v>176</v>
      </c>
      <c r="D28" s="37" t="s">
        <v>125</v>
      </c>
      <c r="E28" s="93">
        <f>'Timing factors'!C20</f>
        <v>1.0264233985588214</v>
      </c>
      <c r="F28" s="49"/>
      <c r="G28" s="49"/>
      <c r="H28" s="49"/>
      <c r="I28" s="49"/>
      <c r="J28" s="49"/>
    </row>
    <row r="29" spans="1:11" x14ac:dyDescent="0.25">
      <c r="C29" s="61"/>
      <c r="D29" s="37"/>
      <c r="E29" s="51"/>
      <c r="F29" s="49"/>
      <c r="G29" s="49"/>
      <c r="H29" s="49"/>
      <c r="I29" s="49"/>
      <c r="J29" s="49"/>
    </row>
    <row r="31" spans="1:11" ht="23.25" x14ac:dyDescent="0.35">
      <c r="A31" s="26" t="s">
        <v>32</v>
      </c>
      <c r="E31" s="29" t="s">
        <v>11</v>
      </c>
      <c r="F31" s="29">
        <v>2018</v>
      </c>
      <c r="G31" s="29">
        <f t="shared" ref="G31:J31" si="1">F31+1</f>
        <v>2019</v>
      </c>
      <c r="H31" s="29">
        <f t="shared" si="1"/>
        <v>2020</v>
      </c>
      <c r="I31" s="29">
        <f t="shared" si="1"/>
        <v>2021</v>
      </c>
      <c r="J31" s="29">
        <f t="shared" si="1"/>
        <v>2022</v>
      </c>
    </row>
    <row r="32" spans="1:11" s="61" customFormat="1" x14ac:dyDescent="0.25">
      <c r="A32" s="1"/>
      <c r="B32" s="1"/>
      <c r="C32" s="61" t="s">
        <v>88</v>
      </c>
      <c r="F32" s="61">
        <f>F20</f>
        <v>534218.77409418614</v>
      </c>
      <c r="G32" s="61">
        <f>G20</f>
        <v>536696.66286932945</v>
      </c>
      <c r="H32" s="61">
        <f>H20</f>
        <v>544698.03499692376</v>
      </c>
      <c r="I32" s="61">
        <f>I20</f>
        <v>549399.27789044857</v>
      </c>
      <c r="J32" s="61">
        <f>J20</f>
        <v>550107.25916371448</v>
      </c>
      <c r="K32" s="1"/>
    </row>
    <row r="33" spans="1:11" s="61" customFormat="1" x14ac:dyDescent="0.25">
      <c r="A33" s="1"/>
      <c r="B33" s="1"/>
      <c r="C33" s="61" t="s">
        <v>167</v>
      </c>
      <c r="F33" s="61">
        <f>'Scenario Manager'!E22</f>
        <v>-7806</v>
      </c>
      <c r="G33" s="61">
        <f>F33+($J$33-$F$33)/4</f>
        <v>-7810.25</v>
      </c>
      <c r="H33" s="61">
        <f>G33+($J$33-$F$33)/4</f>
        <v>-7814.5</v>
      </c>
      <c r="I33" s="61">
        <f>H33+($J$33-$F$33)/4</f>
        <v>-7818.75</v>
      </c>
      <c r="J33" s="61">
        <f>'Scenario Manager'!E23</f>
        <v>-7823</v>
      </c>
      <c r="K33" s="1"/>
    </row>
    <row r="34" spans="1:11" s="61" customFormat="1" x14ac:dyDescent="0.25">
      <c r="A34" s="1"/>
      <c r="B34" s="1"/>
      <c r="C34" s="61" t="s">
        <v>132</v>
      </c>
      <c r="F34" s="61">
        <f>F32-F33</f>
        <v>542024.77409418614</v>
      </c>
      <c r="G34" s="61">
        <f t="shared" ref="G34:J34" si="2">G32-G33</f>
        <v>544506.91286932945</v>
      </c>
      <c r="H34" s="61">
        <f t="shared" si="2"/>
        <v>552512.53499692376</v>
      </c>
      <c r="I34" s="61">
        <f t="shared" si="2"/>
        <v>557218.02789044857</v>
      </c>
      <c r="J34" s="61">
        <f t="shared" si="2"/>
        <v>557930.25916371448</v>
      </c>
      <c r="K34" s="1"/>
    </row>
    <row r="35" spans="1:11" x14ac:dyDescent="0.25">
      <c r="C35" s="61" t="s">
        <v>34</v>
      </c>
      <c r="D35" s="37"/>
      <c r="E35" s="37"/>
      <c r="F35" s="63">
        <f>$E$18</f>
        <v>6.7100000000000007E-2</v>
      </c>
      <c r="G35" s="63">
        <f t="shared" ref="G35:J35" si="3">$E$18</f>
        <v>6.7100000000000007E-2</v>
      </c>
      <c r="H35" s="63">
        <f t="shared" si="3"/>
        <v>6.7100000000000007E-2</v>
      </c>
      <c r="I35" s="63">
        <f t="shared" si="3"/>
        <v>6.7100000000000007E-2</v>
      </c>
      <c r="J35" s="63">
        <f t="shared" si="3"/>
        <v>6.7100000000000007E-2</v>
      </c>
    </row>
    <row r="36" spans="1:11" x14ac:dyDescent="0.25">
      <c r="C36" s="61" t="s">
        <v>35</v>
      </c>
      <c r="D36" s="37"/>
      <c r="E36" s="37"/>
      <c r="F36" s="44">
        <f>F34*F35</f>
        <v>36369.862341719891</v>
      </c>
      <c r="G36" s="44">
        <f t="shared" ref="G36:J36" si="4">G34*G35</f>
        <v>36536.413853532009</v>
      </c>
      <c r="H36" s="44">
        <f t="shared" si="4"/>
        <v>37073.591098293589</v>
      </c>
      <c r="I36" s="44">
        <f t="shared" si="4"/>
        <v>37389.329671449101</v>
      </c>
      <c r="J36" s="44">
        <f t="shared" si="4"/>
        <v>37437.120389885247</v>
      </c>
    </row>
    <row r="37" spans="1:11" x14ac:dyDescent="0.25">
      <c r="B37" s="55" t="s">
        <v>40</v>
      </c>
      <c r="C37" s="61" t="s">
        <v>36</v>
      </c>
      <c r="D37" s="37"/>
      <c r="E37" s="37"/>
      <c r="F37" s="44">
        <f>-F21</f>
        <v>-7288.910598880112</v>
      </c>
      <c r="G37" s="44">
        <f>-G21</f>
        <v>-10693.253052283477</v>
      </c>
      <c r="H37" s="44">
        <f>-H21</f>
        <v>-10288.792621400475</v>
      </c>
      <c r="I37" s="44">
        <f>-I21</f>
        <v>-10872.950940622271</v>
      </c>
      <c r="J37" s="44">
        <f>-J21</f>
        <v>-10830.564445026695</v>
      </c>
    </row>
    <row r="38" spans="1:11" x14ac:dyDescent="0.25">
      <c r="B38" s="55" t="s">
        <v>39</v>
      </c>
      <c r="C38" s="61" t="s">
        <v>37</v>
      </c>
      <c r="D38" s="37"/>
      <c r="E38" s="37"/>
      <c r="F38" s="44">
        <f>F22</f>
        <v>20968.303721619915</v>
      </c>
      <c r="G38" s="44">
        <f>G22</f>
        <v>19573.636619958641</v>
      </c>
      <c r="H38" s="44">
        <f>H22</f>
        <v>21909.724806421127</v>
      </c>
      <c r="I38" s="44">
        <f>I22</f>
        <v>24495.737439089949</v>
      </c>
      <c r="J38" s="44">
        <f>J22</f>
        <v>24218.744042060585</v>
      </c>
    </row>
    <row r="39" spans="1:11" x14ac:dyDescent="0.25">
      <c r="C39" s="61" t="s">
        <v>22</v>
      </c>
      <c r="D39" s="37"/>
      <c r="E39" s="37"/>
      <c r="F39" s="44">
        <f>SUM(F36:F38)</f>
        <v>50049.255464459697</v>
      </c>
      <c r="G39" s="44">
        <f>SUM(G36:G38)</f>
        <v>45416.797421207171</v>
      </c>
      <c r="H39" s="44">
        <f>SUM(H36:H38)</f>
        <v>48694.523283314236</v>
      </c>
      <c r="I39" s="44">
        <f>SUM(I36:I38)</f>
        <v>51012.116169916779</v>
      </c>
      <c r="J39" s="44">
        <f>SUM(J36:J38)</f>
        <v>50825.299986919141</v>
      </c>
    </row>
    <row r="40" spans="1:11" x14ac:dyDescent="0.25">
      <c r="C40" s="61" t="s">
        <v>38</v>
      </c>
      <c r="D40" s="37"/>
      <c r="E40" s="37"/>
      <c r="F40" s="44">
        <f>F39/(1-$E$17)</f>
        <v>69512.854811749581</v>
      </c>
      <c r="G40" s="44">
        <f t="shared" ref="G40:J40" si="5">G39/(1-$E$17)</f>
        <v>63078.885307232187</v>
      </c>
      <c r="H40" s="44">
        <f t="shared" si="5"/>
        <v>67631.282337936442</v>
      </c>
      <c r="I40" s="44">
        <f t="shared" si="5"/>
        <v>70850.161347106638</v>
      </c>
      <c r="J40" s="44">
        <f t="shared" si="5"/>
        <v>70590.69442627659</v>
      </c>
    </row>
    <row r="42" spans="1:11" x14ac:dyDescent="0.25">
      <c r="B42" s="55" t="s">
        <v>39</v>
      </c>
      <c r="C42" s="61" t="s">
        <v>66</v>
      </c>
      <c r="D42" s="37"/>
      <c r="E42" s="37"/>
      <c r="F42" s="44">
        <f>F23*$E$27</f>
        <v>42093.799657412943</v>
      </c>
      <c r="G42" s="44">
        <f t="shared" ref="G42:J42" si="6">G23*$E$27</f>
        <v>39156.579413213032</v>
      </c>
      <c r="H42" s="44">
        <f t="shared" si="6"/>
        <v>39889.294861665221</v>
      </c>
      <c r="I42" s="44">
        <f t="shared" si="6"/>
        <v>40668.995657639898</v>
      </c>
      <c r="J42" s="44">
        <f t="shared" si="6"/>
        <v>41465.833279561419</v>
      </c>
    </row>
    <row r="43" spans="1:11" x14ac:dyDescent="0.25">
      <c r="B43" s="55" t="s">
        <v>40</v>
      </c>
      <c r="C43" s="61" t="s">
        <v>41</v>
      </c>
      <c r="D43" s="37"/>
      <c r="E43" s="37"/>
      <c r="F43" s="44">
        <f>-F7</f>
        <v>0</v>
      </c>
      <c r="G43" s="44">
        <f>-G7</f>
        <v>0</v>
      </c>
      <c r="H43" s="44">
        <f>-H7</f>
        <v>0</v>
      </c>
      <c r="I43" s="44">
        <f>-I7</f>
        <v>0</v>
      </c>
      <c r="J43" s="44">
        <f>-J7</f>
        <v>0</v>
      </c>
    </row>
    <row r="44" spans="1:11" x14ac:dyDescent="0.25">
      <c r="B44" s="55" t="s">
        <v>40</v>
      </c>
      <c r="C44" s="61" t="s">
        <v>42</v>
      </c>
      <c r="D44" s="37"/>
      <c r="E44" s="37"/>
      <c r="F44" s="44">
        <f>-'Forecast revenue and tax'!F29</f>
        <v>0</v>
      </c>
      <c r="G44" s="44">
        <f>-'Forecast revenue and tax'!G29</f>
        <v>0</v>
      </c>
      <c r="H44" s="44">
        <f>-'Forecast revenue and tax'!H29</f>
        <v>0</v>
      </c>
      <c r="I44" s="44">
        <f>-'Forecast revenue and tax'!I29</f>
        <v>0</v>
      </c>
      <c r="J44" s="44">
        <f>-'Forecast revenue and tax'!J29</f>
        <v>0</v>
      </c>
    </row>
    <row r="45" spans="1:11" x14ac:dyDescent="0.25">
      <c r="B45" s="55"/>
    </row>
    <row r="46" spans="1:11" x14ac:dyDescent="0.25">
      <c r="B46" s="55" t="s">
        <v>39</v>
      </c>
      <c r="C46" s="61" t="s">
        <v>24</v>
      </c>
      <c r="D46" s="37"/>
      <c r="E46" s="37"/>
      <c r="F46" s="44">
        <f>F11</f>
        <v>0</v>
      </c>
      <c r="G46" s="44">
        <f>G11</f>
        <v>0</v>
      </c>
      <c r="H46" s="44">
        <f>H11</f>
        <v>0</v>
      </c>
      <c r="I46" s="44">
        <f>I11</f>
        <v>0</v>
      </c>
      <c r="J46" s="44">
        <f>J11</f>
        <v>0</v>
      </c>
    </row>
    <row r="47" spans="1:11" x14ac:dyDescent="0.25">
      <c r="B47" s="55" t="s">
        <v>40</v>
      </c>
      <c r="C47" s="61" t="s">
        <v>26</v>
      </c>
      <c r="D47" s="37"/>
      <c r="E47" s="37"/>
      <c r="F47" s="44">
        <f>-F12</f>
        <v>0</v>
      </c>
      <c r="G47" s="44">
        <f>-G12</f>
        <v>0</v>
      </c>
      <c r="H47" s="44">
        <f>-H12</f>
        <v>0</v>
      </c>
      <c r="I47" s="44">
        <f>-I12</f>
        <v>0</v>
      </c>
      <c r="J47" s="44">
        <f>-J12</f>
        <v>0</v>
      </c>
    </row>
    <row r="48" spans="1:11" x14ac:dyDescent="0.25">
      <c r="B48" s="55" t="s">
        <v>39</v>
      </c>
      <c r="C48" s="61" t="s">
        <v>25</v>
      </c>
      <c r="D48" s="37"/>
      <c r="E48" s="37"/>
      <c r="F48" s="44">
        <f>F13</f>
        <v>0</v>
      </c>
      <c r="G48" s="44">
        <f>G13</f>
        <v>0</v>
      </c>
      <c r="H48" s="44">
        <f>H13</f>
        <v>0</v>
      </c>
      <c r="I48" s="44">
        <f>I13</f>
        <v>0</v>
      </c>
      <c r="J48" s="44">
        <f>J13</f>
        <v>0</v>
      </c>
    </row>
    <row r="49" spans="1:10" x14ac:dyDescent="0.25">
      <c r="B49" s="55" t="s">
        <v>40</v>
      </c>
      <c r="C49" s="61" t="s">
        <v>27</v>
      </c>
      <c r="D49" s="37"/>
      <c r="E49" s="37"/>
      <c r="F49" s="44">
        <f t="shared" ref="F49:J49" si="7">-F14</f>
        <v>0</v>
      </c>
      <c r="G49" s="44">
        <f t="shared" si="7"/>
        <v>0</v>
      </c>
      <c r="H49" s="44">
        <f t="shared" si="7"/>
        <v>0</v>
      </c>
      <c r="I49" s="44">
        <f t="shared" si="7"/>
        <v>0</v>
      </c>
      <c r="J49" s="44">
        <f t="shared" si="7"/>
        <v>0</v>
      </c>
    </row>
    <row r="50" spans="1:10" x14ac:dyDescent="0.25">
      <c r="B50" s="55" t="s">
        <v>40</v>
      </c>
      <c r="C50" s="61" t="s">
        <v>43</v>
      </c>
      <c r="D50" s="37"/>
      <c r="E50" s="37"/>
      <c r="F50" s="44">
        <f t="shared" ref="F50:J51" si="8">-F24</f>
        <v>-19358.811822096228</v>
      </c>
      <c r="G50" s="44">
        <f t="shared" si="8"/>
        <v>-19946.124800469166</v>
      </c>
      <c r="H50" s="44">
        <f t="shared" si="8"/>
        <v>-17442.706710588212</v>
      </c>
      <c r="I50" s="44">
        <f t="shared" si="8"/>
        <v>-17253.650363522556</v>
      </c>
      <c r="J50" s="44">
        <f t="shared" si="8"/>
        <v>-15203.688367884866</v>
      </c>
    </row>
    <row r="51" spans="1:10" x14ac:dyDescent="0.25">
      <c r="B51" s="55" t="s">
        <v>40</v>
      </c>
      <c r="C51" s="61" t="s">
        <v>44</v>
      </c>
      <c r="D51" s="37"/>
      <c r="E51" s="37"/>
      <c r="F51" s="44">
        <f t="shared" si="8"/>
        <v>-4782.2799694920541</v>
      </c>
      <c r="G51" s="44">
        <f t="shared" si="8"/>
        <v>-4837.1144047065136</v>
      </c>
      <c r="H51" s="44">
        <f t="shared" si="8"/>
        <v>-4871.2436278928599</v>
      </c>
      <c r="I51" s="44">
        <f t="shared" si="8"/>
        <v>-4958.0656289236422</v>
      </c>
      <c r="J51" s="44">
        <f t="shared" si="8"/>
        <v>-4938.7373869321145</v>
      </c>
    </row>
    <row r="52" spans="1:10" x14ac:dyDescent="0.25">
      <c r="B52" s="55" t="s">
        <v>40</v>
      </c>
      <c r="C52" s="61" t="s">
        <v>131</v>
      </c>
      <c r="D52" s="37"/>
      <c r="E52" s="37"/>
      <c r="F52" s="44">
        <f>F85+F77</f>
        <v>0</v>
      </c>
      <c r="G52" s="44">
        <f t="shared" ref="G52:J52" si="9">G85+G77</f>
        <v>0</v>
      </c>
      <c r="H52" s="44">
        <f t="shared" si="9"/>
        <v>0</v>
      </c>
      <c r="I52" s="44">
        <f t="shared" si="9"/>
        <v>0</v>
      </c>
      <c r="J52" s="44">
        <f t="shared" si="9"/>
        <v>0</v>
      </c>
    </row>
    <row r="53" spans="1:10" x14ac:dyDescent="0.25">
      <c r="B53" s="55" t="s">
        <v>40</v>
      </c>
      <c r="C53" s="61" t="s">
        <v>28</v>
      </c>
      <c r="D53" s="37"/>
      <c r="E53" s="37"/>
      <c r="F53" s="44">
        <f>-F15</f>
        <v>0</v>
      </c>
      <c r="G53" s="44">
        <f>-G15</f>
        <v>0</v>
      </c>
      <c r="H53" s="44">
        <f>-H15</f>
        <v>0</v>
      </c>
      <c r="I53" s="44">
        <f>-I15</f>
        <v>0</v>
      </c>
      <c r="J53" s="44">
        <f>-J15</f>
        <v>0</v>
      </c>
    </row>
    <row r="54" spans="1:10" x14ac:dyDescent="0.25">
      <c r="C54" s="61" t="s">
        <v>22</v>
      </c>
      <c r="D54" s="37"/>
      <c r="E54" s="37"/>
      <c r="F54" s="44">
        <f>SUM(F47:F53)</f>
        <v>-24141.091791588282</v>
      </c>
      <c r="G54" s="44">
        <f>SUM(G47:G53)</f>
        <v>-24783.23920517568</v>
      </c>
      <c r="H54" s="44">
        <f>SUM(H47:H53)</f>
        <v>-22313.950338481074</v>
      </c>
      <c r="I54" s="44">
        <f>SUM(I47:I53)</f>
        <v>-22211.715992446199</v>
      </c>
      <c r="J54" s="44">
        <f>SUM(J47:J53)</f>
        <v>-20142.425754816981</v>
      </c>
    </row>
    <row r="55" spans="1:10" x14ac:dyDescent="0.25">
      <c r="C55" s="61" t="s">
        <v>38</v>
      </c>
      <c r="D55" s="37"/>
      <c r="E55" s="37"/>
      <c r="F55" s="44">
        <f>F54*$E$17/(1-$E$17)</f>
        <v>-9388.202363395445</v>
      </c>
      <c r="G55" s="44">
        <f t="shared" ref="G55:J55" si="10">G54*$E$17/(1-$E$17)</f>
        <v>-9637.9263575683199</v>
      </c>
      <c r="H55" s="44">
        <f t="shared" si="10"/>
        <v>-8677.6473538537521</v>
      </c>
      <c r="I55" s="44">
        <f t="shared" si="10"/>
        <v>-8637.8895526179676</v>
      </c>
      <c r="J55" s="44">
        <f t="shared" si="10"/>
        <v>-7833.1655713177161</v>
      </c>
    </row>
    <row r="56" spans="1:10" x14ac:dyDescent="0.25">
      <c r="C56" s="37" t="s">
        <v>45</v>
      </c>
      <c r="D56" s="37"/>
      <c r="E56" s="37"/>
      <c r="F56" s="44">
        <f>SUM(F40:F44)+F55</f>
        <v>102218.45210576706</v>
      </c>
      <c r="G56" s="44">
        <f t="shared" ref="G56:J56" si="11">SUM(G40:G44)+G55</f>
        <v>92597.538362876905</v>
      </c>
      <c r="H56" s="44">
        <f t="shared" si="11"/>
        <v>98842.929845747902</v>
      </c>
      <c r="I56" s="44">
        <f t="shared" si="11"/>
        <v>102881.26745212857</v>
      </c>
      <c r="J56" s="44">
        <f t="shared" si="11"/>
        <v>104223.36213452028</v>
      </c>
    </row>
    <row r="58" spans="1:10" ht="23.25" x14ac:dyDescent="0.35">
      <c r="A58" s="26" t="s">
        <v>82</v>
      </c>
      <c r="F58" s="29">
        <v>2018</v>
      </c>
      <c r="G58" s="29">
        <f t="shared" ref="G58:J58" si="12">F58+1</f>
        <v>2019</v>
      </c>
      <c r="H58" s="29">
        <f t="shared" si="12"/>
        <v>2020</v>
      </c>
      <c r="I58" s="29">
        <f t="shared" si="12"/>
        <v>2021</v>
      </c>
      <c r="J58" s="29">
        <f t="shared" si="12"/>
        <v>2022</v>
      </c>
    </row>
    <row r="59" spans="1:10" x14ac:dyDescent="0.25">
      <c r="C59" s="61" t="s">
        <v>81</v>
      </c>
      <c r="D59" s="37"/>
      <c r="E59" s="37"/>
      <c r="F59" s="44">
        <f>F56</f>
        <v>102218.45210576706</v>
      </c>
      <c r="G59" s="44">
        <f t="shared" ref="G59:J59" si="13">G56</f>
        <v>92597.538362876905</v>
      </c>
      <c r="H59" s="44">
        <f t="shared" si="13"/>
        <v>98842.929845747902</v>
      </c>
      <c r="I59" s="44">
        <f t="shared" si="13"/>
        <v>102881.26745212857</v>
      </c>
      <c r="J59" s="44">
        <f t="shared" si="13"/>
        <v>104223.36213452028</v>
      </c>
    </row>
    <row r="60" spans="1:10" x14ac:dyDescent="0.25">
      <c r="C60" s="61" t="s">
        <v>41</v>
      </c>
      <c r="D60" s="37"/>
      <c r="E60" s="37"/>
      <c r="F60" s="44">
        <f>F7+F9</f>
        <v>0</v>
      </c>
      <c r="G60" s="44">
        <f>G7+G9</f>
        <v>0</v>
      </c>
      <c r="H60" s="44">
        <f>H7+H9</f>
        <v>0</v>
      </c>
      <c r="I60" s="44">
        <f>I7+I9</f>
        <v>0</v>
      </c>
      <c r="J60" s="44">
        <f>J7+J9</f>
        <v>0</v>
      </c>
    </row>
    <row r="61" spans="1:10" x14ac:dyDescent="0.25">
      <c r="C61" s="61" t="s">
        <v>79</v>
      </c>
      <c r="D61" s="37"/>
      <c r="E61" s="37"/>
      <c r="F61" s="44">
        <f>-F44</f>
        <v>0</v>
      </c>
      <c r="G61" s="44">
        <f t="shared" ref="G61:J61" si="14">-G44</f>
        <v>0</v>
      </c>
      <c r="H61" s="44">
        <f t="shared" si="14"/>
        <v>0</v>
      </c>
      <c r="I61" s="44">
        <f t="shared" si="14"/>
        <v>0</v>
      </c>
      <c r="J61" s="44">
        <f t="shared" si="14"/>
        <v>0</v>
      </c>
    </row>
    <row r="62" spans="1:10" x14ac:dyDescent="0.25">
      <c r="C62" s="61" t="s">
        <v>163</v>
      </c>
      <c r="D62" s="37"/>
      <c r="E62" s="37"/>
      <c r="F62" s="44">
        <f>SUM(F59:F61)</f>
        <v>102218.45210576706</v>
      </c>
      <c r="G62" s="44">
        <f t="shared" ref="G62:J62" si="15">SUM(G59:G61)</f>
        <v>92597.538362876905</v>
      </c>
      <c r="H62" s="44">
        <f t="shared" si="15"/>
        <v>98842.929845747902</v>
      </c>
      <c r="I62" s="44">
        <f t="shared" si="15"/>
        <v>102881.26745212857</v>
      </c>
      <c r="J62" s="44">
        <f t="shared" si="15"/>
        <v>104223.36213452028</v>
      </c>
    </row>
    <row r="63" spans="1:10" x14ac:dyDescent="0.25">
      <c r="C63" s="61"/>
      <c r="D63" s="37"/>
      <c r="E63" s="37"/>
      <c r="F63" s="44"/>
      <c r="G63" s="44"/>
      <c r="H63" s="44"/>
      <c r="I63" s="44"/>
      <c r="J63" s="44"/>
    </row>
    <row r="64" spans="1:10" x14ac:dyDescent="0.25">
      <c r="B64" s="55" t="s">
        <v>40</v>
      </c>
      <c r="C64" s="61" t="s">
        <v>83</v>
      </c>
      <c r="D64" s="37"/>
      <c r="E64" s="37"/>
      <c r="F64" s="44">
        <f>-F42</f>
        <v>-42093.799657412943</v>
      </c>
      <c r="G64" s="44">
        <f t="shared" ref="G64:J64" si="16">-G42</f>
        <v>-39156.579413213032</v>
      </c>
      <c r="H64" s="44">
        <f t="shared" si="16"/>
        <v>-39889.294861665221</v>
      </c>
      <c r="I64" s="44">
        <f t="shared" si="16"/>
        <v>-40668.995657639898</v>
      </c>
      <c r="J64" s="44">
        <f t="shared" si="16"/>
        <v>-41465.833279561419</v>
      </c>
    </row>
    <row r="65" spans="1:10" x14ac:dyDescent="0.25">
      <c r="C65" s="61" t="s">
        <v>84</v>
      </c>
      <c r="D65" s="37"/>
      <c r="E65" s="37"/>
      <c r="F65" s="44">
        <f>SUM(F62:F64)</f>
        <v>60124.652448354122</v>
      </c>
      <c r="G65" s="44">
        <f t="shared" ref="G65:J65" si="17">SUM(G62:G64)</f>
        <v>53440.958949663873</v>
      </c>
      <c r="H65" s="44">
        <f t="shared" si="17"/>
        <v>58953.634984082681</v>
      </c>
      <c r="I65" s="44">
        <f t="shared" si="17"/>
        <v>62212.271794488668</v>
      </c>
      <c r="J65" s="44">
        <f t="shared" si="17"/>
        <v>62757.528854958866</v>
      </c>
    </row>
    <row r="66" spans="1:10" x14ac:dyDescent="0.25">
      <c r="C66" s="61"/>
      <c r="D66" s="37"/>
      <c r="E66" s="37"/>
      <c r="F66" s="44"/>
      <c r="G66" s="44"/>
      <c r="H66" s="44"/>
      <c r="I66" s="44"/>
      <c r="J66" s="44"/>
    </row>
    <row r="67" spans="1:10" x14ac:dyDescent="0.25">
      <c r="B67" s="55" t="s">
        <v>40</v>
      </c>
      <c r="C67" s="61" t="s">
        <v>56</v>
      </c>
      <c r="D67" s="37"/>
      <c r="E67" s="37"/>
      <c r="F67" s="44">
        <f>-F22</f>
        <v>-20968.303721619915</v>
      </c>
      <c r="G67" s="44">
        <f>-G22</f>
        <v>-19573.636619958641</v>
      </c>
      <c r="H67" s="44">
        <f>-H22</f>
        <v>-21909.724806421127</v>
      </c>
      <c r="I67" s="44">
        <f>-I22</f>
        <v>-24495.737439089949</v>
      </c>
      <c r="J67" s="44">
        <f>-J22</f>
        <v>-24218.744042060585</v>
      </c>
    </row>
    <row r="68" spans="1:10" x14ac:dyDescent="0.25">
      <c r="B68" s="55" t="s">
        <v>39</v>
      </c>
      <c r="C68" s="61" t="s">
        <v>80</v>
      </c>
      <c r="D68" s="37"/>
      <c r="E68" s="37"/>
      <c r="F68" s="44">
        <f>F21</f>
        <v>7288.910598880112</v>
      </c>
      <c r="G68" s="44">
        <f>G21</f>
        <v>10693.253052283477</v>
      </c>
      <c r="H68" s="44">
        <f>H21</f>
        <v>10288.792621400475</v>
      </c>
      <c r="I68" s="44">
        <f>I21</f>
        <v>10872.950940622271</v>
      </c>
      <c r="J68" s="44">
        <f>J21</f>
        <v>10830.564445026695</v>
      </c>
    </row>
    <row r="69" spans="1:10" x14ac:dyDescent="0.25">
      <c r="B69" s="54"/>
      <c r="C69" s="61" t="s">
        <v>74</v>
      </c>
      <c r="D69" s="37"/>
      <c r="E69" s="37"/>
      <c r="F69" s="44">
        <f>SUM(F65:F68)</f>
        <v>46445.259325614315</v>
      </c>
      <c r="G69" s="44">
        <f t="shared" ref="G69:J69" si="18">SUM(G65:G68)</f>
        <v>44560.57538198871</v>
      </c>
      <c r="H69" s="44">
        <f t="shared" si="18"/>
        <v>47332.702799062034</v>
      </c>
      <c r="I69" s="44">
        <f t="shared" si="18"/>
        <v>48589.48529602099</v>
      </c>
      <c r="J69" s="44">
        <f t="shared" si="18"/>
        <v>49369.349257924972</v>
      </c>
    </row>
    <row r="71" spans="1:10" ht="23.25" x14ac:dyDescent="0.35">
      <c r="A71" s="26" t="s">
        <v>73</v>
      </c>
      <c r="F71" s="29">
        <v>2018</v>
      </c>
      <c r="G71" s="29">
        <f t="shared" ref="G71:J71" si="19">F71+1</f>
        <v>2019</v>
      </c>
      <c r="H71" s="29">
        <f t="shared" si="19"/>
        <v>2020</v>
      </c>
      <c r="I71" s="29">
        <f t="shared" si="19"/>
        <v>2021</v>
      </c>
      <c r="J71" s="29">
        <f t="shared" si="19"/>
        <v>2022</v>
      </c>
    </row>
    <row r="72" spans="1:10" x14ac:dyDescent="0.25">
      <c r="C72" s="61" t="s">
        <v>74</v>
      </c>
      <c r="D72" s="61"/>
      <c r="E72" s="61"/>
      <c r="F72" s="61">
        <f>F69</f>
        <v>46445.259325614315</v>
      </c>
      <c r="G72" s="61">
        <f t="shared" ref="G72:J72" si="20">G69</f>
        <v>44560.57538198871</v>
      </c>
      <c r="H72" s="61">
        <f t="shared" si="20"/>
        <v>47332.702799062034</v>
      </c>
      <c r="I72" s="61">
        <f t="shared" si="20"/>
        <v>48589.48529602099</v>
      </c>
      <c r="J72" s="61">
        <f t="shared" si="20"/>
        <v>49369.349257924972</v>
      </c>
    </row>
    <row r="73" spans="1:10" x14ac:dyDescent="0.25">
      <c r="C73" s="61"/>
      <c r="D73" s="61"/>
      <c r="E73" s="61"/>
      <c r="F73" s="61"/>
      <c r="G73" s="61"/>
      <c r="H73" s="61"/>
      <c r="I73" s="61"/>
      <c r="J73" s="61"/>
    </row>
    <row r="74" spans="1:10" x14ac:dyDescent="0.25">
      <c r="B74" s="55" t="s">
        <v>39</v>
      </c>
      <c r="C74" s="61" t="s">
        <v>75</v>
      </c>
      <c r="D74" s="61"/>
      <c r="E74" s="61"/>
      <c r="F74" s="61">
        <f>F22</f>
        <v>20968.303721619915</v>
      </c>
      <c r="G74" s="61">
        <f>G22</f>
        <v>19573.636619958641</v>
      </c>
      <c r="H74" s="61">
        <f>H22</f>
        <v>21909.724806421127</v>
      </c>
      <c r="I74" s="61">
        <f>I22</f>
        <v>24495.737439089949</v>
      </c>
      <c r="J74" s="61">
        <f>J22</f>
        <v>24218.744042060585</v>
      </c>
    </row>
    <row r="75" spans="1:10" x14ac:dyDescent="0.25">
      <c r="B75" s="55"/>
      <c r="C75" s="61" t="s">
        <v>24</v>
      </c>
      <c r="D75" s="61"/>
      <c r="E75" s="61"/>
      <c r="F75" s="61">
        <f>F11</f>
        <v>0</v>
      </c>
      <c r="G75" s="61">
        <f>G11</f>
        <v>0</v>
      </c>
      <c r="H75" s="61">
        <f>H11</f>
        <v>0</v>
      </c>
      <c r="I75" s="61">
        <f>I11</f>
        <v>0</v>
      </c>
      <c r="J75" s="61">
        <f>J11</f>
        <v>0</v>
      </c>
    </row>
    <row r="76" spans="1:10" x14ac:dyDescent="0.25">
      <c r="B76" s="55"/>
      <c r="C76" s="61" t="s">
        <v>25</v>
      </c>
      <c r="D76" s="61"/>
      <c r="E76" s="61"/>
      <c r="F76" s="61">
        <f>F13</f>
        <v>0</v>
      </c>
      <c r="G76" s="61">
        <f>G13</f>
        <v>0</v>
      </c>
      <c r="H76" s="61">
        <f>H13</f>
        <v>0</v>
      </c>
      <c r="I76" s="61">
        <f>I13</f>
        <v>0</v>
      </c>
      <c r="J76" s="61">
        <f>J13</f>
        <v>0</v>
      </c>
    </row>
    <row r="77" spans="1:10" x14ac:dyDescent="0.25">
      <c r="B77" s="55"/>
      <c r="C77" s="61" t="s">
        <v>53</v>
      </c>
      <c r="D77" s="61"/>
      <c r="E77" s="61"/>
      <c r="F77" s="61">
        <f>-F8</f>
        <v>0</v>
      </c>
      <c r="G77" s="61">
        <f>-G8</f>
        <v>0</v>
      </c>
      <c r="H77" s="61">
        <f>-H8</f>
        <v>0</v>
      </c>
      <c r="I77" s="61">
        <f>-I8</f>
        <v>0</v>
      </c>
      <c r="J77" s="61">
        <f>-J8</f>
        <v>0</v>
      </c>
    </row>
    <row r="78" spans="1:10" x14ac:dyDescent="0.25">
      <c r="B78" s="55"/>
      <c r="C78" s="61"/>
      <c r="D78" s="61"/>
      <c r="E78" s="61"/>
      <c r="F78" s="61"/>
      <c r="G78" s="61"/>
      <c r="H78" s="61"/>
      <c r="I78" s="61"/>
      <c r="J78" s="61"/>
    </row>
    <row r="79" spans="1:10" x14ac:dyDescent="0.25">
      <c r="B79" s="55" t="s">
        <v>40</v>
      </c>
      <c r="C79" s="61" t="s">
        <v>76</v>
      </c>
      <c r="D79" s="61"/>
      <c r="E79" s="61"/>
      <c r="F79" s="61">
        <f>-F21</f>
        <v>-7288.910598880112</v>
      </c>
      <c r="G79" s="61">
        <f>-G21</f>
        <v>-10693.253052283477</v>
      </c>
      <c r="H79" s="61">
        <f>-H21</f>
        <v>-10288.792621400475</v>
      </c>
      <c r="I79" s="61">
        <f>-I21</f>
        <v>-10872.950940622271</v>
      </c>
      <c r="J79" s="61">
        <f>-J21</f>
        <v>-10830.564445026695</v>
      </c>
    </row>
    <row r="80" spans="1:10" x14ac:dyDescent="0.25">
      <c r="C80" s="61" t="s">
        <v>43</v>
      </c>
      <c r="D80" s="61"/>
      <c r="E80" s="61"/>
      <c r="F80" s="61">
        <f t="shared" ref="F80:J81" si="21">-F24</f>
        <v>-19358.811822096228</v>
      </c>
      <c r="G80" s="61">
        <f t="shared" si="21"/>
        <v>-19946.124800469166</v>
      </c>
      <c r="H80" s="61">
        <f t="shared" si="21"/>
        <v>-17442.706710588212</v>
      </c>
      <c r="I80" s="61">
        <f t="shared" si="21"/>
        <v>-17253.650363522556</v>
      </c>
      <c r="J80" s="61">
        <f t="shared" si="21"/>
        <v>-15203.688367884866</v>
      </c>
    </row>
    <row r="81" spans="2:10" x14ac:dyDescent="0.25">
      <c r="C81" s="61" t="s">
        <v>44</v>
      </c>
      <c r="D81" s="61"/>
      <c r="E81" s="61"/>
      <c r="F81" s="61">
        <f t="shared" si="21"/>
        <v>-4782.2799694920541</v>
      </c>
      <c r="G81" s="61">
        <f t="shared" si="21"/>
        <v>-4837.1144047065136</v>
      </c>
      <c r="H81" s="61">
        <f t="shared" si="21"/>
        <v>-4871.2436278928599</v>
      </c>
      <c r="I81" s="61">
        <f t="shared" si="21"/>
        <v>-4958.0656289236422</v>
      </c>
      <c r="J81" s="61">
        <f t="shared" si="21"/>
        <v>-4938.7373869321145</v>
      </c>
    </row>
    <row r="82" spans="2:10" x14ac:dyDescent="0.25">
      <c r="C82" s="61" t="s">
        <v>26</v>
      </c>
      <c r="D82" s="61"/>
      <c r="E82" s="61"/>
      <c r="F82" s="61">
        <f t="shared" ref="F82:J83" si="22">-F47</f>
        <v>0</v>
      </c>
      <c r="G82" s="61">
        <f t="shared" si="22"/>
        <v>0</v>
      </c>
      <c r="H82" s="61">
        <f t="shared" si="22"/>
        <v>0</v>
      </c>
      <c r="I82" s="61">
        <f t="shared" si="22"/>
        <v>0</v>
      </c>
      <c r="J82" s="61">
        <f t="shared" si="22"/>
        <v>0</v>
      </c>
    </row>
    <row r="83" spans="2:10" x14ac:dyDescent="0.25">
      <c r="C83" s="61" t="s">
        <v>27</v>
      </c>
      <c r="D83" s="61"/>
      <c r="E83" s="61"/>
      <c r="F83" s="61">
        <f t="shared" si="22"/>
        <v>0</v>
      </c>
      <c r="G83" s="61">
        <f t="shared" si="22"/>
        <v>0</v>
      </c>
      <c r="H83" s="61">
        <f t="shared" si="22"/>
        <v>0</v>
      </c>
      <c r="I83" s="61">
        <f t="shared" si="22"/>
        <v>0</v>
      </c>
      <c r="J83" s="61">
        <f t="shared" si="22"/>
        <v>0</v>
      </c>
    </row>
    <row r="84" spans="2:10" x14ac:dyDescent="0.25">
      <c r="C84" s="61"/>
      <c r="D84" s="61"/>
      <c r="E84" s="61"/>
      <c r="F84" s="61"/>
      <c r="G84" s="61"/>
      <c r="H84" s="61"/>
      <c r="I84" s="61"/>
      <c r="J84" s="61"/>
    </row>
    <row r="85" spans="2:10" x14ac:dyDescent="0.25">
      <c r="C85" s="61" t="s">
        <v>101</v>
      </c>
      <c r="D85" s="61"/>
      <c r="E85" s="61"/>
      <c r="F85" s="61">
        <f>-F77*('Default asset base'!F147/'Default asset base'!F97)</f>
        <v>0</v>
      </c>
      <c r="G85" s="61">
        <f>-G77*('Default asset base'!G147/'Default asset base'!G97)</f>
        <v>0</v>
      </c>
      <c r="H85" s="61">
        <f>-H77*('Default asset base'!H147/'Default asset base'!H97)</f>
        <v>0</v>
      </c>
      <c r="I85" s="61">
        <f>-I77*('Default asset base'!I147/'Default asset base'!I97)</f>
        <v>0</v>
      </c>
      <c r="J85" s="61">
        <f>-J77*('Default asset base'!J147/'Default asset base'!J97)</f>
        <v>0</v>
      </c>
    </row>
    <row r="86" spans="2:10" x14ac:dyDescent="0.25">
      <c r="C86" s="61"/>
      <c r="D86" s="61"/>
      <c r="E86" s="61"/>
      <c r="F86" s="61"/>
      <c r="G86" s="61"/>
      <c r="H86" s="61"/>
      <c r="I86" s="61"/>
      <c r="J86" s="61"/>
    </row>
    <row r="87" spans="2:10" x14ac:dyDescent="0.25">
      <c r="C87" s="61" t="s">
        <v>77</v>
      </c>
      <c r="D87" s="61"/>
      <c r="E87" s="61"/>
      <c r="F87" s="61">
        <f>SUM(F72:F85)</f>
        <v>35983.56065676584</v>
      </c>
      <c r="G87" s="61">
        <f>SUM(G72:G85)</f>
        <v>28657.719744488193</v>
      </c>
      <c r="H87" s="61">
        <f>SUM(H72:H85)</f>
        <v>36639.684645601614</v>
      </c>
      <c r="I87" s="61">
        <f>SUM(I72:I85)</f>
        <v>40000.555802042458</v>
      </c>
      <c r="J87" s="61">
        <f>SUM(J72:J85)</f>
        <v>42615.103100141874</v>
      </c>
    </row>
    <row r="88" spans="2:10" x14ac:dyDescent="0.25">
      <c r="C88" s="61"/>
      <c r="D88" s="61"/>
      <c r="E88" s="61"/>
      <c r="F88" s="61"/>
      <c r="G88" s="61"/>
      <c r="H88" s="61"/>
      <c r="I88" s="61"/>
      <c r="J88" s="61"/>
    </row>
    <row r="89" spans="2:10" x14ac:dyDescent="0.25">
      <c r="C89" s="61" t="s">
        <v>78</v>
      </c>
      <c r="D89" s="61"/>
      <c r="E89" s="61"/>
      <c r="F89" s="61">
        <f>F87*$E$17</f>
        <v>10075.396983894436</v>
      </c>
      <c r="G89" s="61">
        <f t="shared" ref="G89:J89" si="23">G87*$E$17</f>
        <v>8024.1615284566951</v>
      </c>
      <c r="H89" s="61">
        <f t="shared" si="23"/>
        <v>10259.111700768453</v>
      </c>
      <c r="I89" s="61">
        <f t="shared" si="23"/>
        <v>11200.155624571889</v>
      </c>
      <c r="J89" s="61">
        <f t="shared" si="23"/>
        <v>11932.228868039725</v>
      </c>
    </row>
    <row r="91" spans="2:10" x14ac:dyDescent="0.25">
      <c r="C91" s="61" t="s">
        <v>105</v>
      </c>
      <c r="D91" s="61"/>
      <c r="E91" s="61"/>
      <c r="F91" s="61">
        <f>F89-(F81*$E$17)</f>
        <v>11414.435375352212</v>
      </c>
      <c r="G91" s="61">
        <f t="shared" ref="G91:J91" si="24">G89-(G81*$E$17)</f>
        <v>9378.553561774519</v>
      </c>
      <c r="H91" s="61">
        <f t="shared" si="24"/>
        <v>11623.059916578455</v>
      </c>
      <c r="I91" s="61">
        <f t="shared" si="24"/>
        <v>12588.414000670509</v>
      </c>
      <c r="J91" s="61">
        <f t="shared" si="24"/>
        <v>13315.075336380718</v>
      </c>
    </row>
    <row r="92" spans="2:10" x14ac:dyDescent="0.25">
      <c r="F92" s="43"/>
      <c r="G92" s="43"/>
      <c r="H92" s="43"/>
      <c r="I92" s="43"/>
      <c r="J92" s="43"/>
    </row>
    <row r="93" spans="2:10" x14ac:dyDescent="0.25">
      <c r="B93" s="56" t="s">
        <v>46</v>
      </c>
    </row>
    <row r="94" spans="2:10" x14ac:dyDescent="0.25">
      <c r="C94" s="61" t="s">
        <v>47</v>
      </c>
      <c r="D94" s="37"/>
      <c r="E94" s="37"/>
      <c r="F94" s="44">
        <f>F40-F39</f>
        <v>19463.599347289884</v>
      </c>
      <c r="G94" s="44">
        <f t="shared" ref="G94:J94" si="25">G40-G39</f>
        <v>17662.087886025016</v>
      </c>
      <c r="H94" s="44">
        <f t="shared" si="25"/>
        <v>18936.759054622205</v>
      </c>
      <c r="I94" s="44">
        <f t="shared" si="25"/>
        <v>19838.045177189859</v>
      </c>
      <c r="J94" s="44">
        <f t="shared" si="25"/>
        <v>19765.394439357449</v>
      </c>
    </row>
    <row r="95" spans="2:10" x14ac:dyDescent="0.25">
      <c r="C95" s="61" t="s">
        <v>48</v>
      </c>
      <c r="D95" s="37"/>
      <c r="E95" s="37"/>
      <c r="F95" s="44">
        <f>F55</f>
        <v>-9388.202363395445</v>
      </c>
      <c r="G95" s="44">
        <f t="shared" ref="G95:J95" si="26">G55</f>
        <v>-9637.9263575683199</v>
      </c>
      <c r="H95" s="44">
        <f t="shared" si="26"/>
        <v>-8677.6473538537521</v>
      </c>
      <c r="I95" s="44">
        <f t="shared" si="26"/>
        <v>-8637.8895526179676</v>
      </c>
      <c r="J95" s="44">
        <f t="shared" si="26"/>
        <v>-7833.1655713177161</v>
      </c>
    </row>
    <row r="96" spans="2:10" x14ac:dyDescent="0.25">
      <c r="C96" s="61" t="s">
        <v>49</v>
      </c>
      <c r="D96" s="37"/>
      <c r="E96" s="37"/>
      <c r="F96" s="44">
        <f>SUM(F94:F95)</f>
        <v>10075.396983894439</v>
      </c>
      <c r="G96" s="44">
        <f t="shared" ref="G96:J96" si="27">SUM(G94:G95)</f>
        <v>8024.161528456696</v>
      </c>
      <c r="H96" s="44">
        <f t="shared" si="27"/>
        <v>10259.111700768453</v>
      </c>
      <c r="I96" s="44">
        <f t="shared" si="27"/>
        <v>11200.155624571891</v>
      </c>
      <c r="J96" s="44">
        <f t="shared" si="27"/>
        <v>11932.228868039732</v>
      </c>
    </row>
    <row r="97" spans="1:10" x14ac:dyDescent="0.25">
      <c r="C97" s="61" t="s">
        <v>50</v>
      </c>
      <c r="D97" s="37"/>
      <c r="E97" s="37"/>
      <c r="F97" s="44">
        <f>F89</f>
        <v>10075.396983894436</v>
      </c>
      <c r="G97" s="44">
        <f t="shared" ref="G97:J97" si="28">G89</f>
        <v>8024.1615284566951</v>
      </c>
      <c r="H97" s="44">
        <f t="shared" si="28"/>
        <v>10259.111700768453</v>
      </c>
      <c r="I97" s="44">
        <f t="shared" si="28"/>
        <v>11200.155624571889</v>
      </c>
      <c r="J97" s="44">
        <f t="shared" si="28"/>
        <v>11932.228868039725</v>
      </c>
    </row>
    <row r="98" spans="1:10" x14ac:dyDescent="0.25">
      <c r="C98" s="64" t="s">
        <v>85</v>
      </c>
    </row>
    <row r="100" spans="1:10" ht="23.25" x14ac:dyDescent="0.35">
      <c r="A100" s="26" t="s">
        <v>128</v>
      </c>
      <c r="F100" s="29">
        <v>2018</v>
      </c>
      <c r="G100" s="29">
        <f t="shared" ref="G100:J100" si="29">F100+1</f>
        <v>2019</v>
      </c>
      <c r="H100" s="29">
        <f t="shared" si="29"/>
        <v>2020</v>
      </c>
      <c r="I100" s="29">
        <f t="shared" si="29"/>
        <v>2021</v>
      </c>
      <c r="J100" s="29">
        <f t="shared" si="29"/>
        <v>2022</v>
      </c>
    </row>
    <row r="101" spans="1:10" x14ac:dyDescent="0.25">
      <c r="C101" s="61" t="s">
        <v>129</v>
      </c>
      <c r="D101" s="61"/>
      <c r="E101" s="61"/>
      <c r="F101" s="61">
        <f>(F59+F60)/$E$28</f>
        <v>99587.024466988732</v>
      </c>
      <c r="G101" s="61">
        <f t="shared" ref="G101:J101" si="30">(G59+G60)/$E$28</f>
        <v>90213.783603229502</v>
      </c>
      <c r="H101" s="61">
        <f t="shared" si="30"/>
        <v>96298.39887178244</v>
      </c>
      <c r="I101" s="61">
        <f t="shared" si="30"/>
        <v>100232.77684100138</v>
      </c>
      <c r="J101" s="61">
        <f t="shared" si="30"/>
        <v>101540.32174330596</v>
      </c>
    </row>
    <row r="102" spans="1:10" x14ac:dyDescent="0.25">
      <c r="C102" s="61" t="s">
        <v>90</v>
      </c>
      <c r="D102" s="61"/>
      <c r="E102" s="61"/>
      <c r="F102" s="61">
        <f>F42/$E$27</f>
        <v>40765.19669380234</v>
      </c>
      <c r="G102" s="61">
        <f t="shared" ref="G102:J102" si="31">G42/$E$27</f>
        <v>37920.683678528811</v>
      </c>
      <c r="H102" s="61">
        <f t="shared" si="31"/>
        <v>38630.272492554555</v>
      </c>
      <c r="I102" s="61">
        <f t="shared" si="31"/>
        <v>39385.363659636321</v>
      </c>
      <c r="J102" s="61">
        <f t="shared" si="31"/>
        <v>40157.05076450741</v>
      </c>
    </row>
    <row r="103" spans="1:10" x14ac:dyDescent="0.25">
      <c r="C103" s="61" t="s">
        <v>130</v>
      </c>
      <c r="D103" s="61"/>
      <c r="E103" s="61"/>
      <c r="F103" s="61">
        <f>F91/$E$27</f>
        <v>11054.162537284385</v>
      </c>
      <c r="G103" s="61">
        <f t="shared" ref="G103:J103" si="32">G91/$E$27</f>
        <v>9082.5390855817022</v>
      </c>
      <c r="H103" s="61">
        <f t="shared" si="32"/>
        <v>11256.202280131509</v>
      </c>
      <c r="I103" s="61">
        <f t="shared" si="32"/>
        <v>12191.086976629744</v>
      </c>
      <c r="J103" s="61">
        <f t="shared" si="32"/>
        <v>12894.812763351189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Footer>&amp;L&amp;F&amp;C&amp;A&amp;R&amp;P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P109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3.7109375" style="1" customWidth="1"/>
    <col min="2" max="2" width="41.7109375" style="1" customWidth="1"/>
    <col min="3" max="3" width="6.5703125" style="1" bestFit="1" customWidth="1"/>
    <col min="4" max="4" width="11.5703125" style="1" customWidth="1"/>
    <col min="5" max="5" width="11" style="1" bestFit="1" customWidth="1"/>
    <col min="6" max="6" width="9.42578125" style="1" bestFit="1" customWidth="1"/>
    <col min="7" max="7" width="8.85546875" style="1" bestFit="1" customWidth="1"/>
    <col min="8" max="8" width="9.42578125" style="1" bestFit="1" customWidth="1"/>
    <col min="9" max="9" width="8.85546875" style="1" bestFit="1" customWidth="1"/>
    <col min="10" max="10" width="9.42578125" style="1" bestFit="1" customWidth="1"/>
    <col min="11" max="11" width="8.85546875" style="1" bestFit="1" customWidth="1"/>
    <col min="12" max="12" width="9.42578125" style="1" bestFit="1" customWidth="1"/>
    <col min="13" max="13" width="8.85546875" style="1" bestFit="1" customWidth="1"/>
    <col min="14" max="14" width="9.42578125" style="1" bestFit="1" customWidth="1"/>
    <col min="15" max="15" width="8.85546875" style="1"/>
    <col min="16" max="16" width="10.42578125" style="1" bestFit="1" customWidth="1"/>
    <col min="17" max="17" width="11.7109375" style="1" customWidth="1"/>
    <col min="18" max="16384" width="8.85546875" style="1"/>
  </cols>
  <sheetData>
    <row r="1" spans="1:16" ht="25.9" x14ac:dyDescent="0.5">
      <c r="A1" s="18" t="s">
        <v>213</v>
      </c>
      <c r="F1" s="27"/>
    </row>
    <row r="2" spans="1:16" ht="14.45" x14ac:dyDescent="0.3">
      <c r="A2" s="73" t="s">
        <v>216</v>
      </c>
      <c r="F2" s="27"/>
    </row>
    <row r="3" spans="1:16" ht="23.45" x14ac:dyDescent="0.45">
      <c r="A3" s="26" t="s">
        <v>217</v>
      </c>
    </row>
    <row r="5" spans="1:16" ht="14.45" x14ac:dyDescent="0.3">
      <c r="D5" s="68" t="s">
        <v>11</v>
      </c>
      <c r="E5" s="68">
        <f>Inputs!E7</f>
        <v>42917</v>
      </c>
      <c r="F5" s="68">
        <f>EOMONTH($E$5,11)-'Scenario Manager'!$E$13</f>
        <v>43099</v>
      </c>
      <c r="G5" s="68">
        <f>EOMONTH($E$5,11)-'Scenario Manager'!$E$12</f>
        <v>43133</v>
      </c>
      <c r="H5" s="68">
        <f>EOMONTH($E$5,23)-'Scenario Manager'!$E$13</f>
        <v>43464</v>
      </c>
      <c r="I5" s="68">
        <f>EOMONTH($E$5,23)-'Scenario Manager'!$E$12</f>
        <v>43498</v>
      </c>
      <c r="J5" s="68">
        <f>EOMONTH($E$5,35)-'Scenario Manager'!$E$13</f>
        <v>43830</v>
      </c>
      <c r="K5" s="68">
        <f>EOMONTH($E$5,35)-'Scenario Manager'!$E$12</f>
        <v>43864</v>
      </c>
      <c r="L5" s="68">
        <f>EOMONTH($E$5,47)-'Scenario Manager'!$E$13</f>
        <v>44195</v>
      </c>
      <c r="M5" s="68">
        <f>EOMONTH($E$5,47)-'Scenario Manager'!$E$12</f>
        <v>44229</v>
      </c>
      <c r="N5" s="68">
        <f>EOMONTH($E$5,59)-'Scenario Manager'!$E$13</f>
        <v>44560</v>
      </c>
      <c r="O5" s="68">
        <f>EOMONTH($E$5,59)-'Scenario Manager'!$E$12</f>
        <v>44594</v>
      </c>
      <c r="P5" s="68">
        <f>EOMONTH($E$5,59)</f>
        <v>44742</v>
      </c>
    </row>
    <row r="6" spans="1:16" ht="14.45" x14ac:dyDescent="0.3">
      <c r="B6" s="1" t="s">
        <v>86</v>
      </c>
      <c r="E6" s="43">
        <f>-'Default asset base'!E151</f>
        <v>-524372.80367237434</v>
      </c>
    </row>
    <row r="7" spans="1:16" ht="14.45" x14ac:dyDescent="0.3">
      <c r="B7" s="1" t="s">
        <v>87</v>
      </c>
      <c r="E7" s="69">
        <f>'Scenario Manager'!E22</f>
        <v>-7806</v>
      </c>
    </row>
    <row r="8" spans="1:16" ht="14.45" x14ac:dyDescent="0.3">
      <c r="B8" s="1" t="s">
        <v>88</v>
      </c>
      <c r="E8" s="69">
        <f>E6+E7</f>
        <v>-532178.80367237434</v>
      </c>
    </row>
    <row r="10" spans="1:16" ht="14.45" x14ac:dyDescent="0.3">
      <c r="B10" s="1" t="s">
        <v>89</v>
      </c>
      <c r="F10" s="44"/>
      <c r="G10" s="44">
        <f>SUM('Forecast revenue and tax'!F27:F28)</f>
        <v>91156.506189127933</v>
      </c>
      <c r="H10" s="44"/>
      <c r="I10" s="44">
        <f>SUM('Forecast revenue and tax'!G27:G28)</f>
        <v>94862.304011945234</v>
      </c>
      <c r="J10" s="44"/>
      <c r="K10" s="44">
        <f>SUM('Forecast revenue and tax'!H27:H28)</f>
        <v>99043.749242129939</v>
      </c>
      <c r="L10" s="44"/>
      <c r="M10" s="44">
        <f>SUM('Forecast revenue and tax'!I27:I28)</f>
        <v>103302.65050621729</v>
      </c>
      <c r="N10" s="44"/>
      <c r="O10" s="44">
        <f>SUM('Forecast revenue and tax'!J27:J28)</f>
        <v>108500.19359616611</v>
      </c>
    </row>
    <row r="11" spans="1:16" ht="14.45" x14ac:dyDescent="0.3">
      <c r="B11" s="1" t="s">
        <v>136</v>
      </c>
      <c r="F11" s="44">
        <f>'Forecast revenue and tax'!F32</f>
        <v>-40765.19669380234</v>
      </c>
      <c r="G11" s="44"/>
      <c r="H11" s="44">
        <f>'Forecast revenue and tax'!G32</f>
        <v>-37920.683678528811</v>
      </c>
      <c r="I11" s="44"/>
      <c r="J11" s="44">
        <f>'Forecast revenue and tax'!H32</f>
        <v>-38630.272492554555</v>
      </c>
      <c r="K11" s="44"/>
      <c r="L11" s="44">
        <f>'Forecast revenue and tax'!I32</f>
        <v>-39385.363659636321</v>
      </c>
      <c r="M11" s="44"/>
      <c r="N11" s="44">
        <f>'Forecast revenue and tax'!J32</f>
        <v>-40157.05076450741</v>
      </c>
      <c r="O11" s="44"/>
    </row>
    <row r="12" spans="1:16" ht="14.45" x14ac:dyDescent="0.3">
      <c r="B12" s="1" t="s">
        <v>91</v>
      </c>
      <c r="F12" s="44">
        <f>-'Scenario asset base'!F151</f>
        <v>-19691.940843623557</v>
      </c>
      <c r="G12" s="44"/>
      <c r="H12" s="44">
        <f>-'Scenario asset base'!G151</f>
        <v>-12622.622952142918</v>
      </c>
      <c r="I12" s="44"/>
      <c r="J12" s="44">
        <f>-'Scenario asset base'!H151</f>
        <v>-21140.888438395908</v>
      </c>
      <c r="K12" s="44"/>
      <c r="L12" s="44">
        <f>-'Scenario asset base'!I151</f>
        <v>-11503.461718694973</v>
      </c>
      <c r="M12" s="44"/>
      <c r="N12" s="44">
        <f>-'Scenario asset base'!J151</f>
        <v>-17158.073824772386</v>
      </c>
      <c r="O12" s="44"/>
    </row>
    <row r="13" spans="1:16" ht="14.45" x14ac:dyDescent="0.3">
      <c r="B13" s="1" t="s">
        <v>92</v>
      </c>
      <c r="F13" s="44">
        <f>'Forecast revenue and tax'!F66</f>
        <v>0</v>
      </c>
      <c r="G13" s="44"/>
      <c r="H13" s="44">
        <f>'Forecast revenue and tax'!G66</f>
        <v>0</v>
      </c>
      <c r="I13" s="44"/>
      <c r="J13" s="44">
        <f>'Forecast revenue and tax'!H66</f>
        <v>0</v>
      </c>
      <c r="K13" s="44"/>
      <c r="L13" s="44">
        <f>'Forecast revenue and tax'!I66</f>
        <v>0</v>
      </c>
      <c r="M13" s="44"/>
      <c r="N13" s="44">
        <f>'Forecast revenue and tax'!J66</f>
        <v>0</v>
      </c>
      <c r="O13" s="44"/>
    </row>
    <row r="14" spans="1:16" ht="14.45" x14ac:dyDescent="0.3">
      <c r="B14" s="1" t="s">
        <v>100</v>
      </c>
      <c r="F14" s="44">
        <f>-'Forecast revenue and tax'!F58</f>
        <v>-8689.0993485042236</v>
      </c>
      <c r="G14" s="44"/>
      <c r="H14" s="44">
        <f>-'Forecast revenue and tax'!G58</f>
        <v>-10358.738749225235</v>
      </c>
      <c r="I14" s="44"/>
      <c r="J14" s="44">
        <f>-'Forecast revenue and tax'!H58</f>
        <v>-12031.81561091641</v>
      </c>
      <c r="K14" s="44"/>
      <c r="L14" s="44">
        <f>-'Forecast revenue and tax'!I58</f>
        <v>-13065.81821525636</v>
      </c>
      <c r="M14" s="44"/>
      <c r="N14" s="44">
        <f>-'Forecast revenue and tax'!J58</f>
        <v>-14879.047249856676</v>
      </c>
      <c r="O14" s="44"/>
    </row>
    <row r="16" spans="1:16" ht="14.45" x14ac:dyDescent="0.3">
      <c r="B16" s="1" t="s">
        <v>93</v>
      </c>
      <c r="P16" s="44">
        <f>'Default asset base'!J103</f>
        <v>545298.1164790669</v>
      </c>
    </row>
    <row r="17" spans="1:16" ht="14.45" x14ac:dyDescent="0.3">
      <c r="B17" s="1" t="s">
        <v>94</v>
      </c>
      <c r="P17" s="69">
        <f>'Scenario Manager'!E23</f>
        <v>-7823</v>
      </c>
    </row>
    <row r="18" spans="1:16" ht="14.45" x14ac:dyDescent="0.3">
      <c r="B18" s="1" t="s">
        <v>95</v>
      </c>
      <c r="P18" s="69">
        <f>P16-P17</f>
        <v>553121.1164790669</v>
      </c>
    </row>
    <row r="19" spans="1:16" ht="14.45" x14ac:dyDescent="0.3">
      <c r="B19" s="1" t="s">
        <v>96</v>
      </c>
      <c r="E19" s="44">
        <f t="shared" ref="E19:P19" si="0">SUM(E8,E10:E14,E18)</f>
        <v>-532178.80367237434</v>
      </c>
      <c r="F19" s="44">
        <f t="shared" si="0"/>
        <v>-69146.23688593012</v>
      </c>
      <c r="G19" s="44">
        <f t="shared" si="0"/>
        <v>91156.506189127933</v>
      </c>
      <c r="H19" s="44">
        <f t="shared" si="0"/>
        <v>-60902.045379896968</v>
      </c>
      <c r="I19" s="44">
        <f t="shared" si="0"/>
        <v>94862.304011945234</v>
      </c>
      <c r="J19" s="44">
        <f t="shared" si="0"/>
        <v>-71802.976541866869</v>
      </c>
      <c r="K19" s="44">
        <f t="shared" si="0"/>
        <v>99043.749242129939</v>
      </c>
      <c r="L19" s="44">
        <f t="shared" si="0"/>
        <v>-63954.643593587658</v>
      </c>
      <c r="M19" s="44">
        <f t="shared" si="0"/>
        <v>103302.65050621729</v>
      </c>
      <c r="N19" s="44">
        <f t="shared" si="0"/>
        <v>-72194.17183913647</v>
      </c>
      <c r="O19" s="44">
        <f t="shared" si="0"/>
        <v>108500.19359616611</v>
      </c>
      <c r="P19" s="44">
        <f t="shared" si="0"/>
        <v>553121.1164790669</v>
      </c>
    </row>
    <row r="21" spans="1:16" ht="14.45" x14ac:dyDescent="0.3">
      <c r="B21" s="1" t="s">
        <v>99</v>
      </c>
      <c r="D21" s="96">
        <f>XIRR(E19:P19,E5:P5)</f>
        <v>6.6542872786521906E-2</v>
      </c>
      <c r="F21" s="71"/>
    </row>
    <row r="25" spans="1:16" ht="23.45" x14ac:dyDescent="0.45">
      <c r="A25" s="26" t="s">
        <v>191</v>
      </c>
      <c r="F25" s="27"/>
    </row>
    <row r="28" spans="1:16" x14ac:dyDescent="0.25">
      <c r="D28" s="68" t="s">
        <v>11</v>
      </c>
      <c r="E28" s="68">
        <f>E5</f>
        <v>42917</v>
      </c>
      <c r="F28" s="68">
        <f t="shared" ref="F28:P28" si="1">F5</f>
        <v>43099</v>
      </c>
      <c r="G28" s="68">
        <f t="shared" si="1"/>
        <v>43133</v>
      </c>
      <c r="H28" s="68">
        <f t="shared" si="1"/>
        <v>43464</v>
      </c>
      <c r="I28" s="68">
        <f t="shared" si="1"/>
        <v>43498</v>
      </c>
      <c r="J28" s="68">
        <f t="shared" si="1"/>
        <v>43830</v>
      </c>
      <c r="K28" s="68">
        <f t="shared" si="1"/>
        <v>43864</v>
      </c>
      <c r="L28" s="68">
        <f t="shared" si="1"/>
        <v>44195</v>
      </c>
      <c r="M28" s="68">
        <f t="shared" si="1"/>
        <v>44229</v>
      </c>
      <c r="N28" s="68">
        <f t="shared" si="1"/>
        <v>44560</v>
      </c>
      <c r="O28" s="68">
        <f t="shared" si="1"/>
        <v>44594</v>
      </c>
      <c r="P28" s="68">
        <f t="shared" si="1"/>
        <v>44742</v>
      </c>
    </row>
    <row r="29" spans="1:16" x14ac:dyDescent="0.25">
      <c r="B29" s="1" t="s">
        <v>86</v>
      </c>
      <c r="E29" s="43">
        <f>E6</f>
        <v>-524372.80367237434</v>
      </c>
    </row>
    <row r="30" spans="1:16" x14ac:dyDescent="0.25">
      <c r="B30" s="1" t="s">
        <v>87</v>
      </c>
      <c r="E30" s="69">
        <f>E7</f>
        <v>-7806</v>
      </c>
    </row>
    <row r="31" spans="1:16" x14ac:dyDescent="0.25">
      <c r="B31" s="1" t="s">
        <v>88</v>
      </c>
      <c r="E31" s="69">
        <f>E29+E30</f>
        <v>-532178.80367237434</v>
      </c>
    </row>
    <row r="33" spans="1:16" x14ac:dyDescent="0.25">
      <c r="B33" s="1" t="s">
        <v>89</v>
      </c>
      <c r="F33" s="44"/>
      <c r="G33" s="44">
        <f>'Required revenue (mid point)'!F101</f>
        <v>99245.276543187152</v>
      </c>
      <c r="H33" s="44"/>
      <c r="I33" s="44">
        <f>'Required revenue (mid point)'!G101</f>
        <v>89871.484535742886</v>
      </c>
      <c r="J33" s="44"/>
      <c r="K33" s="44">
        <f>'Required revenue (mid point)'!H101</f>
        <v>95949.92849848482</v>
      </c>
      <c r="L33" s="44"/>
      <c r="M33" s="44">
        <f>'Required revenue (mid point)'!I101</f>
        <v>99882.734318291492</v>
      </c>
      <c r="N33" s="44"/>
      <c r="O33" s="44">
        <f>'Required revenue (mid point)'!J101</f>
        <v>101189.04171436832</v>
      </c>
    </row>
    <row r="34" spans="1:16" x14ac:dyDescent="0.25">
      <c r="B34" s="1" t="s">
        <v>136</v>
      </c>
      <c r="F34" s="44">
        <f>-'Required revenue (mid point)'!F102</f>
        <v>-40765.19669380234</v>
      </c>
      <c r="G34" s="44"/>
      <c r="H34" s="44">
        <f>-'Required revenue (mid point)'!G102</f>
        <v>-37920.683678528811</v>
      </c>
      <c r="I34" s="44"/>
      <c r="J34" s="44">
        <f>-'Required revenue (mid point)'!H102</f>
        <v>-38630.272492554555</v>
      </c>
      <c r="K34" s="44"/>
      <c r="L34" s="44">
        <f>-'Required revenue (mid point)'!I102</f>
        <v>-39385.363659636321</v>
      </c>
      <c r="M34" s="44"/>
      <c r="N34" s="44">
        <f>-'Required revenue (mid point)'!J102</f>
        <v>-40157.05076450741</v>
      </c>
      <c r="O34" s="44"/>
    </row>
    <row r="35" spans="1:16" x14ac:dyDescent="0.25">
      <c r="B35" s="1" t="s">
        <v>91</v>
      </c>
      <c r="F35" s="44">
        <f>F12</f>
        <v>-19691.940843623557</v>
      </c>
      <c r="G35" s="44"/>
      <c r="H35" s="44">
        <f>H12</f>
        <v>-12622.622952142918</v>
      </c>
      <c r="I35" s="44"/>
      <c r="J35" s="44">
        <f>J12</f>
        <v>-21140.888438395908</v>
      </c>
      <c r="K35" s="44"/>
      <c r="L35" s="44">
        <f>L12</f>
        <v>-11503.461718694973</v>
      </c>
      <c r="M35" s="44"/>
      <c r="N35" s="44">
        <f>N12</f>
        <v>-17158.073824772386</v>
      </c>
      <c r="O35" s="44"/>
    </row>
    <row r="36" spans="1:16" x14ac:dyDescent="0.25">
      <c r="B36" s="1" t="s">
        <v>92</v>
      </c>
      <c r="F36" s="44">
        <f>'Forecast revenue and tax'!F66</f>
        <v>0</v>
      </c>
      <c r="G36" s="44"/>
      <c r="H36" s="44">
        <f>'Forecast revenue and tax'!G66</f>
        <v>0</v>
      </c>
      <c r="I36" s="44"/>
      <c r="J36" s="44">
        <f>'Forecast revenue and tax'!H66</f>
        <v>0</v>
      </c>
      <c r="K36" s="44"/>
      <c r="L36" s="44">
        <f>'Forecast revenue and tax'!I66</f>
        <v>0</v>
      </c>
      <c r="M36" s="44"/>
      <c r="N36" s="44">
        <f>'Forecast revenue and tax'!J66</f>
        <v>0</v>
      </c>
      <c r="O36" s="44"/>
    </row>
    <row r="37" spans="1:16" x14ac:dyDescent="0.25">
      <c r="B37" s="1" t="s">
        <v>105</v>
      </c>
      <c r="F37" s="44">
        <f>-'Required revenue (mid point)'!F103</f>
        <v>-10959.044720753078</v>
      </c>
      <c r="G37" s="44"/>
      <c r="H37" s="44">
        <f>-'Required revenue (mid point)'!G103</f>
        <v>-8987.2678706527313</v>
      </c>
      <c r="I37" s="44"/>
      <c r="J37" s="44">
        <f>-'Required revenue (mid point)'!H103</f>
        <v>-11159.213421603245</v>
      </c>
      <c r="K37" s="44"/>
      <c r="L37" s="44">
        <f>-'Required revenue (mid point)'!I103</f>
        <v>-12093.660545818106</v>
      </c>
      <c r="M37" s="44"/>
      <c r="N37" s="44">
        <f>-'Required revenue (mid point)'!J103</f>
        <v>-12797.041900628983</v>
      </c>
      <c r="O37" s="44"/>
    </row>
    <row r="39" spans="1:16" x14ac:dyDescent="0.25">
      <c r="B39" s="1" t="s">
        <v>93</v>
      </c>
      <c r="P39" s="44">
        <f>P16</f>
        <v>545298.1164790669</v>
      </c>
    </row>
    <row r="40" spans="1:16" x14ac:dyDescent="0.25">
      <c r="B40" s="1" t="s">
        <v>94</v>
      </c>
      <c r="P40" s="69">
        <f>P17</f>
        <v>-7823</v>
      </c>
    </row>
    <row r="41" spans="1:16" x14ac:dyDescent="0.25">
      <c r="B41" s="1" t="s">
        <v>95</v>
      </c>
      <c r="P41" s="69">
        <f>P39-P40</f>
        <v>553121.1164790669</v>
      </c>
    </row>
    <row r="42" spans="1:16" x14ac:dyDescent="0.25">
      <c r="B42" s="1" t="s">
        <v>96</v>
      </c>
      <c r="E42" s="44">
        <f t="shared" ref="E42:P42" si="2">SUM(E31,E33:E37,E41)</f>
        <v>-532178.80367237434</v>
      </c>
      <c r="F42" s="44">
        <f t="shared" si="2"/>
        <v>-71416.182258178975</v>
      </c>
      <c r="G42" s="44">
        <f t="shared" si="2"/>
        <v>99245.276543187152</v>
      </c>
      <c r="H42" s="44">
        <f t="shared" si="2"/>
        <v>-59530.57450132446</v>
      </c>
      <c r="I42" s="44">
        <f t="shared" si="2"/>
        <v>89871.484535742886</v>
      </c>
      <c r="J42" s="44">
        <f t="shared" si="2"/>
        <v>-70930.374352553714</v>
      </c>
      <c r="K42" s="44">
        <f t="shared" si="2"/>
        <v>95949.92849848482</v>
      </c>
      <c r="L42" s="44">
        <f t="shared" si="2"/>
        <v>-62982.485924149405</v>
      </c>
      <c r="M42" s="44">
        <f t="shared" si="2"/>
        <v>99882.734318291492</v>
      </c>
      <c r="N42" s="44">
        <f t="shared" si="2"/>
        <v>-70112.166489908777</v>
      </c>
      <c r="O42" s="44">
        <f t="shared" si="2"/>
        <v>101189.04171436832</v>
      </c>
      <c r="P42" s="44">
        <f t="shared" si="2"/>
        <v>553121.1164790669</v>
      </c>
    </row>
    <row r="44" spans="1:16" x14ac:dyDescent="0.25">
      <c r="B44" s="1" t="s">
        <v>99</v>
      </c>
      <c r="D44" s="96">
        <f>XIRR(E42:P42,E28:P28)</f>
        <v>6.4126971364021304E-2</v>
      </c>
      <c r="F44" s="71"/>
    </row>
    <row r="46" spans="1:16" ht="23.25" x14ac:dyDescent="0.35">
      <c r="A46" s="26" t="s">
        <v>235</v>
      </c>
      <c r="F46" s="27"/>
    </row>
    <row r="49" spans="2:16" x14ac:dyDescent="0.25">
      <c r="D49" s="68" t="s">
        <v>11</v>
      </c>
      <c r="E49" s="68">
        <f>E28</f>
        <v>42917</v>
      </c>
      <c r="F49" s="68">
        <f t="shared" ref="F49:P49" si="3">F28</f>
        <v>43099</v>
      </c>
      <c r="G49" s="68">
        <f t="shared" si="3"/>
        <v>43133</v>
      </c>
      <c r="H49" s="68">
        <f t="shared" si="3"/>
        <v>43464</v>
      </c>
      <c r="I49" s="68">
        <f t="shared" si="3"/>
        <v>43498</v>
      </c>
      <c r="J49" s="68">
        <f t="shared" si="3"/>
        <v>43830</v>
      </c>
      <c r="K49" s="68">
        <f t="shared" si="3"/>
        <v>43864</v>
      </c>
      <c r="L49" s="68">
        <f t="shared" si="3"/>
        <v>44195</v>
      </c>
      <c r="M49" s="68">
        <f t="shared" si="3"/>
        <v>44229</v>
      </c>
      <c r="N49" s="68">
        <f t="shared" si="3"/>
        <v>44560</v>
      </c>
      <c r="O49" s="68">
        <f t="shared" si="3"/>
        <v>44594</v>
      </c>
      <c r="P49" s="68">
        <f t="shared" si="3"/>
        <v>44742</v>
      </c>
    </row>
    <row r="50" spans="2:16" x14ac:dyDescent="0.25">
      <c r="B50" s="1" t="s">
        <v>86</v>
      </c>
      <c r="E50" s="43">
        <f>E6</f>
        <v>-524372.80367237434</v>
      </c>
    </row>
    <row r="51" spans="2:16" x14ac:dyDescent="0.25">
      <c r="B51" s="1" t="s">
        <v>87</v>
      </c>
      <c r="E51" s="69">
        <f t="shared" ref="E51:E52" si="4">E7</f>
        <v>-7806</v>
      </c>
    </row>
    <row r="52" spans="2:16" x14ac:dyDescent="0.25">
      <c r="B52" s="1" t="s">
        <v>88</v>
      </c>
      <c r="E52" s="69">
        <f t="shared" si="4"/>
        <v>-532178.80367237434</v>
      </c>
    </row>
    <row r="54" spans="2:16" x14ac:dyDescent="0.25">
      <c r="B54" s="1" t="s">
        <v>89</v>
      </c>
      <c r="F54" s="44"/>
      <c r="G54" s="44">
        <f>'Req Rev (reasonable target)'!F101</f>
        <v>99587.024466988732</v>
      </c>
      <c r="H54" s="44"/>
      <c r="I54" s="44">
        <f>'Req Rev (reasonable target)'!G101</f>
        <v>90213.783603229502</v>
      </c>
      <c r="J54" s="44"/>
      <c r="K54" s="44">
        <f>'Req Rev (reasonable target)'!H101</f>
        <v>96298.39887178244</v>
      </c>
      <c r="L54" s="44"/>
      <c r="M54" s="44">
        <f>'Req Rev (reasonable target)'!I101</f>
        <v>100232.77684100138</v>
      </c>
      <c r="N54" s="44"/>
      <c r="O54" s="44">
        <f>'Req Rev (reasonable target)'!J101</f>
        <v>101540.32174330596</v>
      </c>
    </row>
    <row r="55" spans="2:16" x14ac:dyDescent="0.25">
      <c r="B55" s="1" t="s">
        <v>136</v>
      </c>
      <c r="F55" s="44">
        <f>-'Req Rev (reasonable target)'!F102</f>
        <v>-40765.19669380234</v>
      </c>
      <c r="G55" s="44"/>
      <c r="H55" s="44">
        <f>-'Req Rev (reasonable target)'!G102</f>
        <v>-37920.683678528811</v>
      </c>
      <c r="I55" s="44"/>
      <c r="J55" s="44">
        <f>-'Req Rev (reasonable target)'!H102</f>
        <v>-38630.272492554555</v>
      </c>
      <c r="K55" s="44"/>
      <c r="L55" s="44">
        <f>-'Req Rev (reasonable target)'!I102</f>
        <v>-39385.363659636321</v>
      </c>
      <c r="M55" s="44"/>
      <c r="N55" s="44">
        <f>-'Req Rev (reasonable target)'!J102</f>
        <v>-40157.05076450741</v>
      </c>
      <c r="O55" s="44"/>
    </row>
    <row r="56" spans="2:16" x14ac:dyDescent="0.25">
      <c r="B56" s="1" t="s">
        <v>91</v>
      </c>
      <c r="F56" s="44">
        <f>F12</f>
        <v>-19691.940843623557</v>
      </c>
      <c r="G56" s="44"/>
      <c r="H56" s="44">
        <f>H12</f>
        <v>-12622.622952142918</v>
      </c>
      <c r="I56" s="44"/>
      <c r="J56" s="44">
        <f>J12</f>
        <v>-21140.888438395908</v>
      </c>
      <c r="K56" s="44"/>
      <c r="L56" s="44">
        <f>L12</f>
        <v>-11503.461718694973</v>
      </c>
      <c r="M56" s="44"/>
      <c r="N56" s="44">
        <f>N12</f>
        <v>-17158.073824772386</v>
      </c>
      <c r="O56" s="44"/>
    </row>
    <row r="57" spans="2:16" x14ac:dyDescent="0.25">
      <c r="B57" s="1" t="s">
        <v>92</v>
      </c>
      <c r="F57" s="44">
        <f>'Forecast revenue and tax'!F66</f>
        <v>0</v>
      </c>
      <c r="G57" s="44"/>
      <c r="H57" s="44">
        <f>'Forecast revenue and tax'!G66</f>
        <v>0</v>
      </c>
      <c r="I57" s="44"/>
      <c r="J57" s="44">
        <f>'Forecast revenue and tax'!H66</f>
        <v>0</v>
      </c>
      <c r="K57" s="44"/>
      <c r="L57" s="44">
        <f>'Forecast revenue and tax'!I66</f>
        <v>0</v>
      </c>
      <c r="M57" s="44"/>
      <c r="N57" s="44">
        <f>'Forecast revenue and tax'!J66</f>
        <v>0</v>
      </c>
      <c r="O57" s="44"/>
    </row>
    <row r="58" spans="2:16" x14ac:dyDescent="0.25">
      <c r="B58" s="1" t="s">
        <v>105</v>
      </c>
      <c r="F58" s="44">
        <f>-'Req Rev (reasonable target)'!F103</f>
        <v>-11054.162537284385</v>
      </c>
      <c r="G58" s="44"/>
      <c r="H58" s="44">
        <f>-'Req Rev (reasonable target)'!G103</f>
        <v>-9082.5390855817022</v>
      </c>
      <c r="I58" s="44"/>
      <c r="J58" s="44">
        <f>-'Req Rev (reasonable target)'!H103</f>
        <v>-11256.202280131509</v>
      </c>
      <c r="K58" s="44"/>
      <c r="L58" s="44">
        <f>-'Req Rev (reasonable target)'!I103</f>
        <v>-12191.086976629744</v>
      </c>
      <c r="M58" s="44"/>
      <c r="N58" s="44">
        <f>-'Req Rev (reasonable target)'!J103</f>
        <v>-12894.812763351189</v>
      </c>
      <c r="O58" s="44"/>
    </row>
    <row r="60" spans="2:16" x14ac:dyDescent="0.25">
      <c r="B60" s="1" t="s">
        <v>93</v>
      </c>
      <c r="P60" s="44">
        <f>P16</f>
        <v>545298.1164790669</v>
      </c>
    </row>
    <row r="61" spans="2:16" x14ac:dyDescent="0.25">
      <c r="B61" s="1" t="s">
        <v>94</v>
      </c>
      <c r="P61" s="44">
        <f t="shared" ref="P61:P62" si="5">P17</f>
        <v>-7823</v>
      </c>
    </row>
    <row r="62" spans="2:16" x14ac:dyDescent="0.25">
      <c r="B62" s="1" t="s">
        <v>95</v>
      </c>
      <c r="P62" s="44">
        <f t="shared" si="5"/>
        <v>553121.1164790669</v>
      </c>
    </row>
    <row r="63" spans="2:16" x14ac:dyDescent="0.25">
      <c r="B63" s="1" t="s">
        <v>96</v>
      </c>
      <c r="E63" s="44">
        <f t="shared" ref="E63:P63" si="6">SUM(E52,E54:E58,E62)</f>
        <v>-532178.80367237434</v>
      </c>
      <c r="F63" s="44">
        <f t="shared" si="6"/>
        <v>-71511.300074710278</v>
      </c>
      <c r="G63" s="44">
        <f t="shared" si="6"/>
        <v>99587.024466988732</v>
      </c>
      <c r="H63" s="44">
        <f t="shared" si="6"/>
        <v>-59625.845716253432</v>
      </c>
      <c r="I63" s="44">
        <f t="shared" si="6"/>
        <v>90213.783603229502</v>
      </c>
      <c r="J63" s="44">
        <f t="shared" si="6"/>
        <v>-71027.363211081974</v>
      </c>
      <c r="K63" s="44">
        <f t="shared" si="6"/>
        <v>96298.39887178244</v>
      </c>
      <c r="L63" s="44">
        <f t="shared" si="6"/>
        <v>-63079.912354961038</v>
      </c>
      <c r="M63" s="44">
        <f t="shared" si="6"/>
        <v>100232.77684100138</v>
      </c>
      <c r="N63" s="44">
        <f t="shared" si="6"/>
        <v>-70209.937352630979</v>
      </c>
      <c r="O63" s="44">
        <f t="shared" si="6"/>
        <v>101540.32174330596</v>
      </c>
      <c r="P63" s="44">
        <f t="shared" si="6"/>
        <v>553121.1164790669</v>
      </c>
    </row>
    <row r="65" spans="1:16" x14ac:dyDescent="0.25">
      <c r="B65" s="1" t="s">
        <v>99</v>
      </c>
      <c r="D65" s="96">
        <f>XIRR(E63:P63,E49:P49)</f>
        <v>6.4603963494300837E-2</v>
      </c>
      <c r="F65" s="71"/>
    </row>
    <row r="69" spans="1:16" ht="23.25" x14ac:dyDescent="0.35">
      <c r="A69" s="26" t="s">
        <v>225</v>
      </c>
      <c r="F69" s="27"/>
    </row>
    <row r="71" spans="1:16" x14ac:dyDescent="0.25">
      <c r="D71" s="68" t="s">
        <v>11</v>
      </c>
      <c r="E71" s="68">
        <f>E28</f>
        <v>42917</v>
      </c>
      <c r="F71" s="68">
        <f t="shared" ref="F71:P71" si="7">F28</f>
        <v>43099</v>
      </c>
      <c r="G71" s="68">
        <f t="shared" si="7"/>
        <v>43133</v>
      </c>
      <c r="H71" s="68">
        <f t="shared" si="7"/>
        <v>43464</v>
      </c>
      <c r="I71" s="68">
        <f t="shared" si="7"/>
        <v>43498</v>
      </c>
      <c r="J71" s="68">
        <f t="shared" si="7"/>
        <v>43830</v>
      </c>
      <c r="K71" s="68">
        <f t="shared" si="7"/>
        <v>43864</v>
      </c>
      <c r="L71" s="68">
        <f t="shared" si="7"/>
        <v>44195</v>
      </c>
      <c r="M71" s="68">
        <f t="shared" si="7"/>
        <v>44229</v>
      </c>
      <c r="N71" s="68">
        <f t="shared" si="7"/>
        <v>44560</v>
      </c>
      <c r="O71" s="68">
        <f t="shared" si="7"/>
        <v>44594</v>
      </c>
      <c r="P71" s="68">
        <f t="shared" si="7"/>
        <v>44742</v>
      </c>
    </row>
    <row r="72" spans="1:16" x14ac:dyDescent="0.25">
      <c r="B72" s="37" t="s">
        <v>218</v>
      </c>
      <c r="C72" s="37"/>
      <c r="D72" s="37"/>
      <c r="E72" s="44">
        <v>0</v>
      </c>
      <c r="F72" s="44">
        <v>0</v>
      </c>
      <c r="G72" s="44">
        <f>G10</f>
        <v>91156.506189127933</v>
      </c>
      <c r="H72" s="44">
        <v>0</v>
      </c>
      <c r="I72" s="44">
        <f>I10</f>
        <v>94862.304011945234</v>
      </c>
      <c r="J72" s="44">
        <v>0</v>
      </c>
      <c r="K72" s="44">
        <f>K10</f>
        <v>99043.749242129939</v>
      </c>
      <c r="L72" s="44">
        <v>0</v>
      </c>
      <c r="M72" s="44">
        <f>M10</f>
        <v>103302.65050621729</v>
      </c>
      <c r="N72" s="44">
        <v>0</v>
      </c>
      <c r="O72" s="44">
        <f>O10</f>
        <v>108500.19359616611</v>
      </c>
      <c r="P72" s="44">
        <v>0</v>
      </c>
    </row>
    <row r="73" spans="1:16" x14ac:dyDescent="0.25">
      <c r="B73" s="37" t="s">
        <v>133</v>
      </c>
      <c r="C73" s="37"/>
      <c r="D73" s="37"/>
      <c r="E73" s="44">
        <v>0</v>
      </c>
      <c r="F73" s="44">
        <v>0</v>
      </c>
      <c r="G73" s="44">
        <f>G33</f>
        <v>99245.276543187152</v>
      </c>
      <c r="H73" s="44">
        <v>0</v>
      </c>
      <c r="I73" s="44">
        <f>I33</f>
        <v>89871.484535742886</v>
      </c>
      <c r="J73" s="44">
        <v>0</v>
      </c>
      <c r="K73" s="44">
        <f>K33</f>
        <v>95949.92849848482</v>
      </c>
      <c r="L73" s="44">
        <v>0</v>
      </c>
      <c r="M73" s="44">
        <f>M33</f>
        <v>99882.734318291492</v>
      </c>
      <c r="N73" s="44">
        <v>0</v>
      </c>
      <c r="O73" s="44">
        <f>O33</f>
        <v>101189.04171436832</v>
      </c>
      <c r="P73" s="44">
        <v>0</v>
      </c>
    </row>
    <row r="74" spans="1:16" x14ac:dyDescent="0.25">
      <c r="B74" s="37" t="s">
        <v>239</v>
      </c>
      <c r="C74" s="37"/>
      <c r="D74" s="37"/>
      <c r="E74" s="44">
        <f>E72-E73</f>
        <v>0</v>
      </c>
      <c r="F74" s="44">
        <f t="shared" ref="F74:P74" si="8">F72-F73</f>
        <v>0</v>
      </c>
      <c r="G74" s="44">
        <f t="shared" si="8"/>
        <v>-8088.7703540592192</v>
      </c>
      <c r="H74" s="44">
        <f t="shared" si="8"/>
        <v>0</v>
      </c>
      <c r="I74" s="44">
        <f t="shared" si="8"/>
        <v>4990.8194762023486</v>
      </c>
      <c r="J74" s="44">
        <f t="shared" si="8"/>
        <v>0</v>
      </c>
      <c r="K74" s="44">
        <f t="shared" si="8"/>
        <v>3093.8207436451194</v>
      </c>
      <c r="L74" s="44">
        <f t="shared" si="8"/>
        <v>0</v>
      </c>
      <c r="M74" s="44">
        <f t="shared" si="8"/>
        <v>3419.9161879258027</v>
      </c>
      <c r="N74" s="44">
        <f t="shared" si="8"/>
        <v>0</v>
      </c>
      <c r="O74" s="44">
        <f t="shared" si="8"/>
        <v>7311.1518817977922</v>
      </c>
      <c r="P74" s="44">
        <f t="shared" si="8"/>
        <v>0</v>
      </c>
    </row>
    <row r="76" spans="1:16" x14ac:dyDescent="0.25">
      <c r="B76" s="37" t="s">
        <v>219</v>
      </c>
      <c r="C76" s="37"/>
      <c r="D76" s="44">
        <f>XNPV('Scenario Manager'!$E$19,IRR!E72:P72,IRR!$E$71:$P$71)</f>
        <v>422290.89529448748</v>
      </c>
    </row>
    <row r="77" spans="1:16" x14ac:dyDescent="0.25">
      <c r="B77" s="37" t="s">
        <v>182</v>
      </c>
      <c r="C77" s="37"/>
      <c r="D77" s="44">
        <f>XNPV('Scenario Manager'!$E$19,IRR!E73:P73,IRR!$E$71:$P$71)</f>
        <v>414702.00872187532</v>
      </c>
      <c r="E77" s="117"/>
    </row>
    <row r="78" spans="1:16" x14ac:dyDescent="0.25">
      <c r="B78" s="37" t="s">
        <v>175</v>
      </c>
      <c r="C78" s="37"/>
      <c r="D78" s="44">
        <f>XNPV('Scenario Manager'!$E$19,IRR!E74:P74,IRR!$E$71:$P$71)</f>
        <v>7588.8865726121712</v>
      </c>
      <c r="E78" s="140"/>
    </row>
    <row r="79" spans="1:16" x14ac:dyDescent="0.25">
      <c r="B79" s="37" t="s">
        <v>166</v>
      </c>
      <c r="C79" s="37"/>
      <c r="D79" s="112">
        <f>D78/SUM('Scenario Manager'!F83:J83)</f>
        <v>0.21437829429311797</v>
      </c>
    </row>
    <row r="81" spans="1:16" ht="23.25" x14ac:dyDescent="0.35">
      <c r="A81" s="26" t="s">
        <v>226</v>
      </c>
      <c r="F81" s="27"/>
    </row>
    <row r="83" spans="1:16" x14ac:dyDescent="0.25">
      <c r="D83" s="68" t="s">
        <v>11</v>
      </c>
      <c r="E83" s="68">
        <f>E71</f>
        <v>42917</v>
      </c>
      <c r="F83" s="68">
        <f t="shared" ref="F83:P83" si="9">F71</f>
        <v>43099</v>
      </c>
      <c r="G83" s="68">
        <f t="shared" si="9"/>
        <v>43133</v>
      </c>
      <c r="H83" s="68">
        <f t="shared" si="9"/>
        <v>43464</v>
      </c>
      <c r="I83" s="68">
        <f t="shared" si="9"/>
        <v>43498</v>
      </c>
      <c r="J83" s="68">
        <f t="shared" si="9"/>
        <v>43830</v>
      </c>
      <c r="K83" s="68">
        <f t="shared" si="9"/>
        <v>43864</v>
      </c>
      <c r="L83" s="68">
        <f t="shared" si="9"/>
        <v>44195</v>
      </c>
      <c r="M83" s="68">
        <f t="shared" si="9"/>
        <v>44229</v>
      </c>
      <c r="N83" s="68">
        <f t="shared" si="9"/>
        <v>44560</v>
      </c>
      <c r="O83" s="68">
        <f t="shared" si="9"/>
        <v>44594</v>
      </c>
      <c r="P83" s="68">
        <f t="shared" si="9"/>
        <v>44742</v>
      </c>
    </row>
    <row r="84" spans="1:16" x14ac:dyDescent="0.25">
      <c r="B84" s="37" t="s">
        <v>220</v>
      </c>
      <c r="C84" s="37"/>
      <c r="D84" s="37"/>
      <c r="E84" s="44">
        <f t="shared" ref="E84:F84" si="10">E19</f>
        <v>-532178.80367237434</v>
      </c>
      <c r="F84" s="44">
        <f t="shared" si="10"/>
        <v>-69146.23688593012</v>
      </c>
      <c r="G84" s="44">
        <f>G19</f>
        <v>91156.506189127933</v>
      </c>
      <c r="H84" s="44">
        <f t="shared" ref="H84:P84" si="11">H19</f>
        <v>-60902.045379896968</v>
      </c>
      <c r="I84" s="44">
        <f t="shared" si="11"/>
        <v>94862.304011945234</v>
      </c>
      <c r="J84" s="44">
        <f t="shared" si="11"/>
        <v>-71802.976541866869</v>
      </c>
      <c r="K84" s="44">
        <f t="shared" si="11"/>
        <v>99043.749242129939</v>
      </c>
      <c r="L84" s="44">
        <f t="shared" si="11"/>
        <v>-63954.643593587658</v>
      </c>
      <c r="M84" s="44">
        <f t="shared" si="11"/>
        <v>103302.65050621729</v>
      </c>
      <c r="N84" s="44">
        <f t="shared" si="11"/>
        <v>-72194.17183913647</v>
      </c>
      <c r="O84" s="44">
        <f t="shared" si="11"/>
        <v>108500.19359616611</v>
      </c>
      <c r="P84" s="44">
        <f t="shared" si="11"/>
        <v>553121.1164790669</v>
      </c>
    </row>
    <row r="85" spans="1:16" x14ac:dyDescent="0.25">
      <c r="B85" s="37" t="s">
        <v>183</v>
      </c>
      <c r="C85" s="37"/>
      <c r="D85" s="37"/>
      <c r="E85" s="44">
        <f t="shared" ref="E85:F85" si="12">E42</f>
        <v>-532178.80367237434</v>
      </c>
      <c r="F85" s="44">
        <f t="shared" si="12"/>
        <v>-71416.182258178975</v>
      </c>
      <c r="G85" s="44">
        <f>G42</f>
        <v>99245.276543187152</v>
      </c>
      <c r="H85" s="44">
        <f t="shared" ref="H85:P85" si="13">H42</f>
        <v>-59530.57450132446</v>
      </c>
      <c r="I85" s="44">
        <f t="shared" si="13"/>
        <v>89871.484535742886</v>
      </c>
      <c r="J85" s="44">
        <f t="shared" si="13"/>
        <v>-70930.374352553714</v>
      </c>
      <c r="K85" s="44">
        <f t="shared" si="13"/>
        <v>95949.92849848482</v>
      </c>
      <c r="L85" s="44">
        <f t="shared" si="13"/>
        <v>-62982.485924149405</v>
      </c>
      <c r="M85" s="44">
        <f t="shared" si="13"/>
        <v>99882.734318291492</v>
      </c>
      <c r="N85" s="44">
        <f t="shared" si="13"/>
        <v>-70112.166489908777</v>
      </c>
      <c r="O85" s="44">
        <f t="shared" si="13"/>
        <v>101189.04171436832</v>
      </c>
      <c r="P85" s="44">
        <f t="shared" si="13"/>
        <v>553121.1164790669</v>
      </c>
    </row>
    <row r="86" spans="1:16" x14ac:dyDescent="0.25">
      <c r="B86" s="37" t="s">
        <v>134</v>
      </c>
      <c r="C86" s="37"/>
      <c r="D86" s="37"/>
      <c r="E86" s="44">
        <f>E84-E85</f>
        <v>0</v>
      </c>
      <c r="F86" s="44">
        <f t="shared" ref="F86" si="14">F84-F85</f>
        <v>2269.9453722488543</v>
      </c>
      <c r="G86" s="44">
        <f t="shared" ref="G86" si="15">G84-G85</f>
        <v>-8088.7703540592192</v>
      </c>
      <c r="H86" s="44">
        <f t="shared" ref="H86" si="16">H84-H85</f>
        <v>-1371.4708785725088</v>
      </c>
      <c r="I86" s="44">
        <f t="shared" ref="I86" si="17">I84-I85</f>
        <v>4990.8194762023486</v>
      </c>
      <c r="J86" s="44">
        <f t="shared" ref="J86" si="18">J84-J85</f>
        <v>-872.60218931315467</v>
      </c>
      <c r="K86" s="44">
        <f t="shared" ref="K86" si="19">K84-K85</f>
        <v>3093.8207436451194</v>
      </c>
      <c r="L86" s="44">
        <f t="shared" ref="L86" si="20">L84-L85</f>
        <v>-972.15766943825292</v>
      </c>
      <c r="M86" s="44">
        <f t="shared" ref="M86" si="21">M84-M85</f>
        <v>3419.9161879258027</v>
      </c>
      <c r="N86" s="44">
        <f t="shared" ref="N86" si="22">N84-N85</f>
        <v>-2082.0053492276929</v>
      </c>
      <c r="O86" s="44">
        <f t="shared" ref="O86" si="23">O84-O85</f>
        <v>7311.1518817977922</v>
      </c>
      <c r="P86" s="44">
        <f t="shared" ref="P86" si="24">P84-P85</f>
        <v>0</v>
      </c>
    </row>
    <row r="88" spans="1:16" x14ac:dyDescent="0.25">
      <c r="B88" s="37" t="s">
        <v>135</v>
      </c>
      <c r="C88" s="37"/>
      <c r="D88" s="44">
        <f>XNPV('Scenario Manager'!$E$19,IRR!E86:P86,IRR!E83:P83)</f>
        <v>5436.726943733489</v>
      </c>
    </row>
    <row r="90" spans="1:16" ht="23.25" x14ac:dyDescent="0.35">
      <c r="A90" s="26" t="s">
        <v>240</v>
      </c>
      <c r="F90" s="27"/>
    </row>
    <row r="92" spans="1:16" x14ac:dyDescent="0.25">
      <c r="D92" s="68" t="s">
        <v>11</v>
      </c>
      <c r="E92" s="68">
        <f>E49</f>
        <v>42917</v>
      </c>
      <c r="F92" s="68">
        <f t="shared" ref="F92:P92" si="25">F49</f>
        <v>43099</v>
      </c>
      <c r="G92" s="68">
        <f t="shared" si="25"/>
        <v>43133</v>
      </c>
      <c r="H92" s="68">
        <f t="shared" si="25"/>
        <v>43464</v>
      </c>
      <c r="I92" s="68">
        <f t="shared" si="25"/>
        <v>43498</v>
      </c>
      <c r="J92" s="68">
        <f t="shared" si="25"/>
        <v>43830</v>
      </c>
      <c r="K92" s="68">
        <f t="shared" si="25"/>
        <v>43864</v>
      </c>
      <c r="L92" s="68">
        <f t="shared" si="25"/>
        <v>44195</v>
      </c>
      <c r="M92" s="68">
        <f t="shared" si="25"/>
        <v>44229</v>
      </c>
      <c r="N92" s="68">
        <f t="shared" si="25"/>
        <v>44560</v>
      </c>
      <c r="O92" s="68">
        <f t="shared" si="25"/>
        <v>44594</v>
      </c>
      <c r="P92" s="68">
        <f t="shared" si="25"/>
        <v>44742</v>
      </c>
    </row>
    <row r="93" spans="1:16" x14ac:dyDescent="0.25">
      <c r="B93" s="37" t="s">
        <v>218</v>
      </c>
      <c r="C93" s="37"/>
      <c r="D93" s="37"/>
      <c r="E93" s="44">
        <v>0</v>
      </c>
      <c r="F93" s="44">
        <v>0</v>
      </c>
      <c r="G93" s="44">
        <f>G10</f>
        <v>91156.506189127933</v>
      </c>
      <c r="H93" s="44">
        <v>0</v>
      </c>
      <c r="I93" s="44">
        <f>I10</f>
        <v>94862.304011945234</v>
      </c>
      <c r="J93" s="44">
        <v>0</v>
      </c>
      <c r="K93" s="44">
        <f>K10</f>
        <v>99043.749242129939</v>
      </c>
      <c r="L93" s="44">
        <v>0</v>
      </c>
      <c r="M93" s="44">
        <f>M10</f>
        <v>103302.65050621729</v>
      </c>
      <c r="N93" s="44">
        <v>0</v>
      </c>
      <c r="O93" s="44">
        <f>O10</f>
        <v>108500.19359616611</v>
      </c>
      <c r="P93" s="44">
        <v>0</v>
      </c>
    </row>
    <row r="94" spans="1:16" x14ac:dyDescent="0.25">
      <c r="B94" s="37" t="s">
        <v>243</v>
      </c>
      <c r="C94" s="37"/>
      <c r="D94" s="37"/>
      <c r="E94" s="44">
        <v>0</v>
      </c>
      <c r="F94" s="44">
        <v>0</v>
      </c>
      <c r="G94" s="44">
        <f>G54</f>
        <v>99587.024466988732</v>
      </c>
      <c r="H94" s="44">
        <v>0</v>
      </c>
      <c r="I94" s="44">
        <f>I54</f>
        <v>90213.783603229502</v>
      </c>
      <c r="J94" s="44">
        <v>0</v>
      </c>
      <c r="K94" s="44">
        <f>K54</f>
        <v>96298.39887178244</v>
      </c>
      <c r="L94" s="44">
        <v>0</v>
      </c>
      <c r="M94" s="44">
        <f>M54</f>
        <v>100232.77684100138</v>
      </c>
      <c r="N94" s="44">
        <v>0</v>
      </c>
      <c r="O94" s="44">
        <f>O54</f>
        <v>101540.32174330596</v>
      </c>
      <c r="P94" s="44">
        <v>0</v>
      </c>
    </row>
    <row r="95" spans="1:16" x14ac:dyDescent="0.25">
      <c r="B95" s="37" t="s">
        <v>134</v>
      </c>
      <c r="C95" s="37"/>
      <c r="D95" s="37"/>
      <c r="E95" s="44">
        <f>E93-E94</f>
        <v>0</v>
      </c>
      <c r="F95" s="44">
        <f t="shared" ref="F95" si="26">F93-F94</f>
        <v>0</v>
      </c>
      <c r="G95" s="44">
        <f t="shared" ref="G95" si="27">G93-G94</f>
        <v>-8430.5182778607996</v>
      </c>
      <c r="H95" s="44">
        <f t="shared" ref="H95" si="28">H93-H94</f>
        <v>0</v>
      </c>
      <c r="I95" s="44">
        <f t="shared" ref="I95" si="29">I93-I94</f>
        <v>4648.5204087157326</v>
      </c>
      <c r="J95" s="44">
        <f t="shared" ref="J95" si="30">J93-J94</f>
        <v>0</v>
      </c>
      <c r="K95" s="44">
        <f t="shared" ref="K95" si="31">K93-K94</f>
        <v>2745.3503703474998</v>
      </c>
      <c r="L95" s="44">
        <f t="shared" ref="L95" si="32">L93-L94</f>
        <v>0</v>
      </c>
      <c r="M95" s="44">
        <f t="shared" ref="M95" si="33">M93-M94</f>
        <v>3069.8736652159132</v>
      </c>
      <c r="N95" s="44">
        <f t="shared" ref="N95" si="34">N93-N94</f>
        <v>0</v>
      </c>
      <c r="O95" s="44">
        <f t="shared" ref="O95" si="35">O93-O94</f>
        <v>6959.8718528601457</v>
      </c>
      <c r="P95" s="44">
        <f t="shared" ref="P95" si="36">P93-P94</f>
        <v>0</v>
      </c>
    </row>
    <row r="97" spans="1:16" x14ac:dyDescent="0.25">
      <c r="B97" s="37" t="s">
        <v>219</v>
      </c>
      <c r="C97" s="37"/>
      <c r="D97" s="44">
        <f>XNPV('Scenario Manager'!$E$21,IRR!E93:P93,IRR!$E$71:$P$71)</f>
        <v>421670.13633882569</v>
      </c>
      <c r="E97" s="117"/>
    </row>
    <row r="98" spans="1:16" x14ac:dyDescent="0.25">
      <c r="B98" s="37" t="s">
        <v>182</v>
      </c>
      <c r="C98" s="37"/>
      <c r="D98" s="44">
        <f>XNPV('Scenario Manager'!$E$21,IRR!E94:P94,IRR!$E$71:$P$71)</f>
        <v>415584.8688745079</v>
      </c>
      <c r="E98" s="117"/>
    </row>
    <row r="99" spans="1:16" x14ac:dyDescent="0.25">
      <c r="B99" s="37" t="s">
        <v>175</v>
      </c>
      <c r="C99" s="37"/>
      <c r="D99" s="44">
        <f>XNPV('Scenario Manager'!$E$21,IRR!E95:P95,IRR!$E$71:$P$71)</f>
        <v>6085.2674643178016</v>
      </c>
    </row>
    <row r="100" spans="1:16" x14ac:dyDescent="0.25">
      <c r="B100" s="37" t="s">
        <v>166</v>
      </c>
      <c r="C100" s="37"/>
      <c r="D100" s="112">
        <f>D99/SUM('Scenario Manager'!F83:J83)</f>
        <v>0.17190259029906918</v>
      </c>
    </row>
    <row r="102" spans="1:16" ht="23.25" x14ac:dyDescent="0.35">
      <c r="A102" s="26" t="s">
        <v>241</v>
      </c>
      <c r="F102" s="27"/>
    </row>
    <row r="104" spans="1:16" x14ac:dyDescent="0.25">
      <c r="D104" s="68" t="s">
        <v>11</v>
      </c>
      <c r="E104" s="68">
        <f>E92</f>
        <v>42917</v>
      </c>
      <c r="F104" s="68">
        <f t="shared" ref="F104:P104" si="37">F92</f>
        <v>43099</v>
      </c>
      <c r="G104" s="68">
        <f t="shared" si="37"/>
        <v>43133</v>
      </c>
      <c r="H104" s="68">
        <f t="shared" si="37"/>
        <v>43464</v>
      </c>
      <c r="I104" s="68">
        <f t="shared" si="37"/>
        <v>43498</v>
      </c>
      <c r="J104" s="68">
        <f t="shared" si="37"/>
        <v>43830</v>
      </c>
      <c r="K104" s="68">
        <f t="shared" si="37"/>
        <v>43864</v>
      </c>
      <c r="L104" s="68">
        <f t="shared" si="37"/>
        <v>44195</v>
      </c>
      <c r="M104" s="68">
        <f t="shared" si="37"/>
        <v>44229</v>
      </c>
      <c r="N104" s="68">
        <f t="shared" si="37"/>
        <v>44560</v>
      </c>
      <c r="O104" s="68">
        <f t="shared" si="37"/>
        <v>44594</v>
      </c>
      <c r="P104" s="68">
        <f t="shared" si="37"/>
        <v>44742</v>
      </c>
    </row>
    <row r="105" spans="1:16" x14ac:dyDescent="0.25">
      <c r="B105" s="37" t="s">
        <v>220</v>
      </c>
      <c r="C105" s="37"/>
      <c r="D105" s="37"/>
      <c r="E105" s="44">
        <f>E19</f>
        <v>-532178.80367237434</v>
      </c>
      <c r="F105" s="44">
        <f t="shared" ref="F105:P105" si="38">F19</f>
        <v>-69146.23688593012</v>
      </c>
      <c r="G105" s="44">
        <f t="shared" si="38"/>
        <v>91156.506189127933</v>
      </c>
      <c r="H105" s="44">
        <f t="shared" si="38"/>
        <v>-60902.045379896968</v>
      </c>
      <c r="I105" s="44">
        <f t="shared" si="38"/>
        <v>94862.304011945234</v>
      </c>
      <c r="J105" s="44">
        <f t="shared" si="38"/>
        <v>-71802.976541866869</v>
      </c>
      <c r="K105" s="44">
        <f t="shared" si="38"/>
        <v>99043.749242129939</v>
      </c>
      <c r="L105" s="44">
        <f t="shared" si="38"/>
        <v>-63954.643593587658</v>
      </c>
      <c r="M105" s="44">
        <f t="shared" si="38"/>
        <v>103302.65050621729</v>
      </c>
      <c r="N105" s="44">
        <f t="shared" si="38"/>
        <v>-72194.17183913647</v>
      </c>
      <c r="O105" s="44">
        <f t="shared" si="38"/>
        <v>108500.19359616611</v>
      </c>
      <c r="P105" s="44">
        <f t="shared" si="38"/>
        <v>553121.1164790669</v>
      </c>
    </row>
    <row r="106" spans="1:16" x14ac:dyDescent="0.25">
      <c r="B106" s="37" t="s">
        <v>183</v>
      </c>
      <c r="C106" s="37"/>
      <c r="D106" s="37"/>
      <c r="E106" s="44">
        <f t="shared" ref="E106:F106" si="39">E63</f>
        <v>-532178.80367237434</v>
      </c>
      <c r="F106" s="44">
        <f t="shared" si="39"/>
        <v>-71511.300074710278</v>
      </c>
      <c r="G106" s="44">
        <f>G63</f>
        <v>99587.024466988732</v>
      </c>
      <c r="H106" s="44">
        <f t="shared" ref="H106:P106" si="40">H63</f>
        <v>-59625.845716253432</v>
      </c>
      <c r="I106" s="44">
        <f t="shared" si="40"/>
        <v>90213.783603229502</v>
      </c>
      <c r="J106" s="44">
        <f t="shared" si="40"/>
        <v>-71027.363211081974</v>
      </c>
      <c r="K106" s="44">
        <f t="shared" si="40"/>
        <v>96298.39887178244</v>
      </c>
      <c r="L106" s="44">
        <f t="shared" si="40"/>
        <v>-63079.912354961038</v>
      </c>
      <c r="M106" s="44">
        <f t="shared" si="40"/>
        <v>100232.77684100138</v>
      </c>
      <c r="N106" s="44">
        <f t="shared" si="40"/>
        <v>-70209.937352630979</v>
      </c>
      <c r="O106" s="44">
        <f t="shared" si="40"/>
        <v>101540.32174330596</v>
      </c>
      <c r="P106" s="44">
        <f t="shared" si="40"/>
        <v>553121.1164790669</v>
      </c>
    </row>
    <row r="107" spans="1:16" x14ac:dyDescent="0.25">
      <c r="B107" s="37" t="s">
        <v>134</v>
      </c>
      <c r="C107" s="37"/>
      <c r="D107" s="37"/>
      <c r="E107" s="44">
        <f>E105-E106</f>
        <v>0</v>
      </c>
      <c r="F107" s="44">
        <f t="shared" ref="F107" si="41">F105-F106</f>
        <v>2365.0631887801574</v>
      </c>
      <c r="G107" s="44">
        <f t="shared" ref="G107" si="42">G105-G106</f>
        <v>-8430.5182778607996</v>
      </c>
      <c r="H107" s="44">
        <f t="shared" ref="H107" si="43">H105-H106</f>
        <v>-1276.199663643536</v>
      </c>
      <c r="I107" s="44">
        <f t="shared" ref="I107" si="44">I105-I106</f>
        <v>4648.5204087157326</v>
      </c>
      <c r="J107" s="44">
        <f t="shared" ref="J107" si="45">J105-J106</f>
        <v>-775.61333078489406</v>
      </c>
      <c r="K107" s="44">
        <f t="shared" ref="K107" si="46">K105-K106</f>
        <v>2745.3503703474998</v>
      </c>
      <c r="L107" s="44">
        <f t="shared" ref="L107" si="47">L105-L106</f>
        <v>-874.73123862662032</v>
      </c>
      <c r="M107" s="44">
        <f t="shared" ref="M107" si="48">M105-M106</f>
        <v>3069.8736652159132</v>
      </c>
      <c r="N107" s="44">
        <f t="shared" ref="N107" si="49">N105-N106</f>
        <v>-1984.2344865054911</v>
      </c>
      <c r="O107" s="44">
        <f t="shared" ref="O107" si="50">O105-O106</f>
        <v>6959.8718528601457</v>
      </c>
      <c r="P107" s="44">
        <f t="shared" ref="P107" si="51">P105-P106</f>
        <v>0</v>
      </c>
    </row>
    <row r="109" spans="1:16" x14ac:dyDescent="0.25">
      <c r="B109" s="37" t="s">
        <v>135</v>
      </c>
      <c r="C109" s="37"/>
      <c r="D109" s="44">
        <f>XNPV('Scenario Manager'!$E$21,IRR!E107:P107,IRR!E104:P104)</f>
        <v>4354.0637000748284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46" fitToHeight="0" orientation="portrait" r:id="rId1"/>
  <headerFooter>
    <oddFooter>&amp;L&amp;F&amp;C&amp;A&amp;R&amp;P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27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96.7109375" style="72" customWidth="1"/>
    <col min="2" max="2" width="10.42578125" style="72" customWidth="1"/>
    <col min="3" max="5" width="10.7109375" style="72" customWidth="1"/>
    <col min="6" max="6" width="10.85546875" style="72" customWidth="1"/>
    <col min="7" max="7" width="10.42578125" style="72" customWidth="1"/>
    <col min="8" max="8" width="10.42578125" style="1" customWidth="1"/>
    <col min="9" max="9" width="2.7109375" style="1" customWidth="1"/>
    <col min="10" max="16384" width="8.85546875" style="1"/>
  </cols>
  <sheetData>
    <row r="1" spans="1:7" ht="25.9" x14ac:dyDescent="0.5">
      <c r="A1" s="18" t="s">
        <v>7</v>
      </c>
    </row>
    <row r="2" spans="1:7" ht="14.45" x14ac:dyDescent="0.3">
      <c r="A2" s="73" t="s">
        <v>177</v>
      </c>
      <c r="B2" s="1"/>
      <c r="C2" s="1"/>
      <c r="D2" s="1"/>
    </row>
    <row r="3" spans="1:7" ht="14.45" x14ac:dyDescent="0.3">
      <c r="A3" s="97"/>
      <c r="B3" s="29"/>
      <c r="C3" s="143" t="s">
        <v>137</v>
      </c>
      <c r="D3" s="143"/>
    </row>
    <row r="4" spans="1:7" ht="14.45" x14ac:dyDescent="0.3">
      <c r="A4" s="101" t="s">
        <v>138</v>
      </c>
      <c r="B4" s="37"/>
      <c r="C4" s="144" t="str">
        <f>'Scenario Manager'!E5</f>
        <v>1</v>
      </c>
      <c r="D4" s="144"/>
    </row>
    <row r="5" spans="1:7" ht="57.6" x14ac:dyDescent="0.3">
      <c r="A5" s="101"/>
      <c r="B5" s="37"/>
      <c r="C5" s="108" t="s">
        <v>169</v>
      </c>
      <c r="D5" s="116" t="s">
        <v>170</v>
      </c>
      <c r="E5" s="116" t="s">
        <v>171</v>
      </c>
      <c r="F5" s="116" t="s">
        <v>172</v>
      </c>
      <c r="G5" s="116" t="s">
        <v>173</v>
      </c>
    </row>
    <row r="6" spans="1:7" ht="27.6" x14ac:dyDescent="0.3">
      <c r="A6" s="29" t="s">
        <v>102</v>
      </c>
      <c r="B6" s="29" t="s">
        <v>141</v>
      </c>
      <c r="C6" s="29" t="s">
        <v>142</v>
      </c>
      <c r="D6" s="29" t="s">
        <v>143</v>
      </c>
      <c r="E6" s="29" t="s">
        <v>144</v>
      </c>
      <c r="F6" s="29" t="s">
        <v>145</v>
      </c>
      <c r="G6" s="29" t="s">
        <v>146</v>
      </c>
    </row>
    <row r="7" spans="1:7" ht="14.45" x14ac:dyDescent="0.3">
      <c r="A7" s="102" t="s">
        <v>138</v>
      </c>
      <c r="B7" s="103" t="str">
        <f>C4</f>
        <v>1</v>
      </c>
      <c r="C7" s="103">
        <v>1</v>
      </c>
      <c r="D7" s="103">
        <f>C7+1</f>
        <v>2</v>
      </c>
      <c r="E7" s="103">
        <f t="shared" ref="E7:G7" si="0">D7+1</f>
        <v>3</v>
      </c>
      <c r="F7" s="103">
        <f t="shared" si="0"/>
        <v>4</v>
      </c>
      <c r="G7" s="103">
        <f t="shared" si="0"/>
        <v>5</v>
      </c>
    </row>
    <row r="8" spans="1:7" ht="23.45" x14ac:dyDescent="0.45">
      <c r="A8" s="75" t="s">
        <v>7</v>
      </c>
      <c r="B8" s="104"/>
      <c r="C8" s="105">
        <f t="dataTable" ref="C8:G9" dt2D="0" dtr="1" r1="C4"/>
        <v>0</v>
      </c>
      <c r="D8" s="105">
        <v>0</v>
      </c>
      <c r="E8" s="105">
        <v>0</v>
      </c>
      <c r="F8" s="105">
        <v>0</v>
      </c>
      <c r="G8" s="105">
        <v>0</v>
      </c>
    </row>
    <row r="9" spans="1:7" ht="14.45" x14ac:dyDescent="0.3">
      <c r="A9" s="106" t="s">
        <v>147</v>
      </c>
      <c r="B9" s="109">
        <f>IRR!D21</f>
        <v>6.6542872786521906E-2</v>
      </c>
      <c r="C9" s="109">
        <v>6.6542872786521906E-2</v>
      </c>
      <c r="D9" s="109">
        <v>6.3482424616813651E-2</v>
      </c>
      <c r="E9" s="109">
        <v>6.9614234566688554E-2</v>
      </c>
      <c r="F9" s="109">
        <v>6.1136743426322929E-2</v>
      </c>
      <c r="G9" s="109">
        <v>7.1977117657661446E-2</v>
      </c>
    </row>
    <row r="10" spans="1:7" ht="14.45" x14ac:dyDescent="0.3">
      <c r="A10" s="106" t="s">
        <v>186</v>
      </c>
      <c r="B10" s="107"/>
      <c r="C10" s="107"/>
      <c r="D10" s="109">
        <f t="shared" ref="D10:G10" si="1">D9-$C$9</f>
        <v>-3.0604481697082547E-3</v>
      </c>
      <c r="E10" s="109">
        <f t="shared" si="1"/>
        <v>3.0713617801666482E-3</v>
      </c>
      <c r="F10" s="109">
        <f t="shared" si="1"/>
        <v>-5.4061293601989774E-3</v>
      </c>
      <c r="G10" s="109">
        <f t="shared" si="1"/>
        <v>5.4342448711395402E-3</v>
      </c>
    </row>
    <row r="11" spans="1:7" ht="14.45" x14ac:dyDescent="0.3">
      <c r="A11" s="106" t="s">
        <v>148</v>
      </c>
      <c r="B11" s="106"/>
      <c r="C11" s="107">
        <f>IRR!D78</f>
        <v>7588.8865726121712</v>
      </c>
      <c r="D11" s="114"/>
      <c r="E11" s="114"/>
      <c r="F11" s="114"/>
      <c r="G11" s="114"/>
    </row>
    <row r="12" spans="1:7" ht="14.45" x14ac:dyDescent="0.3">
      <c r="A12" s="106" t="s">
        <v>149</v>
      </c>
      <c r="B12" s="106"/>
      <c r="C12" s="107">
        <f>IRR!D88</f>
        <v>5436.726943733489</v>
      </c>
      <c r="D12" s="1"/>
      <c r="E12" s="1"/>
      <c r="F12" s="1"/>
      <c r="G12" s="1"/>
    </row>
    <row r="13" spans="1:7" ht="14.45" x14ac:dyDescent="0.3">
      <c r="A13" s="106" t="s">
        <v>244</v>
      </c>
      <c r="B13" s="106"/>
      <c r="C13" s="107">
        <f>IRR!D99</f>
        <v>6085.2674643178016</v>
      </c>
      <c r="D13" s="1"/>
      <c r="E13" s="1"/>
      <c r="F13" s="1"/>
      <c r="G13" s="1"/>
    </row>
    <row r="14" spans="1:7" ht="14.45" x14ac:dyDescent="0.3">
      <c r="A14" s="106" t="s">
        <v>245</v>
      </c>
      <c r="B14" s="106"/>
      <c r="C14" s="107">
        <f>IRR!D109</f>
        <v>4354.0637000748284</v>
      </c>
      <c r="D14" s="1"/>
      <c r="E14" s="1"/>
      <c r="F14" s="1"/>
      <c r="G14" s="1"/>
    </row>
    <row r="15" spans="1:7" ht="14.45" x14ac:dyDescent="0.3">
      <c r="A15" s="106" t="s">
        <v>247</v>
      </c>
      <c r="B15" s="106"/>
      <c r="C15" s="107">
        <f>IRR!D76</f>
        <v>422290.89529448748</v>
      </c>
      <c r="D15" s="94"/>
      <c r="E15" s="1"/>
      <c r="F15" s="1"/>
      <c r="G15" s="1"/>
    </row>
    <row r="16" spans="1:7" ht="14.45" x14ac:dyDescent="0.3">
      <c r="A16" s="106" t="s">
        <v>248</v>
      </c>
      <c r="B16" s="106"/>
      <c r="C16" s="107">
        <f>IRR!D77</f>
        <v>414702.00872187532</v>
      </c>
      <c r="D16" s="1"/>
      <c r="E16" s="1"/>
      <c r="F16" s="1"/>
      <c r="G16" s="1"/>
    </row>
    <row r="17" spans="1:7" ht="14.45" x14ac:dyDescent="0.3">
      <c r="A17" s="106" t="s">
        <v>262</v>
      </c>
      <c r="B17" s="106"/>
      <c r="C17" s="107">
        <f>IRR!D97</f>
        <v>421670.13633882569</v>
      </c>
      <c r="D17" s="94"/>
      <c r="E17" s="1"/>
      <c r="F17" s="1"/>
      <c r="G17" s="1"/>
    </row>
    <row r="18" spans="1:7" ht="14.45" x14ac:dyDescent="0.3">
      <c r="A18" s="106" t="s">
        <v>246</v>
      </c>
      <c r="B18" s="106"/>
      <c r="C18" s="107">
        <f>IRR!D98</f>
        <v>415584.8688745079</v>
      </c>
      <c r="D18" s="94"/>
      <c r="E18" s="1"/>
      <c r="F18" s="1"/>
      <c r="G18" s="1"/>
    </row>
    <row r="19" spans="1:7" ht="14.45" x14ac:dyDescent="0.3">
      <c r="A19" s="106" t="s">
        <v>249</v>
      </c>
      <c r="B19" s="106"/>
      <c r="C19" s="113">
        <f>IRR!D79</f>
        <v>0.21437829429311797</v>
      </c>
      <c r="D19" s="1"/>
      <c r="E19" s="1"/>
      <c r="F19" s="1"/>
      <c r="G19" s="1"/>
    </row>
    <row r="20" spans="1:7" ht="14.45" x14ac:dyDescent="0.3">
      <c r="A20" s="106" t="s">
        <v>261</v>
      </c>
      <c r="B20" s="106"/>
      <c r="C20" s="113">
        <f>IRR!D100</f>
        <v>0.17190259029906918</v>
      </c>
      <c r="D20" s="1"/>
      <c r="E20" s="1"/>
      <c r="F20" s="1"/>
      <c r="G20" s="1"/>
    </row>
    <row r="21" spans="1:7" ht="14.45" x14ac:dyDescent="0.3">
      <c r="A21" s="1"/>
      <c r="B21" s="1"/>
      <c r="C21" s="1"/>
      <c r="D21" s="1"/>
      <c r="E21" s="1"/>
      <c r="F21" s="1"/>
      <c r="G21" s="1"/>
    </row>
    <row r="22" spans="1:7" ht="14.45" x14ac:dyDescent="0.3">
      <c r="A22" s="115"/>
      <c r="B22" s="1"/>
      <c r="C22" s="1"/>
      <c r="D22" s="1"/>
      <c r="E22" s="1"/>
      <c r="F22" s="1"/>
      <c r="G22" s="1"/>
    </row>
    <row r="23" spans="1:7" ht="14.45" x14ac:dyDescent="0.3">
      <c r="A23" s="1"/>
      <c r="B23" s="1"/>
      <c r="C23" s="1"/>
      <c r="D23" s="1"/>
      <c r="E23" s="1"/>
      <c r="F23" s="1"/>
      <c r="G23" s="1"/>
    </row>
    <row r="24" spans="1:7" ht="14.45" x14ac:dyDescent="0.3">
      <c r="A24" s="1"/>
      <c r="B24" s="1"/>
      <c r="C24" s="1"/>
      <c r="D24" s="1"/>
      <c r="E24" s="1"/>
      <c r="F24" s="1"/>
      <c r="G24" s="1"/>
    </row>
    <row r="25" spans="1:7" x14ac:dyDescent="0.25">
      <c r="A25" s="1"/>
      <c r="B25" s="1"/>
      <c r="C25" s="1"/>
      <c r="D25" s="1"/>
      <c r="E25" s="1"/>
      <c r="F25" s="1"/>
      <c r="G25" s="1"/>
    </row>
    <row r="26" spans="1:7" x14ac:dyDescent="0.25">
      <c r="A26" s="1"/>
      <c r="B26" s="1"/>
      <c r="C26" s="1"/>
      <c r="D26" s="1"/>
      <c r="E26" s="1"/>
      <c r="F26" s="1"/>
      <c r="G26" s="1"/>
    </row>
    <row r="27" spans="1:7" x14ac:dyDescent="0.25">
      <c r="A27" s="1"/>
      <c r="B27" s="1"/>
      <c r="C27" s="1"/>
      <c r="D27" s="1"/>
      <c r="E27" s="1"/>
      <c r="F27" s="1"/>
      <c r="G27" s="1"/>
    </row>
  </sheetData>
  <sheetProtection formatColumns="0" formatRows="0"/>
  <mergeCells count="2">
    <mergeCell ref="C3:D3"/>
    <mergeCell ref="C4:D4"/>
  </mergeCell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Footer>&amp;L&amp;F&amp;C&amp;A&amp;R&amp;P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2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2.7109375" style="1" customWidth="1"/>
    <col min="2" max="2" width="23.28515625" style="1" customWidth="1"/>
    <col min="3" max="3" width="100.7109375" style="1" customWidth="1"/>
    <col min="4" max="5" width="14.7109375" style="1" customWidth="1"/>
    <col min="6" max="6" width="2.7109375" style="1" customWidth="1"/>
    <col min="7" max="16384" width="9.140625" style="1"/>
  </cols>
  <sheetData>
    <row r="1" spans="1:6" ht="26.25" x14ac:dyDescent="0.4">
      <c r="A1" s="25" t="s">
        <v>0</v>
      </c>
      <c r="B1" s="8"/>
      <c r="C1" s="8"/>
      <c r="D1" s="8"/>
      <c r="E1" s="8"/>
      <c r="F1" s="8"/>
    </row>
    <row r="2" spans="1:6" x14ac:dyDescent="0.25">
      <c r="A2" s="8"/>
      <c r="B2" s="8"/>
      <c r="C2" s="8"/>
      <c r="D2" s="8"/>
      <c r="E2" s="8"/>
      <c r="F2" s="8"/>
    </row>
    <row r="3" spans="1:6" x14ac:dyDescent="0.25">
      <c r="A3" s="8"/>
      <c r="B3" s="8"/>
      <c r="C3" s="8"/>
      <c r="D3" s="8"/>
      <c r="E3" s="8"/>
      <c r="F3" s="8"/>
    </row>
    <row r="4" spans="1:6" x14ac:dyDescent="0.25">
      <c r="A4" s="8"/>
      <c r="B4" s="8"/>
      <c r="C4" s="8"/>
      <c r="D4" s="8"/>
      <c r="E4" s="8"/>
      <c r="F4" s="8"/>
    </row>
    <row r="5" spans="1:6" ht="23.25" x14ac:dyDescent="0.35">
      <c r="A5" s="8"/>
      <c r="B5" s="23" t="s">
        <v>4</v>
      </c>
      <c r="C5" s="8"/>
      <c r="D5" s="8"/>
      <c r="E5" s="8"/>
      <c r="F5" s="8"/>
    </row>
    <row r="6" spans="1:6" x14ac:dyDescent="0.25">
      <c r="A6" s="8"/>
      <c r="B6" s="141" t="s">
        <v>250</v>
      </c>
      <c r="C6" s="142"/>
      <c r="D6" s="142"/>
      <c r="E6" s="142"/>
      <c r="F6" s="8"/>
    </row>
    <row r="7" spans="1:6" ht="88.15" customHeight="1" x14ac:dyDescent="0.25">
      <c r="A7" s="8"/>
      <c r="B7" s="142"/>
      <c r="C7" s="142"/>
      <c r="D7" s="142"/>
      <c r="E7" s="142"/>
      <c r="F7" s="8"/>
    </row>
    <row r="8" spans="1:6" ht="20.45" customHeight="1" x14ac:dyDescent="0.3">
      <c r="A8" s="8"/>
      <c r="B8" s="30"/>
      <c r="C8" s="30"/>
      <c r="D8" s="30"/>
      <c r="E8" s="30"/>
      <c r="F8" s="8"/>
    </row>
    <row r="9" spans="1:6" ht="14.45" x14ac:dyDescent="0.3">
      <c r="A9" s="8"/>
      <c r="B9" s="24"/>
      <c r="C9" s="24"/>
      <c r="D9" s="8"/>
      <c r="E9" s="8"/>
      <c r="F9" s="8"/>
    </row>
    <row r="10" spans="1:6" ht="14.45" x14ac:dyDescent="0.3">
      <c r="A10" s="8"/>
      <c r="B10" s="8"/>
      <c r="C10" s="8"/>
      <c r="D10" s="8"/>
      <c r="E10" s="8"/>
      <c r="F10" s="8"/>
    </row>
    <row r="11" spans="1:6" ht="14.45" x14ac:dyDescent="0.3">
      <c r="A11" s="8"/>
      <c r="B11" s="8"/>
      <c r="C11" s="8"/>
      <c r="D11" s="8"/>
      <c r="E11" s="8"/>
      <c r="F11" s="8"/>
    </row>
    <row r="12" spans="1:6" ht="14.45" x14ac:dyDescent="0.3">
      <c r="A12" s="8"/>
      <c r="B12" s="8"/>
      <c r="C12" s="8"/>
      <c r="D12" s="8"/>
      <c r="E12" s="8"/>
      <c r="F12" s="8"/>
    </row>
    <row r="13" spans="1:6" ht="14.45" x14ac:dyDescent="0.3">
      <c r="A13" s="8"/>
      <c r="B13" s="8"/>
      <c r="C13" s="8"/>
      <c r="D13" s="8"/>
      <c r="E13" s="8"/>
      <c r="F13" s="8"/>
    </row>
    <row r="14" spans="1:6" ht="14.45" x14ac:dyDescent="0.3">
      <c r="A14" s="8"/>
      <c r="B14" s="8"/>
      <c r="C14" s="8"/>
      <c r="D14" s="8"/>
      <c r="E14" s="8"/>
      <c r="F14" s="8"/>
    </row>
    <row r="15" spans="1:6" ht="14.45" x14ac:dyDescent="0.3">
      <c r="A15" s="8"/>
      <c r="B15" s="8"/>
      <c r="C15" s="8"/>
      <c r="D15" s="8"/>
      <c r="E15" s="8"/>
      <c r="F15" s="8"/>
    </row>
    <row r="16" spans="1:6" ht="14.45" x14ac:dyDescent="0.3">
      <c r="A16" s="8"/>
      <c r="B16" s="8"/>
      <c r="C16" s="8"/>
      <c r="D16" s="8"/>
      <c r="E16" s="8"/>
      <c r="F16" s="8"/>
    </row>
    <row r="17" spans="1:6" ht="14.45" x14ac:dyDescent="0.3">
      <c r="A17" s="8"/>
      <c r="B17" s="8"/>
      <c r="C17" s="8"/>
      <c r="D17" s="8"/>
      <c r="E17" s="8"/>
      <c r="F17" s="8"/>
    </row>
    <row r="18" spans="1:6" ht="14.45" x14ac:dyDescent="0.3">
      <c r="A18" s="8"/>
      <c r="B18" s="8"/>
      <c r="C18" s="8"/>
      <c r="D18" s="8"/>
      <c r="E18" s="8"/>
      <c r="F18" s="8"/>
    </row>
    <row r="19" spans="1:6" ht="14.45" x14ac:dyDescent="0.3">
      <c r="A19" s="8"/>
      <c r="B19" s="8"/>
      <c r="C19" s="8"/>
      <c r="D19" s="8"/>
      <c r="E19" s="8"/>
      <c r="F19" s="8"/>
    </row>
    <row r="20" spans="1:6" ht="14.45" x14ac:dyDescent="0.3">
      <c r="A20" s="8"/>
      <c r="B20" s="8"/>
      <c r="C20" s="8"/>
      <c r="D20" s="8"/>
      <c r="E20" s="8"/>
      <c r="F20" s="8"/>
    </row>
    <row r="21" spans="1:6" ht="14.45" x14ac:dyDescent="0.3">
      <c r="A21" s="8"/>
      <c r="B21" s="8"/>
      <c r="C21" s="8"/>
      <c r="D21" s="8"/>
      <c r="E21" s="8"/>
      <c r="F21" s="8"/>
    </row>
  </sheetData>
  <sheetProtection formatColumns="0" formatRows="0"/>
  <mergeCells count="1">
    <mergeCell ref="B6:E7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4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140625" style="1"/>
    <col min="2" max="2" width="19.85546875" style="1" customWidth="1"/>
    <col min="3" max="3" width="118.42578125" style="1" customWidth="1"/>
    <col min="4" max="16384" width="9.140625" style="1"/>
  </cols>
  <sheetData>
    <row r="1" spans="1:4" ht="25.9" x14ac:dyDescent="0.5">
      <c r="A1" s="19" t="s">
        <v>1</v>
      </c>
      <c r="B1" s="17"/>
      <c r="C1" s="17"/>
      <c r="D1" s="16"/>
    </row>
    <row r="2" spans="1:4" ht="14.45" x14ac:dyDescent="0.3">
      <c r="A2" s="15"/>
      <c r="B2" s="8"/>
      <c r="C2" s="8"/>
      <c r="D2" s="14"/>
    </row>
    <row r="3" spans="1:4" thickBot="1" x14ac:dyDescent="0.35">
      <c r="A3" s="15"/>
      <c r="B3" s="8"/>
      <c r="C3" s="8"/>
      <c r="D3" s="14"/>
    </row>
    <row r="4" spans="1:4" ht="15.6" x14ac:dyDescent="0.3">
      <c r="A4" s="15"/>
      <c r="B4" s="119" t="s">
        <v>2</v>
      </c>
      <c r="C4" s="120" t="s">
        <v>3</v>
      </c>
      <c r="D4" s="14"/>
    </row>
    <row r="5" spans="1:4" ht="14.45" x14ac:dyDescent="0.3">
      <c r="A5" s="15"/>
      <c r="B5" s="121" t="s">
        <v>5</v>
      </c>
      <c r="C5" s="122" t="s">
        <v>5</v>
      </c>
      <c r="D5" s="14"/>
    </row>
    <row r="6" spans="1:4" ht="14.45" x14ac:dyDescent="0.3">
      <c r="A6" s="15"/>
      <c r="B6" s="123"/>
      <c r="C6" s="124" t="s">
        <v>9</v>
      </c>
      <c r="D6" s="14"/>
    </row>
    <row r="7" spans="1:4" ht="14.45" x14ac:dyDescent="0.3">
      <c r="A7" s="15"/>
      <c r="B7" s="123"/>
      <c r="C7" s="124" t="s">
        <v>103</v>
      </c>
      <c r="D7" s="14"/>
    </row>
    <row r="8" spans="1:4" ht="14.45" x14ac:dyDescent="0.3">
      <c r="A8" s="15"/>
      <c r="B8" s="123"/>
      <c r="C8" s="124" t="s">
        <v>180</v>
      </c>
      <c r="D8" s="14"/>
    </row>
    <row r="9" spans="1:4" ht="14.45" x14ac:dyDescent="0.3">
      <c r="B9" s="125" t="s">
        <v>29</v>
      </c>
      <c r="C9" s="126" t="s">
        <v>29</v>
      </c>
    </row>
    <row r="10" spans="1:4" ht="14.45" x14ac:dyDescent="0.3">
      <c r="B10" s="121" t="s">
        <v>125</v>
      </c>
      <c r="C10" s="122" t="s">
        <v>107</v>
      </c>
    </row>
    <row r="11" spans="1:4" ht="14.45" x14ac:dyDescent="0.3">
      <c r="B11" s="123"/>
      <c r="C11" s="124" t="s">
        <v>5</v>
      </c>
    </row>
    <row r="12" spans="1:4" ht="14.45" x14ac:dyDescent="0.3">
      <c r="B12" s="123"/>
      <c r="C12" s="124" t="s">
        <v>6</v>
      </c>
    </row>
    <row r="13" spans="1:4" ht="14.45" x14ac:dyDescent="0.3">
      <c r="B13" s="123"/>
      <c r="C13" s="124" t="s">
        <v>7</v>
      </c>
    </row>
    <row r="14" spans="1:4" ht="14.45" x14ac:dyDescent="0.3">
      <c r="B14" s="125" t="s">
        <v>156</v>
      </c>
      <c r="C14" s="126" t="s">
        <v>156</v>
      </c>
    </row>
    <row r="15" spans="1:4" ht="14.45" x14ac:dyDescent="0.3">
      <c r="B15" s="127"/>
      <c r="C15" s="128" t="s">
        <v>5</v>
      </c>
    </row>
    <row r="16" spans="1:4" ht="14.45" x14ac:dyDescent="0.3">
      <c r="B16" s="127"/>
      <c r="C16" s="128" t="s">
        <v>6</v>
      </c>
    </row>
    <row r="17" spans="2:3" ht="14.45" x14ac:dyDescent="0.3">
      <c r="B17" s="121" t="s">
        <v>157</v>
      </c>
      <c r="C17" s="122" t="s">
        <v>157</v>
      </c>
    </row>
    <row r="18" spans="2:3" ht="14.45" x14ac:dyDescent="0.3">
      <c r="B18" s="123"/>
      <c r="C18" s="124" t="s">
        <v>5</v>
      </c>
    </row>
    <row r="19" spans="2:3" ht="14.45" x14ac:dyDescent="0.3">
      <c r="B19" s="123"/>
      <c r="C19" s="124" t="s">
        <v>6</v>
      </c>
    </row>
    <row r="20" spans="2:3" ht="14.45" x14ac:dyDescent="0.3">
      <c r="B20" s="125" t="s">
        <v>104</v>
      </c>
      <c r="C20" s="126" t="s">
        <v>104</v>
      </c>
    </row>
    <row r="21" spans="2:3" ht="14.45" x14ac:dyDescent="0.3">
      <c r="B21" s="127"/>
      <c r="C21" s="128" t="s">
        <v>5</v>
      </c>
    </row>
    <row r="22" spans="2:3" ht="14.45" x14ac:dyDescent="0.3">
      <c r="B22" s="127"/>
      <c r="C22" s="128" t="s">
        <v>82</v>
      </c>
    </row>
    <row r="23" spans="2:3" ht="14.45" x14ac:dyDescent="0.3">
      <c r="B23" s="127"/>
      <c r="C23" s="128" t="s">
        <v>106</v>
      </c>
    </row>
    <row r="24" spans="2:3" ht="14.45" x14ac:dyDescent="0.3">
      <c r="B24" s="127"/>
      <c r="C24" s="128" t="s">
        <v>168</v>
      </c>
    </row>
    <row r="25" spans="2:3" ht="14.45" x14ac:dyDescent="0.3">
      <c r="B25" s="121" t="s">
        <v>158</v>
      </c>
      <c r="C25" s="122" t="s">
        <v>188</v>
      </c>
    </row>
    <row r="26" spans="2:3" ht="14.45" x14ac:dyDescent="0.3">
      <c r="B26" s="123"/>
      <c r="C26" s="124" t="s">
        <v>5</v>
      </c>
    </row>
    <row r="27" spans="2:3" ht="14.45" x14ac:dyDescent="0.3">
      <c r="B27" s="123"/>
      <c r="C27" s="124" t="s">
        <v>32</v>
      </c>
    </row>
    <row r="28" spans="2:3" ht="14.45" x14ac:dyDescent="0.3">
      <c r="B28" s="123"/>
      <c r="C28" s="124" t="s">
        <v>82</v>
      </c>
    </row>
    <row r="29" spans="2:3" x14ac:dyDescent="0.25">
      <c r="B29" s="123"/>
      <c r="C29" s="124" t="s">
        <v>73</v>
      </c>
    </row>
    <row r="30" spans="2:3" x14ac:dyDescent="0.25">
      <c r="B30" s="123"/>
      <c r="C30" s="124" t="s">
        <v>128</v>
      </c>
    </row>
    <row r="31" spans="2:3" x14ac:dyDescent="0.25">
      <c r="B31" s="125" t="s">
        <v>159</v>
      </c>
      <c r="C31" s="126" t="s">
        <v>190</v>
      </c>
    </row>
    <row r="32" spans="2:3" x14ac:dyDescent="0.25">
      <c r="B32" s="127"/>
      <c r="C32" s="128" t="s">
        <v>217</v>
      </c>
    </row>
    <row r="33" spans="2:3" x14ac:dyDescent="0.25">
      <c r="B33" s="127"/>
      <c r="C33" s="128" t="s">
        <v>191</v>
      </c>
    </row>
    <row r="34" spans="2:3" x14ac:dyDescent="0.25">
      <c r="B34" s="127"/>
      <c r="C34" s="128" t="s">
        <v>251</v>
      </c>
    </row>
    <row r="35" spans="2:3" x14ac:dyDescent="0.25">
      <c r="B35" s="127"/>
      <c r="C35" s="128" t="s">
        <v>184</v>
      </c>
    </row>
    <row r="36" spans="2:3" x14ac:dyDescent="0.25">
      <c r="B36" s="127"/>
      <c r="C36" s="128" t="s">
        <v>185</v>
      </c>
    </row>
    <row r="37" spans="2:3" x14ac:dyDescent="0.25">
      <c r="B37" s="127"/>
      <c r="C37" s="128" t="s">
        <v>240</v>
      </c>
    </row>
    <row r="38" spans="2:3" x14ac:dyDescent="0.25">
      <c r="B38" s="127"/>
      <c r="C38" s="128" t="s">
        <v>241</v>
      </c>
    </row>
    <row r="39" spans="2:3" x14ac:dyDescent="0.25">
      <c r="B39" s="121" t="s">
        <v>8</v>
      </c>
      <c r="C39" s="122" t="s">
        <v>7</v>
      </c>
    </row>
    <row r="40" spans="2:3" ht="15.75" thickBot="1" x14ac:dyDescent="0.3">
      <c r="B40" s="129"/>
      <c r="C40" s="130" t="s">
        <v>7</v>
      </c>
    </row>
  </sheetData>
  <sheetProtection formatColumns="0" formatRows="0"/>
  <hyperlinks>
    <hyperlink ref="C5" location="'Inputs'!$A$1" tooltip="Section title. Click once to follow" display="Inputs"/>
    <hyperlink ref="C6" location="'Inputs'!$A$3" tooltip="Section subtitle. Click once to follow" display="General"/>
    <hyperlink ref="C7" location="'Inputs'!$A$29" tooltip="Section subtitle. Click once to follow" display="Base case Auckland Airport forecasts (Scenario 1)"/>
    <hyperlink ref="C8" location="'Inputs'!$A$97" tooltip="Section subtitle. Click once to follow" display="Scenario assumptions"/>
    <hyperlink ref="C9" location="'Scenario Manager'!$A$1" tooltip="Section title. Click once to follow" display="Scenario Manager"/>
    <hyperlink ref="C10" location="'Timing factors'!$A$1" tooltip="Section title. Click once to follow" display="Intra-year timing"/>
    <hyperlink ref="C11" location="'Timing factors'!$A$3" tooltip="Section subtitle. Click once to follow" display="Inputs"/>
    <hyperlink ref="C12" location="'Timing factors'!$A$10" tooltip="Section subtitle. Click once to follow" display="Calculations"/>
    <hyperlink ref="C13" location="'Timing factors'!$A$17" tooltip="Section subtitle. Click once to follow" display="Outputs"/>
    <hyperlink ref="C14" location="'Default asset base'!$A$1" tooltip="Section title. Click once to follow" display="Default asset base"/>
    <hyperlink ref="C15" location="'Default asset base'!$A$3" tooltip="Section subtitle. Click once to follow" display="Inputs"/>
    <hyperlink ref="C16" location="'Default asset base'!$A$54" tooltip="Section subtitle. Click once to follow" display="Calculations"/>
    <hyperlink ref="C17" location="'Scenario asset base'!$A$1" tooltip="Section title. Click once to follow" display="Scenario asset base"/>
    <hyperlink ref="C18" location="'Scenario asset base'!$A$3" tooltip="Section subtitle. Click once to follow" display="Inputs"/>
    <hyperlink ref="C19" location="'Scenario asset base'!$A$63" tooltip="Section subtitle. Click once to follow" display="Calculations"/>
    <hyperlink ref="C20" location="'Forecast revenue and tax'!$A$1" tooltip="Section title. Click once to follow" display="Forecast revenue and tax"/>
    <hyperlink ref="C21" location="'Forecast revenue and tax'!$A$3" tooltip="Section subtitle. Click once to follow" display="Inputs"/>
    <hyperlink ref="C22" location="'Forecast revenue and tax'!$A$28" tooltip="Section subtitle. Click once to follow" display="Calculation of regulatory profit before tax"/>
    <hyperlink ref="C23" location="'Forecast revenue and tax'!$A$41" tooltip="Section subtitle. Click once to follow" display="Calculation of unlevered tax"/>
    <hyperlink ref="C24" location="'Forecast revenue and tax'!$A$62" tooltip="Section subtitle. Click once to follow" display="Calculation of receipts from disposals "/>
    <hyperlink ref="C25" location="'Required revenue'!$A$1" tooltip="Section title. Click once to follow" display="Required revenue to target a midpoint WACC"/>
    <hyperlink ref="C26" location="'Required revenue'!$A$3" tooltip="Section subtitle. Click once to follow" display="Inputs"/>
    <hyperlink ref="C27" location="'Required revenue'!$A$31" tooltip="Section subtitle. Click once to follow" display="Calculation of revenue required to target a specified return"/>
    <hyperlink ref="C28" location="'Required revenue'!$A$58" tooltip="Section subtitle. Click once to follow" display="Calculation of regulatory profit before tax"/>
    <hyperlink ref="C29" location="'Required revenue'!$A$71" tooltip="Section subtitle. Click once to follow" display="Calculation of regulatory tax"/>
    <hyperlink ref="C30" location="'Required revenue'!$A$100" tooltip="Section subtitle. Click once to follow" display="Calculation of timing adjusted cash flows"/>
    <hyperlink ref="C31" location="'IRR'!$A$1" tooltip="Section title. Click once to follow" display="Internal Rate of Return (IRR)"/>
    <hyperlink ref="C32" location="'IRR'!$A$3" tooltip="Section subtitle. Click once to follow" display="IRR - Auckland Airport forecast cash flows"/>
    <hyperlink ref="C33" location="'IRR'!$A$25" tooltip="Section subtitle. Click once to follow" display="IRR - to target a mid point WACC"/>
    <hyperlink ref="C35" location="IRR!A69" tooltip="Section subtitle. Click once to follow" display="PV of revenue difference between AIAL forecast revenues and revenues set to target midpoint WACC"/>
    <hyperlink ref="C36" location="IRR!A81" tooltip="Section subtitle. Click once to follow" display="PV of net cash flows difference between AIAL forecast net cash flows and net cash flows required to target midpoint WACC"/>
    <hyperlink ref="C39" location="'Output'!$A$1" tooltip="Section title. Click once to follow" display="Outputs"/>
    <hyperlink ref="C40" location="'Output'!$A$8" tooltip="Section subtitle. Click once to follow" display="Outputs"/>
    <hyperlink ref="C34" location="IRR!A46" tooltip="Section subtitle. Click once to follow" display="IRR - to target a reasonable return above the mid-point"/>
    <hyperlink ref="C37" location="IRR!A90" tooltip="Section subtitle. Click once to follow" display="PV of revenue difference between CIAL forecast revenues and revenues set to target reasonable return above midpoint WACC"/>
    <hyperlink ref="C38" location="IRR!A102" tooltip="Section subtitle. Click once to follow" display="PV of net cash flows difference between CIAL forecast net cash flows and net cash flows required to target reasonable return above midpoint WACC"/>
  </hyperlinks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P120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3.7109375" customWidth="1"/>
    <col min="3" max="3" width="34.7109375" customWidth="1"/>
    <col min="4" max="4" width="50.85546875" customWidth="1"/>
    <col min="5" max="5" width="15.85546875" customWidth="1"/>
    <col min="6" max="7" width="11.28515625" bestFit="1" customWidth="1"/>
    <col min="12" max="12" width="10.28515625" bestFit="1" customWidth="1"/>
  </cols>
  <sheetData>
    <row r="1" spans="1:10" ht="25.9" x14ac:dyDescent="0.5">
      <c r="A1" s="18" t="s">
        <v>5</v>
      </c>
    </row>
    <row r="2" spans="1:10" s="1" customFormat="1" ht="14.45" x14ac:dyDescent="0.3">
      <c r="A2" s="73" t="s">
        <v>199</v>
      </c>
    </row>
    <row r="3" spans="1:10" ht="14.45" x14ac:dyDescent="0.3">
      <c r="A3" s="73" t="s">
        <v>162</v>
      </c>
      <c r="C3" s="21"/>
      <c r="D3" s="21"/>
    </row>
    <row r="4" spans="1:10" s="1" customFormat="1" ht="30.6" customHeight="1" x14ac:dyDescent="0.45">
      <c r="A4" s="26" t="s">
        <v>9</v>
      </c>
    </row>
    <row r="5" spans="1:10" s="1" customFormat="1" ht="14.45" x14ac:dyDescent="0.3">
      <c r="A5"/>
      <c r="D5"/>
      <c r="E5" s="29" t="s">
        <v>11</v>
      </c>
    </row>
    <row r="6" spans="1:10" ht="14.45" x14ac:dyDescent="0.3">
      <c r="C6" s="37" t="s">
        <v>212</v>
      </c>
      <c r="D6" s="37"/>
      <c r="E6" s="36">
        <v>2018</v>
      </c>
      <c r="F6" s="1"/>
      <c r="G6" s="1"/>
      <c r="H6" s="1"/>
      <c r="I6" s="1"/>
      <c r="J6" s="1"/>
    </row>
    <row r="7" spans="1:10" ht="14.45" x14ac:dyDescent="0.3">
      <c r="C7" s="37" t="s">
        <v>211</v>
      </c>
      <c r="D7" s="37"/>
      <c r="E7" s="39">
        <v>42917</v>
      </c>
    </row>
    <row r="8" spans="1:10" s="1" customFormat="1" ht="14.45" x14ac:dyDescent="0.3">
      <c r="C8" s="37" t="s">
        <v>127</v>
      </c>
      <c r="D8" s="37"/>
      <c r="E8" s="36">
        <v>365</v>
      </c>
    </row>
    <row r="9" spans="1:10" ht="14.45" x14ac:dyDescent="0.3">
      <c r="C9" s="37" t="s">
        <v>12</v>
      </c>
      <c r="D9" s="37"/>
      <c r="E9" s="36">
        <v>148</v>
      </c>
    </row>
    <row r="10" spans="1:10" ht="14.45" x14ac:dyDescent="0.3">
      <c r="C10" s="37" t="s">
        <v>13</v>
      </c>
      <c r="D10" s="37"/>
      <c r="E10" s="36">
        <v>182</v>
      </c>
    </row>
    <row r="11" spans="1:10" ht="14.45" x14ac:dyDescent="0.3">
      <c r="C11" s="37" t="s">
        <v>14</v>
      </c>
      <c r="D11" s="37"/>
      <c r="E11" s="38">
        <v>0.28000000000000003</v>
      </c>
    </row>
    <row r="12" spans="1:10" s="1" customFormat="1" ht="14.45" x14ac:dyDescent="0.3">
      <c r="C12" s="37" t="s">
        <v>69</v>
      </c>
      <c r="D12" s="37"/>
      <c r="E12" s="38">
        <v>0.19</v>
      </c>
    </row>
    <row r="13" spans="1:10" s="1" customFormat="1" ht="14.45" x14ac:dyDescent="0.3">
      <c r="C13" s="37" t="s">
        <v>174</v>
      </c>
      <c r="D13" s="37"/>
      <c r="E13" s="65">
        <v>4.41E-2</v>
      </c>
    </row>
    <row r="14" spans="1:10" s="1" customFormat="1" ht="14.45" x14ac:dyDescent="0.3">
      <c r="C14" s="37" t="s">
        <v>252</v>
      </c>
      <c r="D14" s="37"/>
      <c r="E14" s="65">
        <f>4.41%+0.39%</f>
        <v>4.8000000000000001E-2</v>
      </c>
    </row>
    <row r="15" spans="1:10" s="1" customFormat="1" ht="14.45" x14ac:dyDescent="0.3">
      <c r="C15" s="37" t="s">
        <v>65</v>
      </c>
      <c r="D15" s="37"/>
      <c r="E15" s="40">
        <v>6.6433320000000004E-2</v>
      </c>
    </row>
    <row r="16" spans="1:10" ht="14.45" x14ac:dyDescent="0.3">
      <c r="C16" s="37" t="s">
        <v>224</v>
      </c>
      <c r="D16" s="37"/>
      <c r="E16" s="40">
        <v>6.4087200000000011E-2</v>
      </c>
    </row>
    <row r="17" spans="2:5" s="1" customFormat="1" ht="14.45" x14ac:dyDescent="0.3">
      <c r="C17" s="37" t="s">
        <v>236</v>
      </c>
      <c r="D17" s="37"/>
      <c r="E17" s="40">
        <v>6.7100000000000007E-2</v>
      </c>
    </row>
    <row r="18" spans="2:5" s="1" customFormat="1" ht="14.45" x14ac:dyDescent="0.3">
      <c r="C18" s="37" t="s">
        <v>237</v>
      </c>
      <c r="D18" s="37"/>
      <c r="E18" s="40">
        <v>6.4699999999999994E-2</v>
      </c>
    </row>
    <row r="19" spans="2:5" s="1" customFormat="1" ht="14.45" x14ac:dyDescent="0.3">
      <c r="C19" s="37" t="s">
        <v>87</v>
      </c>
      <c r="D19" s="37"/>
      <c r="E19" s="42">
        <v>-7806</v>
      </c>
    </row>
    <row r="20" spans="2:5" s="1" customFormat="1" ht="14.45" x14ac:dyDescent="0.3">
      <c r="C20" s="37" t="s">
        <v>97</v>
      </c>
      <c r="D20" s="37"/>
      <c r="E20" s="42">
        <v>-7823</v>
      </c>
    </row>
    <row r="21" spans="2:5" s="1" customFormat="1" ht="14.45" x14ac:dyDescent="0.3">
      <c r="C21" s="37" t="s">
        <v>61</v>
      </c>
      <c r="D21" s="37"/>
      <c r="E21" s="38">
        <v>0.5</v>
      </c>
    </row>
    <row r="22" spans="2:5" ht="18" x14ac:dyDescent="0.35">
      <c r="B22" s="34" t="s">
        <v>232</v>
      </c>
    </row>
    <row r="23" spans="2:5" s="1" customFormat="1" ht="14.45" x14ac:dyDescent="0.3">
      <c r="C23" s="37" t="s">
        <v>21</v>
      </c>
      <c r="D23" s="37"/>
      <c r="E23" s="42">
        <v>100579.27519010181</v>
      </c>
    </row>
    <row r="24" spans="2:5" s="1" customFormat="1" ht="14.45" x14ac:dyDescent="0.3">
      <c r="C24" s="37" t="s">
        <v>193</v>
      </c>
      <c r="D24" s="37"/>
      <c r="E24" s="42">
        <v>291977.14964270347</v>
      </c>
    </row>
    <row r="25" spans="2:5" s="1" customFormat="1" ht="14.45" x14ac:dyDescent="0.3">
      <c r="C25" s="37" t="s">
        <v>194</v>
      </c>
      <c r="D25" s="37"/>
      <c r="E25" s="42">
        <v>119841.09163845591</v>
      </c>
    </row>
    <row r="26" spans="2:5" s="1" customFormat="1" ht="14.45" x14ac:dyDescent="0.3">
      <c r="C26" s="37" t="s">
        <v>195</v>
      </c>
      <c r="D26" s="37"/>
      <c r="E26" s="42">
        <v>11975.287201113089</v>
      </c>
    </row>
    <row r="27" spans="2:5" s="1" customFormat="1" ht="14.45" x14ac:dyDescent="0.3">
      <c r="C27" s="37" t="str">
        <f>"Tax value - "&amp;C23</f>
        <v>Tax value - Land</v>
      </c>
      <c r="D27" s="37"/>
      <c r="E27" s="42">
        <v>100579.27519010181</v>
      </c>
    </row>
    <row r="28" spans="2:5" s="1" customFormat="1" x14ac:dyDescent="0.25">
      <c r="C28" s="37" t="str">
        <f t="shared" ref="C28:C30" si="0">"Tax value - "&amp;C24</f>
        <v>Tax value - Infrastructure &amp; Buildings</v>
      </c>
      <c r="D28" s="37"/>
      <c r="E28" s="42">
        <v>291977.14964270347</v>
      </c>
    </row>
    <row r="29" spans="2:5" s="1" customFormat="1" x14ac:dyDescent="0.25">
      <c r="C29" s="37" t="str">
        <f t="shared" si="0"/>
        <v>Tax value - Sealed Surfaces</v>
      </c>
      <c r="D29" s="37"/>
      <c r="E29" s="42">
        <v>119841.09163845591</v>
      </c>
    </row>
    <row r="30" spans="2:5" s="1" customFormat="1" x14ac:dyDescent="0.25">
      <c r="C30" s="37" t="str">
        <f t="shared" si="0"/>
        <v>Tax value - Vehicles, Plant &amp; Equipment</v>
      </c>
      <c r="D30" s="37"/>
      <c r="E30" s="42">
        <v>11975.287201113089</v>
      </c>
    </row>
    <row r="31" spans="2:5" s="1" customFormat="1" x14ac:dyDescent="0.25"/>
    <row r="32" spans="2:5" s="1" customFormat="1" x14ac:dyDescent="0.25"/>
    <row r="33" spans="1:10" ht="23.25" x14ac:dyDescent="0.35">
      <c r="A33" s="26" t="s">
        <v>221</v>
      </c>
    </row>
    <row r="34" spans="1:10" ht="18.75" x14ac:dyDescent="0.3">
      <c r="B34" s="34" t="s">
        <v>16</v>
      </c>
      <c r="E34" s="29" t="s">
        <v>11</v>
      </c>
      <c r="F34" s="29">
        <v>2018</v>
      </c>
      <c r="G34" s="29">
        <f t="shared" ref="G34" si="1">F34+1</f>
        <v>2019</v>
      </c>
      <c r="H34" s="29">
        <f t="shared" ref="H34" si="2">G34+1</f>
        <v>2020</v>
      </c>
      <c r="I34" s="29">
        <f t="shared" ref="I34" si="3">H34+1</f>
        <v>2021</v>
      </c>
      <c r="J34" s="29">
        <f t="shared" ref="J34" si="4">I34+1</f>
        <v>2022</v>
      </c>
    </row>
    <row r="35" spans="1:10" x14ac:dyDescent="0.25">
      <c r="C35" s="37" t="s">
        <v>17</v>
      </c>
      <c r="D35" s="37"/>
      <c r="E35" s="36"/>
      <c r="F35" s="42">
        <v>79035.643929949147</v>
      </c>
      <c r="G35" s="42">
        <v>82551.690307640209</v>
      </c>
      <c r="H35" s="42">
        <v>86514.560328074382</v>
      </c>
      <c r="I35" s="42">
        <v>90559.1047399042</v>
      </c>
      <c r="J35" s="42">
        <v>95531.456914526745</v>
      </c>
    </row>
    <row r="36" spans="1:10" x14ac:dyDescent="0.25">
      <c r="C36" s="37" t="s">
        <v>18</v>
      </c>
      <c r="D36" s="37"/>
      <c r="E36" s="36"/>
      <c r="F36" s="42">
        <v>12120.862259178784</v>
      </c>
      <c r="G36" s="42">
        <v>12310.613704305024</v>
      </c>
      <c r="H36" s="42">
        <v>12529.188914055556</v>
      </c>
      <c r="I36" s="42">
        <v>12743.545766313102</v>
      </c>
      <c r="J36" s="42">
        <v>12968.736681639364</v>
      </c>
    </row>
    <row r="37" spans="1:10" s="1" customFormat="1" x14ac:dyDescent="0.25">
      <c r="C37" s="37" t="s">
        <v>19</v>
      </c>
      <c r="D37" s="33"/>
      <c r="E37" s="36"/>
      <c r="F37" s="42">
        <v>0</v>
      </c>
      <c r="G37" s="42">
        <v>0</v>
      </c>
      <c r="H37" s="42">
        <v>0</v>
      </c>
      <c r="I37" s="42">
        <v>0</v>
      </c>
      <c r="J37" s="42">
        <v>0</v>
      </c>
    </row>
    <row r="38" spans="1:10" s="1" customFormat="1" x14ac:dyDescent="0.25">
      <c r="C38" s="37" t="s">
        <v>68</v>
      </c>
      <c r="D38" s="33"/>
      <c r="E38" s="36"/>
      <c r="F38" s="42">
        <v>0</v>
      </c>
      <c r="G38" s="42">
        <v>0</v>
      </c>
      <c r="H38" s="42">
        <v>0</v>
      </c>
      <c r="I38" s="42">
        <v>0</v>
      </c>
      <c r="J38" s="42">
        <v>0</v>
      </c>
    </row>
    <row r="39" spans="1:10" s="1" customFormat="1" x14ac:dyDescent="0.25">
      <c r="D39" s="22"/>
    </row>
    <row r="40" spans="1:10" s="1" customFormat="1" ht="18.75" x14ac:dyDescent="0.3">
      <c r="B40" s="34" t="s">
        <v>20</v>
      </c>
      <c r="D40" s="22"/>
      <c r="E40" s="29" t="s">
        <v>11</v>
      </c>
      <c r="F40" s="29">
        <v>2018</v>
      </c>
      <c r="G40" s="29">
        <f t="shared" ref="G40" si="5">F40+1</f>
        <v>2019</v>
      </c>
      <c r="H40" s="29">
        <f t="shared" ref="H40" si="6">G40+1</f>
        <v>2020</v>
      </c>
      <c r="I40" s="29">
        <f t="shared" ref="I40" si="7">H40+1</f>
        <v>2021</v>
      </c>
      <c r="J40" s="29">
        <f t="shared" ref="J40" si="8">I40+1</f>
        <v>2022</v>
      </c>
    </row>
    <row r="41" spans="1:10" s="1" customFormat="1" x14ac:dyDescent="0.25">
      <c r="C41" s="37" t="s">
        <v>66</v>
      </c>
      <c r="D41" s="33"/>
      <c r="E41" s="36"/>
      <c r="F41" s="42">
        <v>40765.19669380234</v>
      </c>
      <c r="G41" s="42">
        <v>37920.683678528811</v>
      </c>
      <c r="H41" s="42">
        <v>38630.272492554555</v>
      </c>
      <c r="I41" s="42">
        <v>39385.363659636321</v>
      </c>
      <c r="J41" s="42">
        <v>40157.05076450741</v>
      </c>
    </row>
    <row r="42" spans="1:10" s="1" customFormat="1" x14ac:dyDescent="0.25">
      <c r="D42" s="22"/>
    </row>
    <row r="43" spans="1:10" s="1" customFormat="1" ht="18.75" x14ac:dyDescent="0.3">
      <c r="B43" s="34" t="s">
        <v>196</v>
      </c>
      <c r="D43" s="22"/>
      <c r="E43" s="29" t="s">
        <v>11</v>
      </c>
      <c r="F43" s="29">
        <v>2018</v>
      </c>
      <c r="G43" s="29">
        <f t="shared" ref="G43" si="9">F43+1</f>
        <v>2019</v>
      </c>
      <c r="H43" s="29">
        <f t="shared" ref="H43" si="10">G43+1</f>
        <v>2020</v>
      </c>
      <c r="I43" s="29">
        <f t="shared" ref="I43" si="11">H43+1</f>
        <v>2021</v>
      </c>
      <c r="J43" s="29">
        <f t="shared" ref="J43" si="12">I43+1</f>
        <v>2022</v>
      </c>
    </row>
    <row r="44" spans="1:10" s="1" customFormat="1" x14ac:dyDescent="0.25">
      <c r="C44" s="37" t="s">
        <v>21</v>
      </c>
      <c r="D44" s="33"/>
      <c r="E44" s="42"/>
      <c r="F44" s="42">
        <v>0</v>
      </c>
      <c r="G44" s="42">
        <v>0</v>
      </c>
      <c r="H44" s="42">
        <v>0</v>
      </c>
      <c r="I44" s="42">
        <v>0</v>
      </c>
      <c r="J44" s="42">
        <v>0</v>
      </c>
    </row>
    <row r="45" spans="1:10" s="1" customFormat="1" x14ac:dyDescent="0.25">
      <c r="C45" s="37" t="s">
        <v>193</v>
      </c>
      <c r="D45" s="33"/>
      <c r="E45" s="42"/>
      <c r="F45" s="42">
        <v>9240.6306836449621</v>
      </c>
      <c r="G45" s="42">
        <v>4336.1838021383273</v>
      </c>
      <c r="H45" s="42">
        <v>12374.867755343013</v>
      </c>
      <c r="I45" s="42">
        <v>4127.3541684920237</v>
      </c>
      <c r="J45" s="42">
        <v>3116.4993508579673</v>
      </c>
    </row>
    <row r="46" spans="1:10" x14ac:dyDescent="0.25">
      <c r="C46" s="37" t="s">
        <v>194</v>
      </c>
      <c r="D46" s="37"/>
      <c r="E46" s="42"/>
      <c r="F46" s="42">
        <v>8480.4571042916577</v>
      </c>
      <c r="G46" s="42">
        <v>6397.6763202017901</v>
      </c>
      <c r="H46" s="42">
        <v>6506.5905384618391</v>
      </c>
      <c r="I46" s="42">
        <v>5283.6979667130827</v>
      </c>
      <c r="J46" s="42">
        <v>12037.99848723578</v>
      </c>
    </row>
    <row r="47" spans="1:10" x14ac:dyDescent="0.25">
      <c r="C47" s="37" t="s">
        <v>195</v>
      </c>
      <c r="D47" s="37"/>
      <c r="E47" s="42"/>
      <c r="F47" s="42">
        <v>1970.8530556869384</v>
      </c>
      <c r="G47" s="42">
        <v>1888.7628298028019</v>
      </c>
      <c r="H47" s="42">
        <v>2259.4301445910569</v>
      </c>
      <c r="I47" s="42">
        <v>2092.4095834898649</v>
      </c>
      <c r="J47" s="42">
        <v>2003.5759866786391</v>
      </c>
    </row>
    <row r="48" spans="1:10" x14ac:dyDescent="0.25">
      <c r="C48" s="37" t="s">
        <v>22</v>
      </c>
      <c r="D48" s="37"/>
      <c r="E48" s="44"/>
      <c r="F48" s="44">
        <f t="shared" ref="F48:J48" si="13">SUM(F44:F47)</f>
        <v>19691.940843623557</v>
      </c>
      <c r="G48" s="44">
        <f t="shared" si="13"/>
        <v>12622.622952142918</v>
      </c>
      <c r="H48" s="44">
        <f t="shared" si="13"/>
        <v>21140.888438395908</v>
      </c>
      <c r="I48" s="44">
        <f t="shared" si="13"/>
        <v>11503.461718694973</v>
      </c>
      <c r="J48" s="44">
        <f t="shared" si="13"/>
        <v>17158.073824772386</v>
      </c>
    </row>
    <row r="50" spans="2:10" ht="18.75" x14ac:dyDescent="0.3">
      <c r="B50" s="34" t="s">
        <v>53</v>
      </c>
      <c r="C50" s="1"/>
      <c r="D50" s="22"/>
      <c r="E50" s="29" t="s">
        <v>11</v>
      </c>
      <c r="F50" s="29">
        <v>2018</v>
      </c>
      <c r="G50" s="29">
        <f t="shared" ref="G50" si="14">F50+1</f>
        <v>2019</v>
      </c>
      <c r="H50" s="29">
        <f t="shared" ref="H50" si="15">G50+1</f>
        <v>2020</v>
      </c>
      <c r="I50" s="29">
        <f t="shared" ref="I50" si="16">H50+1</f>
        <v>2021</v>
      </c>
      <c r="J50" s="29">
        <f t="shared" ref="J50" si="17">I50+1</f>
        <v>2022</v>
      </c>
    </row>
    <row r="51" spans="2:10" x14ac:dyDescent="0.25">
      <c r="B51" s="1"/>
      <c r="C51" s="37" t="s">
        <v>21</v>
      </c>
      <c r="D51" s="33"/>
      <c r="E51" s="42"/>
      <c r="F51" s="42">
        <v>0</v>
      </c>
      <c r="G51" s="42">
        <v>0</v>
      </c>
      <c r="H51" s="42">
        <v>0</v>
      </c>
      <c r="I51" s="42">
        <v>0</v>
      </c>
      <c r="J51" s="42">
        <v>0</v>
      </c>
    </row>
    <row r="52" spans="2:10" x14ac:dyDescent="0.25">
      <c r="B52" s="1"/>
      <c r="C52" s="37" t="s">
        <v>193</v>
      </c>
      <c r="D52" s="33"/>
      <c r="E52" s="42"/>
      <c r="F52" s="42">
        <v>0</v>
      </c>
      <c r="G52" s="42">
        <v>0</v>
      </c>
      <c r="H52" s="42">
        <v>0</v>
      </c>
      <c r="I52" s="42">
        <v>0</v>
      </c>
      <c r="J52" s="42">
        <v>0</v>
      </c>
    </row>
    <row r="53" spans="2:10" x14ac:dyDescent="0.25">
      <c r="B53" s="1"/>
      <c r="C53" s="37" t="s">
        <v>194</v>
      </c>
      <c r="D53" s="37"/>
      <c r="E53" s="42"/>
      <c r="F53" s="42">
        <v>0</v>
      </c>
      <c r="G53" s="42">
        <v>0</v>
      </c>
      <c r="H53" s="42">
        <v>0</v>
      </c>
      <c r="I53" s="42">
        <v>0</v>
      </c>
      <c r="J53" s="42">
        <v>0</v>
      </c>
    </row>
    <row r="54" spans="2:10" x14ac:dyDescent="0.25">
      <c r="B54" s="1"/>
      <c r="C54" s="37" t="s">
        <v>195</v>
      </c>
      <c r="D54" s="37"/>
      <c r="E54" s="42"/>
      <c r="F54" s="42">
        <v>0</v>
      </c>
      <c r="G54" s="42">
        <v>0</v>
      </c>
      <c r="H54" s="42">
        <v>0</v>
      </c>
      <c r="I54" s="42">
        <v>0</v>
      </c>
      <c r="J54" s="42">
        <v>0</v>
      </c>
    </row>
    <row r="55" spans="2:10" x14ac:dyDescent="0.25">
      <c r="B55" s="1"/>
      <c r="C55" s="37" t="s">
        <v>22</v>
      </c>
      <c r="D55" s="37"/>
      <c r="E55" s="44"/>
      <c r="F55" s="44">
        <f t="shared" ref="F55" si="18">SUM(F51:F54)</f>
        <v>0</v>
      </c>
      <c r="G55" s="44">
        <f t="shared" ref="G55" si="19">SUM(G51:G54)</f>
        <v>0</v>
      </c>
      <c r="H55" s="44">
        <f t="shared" ref="H55" si="20">SUM(H51:H54)</f>
        <v>0</v>
      </c>
      <c r="I55" s="44">
        <f t="shared" ref="I55" si="21">SUM(I51:I54)</f>
        <v>0</v>
      </c>
      <c r="J55" s="44">
        <f t="shared" ref="J55" si="22">SUM(J51:J54)</f>
        <v>0</v>
      </c>
    </row>
    <row r="56" spans="2:10" x14ac:dyDescent="0.25">
      <c r="B56" s="1"/>
      <c r="C56" s="1"/>
      <c r="D56" s="1"/>
      <c r="E56" s="1"/>
      <c r="F56" s="1"/>
      <c r="G56" s="1"/>
      <c r="H56" s="1"/>
      <c r="I56" s="1"/>
      <c r="J56" s="1"/>
    </row>
    <row r="57" spans="2:10" ht="18.75" x14ac:dyDescent="0.3">
      <c r="B57" s="34" t="s">
        <v>227</v>
      </c>
      <c r="E57" s="29" t="s">
        <v>11</v>
      </c>
      <c r="F57" s="29">
        <v>2018</v>
      </c>
      <c r="G57" s="29">
        <f t="shared" ref="G57" si="23">F57+1</f>
        <v>2019</v>
      </c>
      <c r="H57" s="29">
        <f t="shared" ref="H57" si="24">G57+1</f>
        <v>2020</v>
      </c>
      <c r="I57" s="29">
        <f t="shared" ref="I57" si="25">H57+1</f>
        <v>2021</v>
      </c>
      <c r="J57" s="29">
        <f t="shared" ref="J57" si="26">I57+1</f>
        <v>2022</v>
      </c>
    </row>
    <row r="58" spans="2:10" s="1" customFormat="1" x14ac:dyDescent="0.25">
      <c r="C58" s="37" t="s">
        <v>21</v>
      </c>
      <c r="D58" s="37"/>
      <c r="E58" s="37"/>
      <c r="F58" s="40">
        <v>1.3900245298446466E-2</v>
      </c>
      <c r="G58" s="40">
        <v>2.0161290322580735E-2</v>
      </c>
      <c r="H58" s="40">
        <v>1.9262799374245576E-2</v>
      </c>
      <c r="I58" s="40">
        <v>2.0000000000000458E-2</v>
      </c>
      <c r="J58" s="40">
        <v>2.0000000000000236E-2</v>
      </c>
    </row>
    <row r="59" spans="2:10" s="1" customFormat="1" x14ac:dyDescent="0.25">
      <c r="C59" s="37" t="s">
        <v>193</v>
      </c>
      <c r="D59" s="37"/>
      <c r="E59" s="37"/>
      <c r="F59" s="40">
        <v>1.3900245298446466E-2</v>
      </c>
      <c r="G59" s="40">
        <v>2.0161290322580735E-2</v>
      </c>
      <c r="H59" s="40">
        <v>1.9262799374245576E-2</v>
      </c>
      <c r="I59" s="40">
        <v>2.0000000000000458E-2</v>
      </c>
      <c r="J59" s="40">
        <v>2.0000000000000236E-2</v>
      </c>
    </row>
    <row r="60" spans="2:10" s="1" customFormat="1" x14ac:dyDescent="0.25">
      <c r="C60" s="37" t="s">
        <v>194</v>
      </c>
      <c r="D60" s="37"/>
      <c r="E60" s="37"/>
      <c r="F60" s="40">
        <v>1.3900245298446466E-2</v>
      </c>
      <c r="G60" s="40">
        <v>2.0161290322580735E-2</v>
      </c>
      <c r="H60" s="40">
        <v>1.9262799374245576E-2</v>
      </c>
      <c r="I60" s="40">
        <v>2.0000000000000458E-2</v>
      </c>
      <c r="J60" s="40">
        <v>2.0000000000000236E-2</v>
      </c>
    </row>
    <row r="61" spans="2:10" s="1" customFormat="1" x14ac:dyDescent="0.25">
      <c r="C61" s="37" t="s">
        <v>195</v>
      </c>
      <c r="D61" s="37"/>
      <c r="E61" s="37"/>
      <c r="F61" s="40">
        <v>1.3900245298446466E-2</v>
      </c>
      <c r="G61" s="40">
        <v>2.0161290322580735E-2</v>
      </c>
      <c r="H61" s="40">
        <v>1.9262799374245576E-2</v>
      </c>
      <c r="I61" s="40">
        <v>2.0000000000000458E-2</v>
      </c>
      <c r="J61" s="40">
        <v>2.0000000000000236E-2</v>
      </c>
    </row>
    <row r="62" spans="2:10" s="1" customFormat="1" x14ac:dyDescent="0.25"/>
    <row r="63" spans="2:10" ht="18.75" x14ac:dyDescent="0.3">
      <c r="B63" s="34" t="s">
        <v>54</v>
      </c>
      <c r="C63" s="1"/>
      <c r="D63" s="22"/>
      <c r="E63" s="29" t="s">
        <v>11</v>
      </c>
      <c r="F63" s="29">
        <v>2018</v>
      </c>
      <c r="G63" s="29">
        <f t="shared" ref="G63" si="27">F63+1</f>
        <v>2019</v>
      </c>
      <c r="H63" s="29">
        <f t="shared" ref="H63" si="28">G63+1</f>
        <v>2020</v>
      </c>
      <c r="I63" s="29">
        <f t="shared" ref="I63" si="29">H63+1</f>
        <v>2021</v>
      </c>
      <c r="J63" s="29">
        <f t="shared" ref="J63" si="30">I63+1</f>
        <v>2022</v>
      </c>
    </row>
    <row r="64" spans="2:10" x14ac:dyDescent="0.25">
      <c r="B64" s="1"/>
      <c r="C64" s="37" t="s">
        <v>21</v>
      </c>
      <c r="D64" s="33"/>
      <c r="E64" s="42"/>
      <c r="F64" s="42">
        <v>0</v>
      </c>
      <c r="G64" s="42">
        <v>0</v>
      </c>
      <c r="H64" s="42">
        <v>0</v>
      </c>
      <c r="I64" s="42">
        <v>0</v>
      </c>
      <c r="J64" s="42">
        <v>0</v>
      </c>
    </row>
    <row r="65" spans="2:16" x14ac:dyDescent="0.25">
      <c r="B65" s="1"/>
      <c r="C65" s="37" t="s">
        <v>193</v>
      </c>
      <c r="D65" s="33"/>
      <c r="E65" s="42"/>
      <c r="F65" s="42">
        <v>0</v>
      </c>
      <c r="G65" s="42">
        <v>0</v>
      </c>
      <c r="H65" s="42">
        <v>0</v>
      </c>
      <c r="I65" s="42">
        <v>0</v>
      </c>
      <c r="J65" s="42">
        <v>0</v>
      </c>
    </row>
    <row r="66" spans="2:16" x14ac:dyDescent="0.25">
      <c r="B66" s="1"/>
      <c r="C66" s="37" t="s">
        <v>194</v>
      </c>
      <c r="D66" s="37"/>
      <c r="E66" s="42"/>
      <c r="F66" s="42">
        <v>0</v>
      </c>
      <c r="G66" s="42">
        <v>0</v>
      </c>
      <c r="H66" s="42">
        <v>0</v>
      </c>
      <c r="I66" s="42">
        <v>0</v>
      </c>
      <c r="J66" s="42">
        <v>0</v>
      </c>
    </row>
    <row r="67" spans="2:16" x14ac:dyDescent="0.25">
      <c r="B67" s="1"/>
      <c r="C67" s="37" t="s">
        <v>195</v>
      </c>
      <c r="D67" s="37"/>
      <c r="E67" s="42"/>
      <c r="F67" s="42">
        <v>0</v>
      </c>
      <c r="G67" s="42">
        <v>0</v>
      </c>
      <c r="H67" s="42">
        <v>0</v>
      </c>
      <c r="I67" s="42">
        <v>0</v>
      </c>
      <c r="J67" s="42">
        <v>0</v>
      </c>
    </row>
    <row r="68" spans="2:16" x14ac:dyDescent="0.25">
      <c r="B68" s="1"/>
      <c r="C68" s="37" t="s">
        <v>22</v>
      </c>
      <c r="D68" s="37"/>
      <c r="E68" s="44"/>
      <c r="F68" s="44">
        <f t="shared" ref="F68" si="31">SUM(F64:F67)</f>
        <v>0</v>
      </c>
      <c r="G68" s="44">
        <f t="shared" ref="G68" si="32">SUM(G64:G67)</f>
        <v>0</v>
      </c>
      <c r="H68" s="44">
        <f t="shared" ref="H68" si="33">SUM(H64:H67)</f>
        <v>0</v>
      </c>
      <c r="I68" s="44">
        <f t="shared" ref="I68" si="34">SUM(I64:I67)</f>
        <v>0</v>
      </c>
      <c r="J68" s="44">
        <f t="shared" ref="J68" si="35">SUM(J64:J67)</f>
        <v>0</v>
      </c>
    </row>
    <row r="69" spans="2:16" x14ac:dyDescent="0.25">
      <c r="B69" s="1"/>
      <c r="C69" s="1"/>
      <c r="D69" s="1"/>
      <c r="E69" s="1"/>
      <c r="F69" s="1"/>
      <c r="G69" s="1"/>
      <c r="H69" s="1"/>
      <c r="I69" s="1"/>
      <c r="J69" s="1"/>
    </row>
    <row r="70" spans="2:16" ht="18.75" x14ac:dyDescent="0.3">
      <c r="B70" s="34" t="s">
        <v>197</v>
      </c>
      <c r="C70" s="1"/>
      <c r="D70" s="22"/>
      <c r="E70" s="29" t="s">
        <v>11</v>
      </c>
      <c r="F70" s="29">
        <v>2018</v>
      </c>
      <c r="G70" s="29">
        <f t="shared" ref="G70" si="36">F70+1</f>
        <v>2019</v>
      </c>
      <c r="H70" s="29">
        <f t="shared" ref="H70" si="37">G70+1</f>
        <v>2020</v>
      </c>
      <c r="I70" s="29">
        <f t="shared" ref="I70" si="38">H70+1</f>
        <v>2021</v>
      </c>
      <c r="J70" s="29">
        <f t="shared" ref="J70" si="39">I70+1</f>
        <v>2022</v>
      </c>
    </row>
    <row r="71" spans="2:16" s="1" customFormat="1" x14ac:dyDescent="0.25">
      <c r="C71" s="37" t="s">
        <v>21</v>
      </c>
      <c r="D71" s="35"/>
      <c r="E71" s="42"/>
      <c r="F71" s="42"/>
      <c r="G71" s="42"/>
      <c r="H71" s="42"/>
      <c r="I71" s="42"/>
      <c r="J71" s="42"/>
    </row>
    <row r="72" spans="2:16" x14ac:dyDescent="0.25">
      <c r="B72" s="1"/>
      <c r="C72" s="37" t="s">
        <v>193</v>
      </c>
      <c r="D72" s="33"/>
      <c r="E72" s="42"/>
      <c r="F72" s="42">
        <v>15251.794198800178</v>
      </c>
      <c r="G72" s="42">
        <v>13014.713042998728</v>
      </c>
      <c r="H72" s="42">
        <v>14397.750610354942</v>
      </c>
      <c r="I72" s="42">
        <v>16100.145730324559</v>
      </c>
      <c r="J72" s="42">
        <v>16347.590652316409</v>
      </c>
    </row>
    <row r="73" spans="2:16" x14ac:dyDescent="0.25">
      <c r="B73" s="1"/>
      <c r="C73" s="37" t="s">
        <v>194</v>
      </c>
      <c r="D73" s="37"/>
      <c r="E73" s="42"/>
      <c r="F73" s="42">
        <v>3672.1036218341469</v>
      </c>
      <c r="G73" s="42">
        <v>4319.6787614284858</v>
      </c>
      <c r="H73" s="42">
        <v>5021.9522288982243</v>
      </c>
      <c r="I73" s="42">
        <v>5494.2315353399263</v>
      </c>
      <c r="J73" s="42">
        <v>5260.5217783666212</v>
      </c>
    </row>
    <row r="74" spans="2:16" x14ac:dyDescent="0.25">
      <c r="B74" s="1"/>
      <c r="C74" s="37" t="s">
        <v>195</v>
      </c>
      <c r="D74" s="37"/>
      <c r="E74" s="42"/>
      <c r="F74" s="42">
        <v>2044.4059009855901</v>
      </c>
      <c r="G74" s="42">
        <v>2239.244815531426</v>
      </c>
      <c r="H74" s="42">
        <v>2490.0219671679602</v>
      </c>
      <c r="I74" s="42">
        <v>2901.3601734254644</v>
      </c>
      <c r="J74" s="42">
        <v>2610.6316113775524</v>
      </c>
    </row>
    <row r="75" spans="2:16" x14ac:dyDescent="0.25">
      <c r="B75" s="1"/>
      <c r="C75" s="37" t="s">
        <v>22</v>
      </c>
      <c r="D75" s="37"/>
      <c r="E75" s="44"/>
      <c r="F75" s="44">
        <f t="shared" ref="F75:J75" si="40">SUM(F72:F74)</f>
        <v>20968.303721619915</v>
      </c>
      <c r="G75" s="44">
        <f t="shared" si="40"/>
        <v>19573.636619958641</v>
      </c>
      <c r="H75" s="44">
        <f t="shared" si="40"/>
        <v>21909.724806421124</v>
      </c>
      <c r="I75" s="44">
        <f t="shared" si="40"/>
        <v>24495.737439089949</v>
      </c>
      <c r="J75" s="44">
        <f t="shared" si="40"/>
        <v>24218.744042060585</v>
      </c>
    </row>
    <row r="76" spans="2:16" x14ac:dyDescent="0.25">
      <c r="B76" s="1"/>
      <c r="C76" s="1"/>
      <c r="D76" s="1"/>
      <c r="E76" s="1"/>
      <c r="F76" s="1"/>
      <c r="G76" s="1"/>
      <c r="H76" s="1"/>
      <c r="I76" s="1"/>
      <c r="J76" s="1"/>
    </row>
    <row r="77" spans="2:16" ht="18.75" x14ac:dyDescent="0.3">
      <c r="B77" s="34" t="s">
        <v>43</v>
      </c>
      <c r="C77" s="1"/>
      <c r="D77" s="22"/>
      <c r="E77" s="29" t="s">
        <v>11</v>
      </c>
      <c r="F77" s="29">
        <v>2018</v>
      </c>
      <c r="G77" s="29">
        <f t="shared" ref="G77" si="41">F77+1</f>
        <v>2019</v>
      </c>
      <c r="H77" s="29">
        <f t="shared" ref="H77" si="42">G77+1</f>
        <v>2020</v>
      </c>
      <c r="I77" s="29">
        <f t="shared" ref="I77" si="43">H77+1</f>
        <v>2021</v>
      </c>
      <c r="J77" s="29">
        <f t="shared" ref="J77" si="44">I77+1</f>
        <v>2022</v>
      </c>
    </row>
    <row r="78" spans="2:16" s="1" customFormat="1" x14ac:dyDescent="0.25">
      <c r="C78" s="37" t="s">
        <v>21</v>
      </c>
      <c r="D78" s="35"/>
      <c r="E78" s="42"/>
      <c r="F78" s="42"/>
      <c r="G78" s="42"/>
      <c r="H78" s="42"/>
      <c r="I78" s="42"/>
      <c r="J78" s="42"/>
    </row>
    <row r="79" spans="2:16" x14ac:dyDescent="0.25">
      <c r="B79" s="1"/>
      <c r="C79" s="37" t="s">
        <v>193</v>
      </c>
      <c r="D79" s="33"/>
      <c r="E79" s="42"/>
      <c r="F79" s="42">
        <v>13386.807644494809</v>
      </c>
      <c r="G79" s="42">
        <v>13277.722191423716</v>
      </c>
      <c r="H79" s="42">
        <v>11278.353190756223</v>
      </c>
      <c r="I79" s="42">
        <v>11144.524378756729</v>
      </c>
      <c r="J79" s="42">
        <v>9030.8822906085588</v>
      </c>
      <c r="L79" s="136"/>
      <c r="M79" s="136"/>
      <c r="N79" s="136"/>
      <c r="O79" s="136"/>
      <c r="P79" s="136"/>
    </row>
    <row r="80" spans="2:16" x14ac:dyDescent="0.25">
      <c r="B80" s="1"/>
      <c r="C80" s="37" t="s">
        <v>194</v>
      </c>
      <c r="D80" s="37"/>
      <c r="E80" s="42"/>
      <c r="F80" s="42">
        <v>3386.5402291030832</v>
      </c>
      <c r="G80" s="42">
        <v>3875.4339185857334</v>
      </c>
      <c r="H80" s="42">
        <v>3367.2832136031452</v>
      </c>
      <c r="I80" s="42">
        <v>3494.9065067576948</v>
      </c>
      <c r="J80" s="42">
        <v>3636.4165303678601</v>
      </c>
      <c r="L80" s="136"/>
      <c r="M80" s="136"/>
      <c r="N80" s="136"/>
      <c r="O80" s="136"/>
      <c r="P80" s="136"/>
    </row>
    <row r="81" spans="2:16" x14ac:dyDescent="0.25">
      <c r="B81" s="1"/>
      <c r="C81" s="37" t="s">
        <v>195</v>
      </c>
      <c r="D81" s="37"/>
      <c r="E81" s="42"/>
      <c r="F81" s="42">
        <v>2585.463948498335</v>
      </c>
      <c r="G81" s="42">
        <v>2792.9686904597179</v>
      </c>
      <c r="H81" s="42">
        <v>2797.0703062288439</v>
      </c>
      <c r="I81" s="42">
        <v>2614.2194780081327</v>
      </c>
      <c r="J81" s="42">
        <v>2536.3895469084468</v>
      </c>
      <c r="L81" s="136"/>
      <c r="M81" s="136"/>
      <c r="N81" s="136"/>
      <c r="O81" s="136"/>
      <c r="P81" s="136"/>
    </row>
    <row r="82" spans="2:16" x14ac:dyDescent="0.25">
      <c r="B82" s="1"/>
      <c r="C82" s="37" t="s">
        <v>22</v>
      </c>
      <c r="D82" s="37"/>
      <c r="E82" s="44"/>
      <c r="F82" s="44">
        <f t="shared" ref="F82:J82" si="45">SUM(F79:F81)</f>
        <v>19358.811822096228</v>
      </c>
      <c r="G82" s="44">
        <f t="shared" si="45"/>
        <v>19946.124800469166</v>
      </c>
      <c r="H82" s="44">
        <f t="shared" si="45"/>
        <v>17442.706710588212</v>
      </c>
      <c r="I82" s="44">
        <f t="shared" si="45"/>
        <v>17253.650363522556</v>
      </c>
      <c r="J82" s="44">
        <f t="shared" si="45"/>
        <v>15203.688367884866</v>
      </c>
    </row>
    <row r="83" spans="2:16" s="1" customFormat="1" x14ac:dyDescent="0.25">
      <c r="C83" s="37"/>
      <c r="D83" s="37"/>
      <c r="E83" s="44"/>
      <c r="F83" s="44"/>
      <c r="G83" s="44"/>
      <c r="H83" s="44"/>
      <c r="I83" s="44"/>
      <c r="J83" s="44"/>
    </row>
    <row r="84" spans="2:16" s="1" customFormat="1" ht="18.75" x14ac:dyDescent="0.3">
      <c r="B84" s="34" t="s">
        <v>198</v>
      </c>
      <c r="D84" s="22"/>
      <c r="E84" s="29" t="s">
        <v>11</v>
      </c>
      <c r="F84" s="29">
        <v>2018</v>
      </c>
      <c r="G84" s="29">
        <f t="shared" ref="G84" si="46">F84+1</f>
        <v>2019</v>
      </c>
      <c r="H84" s="29">
        <f t="shared" ref="H84" si="47">G84+1</f>
        <v>2020</v>
      </c>
      <c r="I84" s="29">
        <f t="shared" ref="I84" si="48">H84+1</f>
        <v>2021</v>
      </c>
      <c r="J84" s="29">
        <f t="shared" ref="J84" si="49">I84+1</f>
        <v>2022</v>
      </c>
    </row>
    <row r="85" spans="2:16" s="1" customFormat="1" x14ac:dyDescent="0.25">
      <c r="C85" s="37" t="s">
        <v>21</v>
      </c>
      <c r="D85" s="35"/>
      <c r="E85" s="42"/>
      <c r="F85" s="42">
        <v>0</v>
      </c>
      <c r="G85" s="42">
        <v>0</v>
      </c>
      <c r="H85" s="42">
        <v>0</v>
      </c>
      <c r="I85" s="42">
        <v>0</v>
      </c>
      <c r="J85" s="42">
        <v>0</v>
      </c>
    </row>
    <row r="86" spans="2:16" s="1" customFormat="1" x14ac:dyDescent="0.25">
      <c r="C86" s="37" t="s">
        <v>193</v>
      </c>
      <c r="D86" s="35"/>
      <c r="E86" s="42"/>
      <c r="F86" s="42">
        <v>0</v>
      </c>
      <c r="G86" s="42">
        <v>0</v>
      </c>
      <c r="H86" s="42">
        <v>0</v>
      </c>
      <c r="I86" s="42">
        <v>0</v>
      </c>
      <c r="J86" s="42">
        <v>0</v>
      </c>
    </row>
    <row r="87" spans="2:16" s="1" customFormat="1" x14ac:dyDescent="0.25">
      <c r="C87" s="37" t="s">
        <v>194</v>
      </c>
      <c r="D87" s="37"/>
      <c r="E87" s="42"/>
      <c r="F87" s="42">
        <v>0</v>
      </c>
      <c r="G87" s="42">
        <v>0</v>
      </c>
      <c r="H87" s="42">
        <v>0</v>
      </c>
      <c r="I87" s="42">
        <v>0</v>
      </c>
      <c r="J87" s="42">
        <v>0</v>
      </c>
    </row>
    <row r="88" spans="2:16" s="1" customFormat="1" x14ac:dyDescent="0.25">
      <c r="C88" s="37" t="s">
        <v>195</v>
      </c>
      <c r="D88" s="37"/>
      <c r="E88" s="42"/>
      <c r="F88" s="42">
        <v>0</v>
      </c>
      <c r="G88" s="42">
        <v>0</v>
      </c>
      <c r="H88" s="42">
        <v>0</v>
      </c>
      <c r="I88" s="42">
        <v>0</v>
      </c>
      <c r="J88" s="42">
        <v>0</v>
      </c>
    </row>
    <row r="89" spans="2:16" s="1" customFormat="1" x14ac:dyDescent="0.25">
      <c r="C89" s="37" t="s">
        <v>22</v>
      </c>
      <c r="D89" s="37"/>
      <c r="E89" s="44"/>
      <c r="F89" s="44">
        <f t="shared" ref="F89" si="50">SUM(F86:F88)</f>
        <v>0</v>
      </c>
      <c r="G89" s="44">
        <f t="shared" ref="G89" si="51">SUM(G86:G88)</f>
        <v>0</v>
      </c>
      <c r="H89" s="44">
        <f t="shared" ref="H89" si="52">SUM(H86:H88)</f>
        <v>0</v>
      </c>
      <c r="I89" s="44">
        <f t="shared" ref="I89" si="53">SUM(I86:I88)</f>
        <v>0</v>
      </c>
      <c r="J89" s="44">
        <f t="shared" ref="J89" si="54">SUM(J86:J88)</f>
        <v>0</v>
      </c>
    </row>
    <row r="90" spans="2:16" x14ac:dyDescent="0.25">
      <c r="B90" s="1"/>
      <c r="C90" s="1"/>
      <c r="D90" s="1"/>
      <c r="E90" s="1"/>
      <c r="F90" s="1"/>
      <c r="G90" s="1"/>
      <c r="H90" s="1"/>
      <c r="I90" s="1"/>
      <c r="J90" s="1"/>
    </row>
    <row r="91" spans="2:16" ht="18.75" x14ac:dyDescent="0.3">
      <c r="B91" s="34" t="s">
        <v>23</v>
      </c>
      <c r="E91" s="29" t="s">
        <v>11</v>
      </c>
      <c r="F91" s="29">
        <v>2018</v>
      </c>
      <c r="G91" s="29">
        <f t="shared" ref="G91" si="55">F91+1</f>
        <v>2019</v>
      </c>
      <c r="H91" s="29">
        <f t="shared" ref="H91" si="56">G91+1</f>
        <v>2020</v>
      </c>
      <c r="I91" s="29">
        <f t="shared" ref="I91" si="57">H91+1</f>
        <v>2021</v>
      </c>
      <c r="J91" s="29">
        <f t="shared" ref="J91" si="58">I91+1</f>
        <v>2022</v>
      </c>
    </row>
    <row r="92" spans="2:16" x14ac:dyDescent="0.25">
      <c r="C92" s="37" t="s">
        <v>24</v>
      </c>
      <c r="D92" s="33"/>
      <c r="E92" s="42"/>
      <c r="F92" s="42">
        <v>0</v>
      </c>
      <c r="G92" s="42">
        <v>0</v>
      </c>
      <c r="H92" s="42">
        <v>0</v>
      </c>
      <c r="I92" s="42">
        <v>0</v>
      </c>
      <c r="J92" s="42">
        <v>0</v>
      </c>
    </row>
    <row r="93" spans="2:16" x14ac:dyDescent="0.25">
      <c r="C93" s="37" t="s">
        <v>25</v>
      </c>
      <c r="D93" s="33"/>
      <c r="E93" s="42"/>
      <c r="F93" s="42">
        <v>0</v>
      </c>
      <c r="G93" s="42">
        <v>0</v>
      </c>
      <c r="H93" s="42">
        <v>0</v>
      </c>
      <c r="I93" s="42">
        <v>0</v>
      </c>
      <c r="J93" s="42">
        <v>0</v>
      </c>
    </row>
    <row r="94" spans="2:16" x14ac:dyDescent="0.25">
      <c r="C94" s="37" t="s">
        <v>26</v>
      </c>
      <c r="D94" s="37"/>
      <c r="E94" s="42"/>
      <c r="F94" s="42">
        <v>0</v>
      </c>
      <c r="G94" s="42">
        <v>0</v>
      </c>
      <c r="H94" s="42">
        <v>0</v>
      </c>
      <c r="I94" s="42">
        <v>0</v>
      </c>
      <c r="J94" s="42">
        <v>0</v>
      </c>
    </row>
    <row r="95" spans="2:16" x14ac:dyDescent="0.25">
      <c r="C95" s="37" t="s">
        <v>27</v>
      </c>
      <c r="D95" s="37"/>
      <c r="E95" s="42"/>
      <c r="F95" s="42">
        <v>0</v>
      </c>
      <c r="G95" s="42">
        <v>0</v>
      </c>
      <c r="H95" s="42">
        <v>0</v>
      </c>
      <c r="I95" s="42">
        <v>0</v>
      </c>
      <c r="J95" s="42">
        <v>0</v>
      </c>
    </row>
    <row r="96" spans="2:16" x14ac:dyDescent="0.25">
      <c r="C96" s="37" t="s">
        <v>28</v>
      </c>
      <c r="D96" s="37"/>
      <c r="E96" s="42"/>
      <c r="F96" s="42">
        <v>0</v>
      </c>
      <c r="G96" s="42">
        <v>0</v>
      </c>
      <c r="H96" s="42">
        <v>0</v>
      </c>
      <c r="I96" s="42">
        <v>0</v>
      </c>
      <c r="J96" s="42">
        <v>0</v>
      </c>
    </row>
    <row r="97" spans="1:10" s="1" customFormat="1" ht="18.75" x14ac:dyDescent="0.3">
      <c r="B97" s="34" t="s">
        <v>164</v>
      </c>
      <c r="C97" s="37"/>
      <c r="D97" s="37"/>
      <c r="E97" s="29" t="s">
        <v>11</v>
      </c>
      <c r="F97" s="29">
        <v>2018</v>
      </c>
      <c r="G97" s="29">
        <f t="shared" ref="G97" si="59">F97+1</f>
        <v>2019</v>
      </c>
      <c r="H97" s="29">
        <f t="shared" ref="H97" si="60">G97+1</f>
        <v>2020</v>
      </c>
      <c r="I97" s="29">
        <f t="shared" ref="I97" si="61">H97+1</f>
        <v>2021</v>
      </c>
      <c r="J97" s="29">
        <f t="shared" ref="J97" si="62">I97+1</f>
        <v>2022</v>
      </c>
    </row>
    <row r="98" spans="1:10" s="1" customFormat="1" x14ac:dyDescent="0.25">
      <c r="C98" s="37" t="s">
        <v>165</v>
      </c>
      <c r="D98" s="37"/>
      <c r="E98" s="42"/>
      <c r="F98" s="42">
        <v>6694.5779999999995</v>
      </c>
      <c r="G98" s="42">
        <v>6882.2119999999995</v>
      </c>
      <c r="H98" s="42">
        <v>7077.6790000000001</v>
      </c>
      <c r="I98" s="42">
        <v>7272.7929999999997</v>
      </c>
      <c r="J98" s="42">
        <v>7472.2479999999996</v>
      </c>
    </row>
    <row r="99" spans="1:10" s="1" customFormat="1" x14ac:dyDescent="0.25"/>
    <row r="100" spans="1:10" s="1" customFormat="1" ht="23.25" x14ac:dyDescent="0.35">
      <c r="A100" s="26" t="s">
        <v>180</v>
      </c>
    </row>
    <row r="102" spans="1:10" s="1" customFormat="1" ht="18.75" x14ac:dyDescent="0.3">
      <c r="B102" s="34" t="s">
        <v>228</v>
      </c>
      <c r="D102" s="22"/>
      <c r="E102" s="29" t="s">
        <v>102</v>
      </c>
      <c r="F102" s="29">
        <v>2018</v>
      </c>
      <c r="G102" s="29">
        <f t="shared" ref="G102" si="63">F102+1</f>
        <v>2019</v>
      </c>
      <c r="H102" s="29">
        <f t="shared" ref="H102" si="64">G102+1</f>
        <v>2020</v>
      </c>
      <c r="I102" s="29">
        <f t="shared" ref="I102" si="65">H102+1</f>
        <v>2021</v>
      </c>
      <c r="J102" s="29">
        <f t="shared" ref="J102" si="66">I102+1</f>
        <v>2022</v>
      </c>
    </row>
    <row r="103" spans="1:10" s="1" customFormat="1" x14ac:dyDescent="0.25">
      <c r="C103" s="37" t="s">
        <v>21</v>
      </c>
      <c r="D103" s="70"/>
      <c r="E103" s="42">
        <v>2</v>
      </c>
      <c r="F103" s="42">
        <f t="shared" ref="F103:J106" si="67">F44*110%</f>
        <v>0</v>
      </c>
      <c r="G103" s="42">
        <f t="shared" si="67"/>
        <v>0</v>
      </c>
      <c r="H103" s="42">
        <f t="shared" si="67"/>
        <v>0</v>
      </c>
      <c r="I103" s="42">
        <f t="shared" si="67"/>
        <v>0</v>
      </c>
      <c r="J103" s="42">
        <f t="shared" si="67"/>
        <v>0</v>
      </c>
    </row>
    <row r="104" spans="1:10" s="1" customFormat="1" x14ac:dyDescent="0.25">
      <c r="C104" s="37" t="s">
        <v>193</v>
      </c>
      <c r="D104" s="70"/>
      <c r="E104" s="42">
        <v>2</v>
      </c>
      <c r="F104" s="42">
        <f t="shared" si="67"/>
        <v>10164.69375200946</v>
      </c>
      <c r="G104" s="42">
        <f t="shared" si="67"/>
        <v>4769.8021823521603</v>
      </c>
      <c r="H104" s="42">
        <f t="shared" si="67"/>
        <v>13612.354530877315</v>
      </c>
      <c r="I104" s="42">
        <f t="shared" si="67"/>
        <v>4540.0895853412267</v>
      </c>
      <c r="J104" s="42">
        <f t="shared" si="67"/>
        <v>3428.1492859437644</v>
      </c>
    </row>
    <row r="105" spans="1:10" s="1" customFormat="1" x14ac:dyDescent="0.25">
      <c r="C105" s="37" t="s">
        <v>194</v>
      </c>
      <c r="D105" s="37"/>
      <c r="E105" s="42">
        <v>2</v>
      </c>
      <c r="F105" s="42">
        <f t="shared" si="67"/>
        <v>9328.502814720825</v>
      </c>
      <c r="G105" s="42">
        <f t="shared" si="67"/>
        <v>7037.44395222197</v>
      </c>
      <c r="H105" s="42">
        <f t="shared" si="67"/>
        <v>7157.2495923080232</v>
      </c>
      <c r="I105" s="42">
        <f t="shared" si="67"/>
        <v>5812.0677633843916</v>
      </c>
      <c r="J105" s="42">
        <f t="shared" si="67"/>
        <v>13241.798335959358</v>
      </c>
    </row>
    <row r="106" spans="1:10" s="1" customFormat="1" x14ac:dyDescent="0.25">
      <c r="C106" s="37" t="s">
        <v>195</v>
      </c>
      <c r="D106" s="37"/>
      <c r="E106" s="42">
        <v>2</v>
      </c>
      <c r="F106" s="42">
        <f t="shared" si="67"/>
        <v>2167.9383612556326</v>
      </c>
      <c r="G106" s="42">
        <f t="shared" si="67"/>
        <v>2077.6391127830821</v>
      </c>
      <c r="H106" s="42">
        <f t="shared" si="67"/>
        <v>2485.3731590501629</v>
      </c>
      <c r="I106" s="42">
        <f t="shared" si="67"/>
        <v>2301.6505418388515</v>
      </c>
      <c r="J106" s="42">
        <f t="shared" si="67"/>
        <v>2203.9335853465032</v>
      </c>
    </row>
    <row r="107" spans="1:10" s="1" customFormat="1" x14ac:dyDescent="0.25">
      <c r="C107" s="37" t="s">
        <v>22</v>
      </c>
      <c r="D107" s="37"/>
      <c r="E107" s="44"/>
      <c r="F107" s="44">
        <f t="shared" ref="F107:J107" si="68">SUM(F103:F106)</f>
        <v>21661.134927985921</v>
      </c>
      <c r="G107" s="44">
        <f t="shared" si="68"/>
        <v>13884.885247357211</v>
      </c>
      <c r="H107" s="44">
        <f t="shared" si="68"/>
        <v>23254.977282235501</v>
      </c>
      <c r="I107" s="44">
        <f t="shared" si="68"/>
        <v>12653.807890564469</v>
      </c>
      <c r="J107" s="44">
        <f t="shared" si="68"/>
        <v>18873.881207249626</v>
      </c>
    </row>
    <row r="109" spans="1:10" ht="18.75" x14ac:dyDescent="0.3">
      <c r="B109" s="34" t="s">
        <v>229</v>
      </c>
      <c r="E109" s="29" t="s">
        <v>102</v>
      </c>
      <c r="F109" s="29">
        <v>2018</v>
      </c>
      <c r="G109" s="29">
        <f t="shared" ref="G109" si="69">F109+1</f>
        <v>2019</v>
      </c>
      <c r="H109" s="29">
        <f t="shared" ref="H109" si="70">G109+1</f>
        <v>2020</v>
      </c>
      <c r="I109" s="29">
        <f t="shared" ref="I109" si="71">H109+1</f>
        <v>2021</v>
      </c>
      <c r="J109" s="29">
        <f t="shared" ref="J109" si="72">I109+1</f>
        <v>2022</v>
      </c>
    </row>
    <row r="110" spans="1:10" s="1" customFormat="1" x14ac:dyDescent="0.25">
      <c r="C110" s="37" t="s">
        <v>21</v>
      </c>
      <c r="D110" s="70"/>
      <c r="E110" s="42">
        <v>3</v>
      </c>
      <c r="F110" s="42">
        <f t="shared" ref="F110:J113" si="73">F44*90%</f>
        <v>0</v>
      </c>
      <c r="G110" s="42">
        <f t="shared" si="73"/>
        <v>0</v>
      </c>
      <c r="H110" s="42">
        <f t="shared" si="73"/>
        <v>0</v>
      </c>
      <c r="I110" s="42">
        <f t="shared" si="73"/>
        <v>0</v>
      </c>
      <c r="J110" s="42">
        <f t="shared" si="73"/>
        <v>0</v>
      </c>
    </row>
    <row r="111" spans="1:10" s="1" customFormat="1" x14ac:dyDescent="0.25">
      <c r="C111" s="37" t="s">
        <v>193</v>
      </c>
      <c r="D111" s="70"/>
      <c r="E111" s="42">
        <v>3</v>
      </c>
      <c r="F111" s="42">
        <f t="shared" si="73"/>
        <v>8316.5676152804663</v>
      </c>
      <c r="G111" s="42">
        <f t="shared" si="73"/>
        <v>3902.5654219244948</v>
      </c>
      <c r="H111" s="42">
        <f t="shared" si="73"/>
        <v>11137.380979808713</v>
      </c>
      <c r="I111" s="42">
        <f t="shared" si="73"/>
        <v>3714.6187516428213</v>
      </c>
      <c r="J111" s="42">
        <f t="shared" si="73"/>
        <v>2804.8494157721707</v>
      </c>
    </row>
    <row r="112" spans="1:10" s="1" customFormat="1" x14ac:dyDescent="0.25">
      <c r="C112" s="37" t="s">
        <v>194</v>
      </c>
      <c r="D112" s="37"/>
      <c r="E112" s="42">
        <v>3</v>
      </c>
      <c r="F112" s="42">
        <f t="shared" si="73"/>
        <v>7632.4113938624923</v>
      </c>
      <c r="G112" s="42">
        <f t="shared" si="73"/>
        <v>5757.9086881816111</v>
      </c>
      <c r="H112" s="42">
        <f t="shared" si="73"/>
        <v>5855.9314846156549</v>
      </c>
      <c r="I112" s="42">
        <f t="shared" si="73"/>
        <v>4755.3281700417747</v>
      </c>
      <c r="J112" s="42">
        <f t="shared" si="73"/>
        <v>10834.198638512202</v>
      </c>
    </row>
    <row r="113" spans="1:10" s="1" customFormat="1" x14ac:dyDescent="0.25">
      <c r="C113" s="37" t="s">
        <v>195</v>
      </c>
      <c r="D113" s="37"/>
      <c r="E113" s="42">
        <v>3</v>
      </c>
      <c r="F113" s="42">
        <f t="shared" si="73"/>
        <v>1773.7677501182445</v>
      </c>
      <c r="G113" s="42">
        <f t="shared" si="73"/>
        <v>1699.8865468225217</v>
      </c>
      <c r="H113" s="42">
        <f t="shared" si="73"/>
        <v>2033.4871301319513</v>
      </c>
      <c r="I113" s="42">
        <f t="shared" si="73"/>
        <v>1883.1686251408785</v>
      </c>
      <c r="J113" s="42">
        <f t="shared" si="73"/>
        <v>1803.2183880107752</v>
      </c>
    </row>
    <row r="114" spans="1:10" s="1" customFormat="1" x14ac:dyDescent="0.25">
      <c r="C114" s="37" t="s">
        <v>22</v>
      </c>
      <c r="D114" s="37"/>
      <c r="E114" s="44"/>
      <c r="F114" s="44">
        <f t="shared" ref="F114:J114" si="74">SUM(F110:F113)</f>
        <v>17722.746759261205</v>
      </c>
      <c r="G114" s="44">
        <f t="shared" si="74"/>
        <v>11360.360656928628</v>
      </c>
      <c r="H114" s="44">
        <f t="shared" si="74"/>
        <v>19026.79959455632</v>
      </c>
      <c r="I114" s="44">
        <f t="shared" si="74"/>
        <v>10353.115546825475</v>
      </c>
      <c r="J114" s="44">
        <f t="shared" si="74"/>
        <v>15442.266442295147</v>
      </c>
    </row>
    <row r="116" spans="1:10" s="1" customFormat="1" ht="23.25" x14ac:dyDescent="0.35">
      <c r="A116" s="26"/>
      <c r="B116" s="34" t="s">
        <v>230</v>
      </c>
      <c r="E116" s="29" t="s">
        <v>102</v>
      </c>
      <c r="F116" s="29">
        <v>2018</v>
      </c>
      <c r="G116" s="29">
        <f t="shared" ref="G116" si="75">F116+1</f>
        <v>2019</v>
      </c>
      <c r="H116" s="29">
        <f t="shared" ref="H116" si="76">G116+1</f>
        <v>2020</v>
      </c>
      <c r="I116" s="29">
        <f t="shared" ref="I116" si="77">H116+1</f>
        <v>2021</v>
      </c>
      <c r="J116" s="29">
        <f t="shared" ref="J116" si="78">I116+1</f>
        <v>2022</v>
      </c>
    </row>
    <row r="117" spans="1:10" s="1" customFormat="1" x14ac:dyDescent="0.25">
      <c r="C117" s="37" t="s">
        <v>136</v>
      </c>
      <c r="D117" s="37"/>
      <c r="E117" s="36">
        <v>4</v>
      </c>
      <c r="F117" s="42">
        <f>F41*110%</f>
        <v>44841.716363182575</v>
      </c>
      <c r="G117" s="42">
        <f>G41*110%</f>
        <v>41712.752046381698</v>
      </c>
      <c r="H117" s="42">
        <f>H41*110%</f>
        <v>42493.299741810013</v>
      </c>
      <c r="I117" s="42">
        <f>I41*110%</f>
        <v>43323.900025599956</v>
      </c>
      <c r="J117" s="42">
        <f>J41*110%</f>
        <v>44172.755840958154</v>
      </c>
    </row>
    <row r="119" spans="1:10" s="1" customFormat="1" ht="23.25" x14ac:dyDescent="0.35">
      <c r="A119" s="26"/>
      <c r="B119" s="34" t="s">
        <v>231</v>
      </c>
      <c r="E119" s="29" t="s">
        <v>102</v>
      </c>
      <c r="F119" s="29">
        <v>2018</v>
      </c>
      <c r="G119" s="29">
        <f t="shared" ref="G119" si="79">F119+1</f>
        <v>2019</v>
      </c>
      <c r="H119" s="29">
        <f t="shared" ref="H119" si="80">G119+1</f>
        <v>2020</v>
      </c>
      <c r="I119" s="29">
        <f t="shared" ref="I119" si="81">H119+1</f>
        <v>2021</v>
      </c>
      <c r="J119" s="29">
        <f t="shared" ref="J119" si="82">I119+1</f>
        <v>2022</v>
      </c>
    </row>
    <row r="120" spans="1:10" s="1" customFormat="1" x14ac:dyDescent="0.25">
      <c r="C120" s="37" t="s">
        <v>136</v>
      </c>
      <c r="D120" s="37"/>
      <c r="E120" s="36">
        <v>5</v>
      </c>
      <c r="F120" s="42">
        <f>F41*90%</f>
        <v>36688.677024422104</v>
      </c>
      <c r="G120" s="42">
        <f>G41*90%</f>
        <v>34128.61531067593</v>
      </c>
      <c r="H120" s="42">
        <f>H41*90%</f>
        <v>34767.245243299098</v>
      </c>
      <c r="I120" s="42">
        <f>I41*90%</f>
        <v>35446.827293672693</v>
      </c>
      <c r="J120" s="42">
        <f>J41*90%</f>
        <v>36141.345688056674</v>
      </c>
    </row>
  </sheetData>
  <sheetProtection formatColumns="0" formatRows="0"/>
  <sortState ref="B5:E33">
    <sortCondition ref="B5:B33"/>
  </sortState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93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4.7109375" style="1" customWidth="1"/>
    <col min="2" max="2" width="3.28515625" style="1" customWidth="1"/>
    <col min="3" max="3" width="7" style="1" customWidth="1"/>
    <col min="4" max="4" width="36.5703125" style="1" customWidth="1"/>
    <col min="5" max="5" width="10.28515625" style="1" customWidth="1"/>
    <col min="6" max="8" width="9.140625" style="1" customWidth="1"/>
    <col min="9" max="9" width="9.28515625" style="1" customWidth="1"/>
    <col min="10" max="10" width="8.85546875" style="1"/>
    <col min="11" max="11" width="6" style="1" customWidth="1"/>
    <col min="12" max="16384" width="8.85546875" style="1"/>
  </cols>
  <sheetData>
    <row r="1" spans="1:5" ht="25.9" x14ac:dyDescent="0.5">
      <c r="A1" s="18" t="s">
        <v>29</v>
      </c>
      <c r="E1" s="27"/>
    </row>
    <row r="2" spans="1:5" ht="14.45" x14ac:dyDescent="0.3">
      <c r="A2" s="73" t="s">
        <v>192</v>
      </c>
    </row>
    <row r="3" spans="1:5" ht="14.45" x14ac:dyDescent="0.3">
      <c r="C3" s="97"/>
      <c r="D3" s="29"/>
      <c r="E3" s="98" t="s">
        <v>137</v>
      </c>
    </row>
    <row r="4" spans="1:5" ht="14.45" x14ac:dyDescent="0.3">
      <c r="C4" s="78" t="s">
        <v>102</v>
      </c>
      <c r="D4" s="99"/>
      <c r="E4" s="108" t="str">
        <f>Output!C4</f>
        <v>1</v>
      </c>
    </row>
    <row r="5" spans="1:5" ht="14.45" x14ac:dyDescent="0.3">
      <c r="C5" s="78" t="s">
        <v>139</v>
      </c>
      <c r="D5" s="99"/>
      <c r="E5" s="100" t="s">
        <v>140</v>
      </c>
    </row>
    <row r="8" spans="1:5" ht="21" x14ac:dyDescent="0.4">
      <c r="A8" s="41" t="s">
        <v>30</v>
      </c>
      <c r="E8" s="29" t="s">
        <v>11</v>
      </c>
    </row>
    <row r="9" spans="1:5" ht="14.45" x14ac:dyDescent="0.3">
      <c r="B9" s="37" t="s">
        <v>212</v>
      </c>
      <c r="C9" s="37"/>
      <c r="D9" s="37"/>
      <c r="E9" s="45">
        <f>Inputs!E6</f>
        <v>2018</v>
      </c>
    </row>
    <row r="10" spans="1:5" ht="14.45" x14ac:dyDescent="0.3">
      <c r="B10" s="37" t="s">
        <v>211</v>
      </c>
      <c r="C10" s="37"/>
      <c r="D10" s="37"/>
      <c r="E10" s="46">
        <f>Inputs!E7</f>
        <v>42917</v>
      </c>
    </row>
    <row r="11" spans="1:5" ht="14.45" x14ac:dyDescent="0.3">
      <c r="B11" s="37" t="s">
        <v>127</v>
      </c>
      <c r="C11" s="37"/>
      <c r="D11" s="37"/>
      <c r="E11" s="45">
        <f>Inputs!E8</f>
        <v>365</v>
      </c>
    </row>
    <row r="12" spans="1:5" ht="14.45" x14ac:dyDescent="0.3">
      <c r="B12" s="37" t="s">
        <v>12</v>
      </c>
      <c r="C12" s="37"/>
      <c r="D12" s="37"/>
      <c r="E12" s="45">
        <f>Inputs!E9</f>
        <v>148</v>
      </c>
    </row>
    <row r="13" spans="1:5" ht="14.45" x14ac:dyDescent="0.3">
      <c r="B13" s="37" t="s">
        <v>13</v>
      </c>
      <c r="C13" s="37"/>
      <c r="D13" s="37"/>
      <c r="E13" s="45">
        <f>Inputs!E10</f>
        <v>182</v>
      </c>
    </row>
    <row r="14" spans="1:5" ht="14.45" x14ac:dyDescent="0.3">
      <c r="B14" s="37" t="s">
        <v>14</v>
      </c>
      <c r="C14" s="37"/>
      <c r="D14" s="37"/>
      <c r="E14" s="47">
        <f>Inputs!E11</f>
        <v>0.28000000000000003</v>
      </c>
    </row>
    <row r="15" spans="1:5" ht="14.45" x14ac:dyDescent="0.3">
      <c r="B15" s="37" t="s">
        <v>69</v>
      </c>
      <c r="C15" s="37"/>
      <c r="D15" s="37"/>
      <c r="E15" s="47">
        <f>Inputs!E12</f>
        <v>0.19</v>
      </c>
    </row>
    <row r="16" spans="1:5" ht="14.45" x14ac:dyDescent="0.3">
      <c r="B16" s="37" t="s">
        <v>70</v>
      </c>
      <c r="C16" s="37"/>
      <c r="D16" s="37"/>
      <c r="E16" s="48">
        <f>Inputs!E13</f>
        <v>4.41E-2</v>
      </c>
    </row>
    <row r="17" spans="1:5" ht="14.45" x14ac:dyDescent="0.3">
      <c r="B17" s="37" t="s">
        <v>252</v>
      </c>
      <c r="C17" s="37"/>
      <c r="D17" s="37"/>
      <c r="E17" s="48">
        <f>Inputs!E14</f>
        <v>4.8000000000000001E-2</v>
      </c>
    </row>
    <row r="18" spans="1:5" ht="14.45" x14ac:dyDescent="0.3">
      <c r="B18" s="37" t="s">
        <v>65</v>
      </c>
      <c r="C18" s="37"/>
      <c r="D18" s="37"/>
      <c r="E18" s="48">
        <f>Inputs!E15</f>
        <v>6.6433320000000004E-2</v>
      </c>
    </row>
    <row r="19" spans="1:5" ht="14.45" x14ac:dyDescent="0.3">
      <c r="B19" s="37" t="s">
        <v>15</v>
      </c>
      <c r="C19" s="37"/>
      <c r="D19" s="37"/>
      <c r="E19" s="48">
        <f>Inputs!E16</f>
        <v>6.4087200000000011E-2</v>
      </c>
    </row>
    <row r="20" spans="1:5" ht="14.45" x14ac:dyDescent="0.3">
      <c r="B20" s="37" t="s">
        <v>236</v>
      </c>
      <c r="C20" s="37"/>
      <c r="D20" s="37"/>
      <c r="E20" s="48">
        <f>Inputs!E17</f>
        <v>6.7100000000000007E-2</v>
      </c>
    </row>
    <row r="21" spans="1:5" ht="14.45" x14ac:dyDescent="0.3">
      <c r="B21" s="37" t="s">
        <v>237</v>
      </c>
      <c r="C21" s="37"/>
      <c r="D21" s="37"/>
      <c r="E21" s="48">
        <f>Inputs!E18</f>
        <v>6.4699999999999994E-2</v>
      </c>
    </row>
    <row r="22" spans="1:5" ht="14.45" x14ac:dyDescent="0.3">
      <c r="B22" s="37" t="s">
        <v>87</v>
      </c>
      <c r="C22" s="37"/>
      <c r="D22" s="37"/>
      <c r="E22" s="135">
        <f>Inputs!E19</f>
        <v>-7806</v>
      </c>
    </row>
    <row r="23" spans="1:5" ht="14.45" x14ac:dyDescent="0.3">
      <c r="B23" s="37" t="s">
        <v>97</v>
      </c>
      <c r="C23" s="37"/>
      <c r="D23" s="37"/>
      <c r="E23" s="135">
        <f>Inputs!E20</f>
        <v>-7823</v>
      </c>
    </row>
    <row r="24" spans="1:5" ht="14.45" x14ac:dyDescent="0.3">
      <c r="B24" s="37" t="s">
        <v>61</v>
      </c>
      <c r="C24" s="37"/>
      <c r="D24" s="37"/>
      <c r="E24" s="47">
        <f>Inputs!E21</f>
        <v>0.5</v>
      </c>
    </row>
    <row r="25" spans="1:5" ht="18" x14ac:dyDescent="0.35">
      <c r="A25" s="34" t="s">
        <v>232</v>
      </c>
    </row>
    <row r="26" spans="1:5" ht="14.45" x14ac:dyDescent="0.3">
      <c r="B26" s="37" t="str">
        <f>Inputs!C23</f>
        <v>Land</v>
      </c>
      <c r="C26" s="37"/>
      <c r="D26" s="42"/>
      <c r="E26" s="51">
        <f>Inputs!E23</f>
        <v>100579.27519010181</v>
      </c>
    </row>
    <row r="27" spans="1:5" ht="14.45" x14ac:dyDescent="0.3">
      <c r="B27" s="37" t="str">
        <f>Inputs!C24</f>
        <v>Infrastructure &amp; Buildings</v>
      </c>
      <c r="C27" s="37"/>
      <c r="D27" s="42"/>
      <c r="E27" s="51">
        <f>Inputs!E24</f>
        <v>291977.14964270347</v>
      </c>
    </row>
    <row r="28" spans="1:5" ht="14.45" x14ac:dyDescent="0.3">
      <c r="B28" s="37" t="str">
        <f>Inputs!C25</f>
        <v>Sealed Surfaces</v>
      </c>
      <c r="C28" s="37"/>
      <c r="D28" s="42"/>
      <c r="E28" s="51">
        <f>Inputs!E25</f>
        <v>119841.09163845591</v>
      </c>
    </row>
    <row r="29" spans="1:5" x14ac:dyDescent="0.25">
      <c r="B29" s="37" t="str">
        <f>Inputs!C26</f>
        <v>Vehicles, Plant &amp; Equipment</v>
      </c>
      <c r="C29" s="37"/>
      <c r="D29" s="42"/>
      <c r="E29" s="51">
        <f>Inputs!E26</f>
        <v>11975.287201113089</v>
      </c>
    </row>
    <row r="30" spans="1:5" x14ac:dyDescent="0.25">
      <c r="B30" s="37" t="str">
        <f>Inputs!C27</f>
        <v>Tax value - Land</v>
      </c>
      <c r="C30" s="37"/>
      <c r="D30" s="42"/>
      <c r="E30" s="51">
        <f>Inputs!E27</f>
        <v>100579.27519010181</v>
      </c>
    </row>
    <row r="31" spans="1:5" x14ac:dyDescent="0.25">
      <c r="B31" s="37" t="str">
        <f>Inputs!C28</f>
        <v>Tax value - Infrastructure &amp; Buildings</v>
      </c>
      <c r="C31" s="37"/>
      <c r="D31" s="42"/>
      <c r="E31" s="51">
        <f>Inputs!E28</f>
        <v>291977.14964270347</v>
      </c>
    </row>
    <row r="32" spans="1:5" x14ac:dyDescent="0.25">
      <c r="B32" s="37" t="str">
        <f>Inputs!C29</f>
        <v>Tax value - Sealed Surfaces</v>
      </c>
      <c r="C32" s="37"/>
      <c r="D32" s="42"/>
      <c r="E32" s="51">
        <f>Inputs!E29</f>
        <v>119841.09163845591</v>
      </c>
    </row>
    <row r="33" spans="1:10" x14ac:dyDescent="0.25">
      <c r="B33" s="37" t="str">
        <f>Inputs!C30</f>
        <v>Tax value - Vehicles, Plant &amp; Equipment</v>
      </c>
      <c r="C33" s="37"/>
      <c r="D33" s="42"/>
      <c r="E33" s="51">
        <f>Inputs!E30</f>
        <v>11975.287201113089</v>
      </c>
    </row>
    <row r="35" spans="1:10" ht="21" x14ac:dyDescent="0.35">
      <c r="A35" s="41" t="s">
        <v>233</v>
      </c>
      <c r="E35" s="29" t="s">
        <v>11</v>
      </c>
      <c r="F35" s="29">
        <v>2018</v>
      </c>
      <c r="G35" s="29">
        <f t="shared" ref="G35:J35" si="0">F35+1</f>
        <v>2019</v>
      </c>
      <c r="H35" s="29">
        <f t="shared" si="0"/>
        <v>2020</v>
      </c>
      <c r="I35" s="29">
        <f t="shared" si="0"/>
        <v>2021</v>
      </c>
      <c r="J35" s="29">
        <f t="shared" si="0"/>
        <v>2022</v>
      </c>
    </row>
    <row r="36" spans="1:10" ht="18.75" x14ac:dyDescent="0.3">
      <c r="B36" s="34" t="s">
        <v>16</v>
      </c>
    </row>
    <row r="37" spans="1:10" x14ac:dyDescent="0.25">
      <c r="C37" s="37" t="s">
        <v>17</v>
      </c>
      <c r="D37" s="37"/>
      <c r="E37" s="49"/>
      <c r="F37" s="49">
        <f>Inputs!F35</f>
        <v>79035.643929949147</v>
      </c>
      <c r="G37" s="49">
        <f>Inputs!G35</f>
        <v>82551.690307640209</v>
      </c>
      <c r="H37" s="49">
        <f>Inputs!H35</f>
        <v>86514.560328074382</v>
      </c>
      <c r="I37" s="49">
        <f>Inputs!I35</f>
        <v>90559.1047399042</v>
      </c>
      <c r="J37" s="49">
        <f>Inputs!J35</f>
        <v>95531.456914526745</v>
      </c>
    </row>
    <row r="38" spans="1:10" x14ac:dyDescent="0.25">
      <c r="C38" s="37" t="s">
        <v>18</v>
      </c>
      <c r="D38" s="37"/>
      <c r="E38" s="49"/>
      <c r="F38" s="49">
        <f>Inputs!F36</f>
        <v>12120.862259178784</v>
      </c>
      <c r="G38" s="49">
        <f>Inputs!G36</f>
        <v>12310.613704305024</v>
      </c>
      <c r="H38" s="49">
        <f>Inputs!H36</f>
        <v>12529.188914055556</v>
      </c>
      <c r="I38" s="49">
        <f>Inputs!I36</f>
        <v>12743.545766313102</v>
      </c>
      <c r="J38" s="49">
        <f>Inputs!J36</f>
        <v>12968.736681639364</v>
      </c>
    </row>
    <row r="39" spans="1:10" x14ac:dyDescent="0.25">
      <c r="C39" s="37" t="s">
        <v>19</v>
      </c>
      <c r="D39" s="37"/>
      <c r="E39" s="49"/>
      <c r="F39" s="49">
        <f>Inputs!F37</f>
        <v>0</v>
      </c>
      <c r="G39" s="49">
        <f>Inputs!G37</f>
        <v>0</v>
      </c>
      <c r="H39" s="49">
        <f>Inputs!H37</f>
        <v>0</v>
      </c>
      <c r="I39" s="49">
        <f>Inputs!I37</f>
        <v>0</v>
      </c>
      <c r="J39" s="49">
        <f>Inputs!J37</f>
        <v>0</v>
      </c>
    </row>
    <row r="40" spans="1:10" x14ac:dyDescent="0.25">
      <c r="C40" s="37" t="s">
        <v>68</v>
      </c>
      <c r="D40" s="37"/>
      <c r="E40" s="49"/>
      <c r="F40" s="49">
        <f>Inputs!F38</f>
        <v>0</v>
      </c>
      <c r="G40" s="49">
        <f>Inputs!G38</f>
        <v>0</v>
      </c>
      <c r="H40" s="49">
        <f>Inputs!H38</f>
        <v>0</v>
      </c>
      <c r="I40" s="49">
        <f>Inputs!I38</f>
        <v>0</v>
      </c>
      <c r="J40" s="49">
        <f>Inputs!J38</f>
        <v>0</v>
      </c>
    </row>
    <row r="41" spans="1:10" ht="18.75" x14ac:dyDescent="0.3">
      <c r="B41" s="34" t="s">
        <v>196</v>
      </c>
      <c r="D41" s="22"/>
    </row>
    <row r="42" spans="1:10" x14ac:dyDescent="0.25">
      <c r="C42" s="37" t="s">
        <v>21</v>
      </c>
      <c r="D42" s="33"/>
      <c r="E42" s="42"/>
      <c r="F42" s="49">
        <f>Inputs!F44</f>
        <v>0</v>
      </c>
      <c r="G42" s="49">
        <f>Inputs!G44</f>
        <v>0</v>
      </c>
      <c r="H42" s="49">
        <f>Inputs!H44</f>
        <v>0</v>
      </c>
      <c r="I42" s="49">
        <f>Inputs!I44</f>
        <v>0</v>
      </c>
      <c r="J42" s="49">
        <f>Inputs!J44</f>
        <v>0</v>
      </c>
    </row>
    <row r="43" spans="1:10" x14ac:dyDescent="0.25">
      <c r="C43" s="37" t="s">
        <v>193</v>
      </c>
      <c r="D43" s="33"/>
      <c r="E43" s="42"/>
      <c r="F43" s="49">
        <f>Inputs!F45</f>
        <v>9240.6306836449621</v>
      </c>
      <c r="G43" s="49">
        <f>Inputs!G45</f>
        <v>4336.1838021383273</v>
      </c>
      <c r="H43" s="49">
        <f>Inputs!H45</f>
        <v>12374.867755343013</v>
      </c>
      <c r="I43" s="49">
        <f>Inputs!I45</f>
        <v>4127.3541684920237</v>
      </c>
      <c r="J43" s="49">
        <f>Inputs!J45</f>
        <v>3116.4993508579673</v>
      </c>
    </row>
    <row r="44" spans="1:10" x14ac:dyDescent="0.25">
      <c r="C44" s="37" t="s">
        <v>194</v>
      </c>
      <c r="D44" s="37"/>
      <c r="E44" s="42"/>
      <c r="F44" s="49">
        <f>Inputs!F46</f>
        <v>8480.4571042916577</v>
      </c>
      <c r="G44" s="49">
        <f>Inputs!G46</f>
        <v>6397.6763202017901</v>
      </c>
      <c r="H44" s="49">
        <f>Inputs!H46</f>
        <v>6506.5905384618391</v>
      </c>
      <c r="I44" s="49">
        <f>Inputs!I46</f>
        <v>5283.6979667130827</v>
      </c>
      <c r="J44" s="49">
        <f>Inputs!J46</f>
        <v>12037.99848723578</v>
      </c>
    </row>
    <row r="45" spans="1:10" x14ac:dyDescent="0.25">
      <c r="C45" s="37" t="s">
        <v>195</v>
      </c>
      <c r="D45" s="37"/>
      <c r="E45" s="42"/>
      <c r="F45" s="49">
        <f>Inputs!F47</f>
        <v>1970.8530556869384</v>
      </c>
      <c r="G45" s="49">
        <f>Inputs!G47</f>
        <v>1888.7628298028019</v>
      </c>
      <c r="H45" s="49">
        <f>Inputs!H47</f>
        <v>2259.4301445910569</v>
      </c>
      <c r="I45" s="49">
        <f>Inputs!I47</f>
        <v>2092.4095834898649</v>
      </c>
      <c r="J45" s="49">
        <f>Inputs!J47</f>
        <v>2003.5759866786391</v>
      </c>
    </row>
    <row r="46" spans="1:10" ht="18.75" x14ac:dyDescent="0.3">
      <c r="B46" s="34" t="s">
        <v>53</v>
      </c>
      <c r="D46" s="22"/>
      <c r="E46" s="29"/>
      <c r="F46" s="29"/>
      <c r="G46" s="29"/>
      <c r="H46" s="29"/>
      <c r="I46" s="29"/>
      <c r="J46" s="29"/>
    </row>
    <row r="47" spans="1:10" x14ac:dyDescent="0.25">
      <c r="C47" s="37" t="s">
        <v>21</v>
      </c>
      <c r="D47" s="33"/>
      <c r="E47" s="42"/>
      <c r="F47" s="49">
        <f>Inputs!F51</f>
        <v>0</v>
      </c>
      <c r="G47" s="49">
        <f>Inputs!G51</f>
        <v>0</v>
      </c>
      <c r="H47" s="49">
        <f>Inputs!H51</f>
        <v>0</v>
      </c>
      <c r="I47" s="49">
        <f>Inputs!I51</f>
        <v>0</v>
      </c>
      <c r="J47" s="49">
        <f>Inputs!J51</f>
        <v>0</v>
      </c>
    </row>
    <row r="48" spans="1:10" x14ac:dyDescent="0.25">
      <c r="C48" s="37" t="s">
        <v>193</v>
      </c>
      <c r="D48" s="33"/>
      <c r="E48" s="42"/>
      <c r="F48" s="49">
        <f>Inputs!F52</f>
        <v>0</v>
      </c>
      <c r="G48" s="49">
        <f>Inputs!G52</f>
        <v>0</v>
      </c>
      <c r="H48" s="49">
        <f>Inputs!H52</f>
        <v>0</v>
      </c>
      <c r="I48" s="49">
        <f>Inputs!I52</f>
        <v>0</v>
      </c>
      <c r="J48" s="49">
        <f>Inputs!J52</f>
        <v>0</v>
      </c>
    </row>
    <row r="49" spans="2:10" x14ac:dyDescent="0.25">
      <c r="C49" s="37" t="s">
        <v>194</v>
      </c>
      <c r="D49" s="37"/>
      <c r="E49" s="42"/>
      <c r="F49" s="49">
        <f>Inputs!F53</f>
        <v>0</v>
      </c>
      <c r="G49" s="49">
        <f>Inputs!G53</f>
        <v>0</v>
      </c>
      <c r="H49" s="49">
        <f>Inputs!H53</f>
        <v>0</v>
      </c>
      <c r="I49" s="49">
        <f>Inputs!I53</f>
        <v>0</v>
      </c>
      <c r="J49" s="49">
        <f>Inputs!J53</f>
        <v>0</v>
      </c>
    </row>
    <row r="50" spans="2:10" x14ac:dyDescent="0.25">
      <c r="C50" s="37" t="s">
        <v>195</v>
      </c>
      <c r="D50" s="37"/>
      <c r="E50" s="42"/>
      <c r="F50" s="49">
        <f>Inputs!F54</f>
        <v>0</v>
      </c>
      <c r="G50" s="49">
        <f>Inputs!G54</f>
        <v>0</v>
      </c>
      <c r="H50" s="49">
        <f>Inputs!H54</f>
        <v>0</v>
      </c>
      <c r="I50" s="49">
        <f>Inputs!I54</f>
        <v>0</v>
      </c>
      <c r="J50" s="49">
        <f>Inputs!J54</f>
        <v>0</v>
      </c>
    </row>
    <row r="51" spans="2:10" ht="18.75" x14ac:dyDescent="0.3">
      <c r="B51" s="34" t="s">
        <v>200</v>
      </c>
    </row>
    <row r="52" spans="2:10" x14ac:dyDescent="0.25">
      <c r="C52" s="37" t="s">
        <v>21</v>
      </c>
      <c r="D52" s="37"/>
      <c r="E52" s="37"/>
      <c r="F52" s="53">
        <f>Inputs!F58</f>
        <v>1.3900245298446466E-2</v>
      </c>
      <c r="G52" s="53">
        <f>Inputs!G58</f>
        <v>2.0161290322580735E-2</v>
      </c>
      <c r="H52" s="53">
        <f>Inputs!H58</f>
        <v>1.9262799374245576E-2</v>
      </c>
      <c r="I52" s="53">
        <f>Inputs!I58</f>
        <v>2.0000000000000458E-2</v>
      </c>
      <c r="J52" s="53">
        <f>Inputs!J58</f>
        <v>2.0000000000000236E-2</v>
      </c>
    </row>
    <row r="53" spans="2:10" x14ac:dyDescent="0.25">
      <c r="C53" s="37" t="s">
        <v>193</v>
      </c>
      <c r="D53" s="37"/>
      <c r="E53" s="37"/>
      <c r="F53" s="53">
        <f>Inputs!F59</f>
        <v>1.3900245298446466E-2</v>
      </c>
      <c r="G53" s="53">
        <f>Inputs!G59</f>
        <v>2.0161290322580735E-2</v>
      </c>
      <c r="H53" s="53">
        <f>Inputs!H59</f>
        <v>1.9262799374245576E-2</v>
      </c>
      <c r="I53" s="53">
        <f>Inputs!I59</f>
        <v>2.0000000000000458E-2</v>
      </c>
      <c r="J53" s="53">
        <f>Inputs!J59</f>
        <v>2.0000000000000236E-2</v>
      </c>
    </row>
    <row r="54" spans="2:10" x14ac:dyDescent="0.25">
      <c r="C54" s="37" t="s">
        <v>194</v>
      </c>
      <c r="D54" s="37"/>
      <c r="E54" s="37"/>
      <c r="F54" s="53">
        <f>Inputs!F60</f>
        <v>1.3900245298446466E-2</v>
      </c>
      <c r="G54" s="53">
        <f>Inputs!G60</f>
        <v>2.0161290322580735E-2</v>
      </c>
      <c r="H54" s="53">
        <f>Inputs!H60</f>
        <v>1.9262799374245576E-2</v>
      </c>
      <c r="I54" s="53">
        <f>Inputs!I60</f>
        <v>2.0000000000000458E-2</v>
      </c>
      <c r="J54" s="53">
        <f>Inputs!J60</f>
        <v>2.0000000000000236E-2</v>
      </c>
    </row>
    <row r="55" spans="2:10" x14ac:dyDescent="0.25">
      <c r="C55" s="37" t="s">
        <v>195</v>
      </c>
      <c r="D55" s="37"/>
      <c r="E55" s="37"/>
      <c r="F55" s="53">
        <f>Inputs!F61</f>
        <v>1.3900245298446466E-2</v>
      </c>
      <c r="G55" s="53">
        <f>Inputs!G61</f>
        <v>2.0161290322580735E-2</v>
      </c>
      <c r="H55" s="53">
        <f>Inputs!H61</f>
        <v>1.9262799374245576E-2</v>
      </c>
      <c r="I55" s="53">
        <f>Inputs!I61</f>
        <v>2.0000000000000458E-2</v>
      </c>
      <c r="J55" s="53">
        <f>Inputs!J61</f>
        <v>2.0000000000000236E-2</v>
      </c>
    </row>
    <row r="56" spans="2:10" ht="18.75" x14ac:dyDescent="0.3">
      <c r="B56" s="34" t="s">
        <v>54</v>
      </c>
      <c r="D56" s="22"/>
      <c r="E56" s="29"/>
      <c r="F56" s="29"/>
      <c r="G56" s="29"/>
      <c r="H56" s="29"/>
      <c r="I56" s="29"/>
      <c r="J56" s="29"/>
    </row>
    <row r="57" spans="2:10" x14ac:dyDescent="0.25">
      <c r="C57" s="37" t="s">
        <v>21</v>
      </c>
      <c r="D57" s="33"/>
      <c r="E57" s="42"/>
      <c r="F57" s="49">
        <f>Inputs!F64</f>
        <v>0</v>
      </c>
      <c r="G57" s="49">
        <f>Inputs!G64</f>
        <v>0</v>
      </c>
      <c r="H57" s="49">
        <f>Inputs!H64</f>
        <v>0</v>
      </c>
      <c r="I57" s="49">
        <f>Inputs!I64</f>
        <v>0</v>
      </c>
      <c r="J57" s="49">
        <f>Inputs!J64</f>
        <v>0</v>
      </c>
    </row>
    <row r="58" spans="2:10" x14ac:dyDescent="0.25">
      <c r="C58" s="37" t="s">
        <v>193</v>
      </c>
      <c r="D58" s="33"/>
      <c r="E58" s="42"/>
      <c r="F58" s="49">
        <f>Inputs!F65</f>
        <v>0</v>
      </c>
      <c r="G58" s="49">
        <f>Inputs!G65</f>
        <v>0</v>
      </c>
      <c r="H58" s="49">
        <f>Inputs!H65</f>
        <v>0</v>
      </c>
      <c r="I58" s="49">
        <f>Inputs!I65</f>
        <v>0</v>
      </c>
      <c r="J58" s="49">
        <f>Inputs!J65</f>
        <v>0</v>
      </c>
    </row>
    <row r="59" spans="2:10" x14ac:dyDescent="0.25">
      <c r="C59" s="37" t="s">
        <v>194</v>
      </c>
      <c r="D59" s="37"/>
      <c r="E59" s="42"/>
      <c r="F59" s="49">
        <f>Inputs!F66</f>
        <v>0</v>
      </c>
      <c r="G59" s="49">
        <f>Inputs!G66</f>
        <v>0</v>
      </c>
      <c r="H59" s="49">
        <f>Inputs!H66</f>
        <v>0</v>
      </c>
      <c r="I59" s="49">
        <f>Inputs!I66</f>
        <v>0</v>
      </c>
      <c r="J59" s="49">
        <f>Inputs!J66</f>
        <v>0</v>
      </c>
    </row>
    <row r="60" spans="2:10" x14ac:dyDescent="0.25">
      <c r="C60" s="37" t="s">
        <v>195</v>
      </c>
      <c r="D60" s="37"/>
      <c r="E60" s="42"/>
      <c r="F60" s="49">
        <f>Inputs!F67</f>
        <v>0</v>
      </c>
      <c r="G60" s="49">
        <f>Inputs!G67</f>
        <v>0</v>
      </c>
      <c r="H60" s="49">
        <f>Inputs!H67</f>
        <v>0</v>
      </c>
      <c r="I60" s="49">
        <f>Inputs!I67</f>
        <v>0</v>
      </c>
      <c r="J60" s="49">
        <f>Inputs!J67</f>
        <v>0</v>
      </c>
    </row>
    <row r="61" spans="2:10" ht="18.75" x14ac:dyDescent="0.3">
      <c r="B61" s="34" t="s">
        <v>197</v>
      </c>
      <c r="D61" s="22"/>
      <c r="E61" s="29"/>
      <c r="F61" s="29"/>
      <c r="G61" s="29"/>
      <c r="H61" s="29"/>
      <c r="I61" s="29"/>
      <c r="J61" s="29"/>
    </row>
    <row r="62" spans="2:10" x14ac:dyDescent="0.25">
      <c r="C62" s="37" t="s">
        <v>21</v>
      </c>
      <c r="D62" s="35"/>
      <c r="E62" s="42"/>
      <c r="F62" s="49">
        <f>Inputs!F71</f>
        <v>0</v>
      </c>
      <c r="G62" s="49">
        <f>Inputs!G71</f>
        <v>0</v>
      </c>
      <c r="H62" s="49">
        <f>Inputs!H71</f>
        <v>0</v>
      </c>
      <c r="I62" s="49">
        <f>Inputs!I71</f>
        <v>0</v>
      </c>
      <c r="J62" s="49">
        <f>Inputs!J71</f>
        <v>0</v>
      </c>
    </row>
    <row r="63" spans="2:10" x14ac:dyDescent="0.25">
      <c r="C63" s="37" t="s">
        <v>193</v>
      </c>
      <c r="D63" s="33"/>
      <c r="E63" s="42"/>
      <c r="F63" s="49">
        <f>Inputs!F72</f>
        <v>15251.794198800178</v>
      </c>
      <c r="G63" s="49">
        <f>Inputs!G72</f>
        <v>13014.713042998728</v>
      </c>
      <c r="H63" s="49">
        <f>Inputs!H72</f>
        <v>14397.750610354942</v>
      </c>
      <c r="I63" s="49">
        <f>Inputs!I72</f>
        <v>16100.145730324559</v>
      </c>
      <c r="J63" s="49">
        <f>Inputs!J72</f>
        <v>16347.590652316409</v>
      </c>
    </row>
    <row r="64" spans="2:10" x14ac:dyDescent="0.25">
      <c r="C64" s="37" t="s">
        <v>194</v>
      </c>
      <c r="D64" s="37"/>
      <c r="E64" s="42"/>
      <c r="F64" s="49">
        <f>Inputs!F73</f>
        <v>3672.1036218341469</v>
      </c>
      <c r="G64" s="49">
        <f>Inputs!G73</f>
        <v>4319.6787614284858</v>
      </c>
      <c r="H64" s="49">
        <f>Inputs!H73</f>
        <v>5021.9522288982243</v>
      </c>
      <c r="I64" s="49">
        <f>Inputs!I73</f>
        <v>5494.2315353399263</v>
      </c>
      <c r="J64" s="49">
        <f>Inputs!J73</f>
        <v>5260.5217783666212</v>
      </c>
    </row>
    <row r="65" spans="2:10" x14ac:dyDescent="0.25">
      <c r="C65" s="37" t="s">
        <v>195</v>
      </c>
      <c r="D65" s="37"/>
      <c r="E65" s="42"/>
      <c r="F65" s="49">
        <f>Inputs!F74</f>
        <v>2044.4059009855901</v>
      </c>
      <c r="G65" s="49">
        <f>Inputs!G74</f>
        <v>2239.244815531426</v>
      </c>
      <c r="H65" s="49">
        <f>Inputs!H74</f>
        <v>2490.0219671679602</v>
      </c>
      <c r="I65" s="49">
        <f>Inputs!I74</f>
        <v>2901.3601734254644</v>
      </c>
      <c r="J65" s="49">
        <f>Inputs!J74</f>
        <v>2610.6316113775524</v>
      </c>
    </row>
    <row r="66" spans="2:10" ht="18.75" x14ac:dyDescent="0.3">
      <c r="B66" s="34" t="s">
        <v>43</v>
      </c>
      <c r="D66" s="22"/>
      <c r="E66" s="29"/>
      <c r="F66" s="29"/>
      <c r="G66" s="29"/>
      <c r="H66" s="29"/>
      <c r="I66" s="29"/>
      <c r="J66" s="29"/>
    </row>
    <row r="67" spans="2:10" x14ac:dyDescent="0.25">
      <c r="C67" s="37" t="s">
        <v>21</v>
      </c>
      <c r="D67" s="35"/>
      <c r="E67" s="42"/>
      <c r="F67" s="49">
        <f>Inputs!F78</f>
        <v>0</v>
      </c>
      <c r="G67" s="49">
        <f>Inputs!G78</f>
        <v>0</v>
      </c>
      <c r="H67" s="49">
        <f>Inputs!H78</f>
        <v>0</v>
      </c>
      <c r="I67" s="49">
        <f>Inputs!I78</f>
        <v>0</v>
      </c>
      <c r="J67" s="49">
        <f>Inputs!J78</f>
        <v>0</v>
      </c>
    </row>
    <row r="68" spans="2:10" x14ac:dyDescent="0.25">
      <c r="C68" s="37" t="s">
        <v>193</v>
      </c>
      <c r="D68" s="33"/>
      <c r="E68" s="42"/>
      <c r="F68" s="49">
        <f>Inputs!F79</f>
        <v>13386.807644494809</v>
      </c>
      <c r="G68" s="49">
        <f>Inputs!G79</f>
        <v>13277.722191423716</v>
      </c>
      <c r="H68" s="49">
        <f>Inputs!H79</f>
        <v>11278.353190756223</v>
      </c>
      <c r="I68" s="49">
        <f>Inputs!I79</f>
        <v>11144.524378756729</v>
      </c>
      <c r="J68" s="49">
        <f>Inputs!J79</f>
        <v>9030.8822906085588</v>
      </c>
    </row>
    <row r="69" spans="2:10" x14ac:dyDescent="0.25">
      <c r="C69" s="37" t="s">
        <v>194</v>
      </c>
      <c r="D69" s="37"/>
      <c r="E69" s="42"/>
      <c r="F69" s="49">
        <f>Inputs!F80</f>
        <v>3386.5402291030832</v>
      </c>
      <c r="G69" s="49">
        <f>Inputs!G80</f>
        <v>3875.4339185857334</v>
      </c>
      <c r="H69" s="49">
        <f>Inputs!H80</f>
        <v>3367.2832136031452</v>
      </c>
      <c r="I69" s="49">
        <f>Inputs!I80</f>
        <v>3494.9065067576948</v>
      </c>
      <c r="J69" s="49">
        <f>Inputs!J80</f>
        <v>3636.4165303678601</v>
      </c>
    </row>
    <row r="70" spans="2:10" x14ac:dyDescent="0.25">
      <c r="C70" s="37" t="s">
        <v>195</v>
      </c>
      <c r="D70" s="37"/>
      <c r="E70" s="42"/>
      <c r="F70" s="49">
        <f>Inputs!F81</f>
        <v>2585.463948498335</v>
      </c>
      <c r="G70" s="49">
        <f>Inputs!G81</f>
        <v>2792.9686904597179</v>
      </c>
      <c r="H70" s="49">
        <f>Inputs!H81</f>
        <v>2797.0703062288439</v>
      </c>
      <c r="I70" s="49">
        <f>Inputs!I81</f>
        <v>2614.2194780081327</v>
      </c>
      <c r="J70" s="49">
        <f>Inputs!J81</f>
        <v>2536.3895469084468</v>
      </c>
    </row>
    <row r="71" spans="2:10" ht="18.75" x14ac:dyDescent="0.3">
      <c r="B71" s="34" t="s">
        <v>198</v>
      </c>
      <c r="D71" s="22"/>
      <c r="E71" s="29"/>
      <c r="F71" s="29"/>
      <c r="G71" s="29"/>
      <c r="H71" s="29"/>
      <c r="I71" s="29"/>
      <c r="J71" s="29"/>
    </row>
    <row r="72" spans="2:10" x14ac:dyDescent="0.25">
      <c r="C72" s="37" t="s">
        <v>21</v>
      </c>
      <c r="D72" s="35"/>
      <c r="E72" s="42"/>
      <c r="F72" s="49">
        <f>Inputs!F85</f>
        <v>0</v>
      </c>
      <c r="G72" s="49">
        <f>Inputs!G85</f>
        <v>0</v>
      </c>
      <c r="H72" s="49">
        <f>Inputs!H85</f>
        <v>0</v>
      </c>
      <c r="I72" s="49">
        <f>Inputs!I85</f>
        <v>0</v>
      </c>
      <c r="J72" s="49">
        <f>Inputs!J85</f>
        <v>0</v>
      </c>
    </row>
    <row r="73" spans="2:10" x14ac:dyDescent="0.25">
      <c r="C73" s="37" t="s">
        <v>193</v>
      </c>
      <c r="D73" s="35"/>
      <c r="E73" s="42"/>
      <c r="F73" s="49">
        <f>Inputs!F86</f>
        <v>0</v>
      </c>
      <c r="G73" s="49">
        <f>Inputs!G86</f>
        <v>0</v>
      </c>
      <c r="H73" s="49">
        <f>Inputs!H86</f>
        <v>0</v>
      </c>
      <c r="I73" s="49">
        <f>Inputs!I86</f>
        <v>0</v>
      </c>
      <c r="J73" s="49">
        <f>Inputs!J86</f>
        <v>0</v>
      </c>
    </row>
    <row r="74" spans="2:10" x14ac:dyDescent="0.25">
      <c r="C74" s="37" t="s">
        <v>194</v>
      </c>
      <c r="D74" s="37"/>
      <c r="E74" s="42"/>
      <c r="F74" s="49">
        <f>Inputs!F87</f>
        <v>0</v>
      </c>
      <c r="G74" s="49">
        <f>Inputs!G87</f>
        <v>0</v>
      </c>
      <c r="H74" s="49">
        <f>Inputs!H87</f>
        <v>0</v>
      </c>
      <c r="I74" s="49">
        <f>Inputs!I87</f>
        <v>0</v>
      </c>
      <c r="J74" s="49">
        <f>Inputs!J87</f>
        <v>0</v>
      </c>
    </row>
    <row r="75" spans="2:10" x14ac:dyDescent="0.25">
      <c r="C75" s="37" t="s">
        <v>195</v>
      </c>
      <c r="D75" s="37"/>
      <c r="E75" s="42"/>
      <c r="F75" s="49">
        <f>Inputs!F88</f>
        <v>0</v>
      </c>
      <c r="G75" s="49">
        <f>Inputs!G88</f>
        <v>0</v>
      </c>
      <c r="H75" s="49">
        <f>Inputs!H88</f>
        <v>0</v>
      </c>
      <c r="I75" s="49">
        <f>Inputs!I88</f>
        <v>0</v>
      </c>
      <c r="J75" s="49">
        <f>Inputs!J88</f>
        <v>0</v>
      </c>
    </row>
    <row r="76" spans="2:10" ht="18.75" x14ac:dyDescent="0.3">
      <c r="B76" s="34" t="s">
        <v>23</v>
      </c>
    </row>
    <row r="77" spans="2:10" x14ac:dyDescent="0.25">
      <c r="C77" s="37" t="s">
        <v>24</v>
      </c>
      <c r="D77" s="33"/>
      <c r="E77" s="42"/>
      <c r="F77" s="49">
        <f>Inputs!F92</f>
        <v>0</v>
      </c>
      <c r="G77" s="49">
        <f>Inputs!G92</f>
        <v>0</v>
      </c>
      <c r="H77" s="49">
        <f>Inputs!H92</f>
        <v>0</v>
      </c>
      <c r="I77" s="49">
        <f>Inputs!I92</f>
        <v>0</v>
      </c>
      <c r="J77" s="49">
        <f>Inputs!J92</f>
        <v>0</v>
      </c>
    </row>
    <row r="78" spans="2:10" x14ac:dyDescent="0.25">
      <c r="C78" s="37" t="s">
        <v>25</v>
      </c>
      <c r="D78" s="33"/>
      <c r="E78" s="42"/>
      <c r="F78" s="49">
        <f>Inputs!F93</f>
        <v>0</v>
      </c>
      <c r="G78" s="49">
        <f>Inputs!G93</f>
        <v>0</v>
      </c>
      <c r="H78" s="49">
        <f>Inputs!H93</f>
        <v>0</v>
      </c>
      <c r="I78" s="49">
        <f>Inputs!I93</f>
        <v>0</v>
      </c>
      <c r="J78" s="49">
        <f>Inputs!J93</f>
        <v>0</v>
      </c>
    </row>
    <row r="79" spans="2:10" x14ac:dyDescent="0.25">
      <c r="C79" s="37" t="s">
        <v>26</v>
      </c>
      <c r="D79" s="37"/>
      <c r="E79" s="42"/>
      <c r="F79" s="49">
        <f>Inputs!F94</f>
        <v>0</v>
      </c>
      <c r="G79" s="49">
        <f>Inputs!G94</f>
        <v>0</v>
      </c>
      <c r="H79" s="49">
        <f>Inputs!H94</f>
        <v>0</v>
      </c>
      <c r="I79" s="49">
        <f>Inputs!I94</f>
        <v>0</v>
      </c>
      <c r="J79" s="49">
        <f>Inputs!J94</f>
        <v>0</v>
      </c>
    </row>
    <row r="80" spans="2:10" x14ac:dyDescent="0.25">
      <c r="C80" s="37" t="s">
        <v>27</v>
      </c>
      <c r="D80" s="37"/>
      <c r="E80" s="42"/>
      <c r="F80" s="49">
        <f>Inputs!F95</f>
        <v>0</v>
      </c>
      <c r="G80" s="49">
        <f>Inputs!G95</f>
        <v>0</v>
      </c>
      <c r="H80" s="49">
        <f>Inputs!H95</f>
        <v>0</v>
      </c>
      <c r="I80" s="49">
        <f>Inputs!I95</f>
        <v>0</v>
      </c>
      <c r="J80" s="49">
        <f>Inputs!J95</f>
        <v>0</v>
      </c>
    </row>
    <row r="81" spans="1:10" x14ac:dyDescent="0.25">
      <c r="C81" s="37" t="s">
        <v>28</v>
      </c>
      <c r="D81" s="37"/>
      <c r="E81" s="42"/>
      <c r="F81" s="49">
        <f>Inputs!F96</f>
        <v>0</v>
      </c>
      <c r="G81" s="49">
        <f>Inputs!G96</f>
        <v>0</v>
      </c>
      <c r="H81" s="49">
        <f>Inputs!H96</f>
        <v>0</v>
      </c>
      <c r="I81" s="49">
        <f>Inputs!I96</f>
        <v>0</v>
      </c>
      <c r="J81" s="49">
        <f>Inputs!J96</f>
        <v>0</v>
      </c>
    </row>
    <row r="82" spans="1:10" ht="18.75" x14ac:dyDescent="0.3">
      <c r="B82" s="34" t="s">
        <v>164</v>
      </c>
      <c r="C82" s="37"/>
      <c r="D82" s="37"/>
      <c r="E82" s="50"/>
      <c r="F82" s="49"/>
      <c r="G82" s="49"/>
      <c r="H82" s="49"/>
      <c r="I82" s="49"/>
      <c r="J82" s="49"/>
    </row>
    <row r="83" spans="1:10" x14ac:dyDescent="0.25">
      <c r="C83" s="37" t="s">
        <v>165</v>
      </c>
      <c r="D83" s="37"/>
      <c r="E83" s="42"/>
      <c r="F83" s="49">
        <f>Inputs!F98</f>
        <v>6694.5779999999995</v>
      </c>
      <c r="G83" s="49">
        <f>Inputs!G98</f>
        <v>6882.2119999999995</v>
      </c>
      <c r="H83" s="49">
        <f>Inputs!H98</f>
        <v>7077.6790000000001</v>
      </c>
      <c r="I83" s="49">
        <f>Inputs!I98</f>
        <v>7272.7929999999997</v>
      </c>
      <c r="J83" s="49">
        <f>Inputs!J98</f>
        <v>7472.2479999999996</v>
      </c>
    </row>
    <row r="85" spans="1:10" ht="21" x14ac:dyDescent="0.35">
      <c r="A85" s="41" t="s">
        <v>181</v>
      </c>
    </row>
    <row r="86" spans="1:10" ht="21" x14ac:dyDescent="0.35">
      <c r="A86" s="41"/>
      <c r="E86" s="29" t="s">
        <v>11</v>
      </c>
      <c r="F86" s="29">
        <v>2018</v>
      </c>
      <c r="G86" s="29">
        <f t="shared" ref="G86" si="1">F86+1</f>
        <v>2019</v>
      </c>
      <c r="H86" s="29">
        <f t="shared" ref="H86" si="2">G86+1</f>
        <v>2020</v>
      </c>
      <c r="I86" s="29">
        <f t="shared" ref="I86" si="3">H86+1</f>
        <v>2021</v>
      </c>
      <c r="J86" s="29">
        <f t="shared" ref="J86" si="4">I86+1</f>
        <v>2022</v>
      </c>
    </row>
    <row r="87" spans="1:10" ht="18.75" x14ac:dyDescent="0.3">
      <c r="B87" s="34" t="s">
        <v>20</v>
      </c>
      <c r="D87" s="22"/>
    </row>
    <row r="88" spans="1:10" x14ac:dyDescent="0.25">
      <c r="C88" s="37" t="s">
        <v>66</v>
      </c>
      <c r="D88" s="95"/>
      <c r="E88" s="36"/>
      <c r="F88" s="49">
        <f>CHOOSE($E$4,Inputs!F41,Inputs!F41,Inputs!F41,Inputs!F117,Inputs!F120)</f>
        <v>40765.19669380234</v>
      </c>
      <c r="G88" s="49">
        <f>CHOOSE($E$4,Inputs!G41,Inputs!G41,Inputs!G41,Inputs!G117,Inputs!G120)</f>
        <v>37920.683678528811</v>
      </c>
      <c r="H88" s="49">
        <f>CHOOSE($E$4,Inputs!H41,Inputs!H41,Inputs!H41,Inputs!H117,Inputs!H120)</f>
        <v>38630.272492554555</v>
      </c>
      <c r="I88" s="49">
        <f>CHOOSE($E$4,Inputs!I41,Inputs!I41,Inputs!I41,Inputs!I117,Inputs!I120)</f>
        <v>39385.363659636321</v>
      </c>
      <c r="J88" s="49">
        <f>CHOOSE($E$4,Inputs!J41,Inputs!J41,Inputs!J41,Inputs!J117,Inputs!J120)</f>
        <v>40157.05076450741</v>
      </c>
    </row>
    <row r="89" spans="1:10" ht="18.75" x14ac:dyDescent="0.3">
      <c r="B89" s="34" t="s">
        <v>98</v>
      </c>
      <c r="D89" s="22"/>
    </row>
    <row r="90" spans="1:10" x14ac:dyDescent="0.25">
      <c r="C90" s="37" t="s">
        <v>21</v>
      </c>
      <c r="D90" s="95"/>
      <c r="E90" s="42"/>
      <c r="F90" s="49">
        <f>CHOOSE($E$4,Inputs!F44,Inputs!F103,Inputs!F110,Inputs!F44,Inputs!F44)</f>
        <v>0</v>
      </c>
      <c r="G90" s="49">
        <f>CHOOSE($E$4,Inputs!G44,Inputs!G103,Inputs!G110,Inputs!G44,Inputs!G44)</f>
        <v>0</v>
      </c>
      <c r="H90" s="49">
        <f>CHOOSE($E$4,Inputs!H44,Inputs!H103,Inputs!H110,Inputs!H44,Inputs!H44)</f>
        <v>0</v>
      </c>
      <c r="I90" s="49">
        <f>CHOOSE($E$4,Inputs!I44,Inputs!I103,Inputs!I110,Inputs!I44,Inputs!I44)</f>
        <v>0</v>
      </c>
      <c r="J90" s="49">
        <f>CHOOSE($E$4,Inputs!J44,Inputs!J103,Inputs!J110,Inputs!J44,Inputs!J44)</f>
        <v>0</v>
      </c>
    </row>
    <row r="91" spans="1:10" x14ac:dyDescent="0.25">
      <c r="C91" s="37" t="s">
        <v>193</v>
      </c>
      <c r="D91" s="95"/>
      <c r="E91" s="42"/>
      <c r="F91" s="49">
        <f>CHOOSE($E$4,Inputs!F45,Inputs!F104,Inputs!F111,Inputs!F45,Inputs!F45)</f>
        <v>9240.6306836449621</v>
      </c>
      <c r="G91" s="49">
        <f>CHOOSE($E$4,Inputs!G45,Inputs!G104,Inputs!G111,Inputs!G45,Inputs!G45)</f>
        <v>4336.1838021383273</v>
      </c>
      <c r="H91" s="49">
        <f>CHOOSE($E$4,Inputs!H45,Inputs!H104,Inputs!H111,Inputs!H45,Inputs!H45)</f>
        <v>12374.867755343013</v>
      </c>
      <c r="I91" s="49">
        <f>CHOOSE($E$4,Inputs!I45,Inputs!I104,Inputs!I111,Inputs!I45,Inputs!I45)</f>
        <v>4127.3541684920237</v>
      </c>
      <c r="J91" s="49">
        <f>CHOOSE($E$4,Inputs!J45,Inputs!J104,Inputs!J111,Inputs!J45,Inputs!J45)</f>
        <v>3116.4993508579673</v>
      </c>
    </row>
    <row r="92" spans="1:10" x14ac:dyDescent="0.25">
      <c r="C92" s="37" t="s">
        <v>194</v>
      </c>
      <c r="D92" s="37"/>
      <c r="E92" s="42"/>
      <c r="F92" s="49">
        <f>CHOOSE($E$4,Inputs!F46,Inputs!F105,Inputs!F112,Inputs!F46,Inputs!F46)</f>
        <v>8480.4571042916577</v>
      </c>
      <c r="G92" s="49">
        <f>CHOOSE($E$4,Inputs!G46,Inputs!G105,Inputs!G112,Inputs!G46,Inputs!G46)</f>
        <v>6397.6763202017901</v>
      </c>
      <c r="H92" s="49">
        <f>CHOOSE($E$4,Inputs!H46,Inputs!H105,Inputs!H112,Inputs!H46,Inputs!H46)</f>
        <v>6506.5905384618391</v>
      </c>
      <c r="I92" s="49">
        <f>CHOOSE($E$4,Inputs!I46,Inputs!I105,Inputs!I112,Inputs!I46,Inputs!I46)</f>
        <v>5283.6979667130827</v>
      </c>
      <c r="J92" s="49">
        <f>CHOOSE($E$4,Inputs!J46,Inputs!J105,Inputs!J112,Inputs!J46,Inputs!J46)</f>
        <v>12037.99848723578</v>
      </c>
    </row>
    <row r="93" spans="1:10" x14ac:dyDescent="0.25">
      <c r="C93" s="37" t="s">
        <v>195</v>
      </c>
      <c r="D93" s="37"/>
      <c r="E93" s="42"/>
      <c r="F93" s="49">
        <f>CHOOSE($E$4,Inputs!F47,Inputs!F106,Inputs!F113,Inputs!F47,Inputs!F47)</f>
        <v>1970.8530556869384</v>
      </c>
      <c r="G93" s="49">
        <f>CHOOSE($E$4,Inputs!G47,Inputs!G106,Inputs!G113,Inputs!G47,Inputs!G47)</f>
        <v>1888.7628298028019</v>
      </c>
      <c r="H93" s="49">
        <f>CHOOSE($E$4,Inputs!H47,Inputs!H106,Inputs!H113,Inputs!H47,Inputs!H47)</f>
        <v>2259.4301445910569</v>
      </c>
      <c r="I93" s="49">
        <f>CHOOSE($E$4,Inputs!I47,Inputs!I106,Inputs!I113,Inputs!I47,Inputs!I47)</f>
        <v>2092.4095834898649</v>
      </c>
      <c r="J93" s="49">
        <f>CHOOSE($E$4,Inputs!J47,Inputs!J106,Inputs!J113,Inputs!J47,Inputs!J47)</f>
        <v>2003.5759866786391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76" fitToHeight="0" orientation="portrait" r:id="rId1"/>
  <headerFoot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20"/>
  <sheetViews>
    <sheetView showGridLines="0" view="pageBreakPreview" zoomScaleNormal="100" zoomScaleSheetLayoutView="100" workbookViewId="0"/>
  </sheetViews>
  <sheetFormatPr defaultRowHeight="15" x14ac:dyDescent="0.25"/>
  <cols>
    <col min="1" max="1" width="40.28515625" customWidth="1"/>
    <col min="2" max="2" width="18" customWidth="1"/>
    <col min="14" max="14" width="21.85546875" customWidth="1"/>
  </cols>
  <sheetData>
    <row r="1" spans="1:16" s="1" customFormat="1" ht="25.9" x14ac:dyDescent="0.5">
      <c r="A1" s="18" t="s">
        <v>107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</row>
    <row r="2" spans="1:16" s="1" customFormat="1" ht="20.100000000000001" customHeight="1" x14ac:dyDescent="0.3">
      <c r="A2" s="73" t="s">
        <v>179</v>
      </c>
      <c r="B2" s="74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6" s="1" customFormat="1" ht="39.950000000000003" customHeight="1" x14ac:dyDescent="0.45">
      <c r="A3" s="75" t="s">
        <v>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</row>
    <row r="4" spans="1:16" s="1" customFormat="1" ht="14.45" x14ac:dyDescent="0.3">
      <c r="A4" s="72"/>
      <c r="B4" s="76" t="s">
        <v>108</v>
      </c>
      <c r="C4" s="77" t="s">
        <v>11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6" s="1" customFormat="1" ht="14.45" x14ac:dyDescent="0.3">
      <c r="A5" s="78" t="s">
        <v>119</v>
      </c>
      <c r="B5" s="79" t="s">
        <v>29</v>
      </c>
      <c r="C5" s="46">
        <f>EOMONTH('Scenario Manager'!E10,11)</f>
        <v>43281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</row>
    <row r="6" spans="1:16" s="1" customFormat="1" ht="14.45" x14ac:dyDescent="0.3">
      <c r="A6" s="78" t="s">
        <v>109</v>
      </c>
      <c r="B6" s="79" t="s">
        <v>29</v>
      </c>
      <c r="C6" s="80">
        <f>'Scenario Manager'!E11</f>
        <v>365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</row>
    <row r="7" spans="1:16" s="1" customFormat="1" ht="14.45" x14ac:dyDescent="0.3">
      <c r="A7" s="78" t="s">
        <v>110</v>
      </c>
      <c r="B7" s="79" t="s">
        <v>29</v>
      </c>
      <c r="C7" s="80">
        <f>'Scenario Manager'!E13</f>
        <v>182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</row>
    <row r="8" spans="1:16" s="1" customFormat="1" ht="14.45" x14ac:dyDescent="0.3">
      <c r="A8" s="78" t="s">
        <v>111</v>
      </c>
      <c r="B8" s="79" t="s">
        <v>29</v>
      </c>
      <c r="C8" s="80">
        <f>'Scenario Manager'!E12</f>
        <v>148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</row>
    <row r="9" spans="1:16" s="1" customFormat="1" ht="14.45" x14ac:dyDescent="0.3">
      <c r="A9" s="78" t="s">
        <v>120</v>
      </c>
      <c r="B9" s="79" t="s">
        <v>29</v>
      </c>
      <c r="C9" s="53">
        <f>'Scenario Manager'!E18</f>
        <v>6.6433320000000004E-2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</row>
    <row r="10" spans="1:16" s="1" customFormat="1" ht="39.950000000000003" customHeight="1" x14ac:dyDescent="0.45">
      <c r="A10" s="75" t="s">
        <v>6</v>
      </c>
      <c r="B10" s="30"/>
      <c r="C10" s="30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16" s="1" customFormat="1" ht="14.45" x14ac:dyDescent="0.3">
      <c r="A11" s="76"/>
      <c r="B11" s="76"/>
      <c r="C11" s="77" t="s">
        <v>11</v>
      </c>
      <c r="D11" s="81"/>
      <c r="E11" s="81"/>
      <c r="F11" s="81"/>
      <c r="G11" s="81"/>
      <c r="H11" s="81"/>
      <c r="I11" s="81"/>
      <c r="J11" s="81"/>
      <c r="K11" s="81"/>
      <c r="L11" s="72"/>
      <c r="M11" s="72"/>
      <c r="N11" s="72"/>
      <c r="O11" s="72"/>
      <c r="P11" s="72"/>
    </row>
    <row r="12" spans="1:16" s="1" customFormat="1" ht="14.45" x14ac:dyDescent="0.3">
      <c r="A12" s="82" t="s">
        <v>112</v>
      </c>
      <c r="B12" s="83"/>
      <c r="C12" s="84">
        <f>C5-C7</f>
        <v>43099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</row>
    <row r="13" spans="1:16" s="1" customFormat="1" ht="14.45" x14ac:dyDescent="0.3">
      <c r="A13" s="82" t="s">
        <v>113</v>
      </c>
      <c r="B13" s="83"/>
      <c r="C13" s="84">
        <f>C5-C8</f>
        <v>43133</v>
      </c>
      <c r="D13" s="85" t="s">
        <v>124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</row>
    <row r="14" spans="1:16" s="1" customFormat="1" ht="14.45" x14ac:dyDescent="0.3">
      <c r="A14" s="82" t="s">
        <v>121</v>
      </c>
      <c r="B14" s="83"/>
      <c r="C14" s="84">
        <f>C12</f>
        <v>43099</v>
      </c>
      <c r="D14" s="85" t="s">
        <v>114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</row>
    <row r="15" spans="1:16" s="1" customFormat="1" ht="14.45" x14ac:dyDescent="0.3">
      <c r="A15" s="82" t="s">
        <v>122</v>
      </c>
      <c r="B15" s="83"/>
      <c r="C15" s="86">
        <f>(1+$C$9)^(C7/C6)</f>
        <v>1.0325915994859556</v>
      </c>
      <c r="D15" s="85" t="s">
        <v>115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</row>
    <row r="16" spans="1:16" s="1" customFormat="1" ht="15.6" x14ac:dyDescent="0.35">
      <c r="A16" s="78" t="s">
        <v>116</v>
      </c>
      <c r="B16" s="78"/>
      <c r="C16" s="87">
        <f>(1+$C$9)^(C8/C6)</f>
        <v>1.0264233985588214</v>
      </c>
      <c r="D16" s="85" t="s">
        <v>117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</row>
    <row r="17" spans="1:16" s="1" customFormat="1" ht="39.950000000000003" customHeight="1" x14ac:dyDescent="0.45">
      <c r="A17" s="75" t="s">
        <v>7</v>
      </c>
      <c r="B17" s="30"/>
      <c r="C17" s="30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</row>
    <row r="18" spans="1:16" s="1" customFormat="1" ht="14.45" x14ac:dyDescent="0.3">
      <c r="A18" s="88"/>
      <c r="B18" s="88"/>
      <c r="C18" s="77" t="s">
        <v>11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</row>
    <row r="19" spans="1:16" s="1" customFormat="1" ht="14.45" x14ac:dyDescent="0.3">
      <c r="A19" s="28" t="s">
        <v>123</v>
      </c>
      <c r="B19" s="28"/>
      <c r="C19" s="89">
        <f>$C$15</f>
        <v>1.0325915994859556</v>
      </c>
      <c r="D19" s="90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</row>
    <row r="20" spans="1:16" s="1" customFormat="1" ht="14.45" x14ac:dyDescent="0.3">
      <c r="A20" s="28" t="s">
        <v>118</v>
      </c>
      <c r="B20" s="28"/>
      <c r="C20" s="89">
        <f>$C$16</f>
        <v>1.0264233985588214</v>
      </c>
      <c r="D20" s="91"/>
      <c r="E20" s="72"/>
      <c r="F20" s="92"/>
      <c r="G20" s="72"/>
      <c r="H20" s="72"/>
      <c r="I20" s="72"/>
      <c r="J20" s="72"/>
      <c r="K20" s="72"/>
      <c r="L20" s="72"/>
      <c r="M20" s="72"/>
      <c r="N20" s="72"/>
      <c r="O20" s="72"/>
      <c r="P20" s="72"/>
    </row>
  </sheetData>
  <pageMargins left="0.7" right="0.7" top="0.75" bottom="0.75" header="0.3" footer="0.3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C162"/>
  <sheetViews>
    <sheetView showGridLines="0" view="pageBreakPreview" zoomScaleNormal="100" zoomScaleSheetLayoutView="100" workbookViewId="0"/>
  </sheetViews>
  <sheetFormatPr defaultRowHeight="15" x14ac:dyDescent="0.25"/>
  <cols>
    <col min="1" max="1" width="8.42578125" customWidth="1"/>
    <col min="2" max="2" width="7.7109375" customWidth="1"/>
    <col min="3" max="3" width="39.7109375" customWidth="1"/>
    <col min="4" max="4" width="17.42578125" style="1" customWidth="1"/>
    <col min="5" max="5" width="12.7109375" bestFit="1" customWidth="1"/>
    <col min="6" max="10" width="9.85546875" customWidth="1"/>
    <col min="11" max="11" width="7.7109375" customWidth="1"/>
  </cols>
  <sheetData>
    <row r="1" spans="1:10" ht="25.9" x14ac:dyDescent="0.5">
      <c r="A1" s="18" t="s">
        <v>156</v>
      </c>
      <c r="E1" s="27"/>
    </row>
    <row r="2" spans="1:10" ht="14.45" x14ac:dyDescent="0.3">
      <c r="A2" s="73" t="s">
        <v>223</v>
      </c>
    </row>
    <row r="3" spans="1:10" s="1" customFormat="1" ht="23.45" x14ac:dyDescent="0.45">
      <c r="A3" s="26" t="s">
        <v>5</v>
      </c>
    </row>
    <row r="4" spans="1:10" s="1" customFormat="1" ht="14.45" x14ac:dyDescent="0.3">
      <c r="D4" s="29" t="s">
        <v>51</v>
      </c>
      <c r="E4" s="29" t="s">
        <v>11</v>
      </c>
      <c r="F4" s="29">
        <v>2018</v>
      </c>
      <c r="G4" s="29">
        <f t="shared" ref="G4:J4" si="0">F4+1</f>
        <v>2019</v>
      </c>
      <c r="H4" s="29">
        <f t="shared" si="0"/>
        <v>2020</v>
      </c>
      <c r="I4" s="29">
        <f t="shared" si="0"/>
        <v>2021</v>
      </c>
      <c r="J4" s="29">
        <f t="shared" si="0"/>
        <v>2022</v>
      </c>
    </row>
    <row r="5" spans="1:10" s="1" customFormat="1" ht="18" x14ac:dyDescent="0.35">
      <c r="B5" s="34" t="s">
        <v>232</v>
      </c>
    </row>
    <row r="6" spans="1:10" s="1" customFormat="1" ht="14.45" x14ac:dyDescent="0.3">
      <c r="C6" s="37" t="str">
        <f>'Scenario Manager'!B26</f>
        <v>Land</v>
      </c>
      <c r="D6" s="37" t="s">
        <v>29</v>
      </c>
      <c r="E6" s="51">
        <f>'Scenario Manager'!E26</f>
        <v>100579.27519010181</v>
      </c>
    </row>
    <row r="7" spans="1:10" s="1" customFormat="1" ht="14.45" x14ac:dyDescent="0.3">
      <c r="C7" s="37" t="str">
        <f>'Scenario Manager'!B27</f>
        <v>Infrastructure &amp; Buildings</v>
      </c>
      <c r="D7" s="37" t="s">
        <v>29</v>
      </c>
      <c r="E7" s="51">
        <f>'Scenario Manager'!E27</f>
        <v>291977.14964270347</v>
      </c>
    </row>
    <row r="8" spans="1:10" s="1" customFormat="1" ht="14.45" x14ac:dyDescent="0.3">
      <c r="C8" s="37" t="str">
        <f>'Scenario Manager'!B28</f>
        <v>Sealed Surfaces</v>
      </c>
      <c r="D8" s="37" t="s">
        <v>29</v>
      </c>
      <c r="E8" s="51">
        <f>'Scenario Manager'!E28</f>
        <v>119841.09163845591</v>
      </c>
    </row>
    <row r="9" spans="1:10" s="1" customFormat="1" ht="14.45" x14ac:dyDescent="0.3">
      <c r="C9" s="37" t="str">
        <f>'Scenario Manager'!B29</f>
        <v>Vehicles, Plant &amp; Equipment</v>
      </c>
      <c r="D9" s="37" t="s">
        <v>29</v>
      </c>
      <c r="E9" s="51">
        <f>'Scenario Manager'!E29</f>
        <v>11975.287201113089</v>
      </c>
    </row>
    <row r="10" spans="1:10" s="1" customFormat="1" ht="14.45" x14ac:dyDescent="0.3">
      <c r="C10" s="37" t="str">
        <f>'Scenario Manager'!B30</f>
        <v>Tax value - Land</v>
      </c>
      <c r="D10" s="37" t="s">
        <v>29</v>
      </c>
      <c r="E10" s="51">
        <f>'Scenario Manager'!E30</f>
        <v>100579.27519010181</v>
      </c>
    </row>
    <row r="11" spans="1:10" s="1" customFormat="1" ht="14.45" x14ac:dyDescent="0.3">
      <c r="C11" s="37" t="str">
        <f>'Scenario Manager'!B31</f>
        <v>Tax value - Infrastructure &amp; Buildings</v>
      </c>
      <c r="D11" s="37" t="s">
        <v>29</v>
      </c>
      <c r="E11" s="51">
        <f>'Scenario Manager'!E31</f>
        <v>291977.14964270347</v>
      </c>
    </row>
    <row r="12" spans="1:10" s="1" customFormat="1" ht="14.45" x14ac:dyDescent="0.3">
      <c r="C12" s="37" t="str">
        <f>'Scenario Manager'!B32</f>
        <v>Tax value - Sealed Surfaces</v>
      </c>
      <c r="D12" s="37" t="s">
        <v>29</v>
      </c>
      <c r="E12" s="51">
        <f>'Scenario Manager'!E32</f>
        <v>119841.09163845591</v>
      </c>
    </row>
    <row r="13" spans="1:10" s="1" customFormat="1" ht="14.45" x14ac:dyDescent="0.3">
      <c r="C13" s="37" t="str">
        <f>'Scenario Manager'!B33</f>
        <v>Tax value - Vehicles, Plant &amp; Equipment</v>
      </c>
      <c r="D13" s="37" t="s">
        <v>29</v>
      </c>
      <c r="E13" s="51">
        <f>'Scenario Manager'!E33</f>
        <v>11975.287201113089</v>
      </c>
    </row>
    <row r="14" spans="1:10" s="1" customFormat="1" ht="18" x14ac:dyDescent="0.35">
      <c r="B14" s="34" t="s">
        <v>9</v>
      </c>
      <c r="C14" s="37"/>
      <c r="D14" s="37"/>
      <c r="E14" s="51"/>
    </row>
    <row r="15" spans="1:10" s="1" customFormat="1" ht="14.45" x14ac:dyDescent="0.3">
      <c r="C15" s="37" t="s">
        <v>69</v>
      </c>
      <c r="D15" s="37" t="s">
        <v>29</v>
      </c>
      <c r="E15" s="47">
        <f>'Scenario Manager'!E15</f>
        <v>0.19</v>
      </c>
    </row>
    <row r="16" spans="1:10" s="1" customFormat="1" ht="14.45" x14ac:dyDescent="0.3">
      <c r="C16" s="37" t="s">
        <v>70</v>
      </c>
      <c r="D16" s="37" t="s">
        <v>29</v>
      </c>
      <c r="E16" s="53">
        <f>'Scenario Manager'!E16</f>
        <v>4.41E-2</v>
      </c>
    </row>
    <row r="17" spans="2:10" s="1" customFormat="1" ht="14.45" x14ac:dyDescent="0.3">
      <c r="C17" s="37" t="s">
        <v>234</v>
      </c>
      <c r="D17" s="37" t="s">
        <v>29</v>
      </c>
      <c r="E17" s="47">
        <f>'Scenario Manager'!E24</f>
        <v>0.5</v>
      </c>
    </row>
    <row r="18" spans="2:10" s="1" customFormat="1" ht="18" x14ac:dyDescent="0.35">
      <c r="B18" s="34" t="s">
        <v>196</v>
      </c>
      <c r="D18" s="22"/>
    </row>
    <row r="19" spans="2:10" s="1" customFormat="1" ht="14.45" x14ac:dyDescent="0.3">
      <c r="C19" s="37" t="s">
        <v>21</v>
      </c>
      <c r="D19" s="37" t="s">
        <v>29</v>
      </c>
      <c r="E19" s="42"/>
      <c r="F19" s="49">
        <f>'Scenario Manager'!F42</f>
        <v>0</v>
      </c>
      <c r="G19" s="49">
        <f>'Scenario Manager'!G42</f>
        <v>0</v>
      </c>
      <c r="H19" s="49">
        <f>'Scenario Manager'!H42</f>
        <v>0</v>
      </c>
      <c r="I19" s="49">
        <f>'Scenario Manager'!I42</f>
        <v>0</v>
      </c>
      <c r="J19" s="49">
        <f>'Scenario Manager'!J42</f>
        <v>0</v>
      </c>
    </row>
    <row r="20" spans="2:10" s="1" customFormat="1" ht="14.45" x14ac:dyDescent="0.3">
      <c r="C20" s="37" t="s">
        <v>193</v>
      </c>
      <c r="D20" s="37" t="s">
        <v>29</v>
      </c>
      <c r="E20" s="42"/>
      <c r="F20" s="49">
        <f>'Scenario Manager'!F43</f>
        <v>9240.6306836449621</v>
      </c>
      <c r="G20" s="49">
        <f>'Scenario Manager'!G43</f>
        <v>4336.1838021383273</v>
      </c>
      <c r="H20" s="49">
        <f>'Scenario Manager'!H43</f>
        <v>12374.867755343013</v>
      </c>
      <c r="I20" s="49">
        <f>'Scenario Manager'!I43</f>
        <v>4127.3541684920237</v>
      </c>
      <c r="J20" s="49">
        <f>'Scenario Manager'!J43</f>
        <v>3116.4993508579673</v>
      </c>
    </row>
    <row r="21" spans="2:10" s="1" customFormat="1" ht="14.45" x14ac:dyDescent="0.3">
      <c r="C21" s="37" t="s">
        <v>194</v>
      </c>
      <c r="D21" s="37" t="s">
        <v>29</v>
      </c>
      <c r="E21" s="42"/>
      <c r="F21" s="49">
        <f>'Scenario Manager'!F44</f>
        <v>8480.4571042916577</v>
      </c>
      <c r="G21" s="49">
        <f>'Scenario Manager'!G44</f>
        <v>6397.6763202017901</v>
      </c>
      <c r="H21" s="49">
        <f>'Scenario Manager'!H44</f>
        <v>6506.5905384618391</v>
      </c>
      <c r="I21" s="49">
        <f>'Scenario Manager'!I44</f>
        <v>5283.6979667130827</v>
      </c>
      <c r="J21" s="49">
        <f>'Scenario Manager'!J44</f>
        <v>12037.99848723578</v>
      </c>
    </row>
    <row r="22" spans="2:10" s="1" customFormat="1" ht="14.45" x14ac:dyDescent="0.3">
      <c r="C22" s="37" t="s">
        <v>195</v>
      </c>
      <c r="D22" s="37" t="s">
        <v>29</v>
      </c>
      <c r="E22" s="42"/>
      <c r="F22" s="49">
        <f>'Scenario Manager'!F45</f>
        <v>1970.8530556869384</v>
      </c>
      <c r="G22" s="49">
        <f>'Scenario Manager'!G45</f>
        <v>1888.7628298028019</v>
      </c>
      <c r="H22" s="49">
        <f>'Scenario Manager'!H45</f>
        <v>2259.4301445910569</v>
      </c>
      <c r="I22" s="49">
        <f>'Scenario Manager'!I45</f>
        <v>2092.4095834898649</v>
      </c>
      <c r="J22" s="49">
        <f>'Scenario Manager'!J45</f>
        <v>2003.5759866786391</v>
      </c>
    </row>
    <row r="23" spans="2:10" s="1" customFormat="1" ht="18" x14ac:dyDescent="0.35">
      <c r="B23" s="34" t="s">
        <v>53</v>
      </c>
      <c r="D23" s="22"/>
      <c r="E23" s="29"/>
      <c r="F23" s="29"/>
      <c r="G23" s="29"/>
      <c r="H23" s="29"/>
      <c r="I23" s="29"/>
      <c r="J23" s="29"/>
    </row>
    <row r="24" spans="2:10" s="1" customFormat="1" ht="14.45" x14ac:dyDescent="0.3">
      <c r="C24" s="37" t="s">
        <v>21</v>
      </c>
      <c r="D24" s="37" t="s">
        <v>29</v>
      </c>
      <c r="E24" s="42"/>
      <c r="F24" s="49">
        <f>'Scenario Manager'!F47</f>
        <v>0</v>
      </c>
      <c r="G24" s="49">
        <f>'Scenario Manager'!G47</f>
        <v>0</v>
      </c>
      <c r="H24" s="49">
        <f>'Scenario Manager'!H47</f>
        <v>0</v>
      </c>
      <c r="I24" s="49">
        <f>'Scenario Manager'!I47</f>
        <v>0</v>
      </c>
      <c r="J24" s="49">
        <f>'Scenario Manager'!J47</f>
        <v>0</v>
      </c>
    </row>
    <row r="25" spans="2:10" s="1" customFormat="1" ht="14.45" x14ac:dyDescent="0.3">
      <c r="C25" s="37" t="s">
        <v>193</v>
      </c>
      <c r="D25" s="37" t="s">
        <v>29</v>
      </c>
      <c r="E25" s="42"/>
      <c r="F25" s="49">
        <f>'Scenario Manager'!F48</f>
        <v>0</v>
      </c>
      <c r="G25" s="49">
        <f>'Scenario Manager'!G48</f>
        <v>0</v>
      </c>
      <c r="H25" s="49">
        <f>'Scenario Manager'!H48</f>
        <v>0</v>
      </c>
      <c r="I25" s="49">
        <f>'Scenario Manager'!I48</f>
        <v>0</v>
      </c>
      <c r="J25" s="49">
        <f>'Scenario Manager'!J48</f>
        <v>0</v>
      </c>
    </row>
    <row r="26" spans="2:10" s="1" customFormat="1" ht="14.45" x14ac:dyDescent="0.3">
      <c r="C26" s="37" t="s">
        <v>194</v>
      </c>
      <c r="D26" s="37" t="s">
        <v>29</v>
      </c>
      <c r="E26" s="42"/>
      <c r="F26" s="49">
        <f>'Scenario Manager'!F49</f>
        <v>0</v>
      </c>
      <c r="G26" s="49">
        <f>'Scenario Manager'!G49</f>
        <v>0</v>
      </c>
      <c r="H26" s="49">
        <f>'Scenario Manager'!H49</f>
        <v>0</v>
      </c>
      <c r="I26" s="49">
        <f>'Scenario Manager'!I49</f>
        <v>0</v>
      </c>
      <c r="J26" s="49">
        <f>'Scenario Manager'!J49</f>
        <v>0</v>
      </c>
    </row>
    <row r="27" spans="2:10" s="1" customFormat="1" ht="14.45" x14ac:dyDescent="0.3">
      <c r="C27" s="37" t="s">
        <v>195</v>
      </c>
      <c r="D27" s="37" t="s">
        <v>29</v>
      </c>
      <c r="E27" s="42"/>
      <c r="F27" s="49">
        <f>'Scenario Manager'!F50</f>
        <v>0</v>
      </c>
      <c r="G27" s="49">
        <f>'Scenario Manager'!G50</f>
        <v>0</v>
      </c>
      <c r="H27" s="49">
        <f>'Scenario Manager'!H50</f>
        <v>0</v>
      </c>
      <c r="I27" s="49">
        <f>'Scenario Manager'!I50</f>
        <v>0</v>
      </c>
      <c r="J27" s="49">
        <f>'Scenario Manager'!J50</f>
        <v>0</v>
      </c>
    </row>
    <row r="28" spans="2:10" s="1" customFormat="1" ht="18.75" x14ac:dyDescent="0.3">
      <c r="B28" s="34" t="s">
        <v>80</v>
      </c>
    </row>
    <row r="29" spans="2:10" s="1" customFormat="1" x14ac:dyDescent="0.25">
      <c r="C29" s="37" t="s">
        <v>21</v>
      </c>
      <c r="D29" s="37" t="s">
        <v>29</v>
      </c>
      <c r="E29" s="37"/>
      <c r="F29" s="137">
        <f>'Scenario Manager'!F52</f>
        <v>1.3900245298446466E-2</v>
      </c>
      <c r="G29" s="137">
        <f>'Scenario Manager'!G52</f>
        <v>2.0161290322580735E-2</v>
      </c>
      <c r="H29" s="137">
        <f>'Scenario Manager'!H52</f>
        <v>1.9262799374245576E-2</v>
      </c>
      <c r="I29" s="137">
        <f>'Scenario Manager'!I52</f>
        <v>2.0000000000000458E-2</v>
      </c>
      <c r="J29" s="137">
        <f>'Scenario Manager'!J52</f>
        <v>2.0000000000000236E-2</v>
      </c>
    </row>
    <row r="30" spans="2:10" s="1" customFormat="1" x14ac:dyDescent="0.25">
      <c r="C30" s="37" t="s">
        <v>193</v>
      </c>
      <c r="D30" s="37" t="s">
        <v>29</v>
      </c>
      <c r="E30" s="37"/>
      <c r="F30" s="137">
        <f>'Scenario Manager'!F53</f>
        <v>1.3900245298446466E-2</v>
      </c>
      <c r="G30" s="137">
        <f>'Scenario Manager'!G53</f>
        <v>2.0161290322580735E-2</v>
      </c>
      <c r="H30" s="137">
        <f>'Scenario Manager'!H53</f>
        <v>1.9262799374245576E-2</v>
      </c>
      <c r="I30" s="137">
        <f>'Scenario Manager'!I53</f>
        <v>2.0000000000000458E-2</v>
      </c>
      <c r="J30" s="137">
        <f>'Scenario Manager'!J53</f>
        <v>2.0000000000000236E-2</v>
      </c>
    </row>
    <row r="31" spans="2:10" s="1" customFormat="1" x14ac:dyDescent="0.25">
      <c r="C31" s="37" t="s">
        <v>194</v>
      </c>
      <c r="D31" s="37" t="s">
        <v>29</v>
      </c>
      <c r="E31" s="37"/>
      <c r="F31" s="137">
        <f>'Scenario Manager'!F54</f>
        <v>1.3900245298446466E-2</v>
      </c>
      <c r="G31" s="137">
        <f>'Scenario Manager'!G54</f>
        <v>2.0161290322580735E-2</v>
      </c>
      <c r="H31" s="137">
        <f>'Scenario Manager'!H54</f>
        <v>1.9262799374245576E-2</v>
      </c>
      <c r="I31" s="137">
        <f>'Scenario Manager'!I54</f>
        <v>2.0000000000000458E-2</v>
      </c>
      <c r="J31" s="137">
        <f>'Scenario Manager'!J54</f>
        <v>2.0000000000000236E-2</v>
      </c>
    </row>
    <row r="32" spans="2:10" s="1" customFormat="1" x14ac:dyDescent="0.25">
      <c r="C32" s="37" t="s">
        <v>195</v>
      </c>
      <c r="D32" s="37" t="s">
        <v>29</v>
      </c>
      <c r="E32" s="37"/>
      <c r="F32" s="137">
        <f>'Scenario Manager'!F55</f>
        <v>1.3900245298446466E-2</v>
      </c>
      <c r="G32" s="137">
        <f>'Scenario Manager'!G55</f>
        <v>2.0161290322580735E-2</v>
      </c>
      <c r="H32" s="137">
        <f>'Scenario Manager'!H55</f>
        <v>1.9262799374245576E-2</v>
      </c>
      <c r="I32" s="137">
        <f>'Scenario Manager'!I55</f>
        <v>2.0000000000000458E-2</v>
      </c>
      <c r="J32" s="137">
        <f>'Scenario Manager'!J55</f>
        <v>2.0000000000000236E-2</v>
      </c>
    </row>
    <row r="33" spans="2:10" s="1" customFormat="1" ht="18.75" x14ac:dyDescent="0.3">
      <c r="B33" s="34" t="s">
        <v>54</v>
      </c>
      <c r="D33" s="22"/>
      <c r="E33" s="29"/>
      <c r="F33" s="29"/>
      <c r="G33" s="29"/>
      <c r="H33" s="29"/>
      <c r="I33" s="29"/>
      <c r="J33" s="29"/>
    </row>
    <row r="34" spans="2:10" s="1" customFormat="1" x14ac:dyDescent="0.25">
      <c r="C34" s="37" t="s">
        <v>21</v>
      </c>
      <c r="D34" s="37" t="s">
        <v>29</v>
      </c>
      <c r="E34" s="42"/>
      <c r="F34" s="49">
        <f>'Scenario Manager'!F57</f>
        <v>0</v>
      </c>
      <c r="G34" s="49">
        <f>'Scenario Manager'!G57</f>
        <v>0</v>
      </c>
      <c r="H34" s="49">
        <f>'Scenario Manager'!H57</f>
        <v>0</v>
      </c>
      <c r="I34" s="49">
        <f>'Scenario Manager'!I57</f>
        <v>0</v>
      </c>
      <c r="J34" s="49">
        <f>'Scenario Manager'!J57</f>
        <v>0</v>
      </c>
    </row>
    <row r="35" spans="2:10" s="1" customFormat="1" x14ac:dyDescent="0.25">
      <c r="C35" s="37" t="s">
        <v>193</v>
      </c>
      <c r="D35" s="37" t="s">
        <v>29</v>
      </c>
      <c r="E35" s="42"/>
      <c r="F35" s="49">
        <f>'Scenario Manager'!F58</f>
        <v>0</v>
      </c>
      <c r="G35" s="49">
        <f>'Scenario Manager'!G58</f>
        <v>0</v>
      </c>
      <c r="H35" s="49">
        <f>'Scenario Manager'!H58</f>
        <v>0</v>
      </c>
      <c r="I35" s="49">
        <f>'Scenario Manager'!I58</f>
        <v>0</v>
      </c>
      <c r="J35" s="49">
        <f>'Scenario Manager'!J58</f>
        <v>0</v>
      </c>
    </row>
    <row r="36" spans="2:10" s="1" customFormat="1" x14ac:dyDescent="0.25">
      <c r="C36" s="37" t="s">
        <v>194</v>
      </c>
      <c r="D36" s="37" t="s">
        <v>29</v>
      </c>
      <c r="E36" s="42"/>
      <c r="F36" s="49">
        <f>'Scenario Manager'!F59</f>
        <v>0</v>
      </c>
      <c r="G36" s="49">
        <f>'Scenario Manager'!G59</f>
        <v>0</v>
      </c>
      <c r="H36" s="49">
        <f>'Scenario Manager'!H59</f>
        <v>0</v>
      </c>
      <c r="I36" s="49">
        <f>'Scenario Manager'!I59</f>
        <v>0</v>
      </c>
      <c r="J36" s="49">
        <f>'Scenario Manager'!J59</f>
        <v>0</v>
      </c>
    </row>
    <row r="37" spans="2:10" s="1" customFormat="1" x14ac:dyDescent="0.25">
      <c r="C37" s="37" t="s">
        <v>195</v>
      </c>
      <c r="D37" s="37" t="s">
        <v>29</v>
      </c>
      <c r="E37" s="42"/>
      <c r="F37" s="49">
        <f>'Scenario Manager'!F60</f>
        <v>0</v>
      </c>
      <c r="G37" s="49">
        <f>'Scenario Manager'!G60</f>
        <v>0</v>
      </c>
      <c r="H37" s="49">
        <f>'Scenario Manager'!H60</f>
        <v>0</v>
      </c>
      <c r="I37" s="49">
        <f>'Scenario Manager'!I60</f>
        <v>0</v>
      </c>
      <c r="J37" s="49">
        <f>'Scenario Manager'!J60</f>
        <v>0</v>
      </c>
    </row>
    <row r="38" spans="2:10" s="1" customFormat="1" ht="18.75" x14ac:dyDescent="0.3">
      <c r="B38" s="34" t="s">
        <v>197</v>
      </c>
      <c r="D38" s="22"/>
      <c r="E38" s="29"/>
      <c r="F38" s="29"/>
      <c r="G38" s="29"/>
      <c r="H38" s="29"/>
      <c r="I38" s="29"/>
      <c r="J38" s="29"/>
    </row>
    <row r="39" spans="2:10" s="1" customFormat="1" x14ac:dyDescent="0.25">
      <c r="C39" s="37" t="s">
        <v>21</v>
      </c>
      <c r="D39" s="37" t="s">
        <v>29</v>
      </c>
      <c r="E39" s="42"/>
      <c r="F39" s="49">
        <f>'Scenario Manager'!F62</f>
        <v>0</v>
      </c>
      <c r="G39" s="49">
        <f>'Scenario Manager'!G62</f>
        <v>0</v>
      </c>
      <c r="H39" s="49">
        <f>'Scenario Manager'!H62</f>
        <v>0</v>
      </c>
      <c r="I39" s="49">
        <f>'Scenario Manager'!I62</f>
        <v>0</v>
      </c>
      <c r="J39" s="49">
        <f>'Scenario Manager'!J62</f>
        <v>0</v>
      </c>
    </row>
    <row r="40" spans="2:10" s="1" customFormat="1" x14ac:dyDescent="0.25">
      <c r="C40" s="37" t="s">
        <v>193</v>
      </c>
      <c r="D40" s="37" t="s">
        <v>29</v>
      </c>
      <c r="E40" s="42"/>
      <c r="F40" s="49">
        <f>'Scenario Manager'!F63</f>
        <v>15251.794198800178</v>
      </c>
      <c r="G40" s="49">
        <f>'Scenario Manager'!G63</f>
        <v>13014.713042998728</v>
      </c>
      <c r="H40" s="49">
        <f>'Scenario Manager'!H63</f>
        <v>14397.750610354942</v>
      </c>
      <c r="I40" s="49">
        <f>'Scenario Manager'!I63</f>
        <v>16100.145730324559</v>
      </c>
      <c r="J40" s="49">
        <f>'Scenario Manager'!J63</f>
        <v>16347.590652316409</v>
      </c>
    </row>
    <row r="41" spans="2:10" s="1" customFormat="1" x14ac:dyDescent="0.25">
      <c r="C41" s="37" t="s">
        <v>194</v>
      </c>
      <c r="D41" s="37" t="s">
        <v>29</v>
      </c>
      <c r="E41" s="42"/>
      <c r="F41" s="49">
        <f>'Scenario Manager'!F64</f>
        <v>3672.1036218341469</v>
      </c>
      <c r="G41" s="49">
        <f>'Scenario Manager'!G64</f>
        <v>4319.6787614284858</v>
      </c>
      <c r="H41" s="49">
        <f>'Scenario Manager'!H64</f>
        <v>5021.9522288982243</v>
      </c>
      <c r="I41" s="49">
        <f>'Scenario Manager'!I64</f>
        <v>5494.2315353399263</v>
      </c>
      <c r="J41" s="49">
        <f>'Scenario Manager'!J64</f>
        <v>5260.5217783666212</v>
      </c>
    </row>
    <row r="42" spans="2:10" s="1" customFormat="1" x14ac:dyDescent="0.25">
      <c r="C42" s="37" t="s">
        <v>195</v>
      </c>
      <c r="D42" s="37" t="s">
        <v>29</v>
      </c>
      <c r="E42" s="42"/>
      <c r="F42" s="49">
        <f>'Scenario Manager'!F65</f>
        <v>2044.4059009855901</v>
      </c>
      <c r="G42" s="49">
        <f>'Scenario Manager'!G65</f>
        <v>2239.244815531426</v>
      </c>
      <c r="H42" s="49">
        <f>'Scenario Manager'!H65</f>
        <v>2490.0219671679602</v>
      </c>
      <c r="I42" s="49">
        <f>'Scenario Manager'!I65</f>
        <v>2901.3601734254644</v>
      </c>
      <c r="J42" s="49">
        <f>'Scenario Manager'!J65</f>
        <v>2610.6316113775524</v>
      </c>
    </row>
    <row r="43" spans="2:10" s="1" customFormat="1" ht="18.75" x14ac:dyDescent="0.3">
      <c r="B43" s="34" t="s">
        <v>43</v>
      </c>
      <c r="D43" s="22"/>
      <c r="E43" s="29"/>
      <c r="F43" s="29"/>
      <c r="G43" s="29"/>
      <c r="H43" s="29"/>
      <c r="I43" s="29"/>
      <c r="J43" s="29"/>
    </row>
    <row r="44" spans="2:10" s="1" customFormat="1" x14ac:dyDescent="0.25">
      <c r="C44" s="37" t="s">
        <v>21</v>
      </c>
      <c r="D44" s="37" t="s">
        <v>29</v>
      </c>
      <c r="E44" s="42"/>
      <c r="F44" s="49">
        <f>'Scenario Manager'!F67</f>
        <v>0</v>
      </c>
      <c r="G44" s="49">
        <f>'Scenario Manager'!G67</f>
        <v>0</v>
      </c>
      <c r="H44" s="49">
        <f>'Scenario Manager'!H67</f>
        <v>0</v>
      </c>
      <c r="I44" s="49">
        <f>'Scenario Manager'!I67</f>
        <v>0</v>
      </c>
      <c r="J44" s="49">
        <f>'Scenario Manager'!J67</f>
        <v>0</v>
      </c>
    </row>
    <row r="45" spans="2:10" s="1" customFormat="1" x14ac:dyDescent="0.25">
      <c r="C45" s="37" t="s">
        <v>193</v>
      </c>
      <c r="D45" s="37" t="s">
        <v>29</v>
      </c>
      <c r="E45" s="42"/>
      <c r="F45" s="49">
        <f>'Scenario Manager'!F68</f>
        <v>13386.807644494809</v>
      </c>
      <c r="G45" s="49">
        <f>'Scenario Manager'!G68</f>
        <v>13277.722191423716</v>
      </c>
      <c r="H45" s="49">
        <f>'Scenario Manager'!H68</f>
        <v>11278.353190756223</v>
      </c>
      <c r="I45" s="49">
        <f>'Scenario Manager'!I68</f>
        <v>11144.524378756729</v>
      </c>
      <c r="J45" s="49">
        <f>'Scenario Manager'!J68</f>
        <v>9030.8822906085588</v>
      </c>
    </row>
    <row r="46" spans="2:10" s="1" customFormat="1" x14ac:dyDescent="0.25">
      <c r="C46" s="37" t="s">
        <v>194</v>
      </c>
      <c r="D46" s="37" t="s">
        <v>29</v>
      </c>
      <c r="E46" s="42"/>
      <c r="F46" s="49">
        <f>'Scenario Manager'!F69</f>
        <v>3386.5402291030832</v>
      </c>
      <c r="G46" s="49">
        <f>'Scenario Manager'!G69</f>
        <v>3875.4339185857334</v>
      </c>
      <c r="H46" s="49">
        <f>'Scenario Manager'!H69</f>
        <v>3367.2832136031452</v>
      </c>
      <c r="I46" s="49">
        <f>'Scenario Manager'!I69</f>
        <v>3494.9065067576948</v>
      </c>
      <c r="J46" s="49">
        <f>'Scenario Manager'!J69</f>
        <v>3636.4165303678601</v>
      </c>
    </row>
    <row r="47" spans="2:10" s="1" customFormat="1" x14ac:dyDescent="0.25">
      <c r="C47" s="37" t="s">
        <v>195</v>
      </c>
      <c r="D47" s="37" t="s">
        <v>29</v>
      </c>
      <c r="E47" s="42"/>
      <c r="F47" s="49">
        <f>'Scenario Manager'!F70</f>
        <v>2585.463948498335</v>
      </c>
      <c r="G47" s="49">
        <f>'Scenario Manager'!G70</f>
        <v>2792.9686904597179</v>
      </c>
      <c r="H47" s="49">
        <f>'Scenario Manager'!H70</f>
        <v>2797.0703062288439</v>
      </c>
      <c r="I47" s="49">
        <f>'Scenario Manager'!I70</f>
        <v>2614.2194780081327</v>
      </c>
      <c r="J47" s="49">
        <f>'Scenario Manager'!J70</f>
        <v>2536.3895469084468</v>
      </c>
    </row>
    <row r="48" spans="2:10" s="1" customFormat="1" ht="18.75" x14ac:dyDescent="0.3">
      <c r="B48" s="34" t="s">
        <v>198</v>
      </c>
      <c r="D48" s="22"/>
      <c r="E48" s="29"/>
      <c r="F48" s="29"/>
      <c r="G48" s="29"/>
      <c r="H48" s="29"/>
      <c r="I48" s="29"/>
      <c r="J48" s="29"/>
    </row>
    <row r="49" spans="1:10" s="1" customFormat="1" x14ac:dyDescent="0.25">
      <c r="C49" s="37" t="s">
        <v>21</v>
      </c>
      <c r="D49" s="37" t="s">
        <v>29</v>
      </c>
      <c r="E49" s="42"/>
      <c r="F49" s="49">
        <f>'Scenario Manager'!F72</f>
        <v>0</v>
      </c>
      <c r="G49" s="49">
        <f>'Scenario Manager'!G72</f>
        <v>0</v>
      </c>
      <c r="H49" s="49">
        <f>'Scenario Manager'!H72</f>
        <v>0</v>
      </c>
      <c r="I49" s="49">
        <f>'Scenario Manager'!I72</f>
        <v>0</v>
      </c>
      <c r="J49" s="49">
        <f>'Scenario Manager'!J72</f>
        <v>0</v>
      </c>
    </row>
    <row r="50" spans="1:10" s="1" customFormat="1" x14ac:dyDescent="0.25">
      <c r="C50" s="37" t="s">
        <v>193</v>
      </c>
      <c r="D50" s="37" t="s">
        <v>29</v>
      </c>
      <c r="E50" s="42"/>
      <c r="F50" s="49">
        <f>'Scenario Manager'!F73</f>
        <v>0</v>
      </c>
      <c r="G50" s="49">
        <f>'Scenario Manager'!G73</f>
        <v>0</v>
      </c>
      <c r="H50" s="49">
        <f>'Scenario Manager'!H73</f>
        <v>0</v>
      </c>
      <c r="I50" s="49">
        <f>'Scenario Manager'!I73</f>
        <v>0</v>
      </c>
      <c r="J50" s="49">
        <f>'Scenario Manager'!J73</f>
        <v>0</v>
      </c>
    </row>
    <row r="51" spans="1:10" s="1" customFormat="1" x14ac:dyDescent="0.25">
      <c r="C51" s="37" t="s">
        <v>194</v>
      </c>
      <c r="D51" s="37" t="s">
        <v>29</v>
      </c>
      <c r="E51" s="42"/>
      <c r="F51" s="49">
        <f>'Scenario Manager'!F74</f>
        <v>0</v>
      </c>
      <c r="G51" s="49">
        <f>'Scenario Manager'!G74</f>
        <v>0</v>
      </c>
      <c r="H51" s="49">
        <f>'Scenario Manager'!H74</f>
        <v>0</v>
      </c>
      <c r="I51" s="49">
        <f>'Scenario Manager'!I74</f>
        <v>0</v>
      </c>
      <c r="J51" s="49">
        <f>'Scenario Manager'!J74</f>
        <v>0</v>
      </c>
    </row>
    <row r="52" spans="1:10" s="1" customFormat="1" x14ac:dyDescent="0.25">
      <c r="C52" s="37" t="s">
        <v>195</v>
      </c>
      <c r="D52" s="37" t="s">
        <v>29</v>
      </c>
      <c r="E52" s="42"/>
      <c r="F52" s="49">
        <f>'Scenario Manager'!F75</f>
        <v>0</v>
      </c>
      <c r="G52" s="49">
        <f>'Scenario Manager'!G75</f>
        <v>0</v>
      </c>
      <c r="H52" s="49">
        <f>'Scenario Manager'!H75</f>
        <v>0</v>
      </c>
      <c r="I52" s="49">
        <f>'Scenario Manager'!I75</f>
        <v>0</v>
      </c>
      <c r="J52" s="49">
        <f>'Scenario Manager'!J75</f>
        <v>0</v>
      </c>
    </row>
    <row r="53" spans="1:10" s="1" customFormat="1" x14ac:dyDescent="0.25">
      <c r="C53" s="50"/>
      <c r="D53" s="50"/>
      <c r="E53" s="50"/>
      <c r="F53" s="50"/>
      <c r="G53" s="50"/>
      <c r="H53" s="50"/>
      <c r="I53" s="50"/>
      <c r="J53" s="50"/>
    </row>
    <row r="54" spans="1:10" s="1" customFormat="1" ht="23.25" x14ac:dyDescent="0.35">
      <c r="A54" s="26" t="s">
        <v>6</v>
      </c>
    </row>
    <row r="55" spans="1:10" s="1" customFormat="1" ht="21" x14ac:dyDescent="0.35">
      <c r="A55" s="41" t="s">
        <v>60</v>
      </c>
    </row>
    <row r="56" spans="1:10" s="1" customFormat="1" ht="18.75" x14ac:dyDescent="0.3">
      <c r="B56" s="34" t="s">
        <v>21</v>
      </c>
      <c r="C56" s="54"/>
      <c r="D56" s="54"/>
      <c r="E56" s="29">
        <v>2017</v>
      </c>
      <c r="F56" s="29">
        <f t="shared" ref="F56:G56" si="1">E56+1</f>
        <v>2018</v>
      </c>
      <c r="G56" s="29">
        <f t="shared" si="1"/>
        <v>2019</v>
      </c>
      <c r="H56" s="29">
        <f t="shared" ref="H56" si="2">G56+1</f>
        <v>2020</v>
      </c>
      <c r="I56" s="29">
        <f t="shared" ref="I56" si="3">H56+1</f>
        <v>2021</v>
      </c>
      <c r="J56" s="29">
        <f t="shared" ref="J56" si="4">I56+1</f>
        <v>2022</v>
      </c>
    </row>
    <row r="57" spans="1:10" s="1" customFormat="1" x14ac:dyDescent="0.25">
      <c r="B57" s="54"/>
      <c r="C57" s="61" t="s">
        <v>52</v>
      </c>
      <c r="D57" s="61"/>
      <c r="E57" s="61"/>
      <c r="F57" s="61">
        <f>E63</f>
        <v>100579.27519010181</v>
      </c>
      <c r="G57" s="61">
        <f t="shared" ref="G57:J57" si="5">F63</f>
        <v>101977.35178718418</v>
      </c>
      <c r="H57" s="61">
        <f t="shared" si="5"/>
        <v>104033.34678289354</v>
      </c>
      <c r="I57" s="61">
        <f t="shared" si="5"/>
        <v>106037.32027020374</v>
      </c>
      <c r="J57" s="61">
        <f t="shared" si="5"/>
        <v>108158.06667560786</v>
      </c>
    </row>
    <row r="58" spans="1:10" s="1" customFormat="1" x14ac:dyDescent="0.25">
      <c r="B58" s="54"/>
      <c r="C58" s="61" t="s">
        <v>196</v>
      </c>
      <c r="D58" s="61"/>
      <c r="E58" s="62"/>
      <c r="F58" s="138">
        <f t="shared" ref="F58:J58" si="6">F19</f>
        <v>0</v>
      </c>
      <c r="G58" s="138">
        <f t="shared" si="6"/>
        <v>0</v>
      </c>
      <c r="H58" s="138">
        <f t="shared" si="6"/>
        <v>0</v>
      </c>
      <c r="I58" s="138">
        <f t="shared" si="6"/>
        <v>0</v>
      </c>
      <c r="J58" s="138">
        <f t="shared" si="6"/>
        <v>0</v>
      </c>
    </row>
    <row r="59" spans="1:10" s="1" customFormat="1" x14ac:dyDescent="0.25">
      <c r="B59" s="54"/>
      <c r="C59" s="61" t="s">
        <v>36</v>
      </c>
      <c r="D59" s="61"/>
      <c r="E59" s="61"/>
      <c r="F59" s="61">
        <f t="shared" ref="F59:J59" si="7">F29*F57</f>
        <v>1398.0765970823659</v>
      </c>
      <c r="G59" s="61">
        <f t="shared" si="7"/>
        <v>2055.9949957093677</v>
      </c>
      <c r="H59" s="61">
        <f t="shared" si="7"/>
        <v>2003.9734873101947</v>
      </c>
      <c r="I59" s="61">
        <f t="shared" si="7"/>
        <v>2120.7464054041234</v>
      </c>
      <c r="J59" s="61">
        <f t="shared" si="7"/>
        <v>2163.1613335121829</v>
      </c>
    </row>
    <row r="60" spans="1:10" s="1" customFormat="1" x14ac:dyDescent="0.25">
      <c r="B60" s="54"/>
      <c r="C60" s="61" t="s">
        <v>56</v>
      </c>
      <c r="D60" s="61"/>
      <c r="E60" s="61"/>
      <c r="F60" s="138">
        <f t="shared" ref="F60:J60" si="8">-F39</f>
        <v>0</v>
      </c>
      <c r="G60" s="138">
        <f t="shared" si="8"/>
        <v>0</v>
      </c>
      <c r="H60" s="138">
        <f t="shared" si="8"/>
        <v>0</v>
      </c>
      <c r="I60" s="138">
        <f t="shared" si="8"/>
        <v>0</v>
      </c>
      <c r="J60" s="138">
        <f t="shared" si="8"/>
        <v>0</v>
      </c>
    </row>
    <row r="61" spans="1:10" s="1" customFormat="1" x14ac:dyDescent="0.25">
      <c r="B61" s="54"/>
      <c r="C61" s="61" t="s">
        <v>53</v>
      </c>
      <c r="D61" s="61"/>
      <c r="E61" s="61"/>
      <c r="F61" s="138">
        <f t="shared" ref="F61:J61" si="9">-F24</f>
        <v>0</v>
      </c>
      <c r="G61" s="138">
        <f t="shared" si="9"/>
        <v>0</v>
      </c>
      <c r="H61" s="138">
        <f t="shared" si="9"/>
        <v>0</v>
      </c>
      <c r="I61" s="138">
        <f t="shared" si="9"/>
        <v>0</v>
      </c>
      <c r="J61" s="138">
        <f t="shared" si="9"/>
        <v>0</v>
      </c>
    </row>
    <row r="62" spans="1:10" s="1" customFormat="1" x14ac:dyDescent="0.25">
      <c r="B62" s="54"/>
      <c r="C62" s="61" t="s">
        <v>54</v>
      </c>
      <c r="D62" s="61"/>
      <c r="E62" s="61"/>
      <c r="F62" s="138">
        <f t="shared" ref="F62:J62" si="10">F34</f>
        <v>0</v>
      </c>
      <c r="G62" s="138">
        <f t="shared" si="10"/>
        <v>0</v>
      </c>
      <c r="H62" s="138">
        <f t="shared" si="10"/>
        <v>0</v>
      </c>
      <c r="I62" s="138">
        <f t="shared" si="10"/>
        <v>0</v>
      </c>
      <c r="J62" s="138">
        <f t="shared" si="10"/>
        <v>0</v>
      </c>
    </row>
    <row r="63" spans="1:10" s="1" customFormat="1" x14ac:dyDescent="0.25">
      <c r="B63" s="58"/>
      <c r="C63" s="61" t="s">
        <v>55</v>
      </c>
      <c r="D63" s="61"/>
      <c r="E63" s="61">
        <f>E6</f>
        <v>100579.27519010181</v>
      </c>
      <c r="F63" s="61">
        <f t="shared" ref="F63:J63" si="11">SUM(F57:F62)</f>
        <v>101977.35178718418</v>
      </c>
      <c r="G63" s="61">
        <f t="shared" si="11"/>
        <v>104033.34678289354</v>
      </c>
      <c r="H63" s="61">
        <f t="shared" si="11"/>
        <v>106037.32027020374</v>
      </c>
      <c r="I63" s="61">
        <f t="shared" si="11"/>
        <v>108158.06667560786</v>
      </c>
      <c r="J63" s="61">
        <f t="shared" si="11"/>
        <v>110321.22800912004</v>
      </c>
    </row>
    <row r="64" spans="1:10" s="1" customFormat="1" x14ac:dyDescent="0.25">
      <c r="B64" s="58"/>
      <c r="C64" s="61" t="s">
        <v>150</v>
      </c>
      <c r="D64" s="61"/>
      <c r="E64" s="61"/>
      <c r="F64" s="66">
        <f t="shared" ref="F64:J64" si="12">IFERROR(-F60/F57,0)</f>
        <v>0</v>
      </c>
      <c r="G64" s="66">
        <f t="shared" si="12"/>
        <v>0</v>
      </c>
      <c r="H64" s="66">
        <f t="shared" si="12"/>
        <v>0</v>
      </c>
      <c r="I64" s="66">
        <f t="shared" si="12"/>
        <v>0</v>
      </c>
      <c r="J64" s="66">
        <f t="shared" si="12"/>
        <v>0</v>
      </c>
    </row>
    <row r="65" spans="2:16383" s="1" customFormat="1" x14ac:dyDescent="0.25">
      <c r="B65" s="54"/>
      <c r="C65" s="54"/>
      <c r="D65" s="54"/>
      <c r="E65" s="54"/>
      <c r="F65" s="54"/>
      <c r="G65" s="54"/>
      <c r="H65" s="54"/>
      <c r="I65" s="54"/>
      <c r="J65" s="54"/>
    </row>
    <row r="66" spans="2:16383" ht="18.75" x14ac:dyDescent="0.3">
      <c r="B66" s="34" t="s">
        <v>193</v>
      </c>
      <c r="C66" s="54"/>
      <c r="D66" s="54"/>
      <c r="E66" s="29">
        <v>2017</v>
      </c>
      <c r="F66" s="29">
        <f t="shared" ref="F66" si="13">E66+1</f>
        <v>2018</v>
      </c>
      <c r="G66" s="29">
        <f t="shared" ref="G66" si="14">F66+1</f>
        <v>2019</v>
      </c>
      <c r="H66" s="29">
        <f t="shared" ref="H66" si="15">G66+1</f>
        <v>2020</v>
      </c>
      <c r="I66" s="29">
        <f t="shared" ref="I66" si="16">H66+1</f>
        <v>2021</v>
      </c>
      <c r="J66" s="29">
        <f t="shared" ref="J66" si="17">I66+1</f>
        <v>2022</v>
      </c>
    </row>
    <row r="67" spans="2:16383" x14ac:dyDescent="0.25">
      <c r="B67" s="54"/>
      <c r="C67" s="61" t="s">
        <v>52</v>
      </c>
      <c r="D67" s="61"/>
      <c r="E67" s="61"/>
      <c r="F67" s="61">
        <f>E73</f>
        <v>291977.14964270347</v>
      </c>
      <c r="G67" s="61">
        <f t="shared" ref="G67:J67" si="18">F73</f>
        <v>290024.54012912308</v>
      </c>
      <c r="H67" s="61">
        <f t="shared" si="18"/>
        <v>287193.27984247886</v>
      </c>
      <c r="I67" s="61">
        <f t="shared" si="18"/>
        <v>290702.54351870419</v>
      </c>
      <c r="J67" s="61">
        <f t="shared" si="18"/>
        <v>284543.80282724585</v>
      </c>
    </row>
    <row r="68" spans="2:16383" x14ac:dyDescent="0.25">
      <c r="B68" s="54"/>
      <c r="C68" s="61" t="s">
        <v>196</v>
      </c>
      <c r="D68" s="61"/>
      <c r="E68" s="62"/>
      <c r="F68" s="61">
        <f t="shared" ref="F68:J68" si="19">F20</f>
        <v>9240.6306836449621</v>
      </c>
      <c r="G68" s="61">
        <f t="shared" si="19"/>
        <v>4336.1838021383273</v>
      </c>
      <c r="H68" s="61">
        <f t="shared" si="19"/>
        <v>12374.867755343013</v>
      </c>
      <c r="I68" s="61">
        <f t="shared" si="19"/>
        <v>4127.3541684920237</v>
      </c>
      <c r="J68" s="61">
        <f t="shared" si="19"/>
        <v>3116.4993508579673</v>
      </c>
    </row>
    <row r="69" spans="2:16383" x14ac:dyDescent="0.25">
      <c r="B69" s="54"/>
      <c r="C69" s="61" t="s">
        <v>36</v>
      </c>
      <c r="D69" s="61"/>
      <c r="E69" s="61"/>
      <c r="F69" s="61">
        <f t="shared" ref="F69:J69" si="20">F30*F67</f>
        <v>4058.5540015747893</v>
      </c>
      <c r="G69" s="61">
        <f t="shared" si="20"/>
        <v>5847.268954216217</v>
      </c>
      <c r="H69" s="61">
        <f t="shared" si="20"/>
        <v>5532.1465312372366</v>
      </c>
      <c r="I69" s="61">
        <f t="shared" si="20"/>
        <v>5814.0508703742171</v>
      </c>
      <c r="J69" s="61">
        <f t="shared" si="20"/>
        <v>5690.8760565449838</v>
      </c>
    </row>
    <row r="70" spans="2:16383" x14ac:dyDescent="0.25">
      <c r="B70" s="54"/>
      <c r="C70" s="61" t="s">
        <v>56</v>
      </c>
      <c r="D70" s="61"/>
      <c r="E70" s="61"/>
      <c r="F70" s="61">
        <f t="shared" ref="F70:J70" si="21">-F40</f>
        <v>-15251.794198800178</v>
      </c>
      <c r="G70" s="61">
        <f t="shared" si="21"/>
        <v>-13014.713042998728</v>
      </c>
      <c r="H70" s="61">
        <f t="shared" si="21"/>
        <v>-14397.750610354942</v>
      </c>
      <c r="I70" s="61">
        <f t="shared" si="21"/>
        <v>-16100.145730324559</v>
      </c>
      <c r="J70" s="61">
        <f t="shared" si="21"/>
        <v>-16347.590652316409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  <c r="XFC70" s="1"/>
    </row>
    <row r="71" spans="2:16383" x14ac:dyDescent="0.25">
      <c r="B71" s="54"/>
      <c r="C71" s="61" t="s">
        <v>53</v>
      </c>
      <c r="D71" s="61"/>
      <c r="E71" s="61"/>
      <c r="F71" s="138">
        <f t="shared" ref="F71:J71" si="22">-F25</f>
        <v>0</v>
      </c>
      <c r="G71" s="138">
        <f t="shared" si="22"/>
        <v>0</v>
      </c>
      <c r="H71" s="138">
        <f t="shared" si="22"/>
        <v>0</v>
      </c>
      <c r="I71" s="138">
        <f t="shared" si="22"/>
        <v>0</v>
      </c>
      <c r="J71" s="138">
        <f t="shared" si="22"/>
        <v>0</v>
      </c>
    </row>
    <row r="72" spans="2:16383" x14ac:dyDescent="0.25">
      <c r="B72" s="54"/>
      <c r="C72" s="61" t="s">
        <v>54</v>
      </c>
      <c r="D72" s="61"/>
      <c r="E72" s="61"/>
      <c r="F72" s="138">
        <f t="shared" ref="F72:J72" si="23">F35</f>
        <v>0</v>
      </c>
      <c r="G72" s="138">
        <f t="shared" si="23"/>
        <v>0</v>
      </c>
      <c r="H72" s="138">
        <f t="shared" si="23"/>
        <v>0</v>
      </c>
      <c r="I72" s="138">
        <f t="shared" si="23"/>
        <v>0</v>
      </c>
      <c r="J72" s="138">
        <f t="shared" si="23"/>
        <v>0</v>
      </c>
    </row>
    <row r="73" spans="2:16383" x14ac:dyDescent="0.25">
      <c r="B73" s="54"/>
      <c r="C73" s="61" t="s">
        <v>55</v>
      </c>
      <c r="D73" s="61"/>
      <c r="E73" s="61">
        <f>E7</f>
        <v>291977.14964270347</v>
      </c>
      <c r="F73" s="61">
        <f t="shared" ref="F73:J73" si="24">SUM(F67:F72)</f>
        <v>290024.54012912308</v>
      </c>
      <c r="G73" s="61">
        <f t="shared" si="24"/>
        <v>287193.27984247886</v>
      </c>
      <c r="H73" s="61">
        <f t="shared" si="24"/>
        <v>290702.54351870419</v>
      </c>
      <c r="I73" s="61">
        <f t="shared" si="24"/>
        <v>284543.80282724585</v>
      </c>
      <c r="J73" s="61">
        <f t="shared" si="24"/>
        <v>277003.58758233243</v>
      </c>
    </row>
    <row r="74" spans="2:16383" s="1" customFormat="1" x14ac:dyDescent="0.25">
      <c r="B74" s="54"/>
      <c r="C74" s="61" t="s">
        <v>201</v>
      </c>
      <c r="D74" s="61"/>
      <c r="E74" s="61"/>
      <c r="F74" s="66">
        <f t="shared" ref="F74:J74" si="25">IFERROR(-F70/F67,0)</f>
        <v>5.223625964382491E-2</v>
      </c>
      <c r="G74" s="66">
        <f t="shared" si="25"/>
        <v>4.4874523504819255E-2</v>
      </c>
      <c r="H74" s="66">
        <f t="shared" si="25"/>
        <v>5.0132616676309034E-2</v>
      </c>
      <c r="I74" s="66">
        <f t="shared" si="25"/>
        <v>5.5383573653832355E-2</v>
      </c>
      <c r="J74" s="66">
        <f t="shared" si="25"/>
        <v>5.7451930036379911E-2</v>
      </c>
    </row>
    <row r="75" spans="2:16383" x14ac:dyDescent="0.25">
      <c r="B75" s="54"/>
      <c r="C75" s="54"/>
      <c r="D75" s="54"/>
      <c r="E75" s="54"/>
      <c r="F75" s="54"/>
      <c r="G75" s="54"/>
      <c r="H75" s="54"/>
      <c r="I75" s="54"/>
      <c r="J75" s="54"/>
    </row>
    <row r="76" spans="2:16383" ht="18.75" x14ac:dyDescent="0.3">
      <c r="B76" s="34" t="s">
        <v>194</v>
      </c>
      <c r="C76" s="54"/>
      <c r="D76" s="54"/>
      <c r="E76" s="29">
        <v>2017</v>
      </c>
      <c r="F76" s="29">
        <f t="shared" ref="F76" si="26">E76+1</f>
        <v>2018</v>
      </c>
      <c r="G76" s="29">
        <f t="shared" ref="G76" si="27">F76+1</f>
        <v>2019</v>
      </c>
      <c r="H76" s="29">
        <f t="shared" ref="H76" si="28">G76+1</f>
        <v>2020</v>
      </c>
      <c r="I76" s="29">
        <f t="shared" ref="I76" si="29">H76+1</f>
        <v>2021</v>
      </c>
      <c r="J76" s="29">
        <f t="shared" ref="J76" si="30">I76+1</f>
        <v>2022</v>
      </c>
    </row>
    <row r="77" spans="2:16383" x14ac:dyDescent="0.25">
      <c r="B77" s="54"/>
      <c r="C77" s="61" t="s">
        <v>52</v>
      </c>
      <c r="D77" s="61"/>
      <c r="E77" s="61"/>
      <c r="F77" s="61">
        <f>E83</f>
        <v>119841.09163845591</v>
      </c>
      <c r="G77" s="61">
        <f t="shared" ref="G77:J77" si="31">F83</f>
        <v>126315.26569152156</v>
      </c>
      <c r="H77" s="61">
        <f t="shared" si="31"/>
        <v>130939.94199407555</v>
      </c>
      <c r="I77" s="61">
        <f t="shared" si="31"/>
        <v>134946.85013634642</v>
      </c>
      <c r="J77" s="61">
        <f t="shared" si="31"/>
        <v>137435.25357044654</v>
      </c>
    </row>
    <row r="78" spans="2:16383" x14ac:dyDescent="0.25">
      <c r="B78" s="54"/>
      <c r="C78" s="61" t="s">
        <v>196</v>
      </c>
      <c r="D78" s="61"/>
      <c r="E78" s="62"/>
      <c r="F78" s="61">
        <f t="shared" ref="F78:J78" si="32">F21</f>
        <v>8480.4571042916577</v>
      </c>
      <c r="G78" s="61">
        <f t="shared" si="32"/>
        <v>6397.6763202017901</v>
      </c>
      <c r="H78" s="61">
        <f t="shared" si="32"/>
        <v>6506.5905384618391</v>
      </c>
      <c r="I78" s="61">
        <f t="shared" si="32"/>
        <v>5283.6979667130827</v>
      </c>
      <c r="J78" s="61">
        <f t="shared" si="32"/>
        <v>12037.99848723578</v>
      </c>
    </row>
    <row r="79" spans="2:16383" x14ac:dyDescent="0.25">
      <c r="B79" s="54"/>
      <c r="C79" s="61" t="s">
        <v>36</v>
      </c>
      <c r="D79" s="61"/>
      <c r="E79" s="61"/>
      <c r="F79" s="61">
        <f t="shared" ref="F79:J79" si="33">F31*F77</f>
        <v>1665.8205706081387</v>
      </c>
      <c r="G79" s="61">
        <f t="shared" si="33"/>
        <v>2546.6787437806879</v>
      </c>
      <c r="H79" s="61">
        <f t="shared" si="33"/>
        <v>2522.2698327072303</v>
      </c>
      <c r="I79" s="61">
        <f t="shared" si="33"/>
        <v>2698.9370027269902</v>
      </c>
      <c r="J79" s="61">
        <f t="shared" si="33"/>
        <v>2748.7050714089632</v>
      </c>
    </row>
    <row r="80" spans="2:16383" x14ac:dyDescent="0.25">
      <c r="B80" s="54"/>
      <c r="C80" s="61" t="s">
        <v>56</v>
      </c>
      <c r="D80" s="61"/>
      <c r="E80" s="61"/>
      <c r="F80" s="61">
        <f t="shared" ref="F80:J80" si="34">-F41</f>
        <v>-3672.1036218341469</v>
      </c>
      <c r="G80" s="61">
        <f t="shared" si="34"/>
        <v>-4319.6787614284858</v>
      </c>
      <c r="H80" s="61">
        <f t="shared" si="34"/>
        <v>-5021.9522288982243</v>
      </c>
      <c r="I80" s="61">
        <f t="shared" si="34"/>
        <v>-5494.2315353399263</v>
      </c>
      <c r="J80" s="61">
        <f t="shared" si="34"/>
        <v>-5260.5217783666212</v>
      </c>
    </row>
    <row r="81" spans="2:10" x14ac:dyDescent="0.25">
      <c r="B81" s="54"/>
      <c r="C81" s="61" t="s">
        <v>53</v>
      </c>
      <c r="D81" s="61"/>
      <c r="E81" s="61"/>
      <c r="F81" s="138">
        <f t="shared" ref="F81:J81" si="35">-F26</f>
        <v>0</v>
      </c>
      <c r="G81" s="138">
        <f t="shared" si="35"/>
        <v>0</v>
      </c>
      <c r="H81" s="138">
        <f t="shared" si="35"/>
        <v>0</v>
      </c>
      <c r="I81" s="138">
        <f t="shared" si="35"/>
        <v>0</v>
      </c>
      <c r="J81" s="138">
        <f t="shared" si="35"/>
        <v>0</v>
      </c>
    </row>
    <row r="82" spans="2:10" x14ac:dyDescent="0.25">
      <c r="B82" s="54"/>
      <c r="C82" s="61" t="s">
        <v>54</v>
      </c>
      <c r="D82" s="61"/>
      <c r="E82" s="61"/>
      <c r="F82" s="138">
        <f t="shared" ref="F82:J82" si="36">F36</f>
        <v>0</v>
      </c>
      <c r="G82" s="138">
        <f t="shared" si="36"/>
        <v>0</v>
      </c>
      <c r="H82" s="138">
        <f t="shared" si="36"/>
        <v>0</v>
      </c>
      <c r="I82" s="138">
        <f t="shared" si="36"/>
        <v>0</v>
      </c>
      <c r="J82" s="138">
        <f t="shared" si="36"/>
        <v>0</v>
      </c>
    </row>
    <row r="83" spans="2:10" x14ac:dyDescent="0.25">
      <c r="B83" s="54"/>
      <c r="C83" s="61" t="s">
        <v>55</v>
      </c>
      <c r="D83" s="61"/>
      <c r="E83" s="61">
        <f>E8</f>
        <v>119841.09163845591</v>
      </c>
      <c r="F83" s="61">
        <f t="shared" ref="F83:J83" si="37">SUM(F77:F82)</f>
        <v>126315.26569152156</v>
      </c>
      <c r="G83" s="61">
        <f t="shared" si="37"/>
        <v>130939.94199407555</v>
      </c>
      <c r="H83" s="61">
        <f t="shared" si="37"/>
        <v>134946.85013634642</v>
      </c>
      <c r="I83" s="61">
        <f t="shared" si="37"/>
        <v>137435.25357044654</v>
      </c>
      <c r="J83" s="61">
        <f t="shared" si="37"/>
        <v>146961.43535072467</v>
      </c>
    </row>
    <row r="84" spans="2:10" s="1" customFormat="1" x14ac:dyDescent="0.25">
      <c r="B84" s="54"/>
      <c r="C84" s="61" t="s">
        <v>202</v>
      </c>
      <c r="D84" s="61"/>
      <c r="E84" s="61"/>
      <c r="F84" s="66">
        <f t="shared" ref="F84:J84" si="38">IFERROR(-F80/F77,0)</f>
        <v>3.064144002386409E-2</v>
      </c>
      <c r="G84" s="66">
        <f t="shared" si="38"/>
        <v>3.4197598665371989E-2</v>
      </c>
      <c r="H84" s="66">
        <f t="shared" si="38"/>
        <v>3.8353096483924251E-2</v>
      </c>
      <c r="I84" s="66">
        <f t="shared" si="38"/>
        <v>4.0714040600345343E-2</v>
      </c>
      <c r="J84" s="66">
        <f t="shared" si="38"/>
        <v>3.8276363900112312E-2</v>
      </c>
    </row>
    <row r="85" spans="2:10" x14ac:dyDescent="0.25">
      <c r="B85" s="58"/>
      <c r="C85" s="58"/>
      <c r="D85" s="58"/>
      <c r="E85" s="58"/>
      <c r="F85" s="58"/>
      <c r="G85" s="58"/>
      <c r="H85" s="58"/>
      <c r="I85" s="58"/>
      <c r="J85" s="58"/>
    </row>
    <row r="86" spans="2:10" ht="18.75" x14ac:dyDescent="0.3">
      <c r="B86" s="34" t="s">
        <v>195</v>
      </c>
      <c r="C86" s="54"/>
      <c r="D86" s="54"/>
      <c r="E86" s="29">
        <v>2017</v>
      </c>
      <c r="F86" s="29">
        <f t="shared" ref="F86" si="39">E86+1</f>
        <v>2018</v>
      </c>
      <c r="G86" s="29">
        <f t="shared" ref="G86" si="40">F86+1</f>
        <v>2019</v>
      </c>
      <c r="H86" s="29">
        <f t="shared" ref="H86" si="41">G86+1</f>
        <v>2020</v>
      </c>
      <c r="I86" s="29">
        <f t="shared" ref="I86" si="42">H86+1</f>
        <v>2021</v>
      </c>
      <c r="J86" s="29">
        <f t="shared" ref="J86" si="43">I86+1</f>
        <v>2022</v>
      </c>
    </row>
    <row r="87" spans="2:10" x14ac:dyDescent="0.25">
      <c r="B87" s="54"/>
      <c r="C87" s="61" t="s">
        <v>52</v>
      </c>
      <c r="D87" s="61"/>
      <c r="E87" s="61"/>
      <c r="F87" s="61">
        <f>E93</f>
        <v>11975.287201113089</v>
      </c>
      <c r="G87" s="61">
        <f t="shared" ref="G87:J87" si="44">F93</f>
        <v>12068.193785429257</v>
      </c>
      <c r="H87" s="61">
        <f t="shared" si="44"/>
        <v>11961.022158277836</v>
      </c>
      <c r="I87" s="61">
        <f t="shared" si="44"/>
        <v>11960.833105846745</v>
      </c>
      <c r="J87" s="61">
        <f t="shared" si="44"/>
        <v>11391.099178028086</v>
      </c>
    </row>
    <row r="88" spans="2:10" x14ac:dyDescent="0.25">
      <c r="B88" s="54"/>
      <c r="C88" s="61" t="s">
        <v>196</v>
      </c>
      <c r="D88" s="61"/>
      <c r="E88" s="62"/>
      <c r="F88" s="61">
        <f t="shared" ref="F88:J88" si="45">F22</f>
        <v>1970.8530556869384</v>
      </c>
      <c r="G88" s="61">
        <f t="shared" si="45"/>
        <v>1888.7628298028019</v>
      </c>
      <c r="H88" s="61">
        <f t="shared" si="45"/>
        <v>2259.4301445910569</v>
      </c>
      <c r="I88" s="61">
        <f t="shared" si="45"/>
        <v>2092.4095834898649</v>
      </c>
      <c r="J88" s="61">
        <f t="shared" si="45"/>
        <v>2003.5759866786391</v>
      </c>
    </row>
    <row r="89" spans="2:10" x14ac:dyDescent="0.25">
      <c r="B89" s="54"/>
      <c r="C89" s="61" t="s">
        <v>36</v>
      </c>
      <c r="D89" s="61"/>
      <c r="E89" s="61"/>
      <c r="F89" s="61">
        <f t="shared" ref="F89:J89" si="46">F32*F87</f>
        <v>166.45942961481836</v>
      </c>
      <c r="G89" s="61">
        <f t="shared" si="46"/>
        <v>243.31035857720386</v>
      </c>
      <c r="H89" s="61">
        <f t="shared" si="46"/>
        <v>230.40277014581176</v>
      </c>
      <c r="I89" s="61">
        <f t="shared" si="46"/>
        <v>239.21666211694037</v>
      </c>
      <c r="J89" s="61">
        <f t="shared" si="46"/>
        <v>227.82198356056441</v>
      </c>
    </row>
    <row r="90" spans="2:10" x14ac:dyDescent="0.25">
      <c r="B90" s="54"/>
      <c r="C90" s="61" t="s">
        <v>56</v>
      </c>
      <c r="D90" s="61"/>
      <c r="E90" s="61"/>
      <c r="F90" s="61">
        <f t="shared" ref="F90:J90" si="47">-F42</f>
        <v>-2044.4059009855901</v>
      </c>
      <c r="G90" s="61">
        <f t="shared" si="47"/>
        <v>-2239.244815531426</v>
      </c>
      <c r="H90" s="61">
        <f t="shared" si="47"/>
        <v>-2490.0219671679602</v>
      </c>
      <c r="I90" s="61">
        <f t="shared" si="47"/>
        <v>-2901.3601734254644</v>
      </c>
      <c r="J90" s="61">
        <f t="shared" si="47"/>
        <v>-2610.6316113775524</v>
      </c>
    </row>
    <row r="91" spans="2:10" x14ac:dyDescent="0.25">
      <c r="B91" s="54"/>
      <c r="C91" s="61" t="s">
        <v>53</v>
      </c>
      <c r="D91" s="61"/>
      <c r="E91" s="61"/>
      <c r="F91" s="138">
        <f t="shared" ref="F91:J91" si="48">-F27</f>
        <v>0</v>
      </c>
      <c r="G91" s="138">
        <f t="shared" si="48"/>
        <v>0</v>
      </c>
      <c r="H91" s="138">
        <f t="shared" si="48"/>
        <v>0</v>
      </c>
      <c r="I91" s="138">
        <f t="shared" si="48"/>
        <v>0</v>
      </c>
      <c r="J91" s="138">
        <f t="shared" si="48"/>
        <v>0</v>
      </c>
    </row>
    <row r="92" spans="2:10" x14ac:dyDescent="0.25">
      <c r="B92" s="54"/>
      <c r="C92" s="61" t="s">
        <v>54</v>
      </c>
      <c r="D92" s="61"/>
      <c r="E92" s="61"/>
      <c r="F92" s="138">
        <f t="shared" ref="F92:J92" si="49">F37</f>
        <v>0</v>
      </c>
      <c r="G92" s="138">
        <f t="shared" si="49"/>
        <v>0</v>
      </c>
      <c r="H92" s="138">
        <f t="shared" si="49"/>
        <v>0</v>
      </c>
      <c r="I92" s="138">
        <f t="shared" si="49"/>
        <v>0</v>
      </c>
      <c r="J92" s="138">
        <f t="shared" si="49"/>
        <v>0</v>
      </c>
    </row>
    <row r="93" spans="2:10" x14ac:dyDescent="0.25">
      <c r="B93" s="54"/>
      <c r="C93" s="61" t="s">
        <v>55</v>
      </c>
      <c r="D93" s="61"/>
      <c r="E93" s="61">
        <f>E9</f>
        <v>11975.287201113089</v>
      </c>
      <c r="F93" s="61">
        <f t="shared" ref="F93:J93" si="50">SUM(F87:F92)</f>
        <v>12068.193785429257</v>
      </c>
      <c r="G93" s="61">
        <f t="shared" si="50"/>
        <v>11961.022158277836</v>
      </c>
      <c r="H93" s="61">
        <f t="shared" si="50"/>
        <v>11960.833105846745</v>
      </c>
      <c r="I93" s="61">
        <f t="shared" si="50"/>
        <v>11391.099178028086</v>
      </c>
      <c r="J93" s="61">
        <f t="shared" si="50"/>
        <v>11011.865536889738</v>
      </c>
    </row>
    <row r="94" spans="2:10" s="1" customFormat="1" x14ac:dyDescent="0.25">
      <c r="B94" s="54"/>
      <c r="C94" s="61" t="s">
        <v>203</v>
      </c>
      <c r="D94" s="61"/>
      <c r="E94" s="61"/>
      <c r="F94" s="66">
        <f t="shared" ref="F94:J94" si="51">IFERROR(-F90/F87,0)</f>
        <v>0.17071873656571385</v>
      </c>
      <c r="G94" s="66">
        <f t="shared" si="51"/>
        <v>0.18554929224247435</v>
      </c>
      <c r="H94" s="66">
        <f t="shared" si="51"/>
        <v>0.2081780247722973</v>
      </c>
      <c r="I94" s="66">
        <f t="shared" si="51"/>
        <v>0.24257174627804223</v>
      </c>
      <c r="J94" s="66">
        <f t="shared" si="51"/>
        <v>0.22918171201714346</v>
      </c>
    </row>
    <row r="95" spans="2:10" s="1" customFormat="1" x14ac:dyDescent="0.25">
      <c r="B95" s="54"/>
      <c r="C95" s="61"/>
      <c r="D95" s="61"/>
      <c r="E95" s="61"/>
      <c r="F95" s="61"/>
      <c r="G95" s="61"/>
      <c r="H95" s="61"/>
      <c r="I95" s="61"/>
      <c r="J95" s="61"/>
    </row>
    <row r="96" spans="2:10" ht="18.75" x14ac:dyDescent="0.3">
      <c r="B96" s="34" t="s">
        <v>57</v>
      </c>
      <c r="C96" s="60"/>
      <c r="D96" s="60"/>
      <c r="E96" s="29">
        <v>2017</v>
      </c>
      <c r="F96" s="29">
        <f t="shared" ref="F96" si="52">E96+1</f>
        <v>2018</v>
      </c>
      <c r="G96" s="29">
        <f t="shared" ref="G96" si="53">F96+1</f>
        <v>2019</v>
      </c>
      <c r="H96" s="29">
        <f t="shared" ref="H96" si="54">G96+1</f>
        <v>2020</v>
      </c>
      <c r="I96" s="29">
        <f t="shared" ref="I96" si="55">H96+1</f>
        <v>2021</v>
      </c>
      <c r="J96" s="29">
        <f t="shared" ref="J96" si="56">I96+1</f>
        <v>2022</v>
      </c>
    </row>
    <row r="97" spans="2:16383" x14ac:dyDescent="0.25">
      <c r="B97" s="60"/>
      <c r="C97" s="61" t="s">
        <v>52</v>
      </c>
      <c r="D97" s="61"/>
      <c r="E97" s="61"/>
      <c r="F97" s="61">
        <f t="shared" ref="F97:J97" si="57">SUM(F57,F67,F77,F87,)</f>
        <v>524372.80367237434</v>
      </c>
      <c r="G97" s="61">
        <f t="shared" si="57"/>
        <v>530385.35139325808</v>
      </c>
      <c r="H97" s="61">
        <f t="shared" si="57"/>
        <v>534127.5907777258</v>
      </c>
      <c r="I97" s="61">
        <f t="shared" si="57"/>
        <v>543647.54703110107</v>
      </c>
      <c r="J97" s="61">
        <f t="shared" si="57"/>
        <v>541528.22225132829</v>
      </c>
    </row>
    <row r="98" spans="2:16383" x14ac:dyDescent="0.25">
      <c r="B98" s="60"/>
      <c r="C98" s="61" t="s">
        <v>196</v>
      </c>
      <c r="D98" s="61"/>
      <c r="E98" s="62"/>
      <c r="F98" s="61">
        <f t="shared" ref="F98:J99" si="58">SUM(F58,F68,F78,F88,)</f>
        <v>19691.940843623557</v>
      </c>
      <c r="G98" s="61">
        <f t="shared" si="58"/>
        <v>12622.622952142918</v>
      </c>
      <c r="H98" s="61">
        <f t="shared" si="58"/>
        <v>21140.888438395908</v>
      </c>
      <c r="I98" s="61">
        <f t="shared" si="58"/>
        <v>11503.461718694973</v>
      </c>
      <c r="J98" s="61">
        <f t="shared" si="58"/>
        <v>17158.073824772386</v>
      </c>
    </row>
    <row r="99" spans="2:16383" x14ac:dyDescent="0.25">
      <c r="B99" s="60"/>
      <c r="C99" s="61" t="s">
        <v>36</v>
      </c>
      <c r="D99" s="61"/>
      <c r="E99" s="61"/>
      <c r="F99" s="61">
        <f t="shared" si="58"/>
        <v>7288.910598880112</v>
      </c>
      <c r="G99" s="61">
        <f t="shared" si="58"/>
        <v>10693.253052283477</v>
      </c>
      <c r="H99" s="61">
        <f t="shared" si="58"/>
        <v>10288.792621400475</v>
      </c>
      <c r="I99" s="61">
        <f t="shared" si="58"/>
        <v>10872.950940622271</v>
      </c>
      <c r="J99" s="61">
        <f t="shared" si="58"/>
        <v>10830.564445026695</v>
      </c>
    </row>
    <row r="100" spans="2:16383" x14ac:dyDescent="0.25">
      <c r="B100" s="60"/>
      <c r="C100" s="61" t="s">
        <v>56</v>
      </c>
      <c r="D100" s="61"/>
      <c r="E100" s="61"/>
      <c r="F100" s="61">
        <f t="shared" ref="F100:J100" si="59">SUM(F60,F70,F80,F90,)</f>
        <v>-20968.303721619915</v>
      </c>
      <c r="G100" s="61">
        <f t="shared" si="59"/>
        <v>-19573.636619958641</v>
      </c>
      <c r="H100" s="61">
        <f t="shared" si="59"/>
        <v>-21909.724806421124</v>
      </c>
      <c r="I100" s="61">
        <f t="shared" si="59"/>
        <v>-24495.737439089949</v>
      </c>
      <c r="J100" s="61">
        <f t="shared" si="59"/>
        <v>-24218.744042060585</v>
      </c>
      <c r="M100" s="54"/>
      <c r="N100" s="54"/>
      <c r="O100" s="54"/>
      <c r="P100" s="54"/>
      <c r="Q100" s="54"/>
      <c r="R100" s="54"/>
      <c r="S100" s="54"/>
      <c r="T100" s="54"/>
    </row>
    <row r="101" spans="2:16383" x14ac:dyDescent="0.25">
      <c r="B101" s="60"/>
      <c r="C101" s="61" t="s">
        <v>53</v>
      </c>
      <c r="D101" s="62"/>
      <c r="E101" s="61"/>
      <c r="F101" s="138">
        <f t="shared" ref="F101:J101" si="60">SUM(F61,F71,F81,F91,)</f>
        <v>0</v>
      </c>
      <c r="G101" s="138">
        <f t="shared" si="60"/>
        <v>0</v>
      </c>
      <c r="H101" s="138">
        <f t="shared" si="60"/>
        <v>0</v>
      </c>
      <c r="I101" s="138">
        <f t="shared" si="60"/>
        <v>0</v>
      </c>
      <c r="J101" s="138">
        <f t="shared" si="60"/>
        <v>0</v>
      </c>
    </row>
    <row r="102" spans="2:16383" x14ac:dyDescent="0.25">
      <c r="B102" s="60"/>
      <c r="C102" s="61" t="s">
        <v>54</v>
      </c>
      <c r="D102" s="61"/>
      <c r="E102" s="61"/>
      <c r="F102" s="138">
        <f t="shared" ref="F102:J102" si="61">SUM(F62,F72,F82,F92,)</f>
        <v>0</v>
      </c>
      <c r="G102" s="138">
        <f t="shared" si="61"/>
        <v>0</v>
      </c>
      <c r="H102" s="138">
        <f t="shared" si="61"/>
        <v>0</v>
      </c>
      <c r="I102" s="138">
        <f t="shared" si="61"/>
        <v>0</v>
      </c>
      <c r="J102" s="138">
        <f t="shared" si="61"/>
        <v>0</v>
      </c>
    </row>
    <row r="103" spans="2:16383" x14ac:dyDescent="0.25">
      <c r="B103" s="59"/>
      <c r="C103" s="61" t="s">
        <v>55</v>
      </c>
      <c r="D103" s="61"/>
      <c r="E103" s="61"/>
      <c r="F103" s="61">
        <f t="shared" ref="F103:J103" si="62">SUM(F63,F73,F83,F93)</f>
        <v>530385.35139325808</v>
      </c>
      <c r="G103" s="61">
        <f t="shared" si="62"/>
        <v>534127.5907777258</v>
      </c>
      <c r="H103" s="61">
        <f t="shared" si="62"/>
        <v>543647.54703110107</v>
      </c>
      <c r="I103" s="61">
        <f t="shared" si="62"/>
        <v>541528.22225132829</v>
      </c>
      <c r="J103" s="61">
        <f t="shared" si="62"/>
        <v>545298.1164790669</v>
      </c>
    </row>
    <row r="104" spans="2:16383" x14ac:dyDescent="0.25">
      <c r="B104" s="59"/>
      <c r="C104" s="61"/>
      <c r="D104" s="61"/>
      <c r="E104" s="61"/>
      <c r="F104" s="61"/>
      <c r="G104" s="61"/>
      <c r="H104" s="61"/>
      <c r="I104" s="61"/>
      <c r="J104" s="61"/>
    </row>
    <row r="105" spans="2:16383" ht="18.75" x14ac:dyDescent="0.3">
      <c r="B105" s="34" t="s">
        <v>58</v>
      </c>
      <c r="C105" s="60"/>
      <c r="D105" s="60"/>
      <c r="E105" s="29">
        <v>2017</v>
      </c>
      <c r="F105" s="29">
        <f t="shared" ref="F105" si="63">E105+1</f>
        <v>2018</v>
      </c>
      <c r="G105" s="29">
        <f t="shared" ref="G105" si="64">F105+1</f>
        <v>2019</v>
      </c>
      <c r="H105" s="29">
        <f t="shared" ref="H105" si="65">G105+1</f>
        <v>2020</v>
      </c>
      <c r="I105" s="29">
        <f t="shared" ref="I105" si="66">H105+1</f>
        <v>2021</v>
      </c>
      <c r="J105" s="29">
        <f t="shared" ref="J105" si="67">I105+1</f>
        <v>2022</v>
      </c>
    </row>
    <row r="106" spans="2:16383" x14ac:dyDescent="0.25">
      <c r="B106" s="59"/>
      <c r="C106" s="61" t="s">
        <v>59</v>
      </c>
      <c r="D106" s="61"/>
      <c r="E106" s="61"/>
      <c r="F106" s="61">
        <f>E111</f>
        <v>524372.80367237423</v>
      </c>
      <c r="G106" s="61">
        <f t="shared" ref="G106:J106" si="68">F103</f>
        <v>530385.35139325808</v>
      </c>
      <c r="H106" s="61">
        <f t="shared" si="68"/>
        <v>534127.5907777258</v>
      </c>
      <c r="I106" s="61">
        <f t="shared" si="68"/>
        <v>543647.54703110107</v>
      </c>
      <c r="J106" s="61">
        <f t="shared" si="68"/>
        <v>541528.22225132829</v>
      </c>
    </row>
    <row r="107" spans="2:16383" x14ac:dyDescent="0.25">
      <c r="B107" s="59"/>
      <c r="C107" s="61" t="s">
        <v>207</v>
      </c>
      <c r="D107" s="61"/>
      <c r="E107" s="62"/>
      <c r="F107" s="138">
        <f>F58*RIVProp</f>
        <v>0</v>
      </c>
      <c r="G107" s="138">
        <f>G58*RIVProp</f>
        <v>0</v>
      </c>
      <c r="H107" s="138">
        <f>H58*RIVProp</f>
        <v>0</v>
      </c>
      <c r="I107" s="138">
        <f>I58*RIVProp</f>
        <v>0</v>
      </c>
      <c r="J107" s="138">
        <f>J58*RIVProp</f>
        <v>0</v>
      </c>
    </row>
    <row r="108" spans="2:16383" x14ac:dyDescent="0.25">
      <c r="B108" s="59"/>
      <c r="C108" s="61" t="s">
        <v>208</v>
      </c>
      <c r="D108" s="61"/>
      <c r="E108" s="61"/>
      <c r="F108" s="61">
        <f>F68*RIVProp</f>
        <v>4620.3153418224811</v>
      </c>
      <c r="G108" s="61">
        <f>G68*RIVProp</f>
        <v>2168.0919010691637</v>
      </c>
      <c r="H108" s="61">
        <f>H68*RIVProp</f>
        <v>6187.4338776715067</v>
      </c>
      <c r="I108" s="61">
        <f>I68*RIVProp</f>
        <v>2063.6770842460119</v>
      </c>
      <c r="J108" s="61">
        <f>J68*RIVProp</f>
        <v>1558.2496754289837</v>
      </c>
    </row>
    <row r="109" spans="2:16383" x14ac:dyDescent="0.25">
      <c r="B109" s="59"/>
      <c r="C109" s="61" t="s">
        <v>209</v>
      </c>
      <c r="D109" s="61"/>
      <c r="E109" s="61"/>
      <c r="F109" s="61">
        <f>F78*RIVProp</f>
        <v>4240.2285521458289</v>
      </c>
      <c r="G109" s="61">
        <f>G78*RIVProp</f>
        <v>3198.838160100895</v>
      </c>
      <c r="H109" s="61">
        <f>H78*RIVProp</f>
        <v>3253.2952692309195</v>
      </c>
      <c r="I109" s="61">
        <f>I78*RIVProp</f>
        <v>2641.8489833565413</v>
      </c>
      <c r="J109" s="61">
        <f>J78*RIVProp</f>
        <v>6018.99924361789</v>
      </c>
    </row>
    <row r="110" spans="2:16383" x14ac:dyDescent="0.25">
      <c r="B110" s="59"/>
      <c r="C110" s="61" t="s">
        <v>210</v>
      </c>
      <c r="D110" s="62"/>
      <c r="E110" s="61"/>
      <c r="F110" s="61">
        <f>F88*RIVProp</f>
        <v>985.42652784346922</v>
      </c>
      <c r="G110" s="61">
        <f>G88*RIVProp</f>
        <v>944.38141490140094</v>
      </c>
      <c r="H110" s="61">
        <f>H88*RIVProp</f>
        <v>1129.7150722955284</v>
      </c>
      <c r="I110" s="61">
        <f>I88*RIVProp</f>
        <v>1046.2047917449324</v>
      </c>
      <c r="J110" s="61">
        <f>J88*RIVProp</f>
        <v>1001.7879933393195</v>
      </c>
    </row>
    <row r="111" spans="2:16383" x14ac:dyDescent="0.25">
      <c r="B111" s="60"/>
      <c r="C111" s="61" t="s">
        <v>58</v>
      </c>
      <c r="D111" s="61"/>
      <c r="E111" s="61">
        <f>E93+E83+E73+E63</f>
        <v>524372.80367237423</v>
      </c>
      <c r="F111" s="61">
        <f>SUM(F106:F110)</f>
        <v>534218.77409418602</v>
      </c>
      <c r="G111" s="61">
        <f>SUM(G106:G110)</f>
        <v>536696.66286932945</v>
      </c>
      <c r="H111" s="61">
        <f>SUM(H106:H110)</f>
        <v>544698.03499692376</v>
      </c>
      <c r="I111" s="61">
        <f>SUM(I106:I110)</f>
        <v>549399.27789044857</v>
      </c>
      <c r="J111" s="61">
        <f>SUM(J106:J110)</f>
        <v>550107.25916371448</v>
      </c>
    </row>
    <row r="112" spans="2:16383" x14ac:dyDescent="0.25">
      <c r="B112" s="54"/>
      <c r="C112" s="54"/>
      <c r="D112" s="54"/>
      <c r="E112" s="54"/>
      <c r="F112" s="54"/>
      <c r="G112" s="54"/>
      <c r="H112" s="54"/>
      <c r="I112" s="54"/>
      <c r="J112" s="5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  <c r="XFC112" s="1"/>
    </row>
    <row r="113" spans="1:16383" ht="21" x14ac:dyDescent="0.35">
      <c r="A113" s="41" t="s">
        <v>62</v>
      </c>
      <c r="B113" s="1"/>
      <c r="C113" s="1"/>
      <c r="E113" s="1"/>
      <c r="F113" s="1"/>
      <c r="G113" s="1"/>
      <c r="H113" s="1"/>
      <c r="I113" s="1"/>
      <c r="J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  <c r="XFC113" s="1"/>
    </row>
    <row r="114" spans="1:16383" ht="18.75" x14ac:dyDescent="0.3">
      <c r="B114" s="34" t="s">
        <v>21</v>
      </c>
      <c r="C114" s="54"/>
      <c r="D114" s="54"/>
      <c r="E114" s="29">
        <v>2017</v>
      </c>
      <c r="F114" s="29">
        <f t="shared" ref="F114" si="69">E114+1</f>
        <v>2018</v>
      </c>
      <c r="G114" s="29">
        <f t="shared" ref="G114" si="70">F114+1</f>
        <v>2019</v>
      </c>
      <c r="H114" s="29">
        <f t="shared" ref="H114" si="71">G114+1</f>
        <v>2020</v>
      </c>
      <c r="I114" s="29">
        <f t="shared" ref="I114" si="72">H114+1</f>
        <v>2021</v>
      </c>
      <c r="J114" s="29">
        <f t="shared" ref="J114" si="73">I114+1</f>
        <v>2022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  <c r="XFC114" s="1"/>
    </row>
    <row r="115" spans="1:16383" x14ac:dyDescent="0.25">
      <c r="B115" s="54"/>
      <c r="C115" s="61" t="s">
        <v>52</v>
      </c>
      <c r="D115" s="61"/>
      <c r="E115" s="61"/>
      <c r="F115" s="61">
        <f>E119</f>
        <v>100579.27519010181</v>
      </c>
      <c r="G115" s="61">
        <f t="shared" ref="G115:J115" si="74">F119</f>
        <v>100579.27519010181</v>
      </c>
      <c r="H115" s="61">
        <f t="shared" si="74"/>
        <v>100579.27519010181</v>
      </c>
      <c r="I115" s="61">
        <f t="shared" si="74"/>
        <v>100579.27519010181</v>
      </c>
      <c r="J115" s="61">
        <f t="shared" si="74"/>
        <v>100579.27519010181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  <c r="XFC115" s="1"/>
    </row>
    <row r="116" spans="1:16383" x14ac:dyDescent="0.25">
      <c r="B116" s="54"/>
      <c r="C116" s="61" t="s">
        <v>196</v>
      </c>
      <c r="D116" s="61"/>
      <c r="E116" s="61"/>
      <c r="F116" s="138">
        <f t="shared" ref="F116:J116" si="75">F19</f>
        <v>0</v>
      </c>
      <c r="G116" s="138">
        <f t="shared" si="75"/>
        <v>0</v>
      </c>
      <c r="H116" s="138">
        <f t="shared" si="75"/>
        <v>0</v>
      </c>
      <c r="I116" s="138">
        <f t="shared" si="75"/>
        <v>0</v>
      </c>
      <c r="J116" s="138">
        <f t="shared" si="7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1"/>
    </row>
    <row r="117" spans="1:16383" s="1" customFormat="1" x14ac:dyDescent="0.25">
      <c r="B117" s="54"/>
      <c r="C117" s="61" t="s">
        <v>63</v>
      </c>
      <c r="D117" s="61"/>
      <c r="E117" s="61"/>
      <c r="F117" s="138">
        <f t="shared" ref="F117:J117" si="76">-F44</f>
        <v>0</v>
      </c>
      <c r="G117" s="138">
        <f t="shared" si="76"/>
        <v>0</v>
      </c>
      <c r="H117" s="138">
        <f t="shared" si="76"/>
        <v>0</v>
      </c>
      <c r="I117" s="138">
        <f t="shared" si="76"/>
        <v>0</v>
      </c>
      <c r="J117" s="138">
        <f t="shared" si="76"/>
        <v>0</v>
      </c>
    </row>
    <row r="118" spans="1:16383" x14ac:dyDescent="0.25">
      <c r="B118" s="54"/>
      <c r="C118" s="61" t="s">
        <v>53</v>
      </c>
      <c r="D118" s="61"/>
      <c r="E118" s="61"/>
      <c r="F118" s="138">
        <f t="shared" ref="F118:J118" si="77">-F49</f>
        <v>0</v>
      </c>
      <c r="G118" s="138">
        <f t="shared" si="77"/>
        <v>0</v>
      </c>
      <c r="H118" s="138">
        <f t="shared" si="77"/>
        <v>0</v>
      </c>
      <c r="I118" s="138">
        <f t="shared" si="77"/>
        <v>0</v>
      </c>
      <c r="J118" s="138">
        <f t="shared" si="77"/>
        <v>0</v>
      </c>
    </row>
    <row r="119" spans="1:16383" x14ac:dyDescent="0.25">
      <c r="B119" s="58"/>
      <c r="C119" s="61" t="s">
        <v>55</v>
      </c>
      <c r="D119" s="61"/>
      <c r="E119" s="61">
        <f>E10</f>
        <v>100579.27519010181</v>
      </c>
      <c r="F119" s="61">
        <f t="shared" ref="F119:J119" si="78">SUM(F115:F118)</f>
        <v>100579.27519010181</v>
      </c>
      <c r="G119" s="61">
        <f t="shared" si="78"/>
        <v>100579.27519010181</v>
      </c>
      <c r="H119" s="61">
        <f t="shared" si="78"/>
        <v>100579.27519010181</v>
      </c>
      <c r="I119" s="61">
        <f t="shared" si="78"/>
        <v>100579.27519010181</v>
      </c>
      <c r="J119" s="61">
        <f t="shared" si="78"/>
        <v>100579.27519010181</v>
      </c>
    </row>
    <row r="120" spans="1:16383" s="1" customFormat="1" x14ac:dyDescent="0.25">
      <c r="B120" s="58"/>
      <c r="C120" s="61" t="s">
        <v>152</v>
      </c>
      <c r="D120" s="61"/>
      <c r="E120" s="61"/>
      <c r="F120" s="66">
        <f t="shared" ref="F120:J120" si="79">IFERROR(-F117/F115,0)</f>
        <v>0</v>
      </c>
      <c r="G120" s="66">
        <f t="shared" si="79"/>
        <v>0</v>
      </c>
      <c r="H120" s="66">
        <f t="shared" si="79"/>
        <v>0</v>
      </c>
      <c r="I120" s="66">
        <f t="shared" si="79"/>
        <v>0</v>
      </c>
      <c r="J120" s="66">
        <f t="shared" si="79"/>
        <v>0</v>
      </c>
    </row>
    <row r="121" spans="1:16383" x14ac:dyDescent="0.25">
      <c r="B121" s="54"/>
      <c r="C121" s="54"/>
      <c r="D121" s="54"/>
      <c r="E121" s="54"/>
      <c r="F121" s="54"/>
      <c r="G121" s="54"/>
      <c r="H121" s="54"/>
      <c r="I121" s="54"/>
      <c r="J121" s="54"/>
    </row>
    <row r="122" spans="1:16383" ht="18.75" x14ac:dyDescent="0.3">
      <c r="B122" s="34" t="s">
        <v>193</v>
      </c>
      <c r="C122" s="54"/>
      <c r="D122" s="54"/>
      <c r="E122" s="29">
        <v>2017</v>
      </c>
      <c r="F122" s="29">
        <f t="shared" ref="F122" si="80">E122+1</f>
        <v>2018</v>
      </c>
      <c r="G122" s="29">
        <f t="shared" ref="G122" si="81">F122+1</f>
        <v>2019</v>
      </c>
      <c r="H122" s="29">
        <f t="shared" ref="H122" si="82">G122+1</f>
        <v>2020</v>
      </c>
      <c r="I122" s="29">
        <f t="shared" ref="I122" si="83">H122+1</f>
        <v>2021</v>
      </c>
      <c r="J122" s="29">
        <f t="shared" ref="J122" si="84">I122+1</f>
        <v>2022</v>
      </c>
    </row>
    <row r="123" spans="1:16383" x14ac:dyDescent="0.25">
      <c r="B123" s="54"/>
      <c r="C123" s="61" t="s">
        <v>52</v>
      </c>
      <c r="D123" s="61"/>
      <c r="E123" s="61"/>
      <c r="F123" s="61">
        <f>E127</f>
        <v>291977.14964270347</v>
      </c>
      <c r="G123" s="61">
        <f t="shared" ref="G123:J123" si="85">F127</f>
        <v>287830.97268185363</v>
      </c>
      <c r="H123" s="61">
        <f t="shared" si="85"/>
        <v>278889.43429256824</v>
      </c>
      <c r="I123" s="61">
        <f t="shared" si="85"/>
        <v>279985.94885715505</v>
      </c>
      <c r="J123" s="61">
        <f t="shared" si="85"/>
        <v>272968.77864689037</v>
      </c>
    </row>
    <row r="124" spans="1:16383" x14ac:dyDescent="0.25">
      <c r="B124" s="54"/>
      <c r="C124" s="61" t="s">
        <v>196</v>
      </c>
      <c r="D124" s="61"/>
      <c r="E124" s="61"/>
      <c r="F124" s="61">
        <f t="shared" ref="F124:J124" si="86">F20</f>
        <v>9240.6306836449621</v>
      </c>
      <c r="G124" s="61">
        <f t="shared" si="86"/>
        <v>4336.1838021383273</v>
      </c>
      <c r="H124" s="61">
        <f t="shared" si="86"/>
        <v>12374.867755343013</v>
      </c>
      <c r="I124" s="61">
        <f t="shared" si="86"/>
        <v>4127.3541684920237</v>
      </c>
      <c r="J124" s="61">
        <f t="shared" si="86"/>
        <v>3116.4993508579673</v>
      </c>
    </row>
    <row r="125" spans="1:16383" x14ac:dyDescent="0.25">
      <c r="B125" s="54"/>
      <c r="C125" s="61" t="s">
        <v>63</v>
      </c>
      <c r="D125" s="61"/>
      <c r="E125" s="61"/>
      <c r="F125" s="61">
        <f t="shared" ref="F125:J125" si="87">-F45</f>
        <v>-13386.807644494809</v>
      </c>
      <c r="G125" s="61">
        <f t="shared" si="87"/>
        <v>-13277.722191423716</v>
      </c>
      <c r="H125" s="61">
        <f t="shared" si="87"/>
        <v>-11278.353190756223</v>
      </c>
      <c r="I125" s="61">
        <f t="shared" si="87"/>
        <v>-11144.524378756729</v>
      </c>
      <c r="J125" s="61">
        <f t="shared" si="87"/>
        <v>-9030.8822906085588</v>
      </c>
    </row>
    <row r="126" spans="1:16383" x14ac:dyDescent="0.25">
      <c r="B126" s="54"/>
      <c r="C126" s="61" t="s">
        <v>53</v>
      </c>
      <c r="D126" s="61"/>
      <c r="E126" s="61"/>
      <c r="F126" s="138">
        <f t="shared" ref="F126:J126" si="88">-F50</f>
        <v>0</v>
      </c>
      <c r="G126" s="138">
        <f t="shared" si="88"/>
        <v>0</v>
      </c>
      <c r="H126" s="138">
        <f t="shared" si="88"/>
        <v>0</v>
      </c>
      <c r="I126" s="138">
        <f t="shared" si="88"/>
        <v>0</v>
      </c>
      <c r="J126" s="138">
        <f t="shared" si="88"/>
        <v>0</v>
      </c>
    </row>
    <row r="127" spans="1:16383" x14ac:dyDescent="0.25">
      <c r="B127" s="54"/>
      <c r="C127" s="61" t="s">
        <v>55</v>
      </c>
      <c r="D127" s="61"/>
      <c r="E127" s="61">
        <f>+E11</f>
        <v>291977.14964270347</v>
      </c>
      <c r="F127" s="61">
        <f t="shared" ref="F127:J127" si="89">SUM(F123:F126)</f>
        <v>287830.97268185363</v>
      </c>
      <c r="G127" s="61">
        <f t="shared" si="89"/>
        <v>278889.43429256824</v>
      </c>
      <c r="H127" s="61">
        <f t="shared" si="89"/>
        <v>279985.94885715505</v>
      </c>
      <c r="I127" s="61">
        <f t="shared" si="89"/>
        <v>272968.77864689037</v>
      </c>
      <c r="J127" s="61">
        <f t="shared" si="89"/>
        <v>267054.3957071398</v>
      </c>
    </row>
    <row r="128" spans="1:16383" s="1" customFormat="1" x14ac:dyDescent="0.25">
      <c r="B128" s="54"/>
      <c r="C128" s="61" t="s">
        <v>204</v>
      </c>
      <c r="D128" s="61"/>
      <c r="E128" s="61"/>
      <c r="F128" s="66">
        <f t="shared" ref="F128:J128" si="90">IFERROR(-F125/F123,0)</f>
        <v>4.5848819542475952E-2</v>
      </c>
      <c r="G128" s="66">
        <f t="shared" si="90"/>
        <v>4.6130275931422764E-2</v>
      </c>
      <c r="H128" s="66">
        <f t="shared" si="90"/>
        <v>4.0440231159580953E-2</v>
      </c>
      <c r="I128" s="66">
        <f t="shared" si="90"/>
        <v>3.9803870245083299E-2</v>
      </c>
      <c r="J128" s="66">
        <f t="shared" si="90"/>
        <v>3.3083938519909692E-2</v>
      </c>
    </row>
    <row r="129" spans="2:10" x14ac:dyDescent="0.25">
      <c r="B129" s="54"/>
      <c r="C129" s="54"/>
      <c r="D129" s="54"/>
      <c r="E129" s="54"/>
      <c r="F129" s="54"/>
      <c r="G129" s="54"/>
      <c r="H129" s="54"/>
      <c r="I129" s="54"/>
      <c r="J129" s="54"/>
    </row>
    <row r="130" spans="2:10" ht="18.75" x14ac:dyDescent="0.3">
      <c r="B130" s="34" t="s">
        <v>194</v>
      </c>
      <c r="C130" s="54"/>
      <c r="D130" s="54"/>
      <c r="E130" s="29">
        <v>2017</v>
      </c>
      <c r="F130" s="29">
        <f t="shared" ref="F130" si="91">E130+1</f>
        <v>2018</v>
      </c>
      <c r="G130" s="29">
        <f t="shared" ref="G130" si="92">F130+1</f>
        <v>2019</v>
      </c>
      <c r="H130" s="29">
        <f t="shared" ref="H130" si="93">G130+1</f>
        <v>2020</v>
      </c>
      <c r="I130" s="29">
        <f t="shared" ref="I130" si="94">H130+1</f>
        <v>2021</v>
      </c>
      <c r="J130" s="29">
        <f t="shared" ref="J130" si="95">I130+1</f>
        <v>2022</v>
      </c>
    </row>
    <row r="131" spans="2:10" x14ac:dyDescent="0.25">
      <c r="B131" s="54"/>
      <c r="C131" s="61" t="s">
        <v>52</v>
      </c>
      <c r="D131" s="61"/>
      <c r="E131" s="61"/>
      <c r="F131" s="61">
        <f>E135</f>
        <v>119841.09163845591</v>
      </c>
      <c r="G131" s="61">
        <f t="shared" ref="G131:J131" si="96">F135</f>
        <v>124935.0085136445</v>
      </c>
      <c r="H131" s="61">
        <f t="shared" si="96"/>
        <v>127457.25091526055</v>
      </c>
      <c r="I131" s="61">
        <f t="shared" si="96"/>
        <v>130596.55824011924</v>
      </c>
      <c r="J131" s="61">
        <f t="shared" si="96"/>
        <v>132385.34970007464</v>
      </c>
    </row>
    <row r="132" spans="2:10" x14ac:dyDescent="0.25">
      <c r="B132" s="54"/>
      <c r="C132" s="61" t="s">
        <v>196</v>
      </c>
      <c r="D132" s="61"/>
      <c r="E132" s="61"/>
      <c r="F132" s="61">
        <f t="shared" ref="F132:J132" si="97">+F21</f>
        <v>8480.4571042916577</v>
      </c>
      <c r="G132" s="61">
        <f t="shared" si="97"/>
        <v>6397.6763202017901</v>
      </c>
      <c r="H132" s="61">
        <f t="shared" si="97"/>
        <v>6506.5905384618391</v>
      </c>
      <c r="I132" s="61">
        <f t="shared" si="97"/>
        <v>5283.6979667130827</v>
      </c>
      <c r="J132" s="61">
        <f t="shared" si="97"/>
        <v>12037.99848723578</v>
      </c>
    </row>
    <row r="133" spans="2:10" x14ac:dyDescent="0.25">
      <c r="B133" s="54"/>
      <c r="C133" s="61" t="s">
        <v>56</v>
      </c>
      <c r="D133" s="61"/>
      <c r="E133" s="61"/>
      <c r="F133" s="61">
        <f t="shared" ref="F133:J133" si="98">-F46</f>
        <v>-3386.5402291030832</v>
      </c>
      <c r="G133" s="61">
        <f t="shared" si="98"/>
        <v>-3875.4339185857334</v>
      </c>
      <c r="H133" s="61">
        <f t="shared" si="98"/>
        <v>-3367.2832136031452</v>
      </c>
      <c r="I133" s="61">
        <f t="shared" si="98"/>
        <v>-3494.9065067576948</v>
      </c>
      <c r="J133" s="61">
        <f t="shared" si="98"/>
        <v>-3636.4165303678601</v>
      </c>
    </row>
    <row r="134" spans="2:10" x14ac:dyDescent="0.25">
      <c r="B134" s="54"/>
      <c r="C134" s="61" t="s">
        <v>53</v>
      </c>
      <c r="D134" s="61"/>
      <c r="E134" s="61"/>
      <c r="F134" s="138">
        <f t="shared" ref="F134:J134" si="99">-F51</f>
        <v>0</v>
      </c>
      <c r="G134" s="138">
        <f t="shared" si="99"/>
        <v>0</v>
      </c>
      <c r="H134" s="138">
        <f t="shared" si="99"/>
        <v>0</v>
      </c>
      <c r="I134" s="138">
        <f t="shared" si="99"/>
        <v>0</v>
      </c>
      <c r="J134" s="138">
        <f t="shared" si="99"/>
        <v>0</v>
      </c>
    </row>
    <row r="135" spans="2:10" x14ac:dyDescent="0.25">
      <c r="B135" s="54"/>
      <c r="C135" s="61" t="s">
        <v>55</v>
      </c>
      <c r="D135" s="61"/>
      <c r="E135" s="61">
        <f>E12</f>
        <v>119841.09163845591</v>
      </c>
      <c r="F135" s="61">
        <f t="shared" ref="F135:J135" si="100">SUM(F131:F134)</f>
        <v>124935.0085136445</v>
      </c>
      <c r="G135" s="61">
        <f t="shared" si="100"/>
        <v>127457.25091526055</v>
      </c>
      <c r="H135" s="61">
        <f t="shared" si="100"/>
        <v>130596.55824011924</v>
      </c>
      <c r="I135" s="61">
        <f t="shared" si="100"/>
        <v>132385.34970007464</v>
      </c>
      <c r="J135" s="61">
        <f t="shared" si="100"/>
        <v>140786.93165694256</v>
      </c>
    </row>
    <row r="136" spans="2:10" s="1" customFormat="1" x14ac:dyDescent="0.25">
      <c r="B136" s="54"/>
      <c r="C136" s="61" t="s">
        <v>205</v>
      </c>
      <c r="D136" s="61"/>
      <c r="E136" s="61"/>
      <c r="F136" s="66">
        <f t="shared" ref="F136:J136" si="101">IFERROR(-F133/F131,0)</f>
        <v>2.8258589627335916E-2</v>
      </c>
      <c r="G136" s="66">
        <f t="shared" si="101"/>
        <v>3.101959942766952E-2</v>
      </c>
      <c r="H136" s="66">
        <f t="shared" si="101"/>
        <v>2.6418922340023403E-2</v>
      </c>
      <c r="I136" s="66">
        <f t="shared" si="101"/>
        <v>2.6761091975577501E-2</v>
      </c>
      <c r="J136" s="66">
        <f t="shared" si="101"/>
        <v>2.7468421079872782E-2</v>
      </c>
    </row>
    <row r="137" spans="2:10" x14ac:dyDescent="0.25">
      <c r="B137" s="58"/>
      <c r="C137" s="58"/>
      <c r="D137" s="58"/>
      <c r="E137" s="58"/>
      <c r="F137" s="58"/>
      <c r="G137" s="58"/>
      <c r="H137" s="58"/>
      <c r="I137" s="58"/>
      <c r="J137" s="58"/>
    </row>
    <row r="138" spans="2:10" ht="18.75" x14ac:dyDescent="0.3">
      <c r="B138" s="34" t="s">
        <v>195</v>
      </c>
      <c r="C138" s="54"/>
      <c r="D138" s="54"/>
      <c r="E138" s="29">
        <v>2017</v>
      </c>
      <c r="F138" s="29">
        <f t="shared" ref="F138" si="102">E138+1</f>
        <v>2018</v>
      </c>
      <c r="G138" s="29">
        <f t="shared" ref="G138" si="103">F138+1</f>
        <v>2019</v>
      </c>
      <c r="H138" s="29">
        <f t="shared" ref="H138" si="104">G138+1</f>
        <v>2020</v>
      </c>
      <c r="I138" s="29">
        <f t="shared" ref="I138" si="105">H138+1</f>
        <v>2021</v>
      </c>
      <c r="J138" s="29">
        <f t="shared" ref="J138" si="106">I138+1</f>
        <v>2022</v>
      </c>
    </row>
    <row r="139" spans="2:10" x14ac:dyDescent="0.25">
      <c r="B139" s="54"/>
      <c r="C139" s="61" t="s">
        <v>52</v>
      </c>
      <c r="D139" s="61"/>
      <c r="E139" s="61"/>
      <c r="F139" s="61">
        <f>E143</f>
        <v>11975.287201113089</v>
      </c>
      <c r="G139" s="61">
        <f t="shared" ref="G139:J139" si="107">F143</f>
        <v>11360.676308301694</v>
      </c>
      <c r="H139" s="61">
        <f t="shared" si="107"/>
        <v>10456.470447644777</v>
      </c>
      <c r="I139" s="61">
        <f t="shared" si="107"/>
        <v>9918.8302860069889</v>
      </c>
      <c r="J139" s="61">
        <f t="shared" si="107"/>
        <v>9397.0203914887206</v>
      </c>
    </row>
    <row r="140" spans="2:10" x14ac:dyDescent="0.25">
      <c r="B140" s="54"/>
      <c r="C140" s="61" t="s">
        <v>196</v>
      </c>
      <c r="D140" s="61"/>
      <c r="E140" s="61"/>
      <c r="F140" s="61">
        <f t="shared" ref="F140:J140" si="108">+F22</f>
        <v>1970.8530556869384</v>
      </c>
      <c r="G140" s="61">
        <f t="shared" si="108"/>
        <v>1888.7628298028019</v>
      </c>
      <c r="H140" s="61">
        <f t="shared" si="108"/>
        <v>2259.4301445910569</v>
      </c>
      <c r="I140" s="61">
        <f t="shared" si="108"/>
        <v>2092.4095834898649</v>
      </c>
      <c r="J140" s="61">
        <f t="shared" si="108"/>
        <v>2003.5759866786391</v>
      </c>
    </row>
    <row r="141" spans="2:10" x14ac:dyDescent="0.25">
      <c r="B141" s="54"/>
      <c r="C141" s="61" t="s">
        <v>56</v>
      </c>
      <c r="D141" s="61"/>
      <c r="E141" s="61"/>
      <c r="F141" s="61">
        <f t="shared" ref="F141:J141" si="109">-F47</f>
        <v>-2585.463948498335</v>
      </c>
      <c r="G141" s="61">
        <f t="shared" si="109"/>
        <v>-2792.9686904597179</v>
      </c>
      <c r="H141" s="61">
        <f t="shared" si="109"/>
        <v>-2797.0703062288439</v>
      </c>
      <c r="I141" s="61">
        <f t="shared" si="109"/>
        <v>-2614.2194780081327</v>
      </c>
      <c r="J141" s="61">
        <f t="shared" si="109"/>
        <v>-2536.3895469084468</v>
      </c>
    </row>
    <row r="142" spans="2:10" x14ac:dyDescent="0.25">
      <c r="B142" s="54"/>
      <c r="C142" s="61" t="s">
        <v>53</v>
      </c>
      <c r="D142" s="61"/>
      <c r="E142" s="61"/>
      <c r="F142" s="138">
        <f t="shared" ref="F142:J142" si="110">-F52</f>
        <v>0</v>
      </c>
      <c r="G142" s="138">
        <f t="shared" si="110"/>
        <v>0</v>
      </c>
      <c r="H142" s="138">
        <f t="shared" si="110"/>
        <v>0</v>
      </c>
      <c r="I142" s="138">
        <f t="shared" si="110"/>
        <v>0</v>
      </c>
      <c r="J142" s="138">
        <f t="shared" si="110"/>
        <v>0</v>
      </c>
    </row>
    <row r="143" spans="2:10" x14ac:dyDescent="0.25">
      <c r="B143" s="54"/>
      <c r="C143" s="61" t="s">
        <v>55</v>
      </c>
      <c r="D143" s="61"/>
      <c r="E143" s="61">
        <f>E13</f>
        <v>11975.287201113089</v>
      </c>
      <c r="F143" s="61">
        <f t="shared" ref="F143:J143" si="111">SUM(F139:F142)</f>
        <v>11360.676308301694</v>
      </c>
      <c r="G143" s="61">
        <f t="shared" si="111"/>
        <v>10456.470447644777</v>
      </c>
      <c r="H143" s="61">
        <f t="shared" si="111"/>
        <v>9918.8302860069889</v>
      </c>
      <c r="I143" s="61">
        <f t="shared" si="111"/>
        <v>9397.0203914887206</v>
      </c>
      <c r="J143" s="61">
        <f t="shared" si="111"/>
        <v>8864.2068312589126</v>
      </c>
    </row>
    <row r="144" spans="2:10" s="1" customFormat="1" x14ac:dyDescent="0.25">
      <c r="B144" s="54"/>
      <c r="C144" s="61" t="s">
        <v>206</v>
      </c>
      <c r="D144" s="61"/>
      <c r="E144" s="61"/>
      <c r="F144" s="66">
        <f t="shared" ref="F144:J144" si="112">IFERROR(-F141/F139,0)</f>
        <v>0.21589995338550369</v>
      </c>
      <c r="G144" s="66">
        <f t="shared" si="112"/>
        <v>0.24584528373709455</v>
      </c>
      <c r="H144" s="66">
        <f t="shared" si="112"/>
        <v>0.26749660128947794</v>
      </c>
      <c r="I144" s="66">
        <f t="shared" si="112"/>
        <v>0.26356126706756428</v>
      </c>
      <c r="J144" s="66">
        <f t="shared" si="112"/>
        <v>0.26991423251627317</v>
      </c>
    </row>
    <row r="146" spans="1:10" s="1" customFormat="1" ht="18.75" x14ac:dyDescent="0.3">
      <c r="B146" s="34" t="s">
        <v>57</v>
      </c>
      <c r="C146" s="60"/>
      <c r="D146" s="60"/>
      <c r="E146" s="29">
        <v>2017</v>
      </c>
      <c r="F146" s="29">
        <f t="shared" ref="F146" si="113">E146+1</f>
        <v>2018</v>
      </c>
      <c r="G146" s="29">
        <f t="shared" ref="G146" si="114">F146+1</f>
        <v>2019</v>
      </c>
      <c r="H146" s="29">
        <f t="shared" ref="H146" si="115">G146+1</f>
        <v>2020</v>
      </c>
      <c r="I146" s="29">
        <f t="shared" ref="I146" si="116">H146+1</f>
        <v>2021</v>
      </c>
      <c r="J146" s="29">
        <f t="shared" ref="J146" si="117">I146+1</f>
        <v>2022</v>
      </c>
    </row>
    <row r="147" spans="1:10" s="1" customFormat="1" x14ac:dyDescent="0.25">
      <c r="B147" s="60"/>
      <c r="C147" s="61" t="s">
        <v>52</v>
      </c>
      <c r="D147" s="61"/>
      <c r="E147" s="61"/>
      <c r="F147" s="61">
        <f t="shared" ref="F147:J150" si="118">SUM(F115,F123,F131,F139)</f>
        <v>524372.80367237434</v>
      </c>
      <c r="G147" s="61">
        <f t="shared" si="118"/>
        <v>524705.9326939017</v>
      </c>
      <c r="H147" s="61">
        <f t="shared" si="118"/>
        <v>517382.43084557535</v>
      </c>
      <c r="I147" s="61">
        <f t="shared" si="118"/>
        <v>521080.61257338308</v>
      </c>
      <c r="J147" s="61">
        <f t="shared" si="118"/>
        <v>515330.42392855557</v>
      </c>
    </row>
    <row r="148" spans="1:10" s="1" customFormat="1" x14ac:dyDescent="0.25">
      <c r="B148" s="60"/>
      <c r="C148" s="61" t="s">
        <v>196</v>
      </c>
      <c r="D148" s="61"/>
      <c r="E148" s="62"/>
      <c r="F148" s="61">
        <f t="shared" si="118"/>
        <v>19691.940843623557</v>
      </c>
      <c r="G148" s="61">
        <f t="shared" si="118"/>
        <v>12622.622952142918</v>
      </c>
      <c r="H148" s="61">
        <f t="shared" si="118"/>
        <v>21140.888438395908</v>
      </c>
      <c r="I148" s="61">
        <f t="shared" si="118"/>
        <v>11503.461718694973</v>
      </c>
      <c r="J148" s="61">
        <f t="shared" si="118"/>
        <v>17158.073824772386</v>
      </c>
    </row>
    <row r="149" spans="1:10" s="1" customFormat="1" x14ac:dyDescent="0.25">
      <c r="B149" s="60"/>
      <c r="C149" s="61" t="s">
        <v>56</v>
      </c>
      <c r="D149" s="61"/>
      <c r="E149" s="61"/>
      <c r="F149" s="61">
        <f t="shared" si="118"/>
        <v>-19358.811822096228</v>
      </c>
      <c r="G149" s="61">
        <f t="shared" si="118"/>
        <v>-19946.124800469166</v>
      </c>
      <c r="H149" s="61">
        <f t="shared" si="118"/>
        <v>-17442.706710588212</v>
      </c>
      <c r="I149" s="61">
        <f t="shared" si="118"/>
        <v>-17253.650363522556</v>
      </c>
      <c r="J149" s="61">
        <f t="shared" si="118"/>
        <v>-15203.688367884866</v>
      </c>
    </row>
    <row r="150" spans="1:10" s="1" customFormat="1" x14ac:dyDescent="0.25">
      <c r="B150" s="60"/>
      <c r="C150" s="61" t="s">
        <v>53</v>
      </c>
      <c r="D150" s="61"/>
      <c r="E150" s="61"/>
      <c r="F150" s="138">
        <f t="shared" si="118"/>
        <v>0</v>
      </c>
      <c r="G150" s="138">
        <f t="shared" si="118"/>
        <v>0</v>
      </c>
      <c r="H150" s="138">
        <f t="shared" si="118"/>
        <v>0</v>
      </c>
      <c r="I150" s="138">
        <f t="shared" si="118"/>
        <v>0</v>
      </c>
      <c r="J150" s="138">
        <f t="shared" si="118"/>
        <v>0</v>
      </c>
    </row>
    <row r="151" spans="1:10" s="1" customFormat="1" x14ac:dyDescent="0.25">
      <c r="B151" s="60"/>
      <c r="C151" s="61" t="s">
        <v>55</v>
      </c>
      <c r="D151" s="61"/>
      <c r="E151" s="61">
        <f t="shared" ref="E151:J151" si="119">SUM(E119,E127,E135,E143)</f>
        <v>524372.80367237434</v>
      </c>
      <c r="F151" s="61">
        <f t="shared" si="119"/>
        <v>524705.9326939017</v>
      </c>
      <c r="G151" s="61">
        <f t="shared" si="119"/>
        <v>517382.43084557535</v>
      </c>
      <c r="H151" s="61">
        <f t="shared" si="119"/>
        <v>521080.61257338308</v>
      </c>
      <c r="I151" s="61">
        <f t="shared" si="119"/>
        <v>515330.42392855557</v>
      </c>
      <c r="J151" s="61">
        <f t="shared" si="119"/>
        <v>517284.80938544305</v>
      </c>
    </row>
    <row r="152" spans="1:10" s="1" customFormat="1" x14ac:dyDescent="0.25">
      <c r="B152" s="59"/>
      <c r="C152" s="61"/>
      <c r="D152" s="61"/>
      <c r="E152" s="61"/>
      <c r="F152" s="61"/>
      <c r="G152" s="61"/>
      <c r="H152" s="61"/>
      <c r="I152" s="61"/>
      <c r="J152" s="61"/>
    </row>
    <row r="154" spans="1:10" ht="21" x14ac:dyDescent="0.35">
      <c r="A154" s="41" t="s">
        <v>7</v>
      </c>
      <c r="E154" s="29">
        <v>2017</v>
      </c>
      <c r="F154" s="29">
        <f t="shared" ref="F154" si="120">E154+1</f>
        <v>2018</v>
      </c>
      <c r="G154" s="29">
        <f t="shared" ref="G154" si="121">F154+1</f>
        <v>2019</v>
      </c>
      <c r="H154" s="29">
        <f t="shared" ref="H154" si="122">G154+1</f>
        <v>2020</v>
      </c>
      <c r="I154" s="29">
        <f t="shared" ref="I154" si="123">H154+1</f>
        <v>2021</v>
      </c>
      <c r="J154" s="29">
        <f t="shared" ref="J154" si="124">I154+1</f>
        <v>2022</v>
      </c>
    </row>
    <row r="155" spans="1:10" x14ac:dyDescent="0.25">
      <c r="C155" s="61" t="s">
        <v>150</v>
      </c>
      <c r="D155" s="61"/>
      <c r="E155" s="61"/>
      <c r="F155" s="110">
        <f t="shared" ref="F155:J155" si="125">F64</f>
        <v>0</v>
      </c>
      <c r="G155" s="110">
        <f t="shared" si="125"/>
        <v>0</v>
      </c>
      <c r="H155" s="110">
        <f t="shared" si="125"/>
        <v>0</v>
      </c>
      <c r="I155" s="110">
        <f t="shared" si="125"/>
        <v>0</v>
      </c>
      <c r="J155" s="110">
        <f t="shared" si="125"/>
        <v>0</v>
      </c>
    </row>
    <row r="156" spans="1:10" s="1" customFormat="1" x14ac:dyDescent="0.25">
      <c r="C156" s="61" t="s">
        <v>201</v>
      </c>
      <c r="D156" s="61"/>
      <c r="E156" s="61"/>
      <c r="F156" s="110">
        <f t="shared" ref="F156:J156" si="126">F74</f>
        <v>5.223625964382491E-2</v>
      </c>
      <c r="G156" s="110">
        <f t="shared" si="126"/>
        <v>4.4874523504819255E-2</v>
      </c>
      <c r="H156" s="110">
        <f t="shared" si="126"/>
        <v>5.0132616676309034E-2</v>
      </c>
      <c r="I156" s="110">
        <f t="shared" si="126"/>
        <v>5.5383573653832355E-2</v>
      </c>
      <c r="J156" s="110">
        <f t="shared" si="126"/>
        <v>5.7451930036379911E-2</v>
      </c>
    </row>
    <row r="157" spans="1:10" s="1" customFormat="1" x14ac:dyDescent="0.25">
      <c r="C157" s="61" t="s">
        <v>202</v>
      </c>
      <c r="D157" s="61"/>
      <c r="E157" s="61"/>
      <c r="F157" s="110">
        <f t="shared" ref="F157:J157" si="127">F84</f>
        <v>3.064144002386409E-2</v>
      </c>
      <c r="G157" s="110">
        <f t="shared" si="127"/>
        <v>3.4197598665371989E-2</v>
      </c>
      <c r="H157" s="110">
        <f t="shared" si="127"/>
        <v>3.8353096483924251E-2</v>
      </c>
      <c r="I157" s="110">
        <f t="shared" si="127"/>
        <v>4.0714040600345343E-2</v>
      </c>
      <c r="J157" s="110">
        <f t="shared" si="127"/>
        <v>3.8276363900112312E-2</v>
      </c>
    </row>
    <row r="158" spans="1:10" s="1" customFormat="1" x14ac:dyDescent="0.25">
      <c r="C158" s="61" t="s">
        <v>203</v>
      </c>
      <c r="D158" s="61"/>
      <c r="E158" s="61"/>
      <c r="F158" s="110">
        <f t="shared" ref="F158:J158" si="128">F94</f>
        <v>0.17071873656571385</v>
      </c>
      <c r="G158" s="110">
        <f t="shared" si="128"/>
        <v>0.18554929224247435</v>
      </c>
      <c r="H158" s="110">
        <f t="shared" si="128"/>
        <v>0.2081780247722973</v>
      </c>
      <c r="I158" s="110">
        <f t="shared" si="128"/>
        <v>0.24257174627804223</v>
      </c>
      <c r="J158" s="110">
        <f t="shared" si="128"/>
        <v>0.22918171201714346</v>
      </c>
    </row>
    <row r="159" spans="1:10" s="1" customFormat="1" x14ac:dyDescent="0.25">
      <c r="C159" s="61" t="s">
        <v>152</v>
      </c>
      <c r="D159" s="61"/>
      <c r="E159" s="61"/>
      <c r="F159" s="110">
        <f t="shared" ref="F159:J159" si="129">F120</f>
        <v>0</v>
      </c>
      <c r="G159" s="110">
        <f t="shared" si="129"/>
        <v>0</v>
      </c>
      <c r="H159" s="110">
        <f t="shared" si="129"/>
        <v>0</v>
      </c>
      <c r="I159" s="110">
        <f t="shared" si="129"/>
        <v>0</v>
      </c>
      <c r="J159" s="110">
        <f t="shared" si="129"/>
        <v>0</v>
      </c>
    </row>
    <row r="160" spans="1:10" s="1" customFormat="1" x14ac:dyDescent="0.25">
      <c r="C160" s="61" t="s">
        <v>204</v>
      </c>
      <c r="D160" s="61"/>
      <c r="E160" s="61"/>
      <c r="F160" s="110">
        <f t="shared" ref="F160:J160" si="130">F128</f>
        <v>4.5848819542475952E-2</v>
      </c>
      <c r="G160" s="110">
        <f t="shared" si="130"/>
        <v>4.6130275931422764E-2</v>
      </c>
      <c r="H160" s="110">
        <f t="shared" si="130"/>
        <v>4.0440231159580953E-2</v>
      </c>
      <c r="I160" s="110">
        <f t="shared" si="130"/>
        <v>3.9803870245083299E-2</v>
      </c>
      <c r="J160" s="110">
        <f t="shared" si="130"/>
        <v>3.3083938519909692E-2</v>
      </c>
    </row>
    <row r="161" spans="3:10" s="1" customFormat="1" x14ac:dyDescent="0.25">
      <c r="C161" s="61" t="s">
        <v>205</v>
      </c>
      <c r="D161" s="61"/>
      <c r="E161" s="61"/>
      <c r="F161" s="110">
        <f t="shared" ref="F161:J161" si="131">F136</f>
        <v>2.8258589627335916E-2</v>
      </c>
      <c r="G161" s="110">
        <f t="shared" si="131"/>
        <v>3.101959942766952E-2</v>
      </c>
      <c r="H161" s="110">
        <f t="shared" si="131"/>
        <v>2.6418922340023403E-2</v>
      </c>
      <c r="I161" s="110">
        <f t="shared" si="131"/>
        <v>2.6761091975577501E-2</v>
      </c>
      <c r="J161" s="110">
        <f t="shared" si="131"/>
        <v>2.7468421079872782E-2</v>
      </c>
    </row>
    <row r="162" spans="3:10" s="1" customFormat="1" x14ac:dyDescent="0.25">
      <c r="C162" s="61" t="s">
        <v>206</v>
      </c>
      <c r="D162" s="61"/>
      <c r="E162" s="61"/>
      <c r="F162" s="110">
        <f t="shared" ref="F162:J162" si="132">F144</f>
        <v>0.21589995338550369</v>
      </c>
      <c r="G162" s="110">
        <f t="shared" si="132"/>
        <v>0.24584528373709455</v>
      </c>
      <c r="H162" s="110">
        <f t="shared" si="132"/>
        <v>0.26749660128947794</v>
      </c>
      <c r="I162" s="110">
        <f t="shared" si="132"/>
        <v>0.26356126706756428</v>
      </c>
      <c r="J162" s="110">
        <f t="shared" si="132"/>
        <v>0.26991423251627317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Footer>&amp;L&amp;F&amp;C&amp;A&amp;R&amp;P</oddFooter>
  </headerFooter>
  <rowBreaks count="1" manualBreakCount="1">
    <brk id="72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K174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8.42578125" style="1" customWidth="1"/>
    <col min="2" max="2" width="7.7109375" style="1" customWidth="1"/>
    <col min="3" max="3" width="30.7109375" style="1" customWidth="1"/>
    <col min="4" max="4" width="27.140625" style="1" customWidth="1"/>
    <col min="5" max="5" width="12.7109375" style="1" bestFit="1" customWidth="1"/>
    <col min="6" max="10" width="11.7109375" style="1" customWidth="1"/>
    <col min="11" max="11" width="7.7109375" style="1" customWidth="1"/>
    <col min="12" max="16384" width="8.85546875" style="1"/>
  </cols>
  <sheetData>
    <row r="1" spans="1:10" ht="25.9" x14ac:dyDescent="0.5">
      <c r="A1" s="18" t="s">
        <v>157</v>
      </c>
      <c r="E1" s="27"/>
    </row>
    <row r="2" spans="1:10" ht="14.45" x14ac:dyDescent="0.3">
      <c r="A2" s="73" t="s">
        <v>222</v>
      </c>
    </row>
    <row r="3" spans="1:10" ht="23.45" x14ac:dyDescent="0.45">
      <c r="A3" s="26" t="s">
        <v>5</v>
      </c>
    </row>
    <row r="4" spans="1:10" ht="14.45" x14ac:dyDescent="0.3">
      <c r="D4" s="29" t="s">
        <v>51</v>
      </c>
      <c r="E4" s="29" t="s">
        <v>11</v>
      </c>
      <c r="F4" s="29">
        <v>2018</v>
      </c>
      <c r="G4" s="29">
        <f t="shared" ref="G4:J4" si="0">F4+1</f>
        <v>2019</v>
      </c>
      <c r="H4" s="29">
        <f t="shared" si="0"/>
        <v>2020</v>
      </c>
      <c r="I4" s="29">
        <f t="shared" si="0"/>
        <v>2021</v>
      </c>
      <c r="J4" s="29">
        <f t="shared" si="0"/>
        <v>2022</v>
      </c>
    </row>
    <row r="5" spans="1:10" ht="18" x14ac:dyDescent="0.35">
      <c r="B5" s="34" t="s">
        <v>232</v>
      </c>
    </row>
    <row r="6" spans="1:10" ht="14.45" x14ac:dyDescent="0.3">
      <c r="C6" s="37" t="str">
        <f>'Scenario Manager'!B26</f>
        <v>Land</v>
      </c>
      <c r="D6" s="37" t="s">
        <v>29</v>
      </c>
      <c r="E6" s="51">
        <f>'Scenario Manager'!E26</f>
        <v>100579.27519010181</v>
      </c>
    </row>
    <row r="7" spans="1:10" ht="14.45" x14ac:dyDescent="0.3">
      <c r="C7" s="37" t="str">
        <f>'Scenario Manager'!B27</f>
        <v>Infrastructure &amp; Buildings</v>
      </c>
      <c r="D7" s="37" t="s">
        <v>29</v>
      </c>
      <c r="E7" s="51">
        <f>'Scenario Manager'!E27</f>
        <v>291977.14964270347</v>
      </c>
    </row>
    <row r="8" spans="1:10" ht="14.45" x14ac:dyDescent="0.3">
      <c r="C8" s="37" t="str">
        <f>'Scenario Manager'!B28</f>
        <v>Sealed Surfaces</v>
      </c>
      <c r="D8" s="37" t="s">
        <v>29</v>
      </c>
      <c r="E8" s="51">
        <f>'Scenario Manager'!E28</f>
        <v>119841.09163845591</v>
      </c>
    </row>
    <row r="9" spans="1:10" ht="14.45" x14ac:dyDescent="0.3">
      <c r="C9" s="37" t="str">
        <f>'Scenario Manager'!B29</f>
        <v>Vehicles, Plant &amp; Equipment</v>
      </c>
      <c r="D9" s="37" t="s">
        <v>29</v>
      </c>
      <c r="E9" s="51">
        <f>'Scenario Manager'!E29</f>
        <v>11975.287201113089</v>
      </c>
    </row>
    <row r="10" spans="1:10" ht="14.45" x14ac:dyDescent="0.3">
      <c r="C10" s="37" t="str">
        <f>'Scenario Manager'!B30</f>
        <v>Tax value - Land</v>
      </c>
      <c r="D10" s="37" t="s">
        <v>29</v>
      </c>
      <c r="E10" s="51">
        <f>'Scenario Manager'!E30</f>
        <v>100579.27519010181</v>
      </c>
    </row>
    <row r="11" spans="1:10" ht="14.45" x14ac:dyDescent="0.3">
      <c r="C11" s="37" t="str">
        <f>'Scenario Manager'!B31</f>
        <v>Tax value - Infrastructure &amp; Buildings</v>
      </c>
      <c r="D11" s="37" t="s">
        <v>29</v>
      </c>
      <c r="E11" s="51">
        <f>'Scenario Manager'!E31</f>
        <v>291977.14964270347</v>
      </c>
    </row>
    <row r="12" spans="1:10" ht="14.45" x14ac:dyDescent="0.3">
      <c r="C12" s="37" t="str">
        <f>'Scenario Manager'!B32</f>
        <v>Tax value - Sealed Surfaces</v>
      </c>
      <c r="D12" s="37" t="s">
        <v>29</v>
      </c>
      <c r="E12" s="51">
        <f>'Scenario Manager'!E32</f>
        <v>119841.09163845591</v>
      </c>
    </row>
    <row r="13" spans="1:10" ht="14.45" x14ac:dyDescent="0.3">
      <c r="C13" s="37" t="str">
        <f>'Scenario Manager'!B33</f>
        <v>Tax value - Vehicles, Plant &amp; Equipment</v>
      </c>
      <c r="D13" s="37" t="s">
        <v>29</v>
      </c>
      <c r="E13" s="51">
        <f>'Scenario Manager'!E33</f>
        <v>11975.287201113089</v>
      </c>
    </row>
    <row r="14" spans="1:10" ht="18" x14ac:dyDescent="0.35">
      <c r="B14" s="34" t="s">
        <v>9</v>
      </c>
      <c r="C14" s="37"/>
      <c r="D14" s="37"/>
      <c r="E14" s="51"/>
    </row>
    <row r="15" spans="1:10" ht="14.45" x14ac:dyDescent="0.3">
      <c r="C15" s="37" t="s">
        <v>69</v>
      </c>
      <c r="D15" s="37" t="s">
        <v>29</v>
      </c>
      <c r="E15" s="47">
        <f>'Scenario Manager'!E15</f>
        <v>0.19</v>
      </c>
    </row>
    <row r="16" spans="1:10" ht="14.45" x14ac:dyDescent="0.3">
      <c r="C16" s="37" t="s">
        <v>174</v>
      </c>
      <c r="D16" s="37" t="s">
        <v>29</v>
      </c>
      <c r="E16" s="53">
        <f>'Scenario Manager'!E16</f>
        <v>4.41E-2</v>
      </c>
    </row>
    <row r="17" spans="2:10" ht="14.45" x14ac:dyDescent="0.3">
      <c r="C17" s="37" t="s">
        <v>253</v>
      </c>
      <c r="D17" s="37" t="s">
        <v>29</v>
      </c>
      <c r="E17" s="53">
        <f>'Scenario Manager'!E17</f>
        <v>4.8000000000000001E-2</v>
      </c>
    </row>
    <row r="18" spans="2:10" ht="14.45" x14ac:dyDescent="0.3">
      <c r="C18" s="37" t="s">
        <v>234</v>
      </c>
      <c r="D18" s="37" t="s">
        <v>29</v>
      </c>
      <c r="E18" s="139">
        <f>'Scenario Manager'!E24</f>
        <v>0.5</v>
      </c>
    </row>
    <row r="19" spans="2:10" ht="18" x14ac:dyDescent="0.35">
      <c r="B19" s="34" t="s">
        <v>196</v>
      </c>
      <c r="D19" s="22"/>
    </row>
    <row r="20" spans="2:10" ht="14.45" x14ac:dyDescent="0.3">
      <c r="C20" s="37" t="s">
        <v>21</v>
      </c>
      <c r="D20" s="37" t="s">
        <v>29</v>
      </c>
      <c r="E20" s="42"/>
      <c r="F20" s="49">
        <f>'Scenario Manager'!F90</f>
        <v>0</v>
      </c>
      <c r="G20" s="49">
        <f>'Scenario Manager'!G90</f>
        <v>0</v>
      </c>
      <c r="H20" s="49">
        <f>'Scenario Manager'!H90</f>
        <v>0</v>
      </c>
      <c r="I20" s="49">
        <f>'Scenario Manager'!I90</f>
        <v>0</v>
      </c>
      <c r="J20" s="49">
        <f>'Scenario Manager'!J90</f>
        <v>0</v>
      </c>
    </row>
    <row r="21" spans="2:10" ht="14.45" x14ac:dyDescent="0.3">
      <c r="C21" s="37" t="s">
        <v>193</v>
      </c>
      <c r="D21" s="37" t="s">
        <v>29</v>
      </c>
      <c r="E21" s="42"/>
      <c r="F21" s="49">
        <f>'Scenario Manager'!F91</f>
        <v>9240.6306836449621</v>
      </c>
      <c r="G21" s="49">
        <f>'Scenario Manager'!G91</f>
        <v>4336.1838021383273</v>
      </c>
      <c r="H21" s="49">
        <f>'Scenario Manager'!H91</f>
        <v>12374.867755343013</v>
      </c>
      <c r="I21" s="49">
        <f>'Scenario Manager'!I91</f>
        <v>4127.3541684920237</v>
      </c>
      <c r="J21" s="49">
        <f>'Scenario Manager'!J91</f>
        <v>3116.4993508579673</v>
      </c>
    </row>
    <row r="22" spans="2:10" ht="14.45" x14ac:dyDescent="0.3">
      <c r="C22" s="37" t="s">
        <v>194</v>
      </c>
      <c r="D22" s="37" t="s">
        <v>29</v>
      </c>
      <c r="E22" s="42"/>
      <c r="F22" s="49">
        <f>'Scenario Manager'!F92</f>
        <v>8480.4571042916577</v>
      </c>
      <c r="G22" s="49">
        <f>'Scenario Manager'!G92</f>
        <v>6397.6763202017901</v>
      </c>
      <c r="H22" s="49">
        <f>'Scenario Manager'!H92</f>
        <v>6506.5905384618391</v>
      </c>
      <c r="I22" s="49">
        <f>'Scenario Manager'!I92</f>
        <v>5283.6979667130827</v>
      </c>
      <c r="J22" s="49">
        <f>'Scenario Manager'!J92</f>
        <v>12037.99848723578</v>
      </c>
    </row>
    <row r="23" spans="2:10" ht="14.45" x14ac:dyDescent="0.3">
      <c r="C23" s="37" t="s">
        <v>195</v>
      </c>
      <c r="D23" s="37" t="s">
        <v>29</v>
      </c>
      <c r="E23" s="42"/>
      <c r="F23" s="49">
        <f>'Scenario Manager'!F93</f>
        <v>1970.8530556869384</v>
      </c>
      <c r="G23" s="49">
        <f>'Scenario Manager'!G93</f>
        <v>1888.7628298028019</v>
      </c>
      <c r="H23" s="49">
        <f>'Scenario Manager'!H93</f>
        <v>2259.4301445910569</v>
      </c>
      <c r="I23" s="49">
        <f>'Scenario Manager'!I93</f>
        <v>2092.4095834898649</v>
      </c>
      <c r="J23" s="49">
        <f>'Scenario Manager'!J93</f>
        <v>2003.5759866786391</v>
      </c>
    </row>
    <row r="24" spans="2:10" ht="18" x14ac:dyDescent="0.35">
      <c r="B24" s="34" t="s">
        <v>53</v>
      </c>
      <c r="D24" s="22"/>
      <c r="E24" s="29"/>
      <c r="F24" s="29"/>
      <c r="G24" s="29"/>
      <c r="H24" s="29"/>
      <c r="I24" s="29"/>
      <c r="J24" s="29"/>
    </row>
    <row r="25" spans="2:10" ht="14.45" x14ac:dyDescent="0.3">
      <c r="C25" s="37" t="s">
        <v>21</v>
      </c>
      <c r="D25" s="37" t="s">
        <v>29</v>
      </c>
      <c r="E25" s="42"/>
      <c r="F25" s="49">
        <f>'Scenario Manager'!F47</f>
        <v>0</v>
      </c>
      <c r="G25" s="49">
        <f>'Scenario Manager'!G47</f>
        <v>0</v>
      </c>
      <c r="H25" s="49">
        <f>'Scenario Manager'!H47</f>
        <v>0</v>
      </c>
      <c r="I25" s="49">
        <f>'Scenario Manager'!I47</f>
        <v>0</v>
      </c>
      <c r="J25" s="49">
        <f>'Scenario Manager'!J47</f>
        <v>0</v>
      </c>
    </row>
    <row r="26" spans="2:10" ht="14.45" x14ac:dyDescent="0.3">
      <c r="C26" s="37" t="s">
        <v>193</v>
      </c>
      <c r="D26" s="37" t="s">
        <v>29</v>
      </c>
      <c r="E26" s="42"/>
      <c r="F26" s="49">
        <f>'Scenario Manager'!F48</f>
        <v>0</v>
      </c>
      <c r="G26" s="49">
        <f>'Scenario Manager'!G48</f>
        <v>0</v>
      </c>
      <c r="H26" s="49">
        <f>'Scenario Manager'!H48</f>
        <v>0</v>
      </c>
      <c r="I26" s="49">
        <f>'Scenario Manager'!I48</f>
        <v>0</v>
      </c>
      <c r="J26" s="49">
        <f>'Scenario Manager'!J48</f>
        <v>0</v>
      </c>
    </row>
    <row r="27" spans="2:10" ht="14.45" x14ac:dyDescent="0.3">
      <c r="C27" s="37" t="s">
        <v>194</v>
      </c>
      <c r="D27" s="37" t="s">
        <v>29</v>
      </c>
      <c r="E27" s="42"/>
      <c r="F27" s="49">
        <f>'Scenario Manager'!F49</f>
        <v>0</v>
      </c>
      <c r="G27" s="49">
        <f>'Scenario Manager'!G49</f>
        <v>0</v>
      </c>
      <c r="H27" s="49">
        <f>'Scenario Manager'!H49</f>
        <v>0</v>
      </c>
      <c r="I27" s="49">
        <f>'Scenario Manager'!I49</f>
        <v>0</v>
      </c>
      <c r="J27" s="49">
        <f>'Scenario Manager'!J49</f>
        <v>0</v>
      </c>
    </row>
    <row r="28" spans="2:10" x14ac:dyDescent="0.25">
      <c r="C28" s="37" t="s">
        <v>195</v>
      </c>
      <c r="D28" s="37" t="s">
        <v>29</v>
      </c>
      <c r="E28" s="42"/>
      <c r="F28" s="49">
        <f>'Scenario Manager'!F50</f>
        <v>0</v>
      </c>
      <c r="G28" s="49">
        <f>'Scenario Manager'!G50</f>
        <v>0</v>
      </c>
      <c r="H28" s="49">
        <f>'Scenario Manager'!H50</f>
        <v>0</v>
      </c>
      <c r="I28" s="49">
        <f>'Scenario Manager'!I50</f>
        <v>0</v>
      </c>
      <c r="J28" s="49">
        <f>'Scenario Manager'!J50</f>
        <v>0</v>
      </c>
    </row>
    <row r="29" spans="2:10" ht="18.75" x14ac:dyDescent="0.3">
      <c r="B29" s="34" t="s">
        <v>80</v>
      </c>
    </row>
    <row r="30" spans="2:10" x14ac:dyDescent="0.25">
      <c r="C30" s="37" t="s">
        <v>21</v>
      </c>
      <c r="D30" s="37" t="s">
        <v>29</v>
      </c>
      <c r="E30" s="37"/>
      <c r="F30" s="53">
        <f>'Scenario Manager'!F52</f>
        <v>1.3900245298446466E-2</v>
      </c>
      <c r="G30" s="53">
        <f>'Scenario Manager'!G52</f>
        <v>2.0161290322580735E-2</v>
      </c>
      <c r="H30" s="53">
        <f>'Scenario Manager'!H52</f>
        <v>1.9262799374245576E-2</v>
      </c>
      <c r="I30" s="53">
        <f>'Scenario Manager'!I52</f>
        <v>2.0000000000000458E-2</v>
      </c>
      <c r="J30" s="53">
        <f>'Scenario Manager'!J52</f>
        <v>2.0000000000000236E-2</v>
      </c>
    </row>
    <row r="31" spans="2:10" x14ac:dyDescent="0.25">
      <c r="C31" s="37" t="s">
        <v>193</v>
      </c>
      <c r="D31" s="37" t="s">
        <v>29</v>
      </c>
      <c r="E31" s="37"/>
      <c r="F31" s="53">
        <f>'Scenario Manager'!F53</f>
        <v>1.3900245298446466E-2</v>
      </c>
      <c r="G31" s="53">
        <f>'Scenario Manager'!G53</f>
        <v>2.0161290322580735E-2</v>
      </c>
      <c r="H31" s="53">
        <f>'Scenario Manager'!H53</f>
        <v>1.9262799374245576E-2</v>
      </c>
      <c r="I31" s="53">
        <f>'Scenario Manager'!I53</f>
        <v>2.0000000000000458E-2</v>
      </c>
      <c r="J31" s="53">
        <f>'Scenario Manager'!J53</f>
        <v>2.0000000000000236E-2</v>
      </c>
    </row>
    <row r="32" spans="2:10" x14ac:dyDescent="0.25">
      <c r="C32" s="37" t="s">
        <v>194</v>
      </c>
      <c r="D32" s="37" t="s">
        <v>29</v>
      </c>
      <c r="E32" s="37"/>
      <c r="F32" s="53">
        <f>'Scenario Manager'!F54</f>
        <v>1.3900245298446466E-2</v>
      </c>
      <c r="G32" s="53">
        <f>'Scenario Manager'!G54</f>
        <v>2.0161290322580735E-2</v>
      </c>
      <c r="H32" s="53">
        <f>'Scenario Manager'!H54</f>
        <v>1.9262799374245576E-2</v>
      </c>
      <c r="I32" s="53">
        <f>'Scenario Manager'!I54</f>
        <v>2.0000000000000458E-2</v>
      </c>
      <c r="J32" s="53">
        <f>'Scenario Manager'!J54</f>
        <v>2.0000000000000236E-2</v>
      </c>
    </row>
    <row r="33" spans="2:10" x14ac:dyDescent="0.25">
      <c r="C33" s="37" t="s">
        <v>195</v>
      </c>
      <c r="D33" s="37" t="s">
        <v>29</v>
      </c>
      <c r="E33" s="37"/>
      <c r="F33" s="53">
        <f>'Scenario Manager'!F55</f>
        <v>1.3900245298446466E-2</v>
      </c>
      <c r="G33" s="53">
        <f>'Scenario Manager'!G55</f>
        <v>2.0161290322580735E-2</v>
      </c>
      <c r="H33" s="53">
        <f>'Scenario Manager'!H55</f>
        <v>1.9262799374245576E-2</v>
      </c>
      <c r="I33" s="53">
        <f>'Scenario Manager'!I55</f>
        <v>2.0000000000000458E-2</v>
      </c>
      <c r="J33" s="53">
        <f>'Scenario Manager'!J55</f>
        <v>2.0000000000000236E-2</v>
      </c>
    </row>
    <row r="34" spans="2:10" ht="18.75" x14ac:dyDescent="0.3">
      <c r="B34" s="34" t="s">
        <v>54</v>
      </c>
      <c r="D34" s="22"/>
      <c r="E34" s="29"/>
      <c r="F34" s="29"/>
      <c r="G34" s="29"/>
      <c r="H34" s="29"/>
      <c r="I34" s="29"/>
      <c r="J34" s="29"/>
    </row>
    <row r="35" spans="2:10" x14ac:dyDescent="0.25">
      <c r="C35" s="37" t="s">
        <v>21</v>
      </c>
      <c r="D35" s="37" t="s">
        <v>29</v>
      </c>
      <c r="E35" s="42"/>
      <c r="F35" s="49">
        <f>'Scenario Manager'!F57</f>
        <v>0</v>
      </c>
      <c r="G35" s="49">
        <f>'Scenario Manager'!G57</f>
        <v>0</v>
      </c>
      <c r="H35" s="49">
        <f>'Scenario Manager'!H57</f>
        <v>0</v>
      </c>
      <c r="I35" s="49">
        <f>'Scenario Manager'!I57</f>
        <v>0</v>
      </c>
      <c r="J35" s="49">
        <f>'Scenario Manager'!J57</f>
        <v>0</v>
      </c>
    </row>
    <row r="36" spans="2:10" x14ac:dyDescent="0.25">
      <c r="C36" s="37" t="s">
        <v>193</v>
      </c>
      <c r="D36" s="37" t="s">
        <v>29</v>
      </c>
      <c r="E36" s="42"/>
      <c r="F36" s="49">
        <f>'Scenario Manager'!F58</f>
        <v>0</v>
      </c>
      <c r="G36" s="49">
        <f>'Scenario Manager'!G58</f>
        <v>0</v>
      </c>
      <c r="H36" s="49">
        <f>'Scenario Manager'!H58</f>
        <v>0</v>
      </c>
      <c r="I36" s="49">
        <f>'Scenario Manager'!I58</f>
        <v>0</v>
      </c>
      <c r="J36" s="49">
        <f>'Scenario Manager'!J58</f>
        <v>0</v>
      </c>
    </row>
    <row r="37" spans="2:10" x14ac:dyDescent="0.25">
      <c r="C37" s="37" t="s">
        <v>194</v>
      </c>
      <c r="D37" s="37" t="s">
        <v>29</v>
      </c>
      <c r="E37" s="42"/>
      <c r="F37" s="49">
        <f>'Scenario Manager'!F59</f>
        <v>0</v>
      </c>
      <c r="G37" s="49">
        <f>'Scenario Manager'!G59</f>
        <v>0</v>
      </c>
      <c r="H37" s="49">
        <f>'Scenario Manager'!H59</f>
        <v>0</v>
      </c>
      <c r="I37" s="49">
        <f>'Scenario Manager'!I59</f>
        <v>0</v>
      </c>
      <c r="J37" s="49">
        <f>'Scenario Manager'!J59</f>
        <v>0</v>
      </c>
    </row>
    <row r="38" spans="2:10" x14ac:dyDescent="0.25">
      <c r="C38" s="37" t="s">
        <v>195</v>
      </c>
      <c r="D38" s="37" t="s">
        <v>29</v>
      </c>
      <c r="E38" s="42"/>
      <c r="F38" s="49">
        <f>'Scenario Manager'!F60</f>
        <v>0</v>
      </c>
      <c r="G38" s="49">
        <f>'Scenario Manager'!G60</f>
        <v>0</v>
      </c>
      <c r="H38" s="49">
        <f>'Scenario Manager'!H60</f>
        <v>0</v>
      </c>
      <c r="I38" s="49">
        <f>'Scenario Manager'!I60</f>
        <v>0</v>
      </c>
      <c r="J38" s="49">
        <f>'Scenario Manager'!J60</f>
        <v>0</v>
      </c>
    </row>
    <row r="39" spans="2:10" ht="18.75" x14ac:dyDescent="0.3">
      <c r="B39" s="34" t="s">
        <v>197</v>
      </c>
      <c r="D39" s="22"/>
      <c r="E39" s="29"/>
      <c r="F39" s="29"/>
      <c r="G39" s="29"/>
      <c r="H39" s="29"/>
      <c r="I39" s="29"/>
      <c r="J39" s="29"/>
    </row>
    <row r="40" spans="2:10" x14ac:dyDescent="0.25">
      <c r="C40" s="37" t="s">
        <v>21</v>
      </c>
      <c r="D40" s="37" t="s">
        <v>29</v>
      </c>
      <c r="E40" s="42"/>
      <c r="F40" s="49">
        <f>'Scenario Manager'!F62</f>
        <v>0</v>
      </c>
      <c r="G40" s="49">
        <f>'Scenario Manager'!G62</f>
        <v>0</v>
      </c>
      <c r="H40" s="49">
        <f>'Scenario Manager'!H62</f>
        <v>0</v>
      </c>
      <c r="I40" s="49">
        <f>'Scenario Manager'!I62</f>
        <v>0</v>
      </c>
      <c r="J40" s="49">
        <f>'Scenario Manager'!J62</f>
        <v>0</v>
      </c>
    </row>
    <row r="41" spans="2:10" x14ac:dyDescent="0.25">
      <c r="C41" s="37" t="s">
        <v>193</v>
      </c>
      <c r="D41" s="37" t="s">
        <v>29</v>
      </c>
      <c r="E41" s="42"/>
      <c r="F41" s="49">
        <f>'Scenario Manager'!F63</f>
        <v>15251.794198800178</v>
      </c>
      <c r="G41" s="49">
        <f>'Scenario Manager'!G63</f>
        <v>13014.713042998728</v>
      </c>
      <c r="H41" s="49">
        <f>'Scenario Manager'!H63</f>
        <v>14397.750610354942</v>
      </c>
      <c r="I41" s="49">
        <f>'Scenario Manager'!I63</f>
        <v>16100.145730324559</v>
      </c>
      <c r="J41" s="49">
        <f>'Scenario Manager'!J63</f>
        <v>16347.590652316409</v>
      </c>
    </row>
    <row r="42" spans="2:10" x14ac:dyDescent="0.25">
      <c r="C42" s="37" t="s">
        <v>194</v>
      </c>
      <c r="D42" s="37" t="s">
        <v>29</v>
      </c>
      <c r="E42" s="42"/>
      <c r="F42" s="49">
        <f>'Scenario Manager'!F64</f>
        <v>3672.1036218341469</v>
      </c>
      <c r="G42" s="49">
        <f>'Scenario Manager'!G64</f>
        <v>4319.6787614284858</v>
      </c>
      <c r="H42" s="49">
        <f>'Scenario Manager'!H64</f>
        <v>5021.9522288982243</v>
      </c>
      <c r="I42" s="49">
        <f>'Scenario Manager'!I64</f>
        <v>5494.2315353399263</v>
      </c>
      <c r="J42" s="49">
        <f>'Scenario Manager'!J64</f>
        <v>5260.5217783666212</v>
      </c>
    </row>
    <row r="43" spans="2:10" x14ac:dyDescent="0.25">
      <c r="C43" s="37" t="s">
        <v>195</v>
      </c>
      <c r="D43" s="37" t="s">
        <v>29</v>
      </c>
      <c r="E43" s="42"/>
      <c r="F43" s="49">
        <f>'Scenario Manager'!F65</f>
        <v>2044.4059009855901</v>
      </c>
      <c r="G43" s="49">
        <f>'Scenario Manager'!G65</f>
        <v>2239.244815531426</v>
      </c>
      <c r="H43" s="49">
        <f>'Scenario Manager'!H65</f>
        <v>2490.0219671679602</v>
      </c>
      <c r="I43" s="49">
        <f>'Scenario Manager'!I65</f>
        <v>2901.3601734254644</v>
      </c>
      <c r="J43" s="49">
        <f>'Scenario Manager'!J65</f>
        <v>2610.6316113775524</v>
      </c>
    </row>
    <row r="44" spans="2:10" ht="18.75" x14ac:dyDescent="0.3">
      <c r="B44" s="34" t="s">
        <v>43</v>
      </c>
      <c r="D44" s="22"/>
      <c r="E44" s="29"/>
      <c r="F44" s="29"/>
      <c r="G44" s="29"/>
      <c r="H44" s="29"/>
      <c r="I44" s="29"/>
      <c r="J44" s="29"/>
    </row>
    <row r="45" spans="2:10" x14ac:dyDescent="0.25">
      <c r="C45" s="37" t="s">
        <v>21</v>
      </c>
      <c r="D45" s="37" t="s">
        <v>29</v>
      </c>
      <c r="E45" s="42"/>
      <c r="F45" s="49">
        <f>'Scenario Manager'!F67</f>
        <v>0</v>
      </c>
      <c r="G45" s="49">
        <f>'Scenario Manager'!G67</f>
        <v>0</v>
      </c>
      <c r="H45" s="49">
        <f>'Scenario Manager'!H67</f>
        <v>0</v>
      </c>
      <c r="I45" s="49">
        <f>'Scenario Manager'!I67</f>
        <v>0</v>
      </c>
      <c r="J45" s="49">
        <f>'Scenario Manager'!J67</f>
        <v>0</v>
      </c>
    </row>
    <row r="46" spans="2:10" x14ac:dyDescent="0.25">
      <c r="C46" s="37" t="s">
        <v>193</v>
      </c>
      <c r="D46" s="37" t="s">
        <v>29</v>
      </c>
      <c r="E46" s="42"/>
      <c r="F46" s="49">
        <f>'Scenario Manager'!F68</f>
        <v>13386.807644494809</v>
      </c>
      <c r="G46" s="49">
        <f>'Scenario Manager'!G68</f>
        <v>13277.722191423716</v>
      </c>
      <c r="H46" s="49">
        <f>'Scenario Manager'!H68</f>
        <v>11278.353190756223</v>
      </c>
      <c r="I46" s="49">
        <f>'Scenario Manager'!I68</f>
        <v>11144.524378756729</v>
      </c>
      <c r="J46" s="49">
        <f>'Scenario Manager'!J68</f>
        <v>9030.8822906085588</v>
      </c>
    </row>
    <row r="47" spans="2:10" x14ac:dyDescent="0.25">
      <c r="C47" s="37" t="s">
        <v>194</v>
      </c>
      <c r="D47" s="37" t="s">
        <v>29</v>
      </c>
      <c r="E47" s="42"/>
      <c r="F47" s="49">
        <f>'Scenario Manager'!F69</f>
        <v>3386.5402291030832</v>
      </c>
      <c r="G47" s="49">
        <f>'Scenario Manager'!G69</f>
        <v>3875.4339185857334</v>
      </c>
      <c r="H47" s="49">
        <f>'Scenario Manager'!H69</f>
        <v>3367.2832136031452</v>
      </c>
      <c r="I47" s="49">
        <f>'Scenario Manager'!I69</f>
        <v>3494.9065067576948</v>
      </c>
      <c r="J47" s="49">
        <f>'Scenario Manager'!J69</f>
        <v>3636.4165303678601</v>
      </c>
    </row>
    <row r="48" spans="2:10" x14ac:dyDescent="0.25">
      <c r="C48" s="37" t="s">
        <v>195</v>
      </c>
      <c r="D48" s="37" t="s">
        <v>29</v>
      </c>
      <c r="E48" s="42"/>
      <c r="F48" s="49">
        <f>'Scenario Manager'!F70</f>
        <v>2585.463948498335</v>
      </c>
      <c r="G48" s="49">
        <f>'Scenario Manager'!G70</f>
        <v>2792.9686904597179</v>
      </c>
      <c r="H48" s="49">
        <f>'Scenario Manager'!H70</f>
        <v>2797.0703062288439</v>
      </c>
      <c r="I48" s="49">
        <f>'Scenario Manager'!I70</f>
        <v>2614.2194780081327</v>
      </c>
      <c r="J48" s="49">
        <f>'Scenario Manager'!J70</f>
        <v>2536.3895469084468</v>
      </c>
    </row>
    <row r="49" spans="1:10" ht="18.75" x14ac:dyDescent="0.3">
      <c r="B49" s="34" t="s">
        <v>198</v>
      </c>
      <c r="D49" s="22"/>
      <c r="E49" s="29"/>
      <c r="F49" s="29"/>
      <c r="G49" s="29"/>
      <c r="H49" s="29"/>
      <c r="I49" s="29"/>
      <c r="J49" s="29"/>
    </row>
    <row r="50" spans="1:10" x14ac:dyDescent="0.25">
      <c r="C50" s="37" t="s">
        <v>21</v>
      </c>
      <c r="D50" s="37" t="s">
        <v>29</v>
      </c>
      <c r="E50" s="42"/>
      <c r="F50" s="49">
        <f>'Scenario Manager'!F72</f>
        <v>0</v>
      </c>
      <c r="G50" s="49">
        <f>'Scenario Manager'!G72</f>
        <v>0</v>
      </c>
      <c r="H50" s="49">
        <f>'Scenario Manager'!H72</f>
        <v>0</v>
      </c>
      <c r="I50" s="49">
        <f>'Scenario Manager'!I72</f>
        <v>0</v>
      </c>
      <c r="J50" s="49">
        <f>'Scenario Manager'!J72</f>
        <v>0</v>
      </c>
    </row>
    <row r="51" spans="1:10" x14ac:dyDescent="0.25">
      <c r="C51" s="37" t="s">
        <v>193</v>
      </c>
      <c r="D51" s="37" t="s">
        <v>29</v>
      </c>
      <c r="E51" s="42"/>
      <c r="F51" s="49">
        <f>'Scenario Manager'!F73</f>
        <v>0</v>
      </c>
      <c r="G51" s="49">
        <f>'Scenario Manager'!G73</f>
        <v>0</v>
      </c>
      <c r="H51" s="49">
        <f>'Scenario Manager'!H73</f>
        <v>0</v>
      </c>
      <c r="I51" s="49">
        <f>'Scenario Manager'!I73</f>
        <v>0</v>
      </c>
      <c r="J51" s="49">
        <f>'Scenario Manager'!J73</f>
        <v>0</v>
      </c>
    </row>
    <row r="52" spans="1:10" x14ac:dyDescent="0.25">
      <c r="C52" s="37" t="s">
        <v>194</v>
      </c>
      <c r="D52" s="37" t="s">
        <v>29</v>
      </c>
      <c r="E52" s="42"/>
      <c r="F52" s="49">
        <f>'Scenario Manager'!F74</f>
        <v>0</v>
      </c>
      <c r="G52" s="49">
        <f>'Scenario Manager'!G74</f>
        <v>0</v>
      </c>
      <c r="H52" s="49">
        <f>'Scenario Manager'!H74</f>
        <v>0</v>
      </c>
      <c r="I52" s="49">
        <f>'Scenario Manager'!I74</f>
        <v>0</v>
      </c>
      <c r="J52" s="49">
        <f>'Scenario Manager'!J74</f>
        <v>0</v>
      </c>
    </row>
    <row r="53" spans="1:10" x14ac:dyDescent="0.25">
      <c r="C53" s="37" t="s">
        <v>195</v>
      </c>
      <c r="D53" s="37" t="s">
        <v>29</v>
      </c>
      <c r="E53" s="42"/>
      <c r="F53" s="49">
        <f>'Scenario Manager'!F75</f>
        <v>0</v>
      </c>
      <c r="G53" s="49">
        <f>'Scenario Manager'!G75</f>
        <v>0</v>
      </c>
      <c r="H53" s="49">
        <f>'Scenario Manager'!H75</f>
        <v>0</v>
      </c>
      <c r="I53" s="49">
        <f>'Scenario Manager'!I75</f>
        <v>0</v>
      </c>
      <c r="J53" s="49">
        <f>'Scenario Manager'!J75</f>
        <v>0</v>
      </c>
    </row>
    <row r="54" spans="1:10" ht="18.75" x14ac:dyDescent="0.3">
      <c r="B54" s="34" t="s">
        <v>151</v>
      </c>
      <c r="C54" s="50"/>
      <c r="D54" s="50"/>
      <c r="E54" s="50"/>
      <c r="F54" s="50"/>
      <c r="G54" s="50"/>
      <c r="H54" s="50"/>
      <c r="I54" s="50"/>
      <c r="J54" s="50"/>
    </row>
    <row r="55" spans="1:10" x14ac:dyDescent="0.25">
      <c r="C55" s="37" t="s">
        <v>21</v>
      </c>
      <c r="D55" s="37" t="s">
        <v>156</v>
      </c>
      <c r="E55" s="42"/>
      <c r="F55" s="52">
        <f>'Default asset base'!F155</f>
        <v>0</v>
      </c>
      <c r="G55" s="52">
        <f>'Default asset base'!G155</f>
        <v>0</v>
      </c>
      <c r="H55" s="52">
        <f>'Default asset base'!H155</f>
        <v>0</v>
      </c>
      <c r="I55" s="52">
        <f>'Default asset base'!I155</f>
        <v>0</v>
      </c>
      <c r="J55" s="52">
        <f>'Default asset base'!J155</f>
        <v>0</v>
      </c>
    </row>
    <row r="56" spans="1:10" x14ac:dyDescent="0.25">
      <c r="C56" s="37" t="s">
        <v>193</v>
      </c>
      <c r="D56" s="37" t="s">
        <v>156</v>
      </c>
      <c r="E56" s="42"/>
      <c r="F56" s="52">
        <f>'Default asset base'!F156</f>
        <v>5.223625964382491E-2</v>
      </c>
      <c r="G56" s="52">
        <f>'Default asset base'!G156</f>
        <v>4.4874523504819255E-2</v>
      </c>
      <c r="H56" s="52">
        <f>'Default asset base'!H156</f>
        <v>5.0132616676309034E-2</v>
      </c>
      <c r="I56" s="52">
        <f>'Default asset base'!I156</f>
        <v>5.5383573653832355E-2</v>
      </c>
      <c r="J56" s="52">
        <f>'Default asset base'!J156</f>
        <v>5.7451930036379911E-2</v>
      </c>
    </row>
    <row r="57" spans="1:10" x14ac:dyDescent="0.25">
      <c r="C57" s="37" t="s">
        <v>194</v>
      </c>
      <c r="D57" s="37" t="s">
        <v>156</v>
      </c>
      <c r="E57" s="42"/>
      <c r="F57" s="52">
        <f>'Default asset base'!F157</f>
        <v>3.064144002386409E-2</v>
      </c>
      <c r="G57" s="52">
        <f>'Default asset base'!G157</f>
        <v>3.4197598665371989E-2</v>
      </c>
      <c r="H57" s="52">
        <f>'Default asset base'!H157</f>
        <v>3.8353096483924251E-2</v>
      </c>
      <c r="I57" s="52">
        <f>'Default asset base'!I157</f>
        <v>4.0714040600345343E-2</v>
      </c>
      <c r="J57" s="52">
        <f>'Default asset base'!J157</f>
        <v>3.8276363900112312E-2</v>
      </c>
    </row>
    <row r="58" spans="1:10" x14ac:dyDescent="0.25">
      <c r="C58" s="37" t="s">
        <v>195</v>
      </c>
      <c r="D58" s="37" t="s">
        <v>156</v>
      </c>
      <c r="E58" s="42"/>
      <c r="F58" s="52">
        <f>'Default asset base'!F158</f>
        <v>0.17071873656571385</v>
      </c>
      <c r="G58" s="52">
        <f>'Default asset base'!G158</f>
        <v>0.18554929224247435</v>
      </c>
      <c r="H58" s="52">
        <f>'Default asset base'!H158</f>
        <v>0.2081780247722973</v>
      </c>
      <c r="I58" s="52">
        <f>'Default asset base'!I158</f>
        <v>0.24257174627804223</v>
      </c>
      <c r="J58" s="52">
        <f>'Default asset base'!J158</f>
        <v>0.22918171201714346</v>
      </c>
    </row>
    <row r="59" spans="1:10" ht="18.75" x14ac:dyDescent="0.3">
      <c r="B59" s="34" t="s">
        <v>153</v>
      </c>
      <c r="C59" s="50"/>
      <c r="D59" s="50"/>
      <c r="E59" s="50"/>
      <c r="F59" s="50"/>
      <c r="G59" s="50"/>
      <c r="H59" s="50"/>
      <c r="I59" s="50"/>
      <c r="J59" s="50"/>
    </row>
    <row r="60" spans="1:10" x14ac:dyDescent="0.25">
      <c r="C60" s="37" t="s">
        <v>21</v>
      </c>
      <c r="D60" s="37" t="s">
        <v>156</v>
      </c>
      <c r="E60" s="42"/>
      <c r="F60" s="111">
        <f>'Default asset base'!F159</f>
        <v>0</v>
      </c>
      <c r="G60" s="111">
        <f>'Default asset base'!G159</f>
        <v>0</v>
      </c>
      <c r="H60" s="111">
        <f>'Default asset base'!H159</f>
        <v>0</v>
      </c>
      <c r="I60" s="111">
        <f>'Default asset base'!I159</f>
        <v>0</v>
      </c>
      <c r="J60" s="111">
        <f>'Default asset base'!J159</f>
        <v>0</v>
      </c>
    </row>
    <row r="61" spans="1:10" x14ac:dyDescent="0.25">
      <c r="C61" s="37" t="s">
        <v>193</v>
      </c>
      <c r="D61" s="37" t="s">
        <v>156</v>
      </c>
      <c r="E61" s="42"/>
      <c r="F61" s="111">
        <f>'Default asset base'!F160</f>
        <v>4.5848819542475952E-2</v>
      </c>
      <c r="G61" s="111">
        <f>'Default asset base'!G160</f>
        <v>4.6130275931422764E-2</v>
      </c>
      <c r="H61" s="111">
        <f>'Default asset base'!H160</f>
        <v>4.0440231159580953E-2</v>
      </c>
      <c r="I61" s="111">
        <f>'Default asset base'!I160</f>
        <v>3.9803870245083299E-2</v>
      </c>
      <c r="J61" s="111">
        <f>'Default asset base'!J160</f>
        <v>3.3083938519909692E-2</v>
      </c>
    </row>
    <row r="62" spans="1:10" x14ac:dyDescent="0.25">
      <c r="C62" s="37" t="s">
        <v>194</v>
      </c>
      <c r="D62" s="37" t="s">
        <v>156</v>
      </c>
      <c r="E62" s="42"/>
      <c r="F62" s="111">
        <f>'Default asset base'!F161</f>
        <v>2.8258589627335916E-2</v>
      </c>
      <c r="G62" s="111">
        <f>'Default asset base'!G161</f>
        <v>3.101959942766952E-2</v>
      </c>
      <c r="H62" s="111">
        <f>'Default asset base'!H161</f>
        <v>2.6418922340023403E-2</v>
      </c>
      <c r="I62" s="111">
        <f>'Default asset base'!I161</f>
        <v>2.6761091975577501E-2</v>
      </c>
      <c r="J62" s="111">
        <f>'Default asset base'!J161</f>
        <v>2.7468421079872782E-2</v>
      </c>
    </row>
    <row r="63" spans="1:10" x14ac:dyDescent="0.25">
      <c r="C63" s="37" t="s">
        <v>195</v>
      </c>
      <c r="D63" s="37" t="s">
        <v>156</v>
      </c>
      <c r="E63" s="42"/>
      <c r="F63" s="111">
        <f>'Default asset base'!F162</f>
        <v>0.21589995338550369</v>
      </c>
      <c r="G63" s="111">
        <f>'Default asset base'!G162</f>
        <v>0.24584528373709455</v>
      </c>
      <c r="H63" s="111">
        <f>'Default asset base'!H162</f>
        <v>0.26749660128947794</v>
      </c>
      <c r="I63" s="111">
        <f>'Default asset base'!I162</f>
        <v>0.26356126706756428</v>
      </c>
      <c r="J63" s="111">
        <f>'Default asset base'!J162</f>
        <v>0.26991423251627317</v>
      </c>
    </row>
    <row r="64" spans="1:10" ht="23.25" x14ac:dyDescent="0.35">
      <c r="A64" s="26" t="s">
        <v>6</v>
      </c>
    </row>
    <row r="65" spans="1:11" ht="21" x14ac:dyDescent="0.35">
      <c r="A65" s="41" t="s">
        <v>60</v>
      </c>
    </row>
    <row r="66" spans="1:11" ht="18.75" x14ac:dyDescent="0.3">
      <c r="B66" s="34" t="s">
        <v>21</v>
      </c>
      <c r="C66" s="54"/>
      <c r="D66" s="54"/>
      <c r="E66" s="29">
        <v>2017</v>
      </c>
      <c r="F66" s="29">
        <f t="shared" ref="F66:J66" si="1">E66+1</f>
        <v>2018</v>
      </c>
      <c r="G66" s="29">
        <f t="shared" si="1"/>
        <v>2019</v>
      </c>
      <c r="H66" s="29">
        <f t="shared" si="1"/>
        <v>2020</v>
      </c>
      <c r="I66" s="29">
        <f t="shared" si="1"/>
        <v>2021</v>
      </c>
      <c r="J66" s="29">
        <f t="shared" si="1"/>
        <v>2022</v>
      </c>
    </row>
    <row r="67" spans="1:11" x14ac:dyDescent="0.25">
      <c r="B67" s="54"/>
      <c r="C67" s="61" t="s">
        <v>52</v>
      </c>
      <c r="D67" s="61"/>
      <c r="E67" s="61"/>
      <c r="F67" s="61">
        <f>E73</f>
        <v>100579.27519010181</v>
      </c>
      <c r="G67" s="61">
        <f t="shared" ref="G67:J67" si="2">F73</f>
        <v>101977.35178718418</v>
      </c>
      <c r="H67" s="61">
        <f t="shared" si="2"/>
        <v>104033.34678289354</v>
      </c>
      <c r="I67" s="61">
        <f t="shared" si="2"/>
        <v>106037.32027020374</v>
      </c>
      <c r="J67" s="61">
        <f t="shared" si="2"/>
        <v>108158.06667560786</v>
      </c>
    </row>
    <row r="68" spans="1:11" x14ac:dyDescent="0.25">
      <c r="B68" s="54"/>
      <c r="C68" s="61" t="s">
        <v>196</v>
      </c>
      <c r="D68" s="61"/>
      <c r="E68" s="62"/>
      <c r="F68" s="138">
        <f t="shared" ref="F68:J68" si="3">F20</f>
        <v>0</v>
      </c>
      <c r="G68" s="138">
        <f t="shared" si="3"/>
        <v>0</v>
      </c>
      <c r="H68" s="138">
        <f t="shared" si="3"/>
        <v>0</v>
      </c>
      <c r="I68" s="138">
        <f t="shared" si="3"/>
        <v>0</v>
      </c>
      <c r="J68" s="138">
        <f t="shared" si="3"/>
        <v>0</v>
      </c>
    </row>
    <row r="69" spans="1:11" x14ac:dyDescent="0.25">
      <c r="B69" s="54"/>
      <c r="C69" s="61" t="s">
        <v>36</v>
      </c>
      <c r="D69" s="61"/>
      <c r="E69" s="61"/>
      <c r="F69" s="61">
        <f t="shared" ref="F69:J69" si="4">F30*F67</f>
        <v>1398.0765970823659</v>
      </c>
      <c r="G69" s="61">
        <f t="shared" si="4"/>
        <v>2055.9949957093677</v>
      </c>
      <c r="H69" s="61">
        <f t="shared" si="4"/>
        <v>2003.9734873101947</v>
      </c>
      <c r="I69" s="61">
        <f t="shared" si="4"/>
        <v>2120.7464054041234</v>
      </c>
      <c r="J69" s="61">
        <f t="shared" si="4"/>
        <v>2163.1613335121829</v>
      </c>
    </row>
    <row r="70" spans="1:11" x14ac:dyDescent="0.25">
      <c r="B70" s="54"/>
      <c r="C70" s="61" t="s">
        <v>56</v>
      </c>
      <c r="D70" s="61"/>
      <c r="E70" s="61"/>
      <c r="F70" s="138">
        <f t="shared" ref="F70:J70" si="5">-F55*F67</f>
        <v>0</v>
      </c>
      <c r="G70" s="138">
        <f t="shared" si="5"/>
        <v>0</v>
      </c>
      <c r="H70" s="138">
        <f t="shared" si="5"/>
        <v>0</v>
      </c>
      <c r="I70" s="138">
        <f t="shared" si="5"/>
        <v>0</v>
      </c>
      <c r="J70" s="138">
        <f t="shared" si="5"/>
        <v>0</v>
      </c>
    </row>
    <row r="71" spans="1:11" x14ac:dyDescent="0.25">
      <c r="B71" s="54"/>
      <c r="C71" s="61" t="s">
        <v>53</v>
      </c>
      <c r="D71" s="61"/>
      <c r="E71" s="61"/>
      <c r="F71" s="138">
        <f t="shared" ref="F71:J71" si="6">-F25</f>
        <v>0</v>
      </c>
      <c r="G71" s="138">
        <f t="shared" si="6"/>
        <v>0</v>
      </c>
      <c r="H71" s="138">
        <f t="shared" si="6"/>
        <v>0</v>
      </c>
      <c r="I71" s="138">
        <f t="shared" si="6"/>
        <v>0</v>
      </c>
      <c r="J71" s="138">
        <f t="shared" si="6"/>
        <v>0</v>
      </c>
    </row>
    <row r="72" spans="1:11" x14ac:dyDescent="0.25">
      <c r="B72" s="54"/>
      <c r="C72" s="61" t="s">
        <v>54</v>
      </c>
      <c r="D72" s="61"/>
      <c r="E72" s="61"/>
      <c r="F72" s="138">
        <f t="shared" ref="F72:J72" si="7">F35</f>
        <v>0</v>
      </c>
      <c r="G72" s="138">
        <f t="shared" si="7"/>
        <v>0</v>
      </c>
      <c r="H72" s="138">
        <f t="shared" si="7"/>
        <v>0</v>
      </c>
      <c r="I72" s="138">
        <f t="shared" si="7"/>
        <v>0</v>
      </c>
      <c r="J72" s="138">
        <f t="shared" si="7"/>
        <v>0</v>
      </c>
    </row>
    <row r="73" spans="1:11" x14ac:dyDescent="0.25">
      <c r="B73" s="58"/>
      <c r="C73" s="61" t="s">
        <v>55</v>
      </c>
      <c r="D73" s="61"/>
      <c r="E73" s="61">
        <f>E6</f>
        <v>100579.27519010181</v>
      </c>
      <c r="F73" s="61">
        <f t="shared" ref="F73:J73" si="8">SUM(F67:F72)</f>
        <v>101977.35178718418</v>
      </c>
      <c r="G73" s="61">
        <f t="shared" si="8"/>
        <v>104033.34678289354</v>
      </c>
      <c r="H73" s="61">
        <f t="shared" si="8"/>
        <v>106037.32027020374</v>
      </c>
      <c r="I73" s="61">
        <f t="shared" si="8"/>
        <v>108158.06667560786</v>
      </c>
      <c r="J73" s="61">
        <f t="shared" si="8"/>
        <v>110321.22800912004</v>
      </c>
    </row>
    <row r="74" spans="1:11" x14ac:dyDescent="0.25">
      <c r="B74" s="54"/>
      <c r="C74" s="54"/>
      <c r="D74" s="54"/>
      <c r="E74" s="54"/>
      <c r="F74" s="54"/>
      <c r="G74" s="54"/>
      <c r="H74" s="54"/>
      <c r="I74" s="54"/>
      <c r="J74" s="54"/>
      <c r="K74" s="54"/>
    </row>
    <row r="75" spans="1:11" ht="18.75" x14ac:dyDescent="0.3">
      <c r="B75" s="34" t="s">
        <v>193</v>
      </c>
      <c r="C75" s="54"/>
      <c r="D75" s="54"/>
      <c r="E75" s="29">
        <v>2017</v>
      </c>
      <c r="F75" s="29">
        <f t="shared" ref="F75" si="9">E75+1</f>
        <v>2018</v>
      </c>
      <c r="G75" s="29">
        <f t="shared" ref="G75" si="10">F75+1</f>
        <v>2019</v>
      </c>
      <c r="H75" s="29">
        <f t="shared" ref="H75" si="11">G75+1</f>
        <v>2020</v>
      </c>
      <c r="I75" s="29">
        <f t="shared" ref="I75" si="12">H75+1</f>
        <v>2021</v>
      </c>
      <c r="J75" s="29">
        <f t="shared" ref="J75" si="13">I75+1</f>
        <v>2022</v>
      </c>
    </row>
    <row r="76" spans="1:11" x14ac:dyDescent="0.25">
      <c r="B76" s="54"/>
      <c r="C76" s="61" t="s">
        <v>52</v>
      </c>
      <c r="D76" s="61"/>
      <c r="E76" s="61"/>
      <c r="F76" s="61">
        <f>E82</f>
        <v>291977.14964270347</v>
      </c>
      <c r="G76" s="61">
        <f t="shared" ref="G76:J76" si="14">F82</f>
        <v>290024.54012912308</v>
      </c>
      <c r="H76" s="61">
        <f t="shared" si="14"/>
        <v>287193.27984247886</v>
      </c>
      <c r="I76" s="61">
        <f t="shared" si="14"/>
        <v>290702.54351870419</v>
      </c>
      <c r="J76" s="61">
        <f t="shared" si="14"/>
        <v>284543.80282724585</v>
      </c>
    </row>
    <row r="77" spans="1:11" x14ac:dyDescent="0.25">
      <c r="B77" s="54"/>
      <c r="C77" s="61" t="s">
        <v>196</v>
      </c>
      <c r="D77" s="61"/>
      <c r="E77" s="62"/>
      <c r="F77" s="61">
        <f t="shared" ref="F77:J77" si="15">F21</f>
        <v>9240.6306836449621</v>
      </c>
      <c r="G77" s="61">
        <f t="shared" si="15"/>
        <v>4336.1838021383273</v>
      </c>
      <c r="H77" s="61">
        <f t="shared" si="15"/>
        <v>12374.867755343013</v>
      </c>
      <c r="I77" s="61">
        <f t="shared" si="15"/>
        <v>4127.3541684920237</v>
      </c>
      <c r="J77" s="61">
        <f t="shared" si="15"/>
        <v>3116.4993508579673</v>
      </c>
    </row>
    <row r="78" spans="1:11" x14ac:dyDescent="0.25">
      <c r="B78" s="54"/>
      <c r="C78" s="61" t="s">
        <v>36</v>
      </c>
      <c r="D78" s="61"/>
      <c r="E78" s="61"/>
      <c r="F78" s="61">
        <f>F31*F76</f>
        <v>4058.5540015747893</v>
      </c>
      <c r="G78" s="61">
        <f t="shared" ref="G78:J78" si="16">G31*G76</f>
        <v>5847.268954216217</v>
      </c>
      <c r="H78" s="61">
        <f t="shared" si="16"/>
        <v>5532.1465312372366</v>
      </c>
      <c r="I78" s="61">
        <f t="shared" si="16"/>
        <v>5814.0508703742171</v>
      </c>
      <c r="J78" s="61">
        <f t="shared" si="16"/>
        <v>5690.8760565449838</v>
      </c>
    </row>
    <row r="79" spans="1:11" x14ac:dyDescent="0.25">
      <c r="B79" s="54"/>
      <c r="C79" s="61" t="s">
        <v>56</v>
      </c>
      <c r="D79" s="61"/>
      <c r="E79" s="61"/>
      <c r="F79" s="61">
        <f>-F56*F76</f>
        <v>-15251.794198800178</v>
      </c>
      <c r="G79" s="61">
        <f t="shared" ref="G79:J79" si="17">-G56*G76</f>
        <v>-13014.713042998728</v>
      </c>
      <c r="H79" s="61">
        <f t="shared" si="17"/>
        <v>-14397.750610354944</v>
      </c>
      <c r="I79" s="61">
        <f t="shared" si="17"/>
        <v>-16100.145730324559</v>
      </c>
      <c r="J79" s="61">
        <f t="shared" si="17"/>
        <v>-16347.590652316409</v>
      </c>
    </row>
    <row r="80" spans="1:11" x14ac:dyDescent="0.25">
      <c r="B80" s="54"/>
      <c r="C80" s="61" t="s">
        <v>53</v>
      </c>
      <c r="D80" s="61"/>
      <c r="E80" s="61"/>
      <c r="F80" s="138">
        <f t="shared" ref="F80:J80" si="18">-F26</f>
        <v>0</v>
      </c>
      <c r="G80" s="138">
        <f t="shared" si="18"/>
        <v>0</v>
      </c>
      <c r="H80" s="138">
        <f t="shared" si="18"/>
        <v>0</v>
      </c>
      <c r="I80" s="138">
        <f t="shared" si="18"/>
        <v>0</v>
      </c>
      <c r="J80" s="138">
        <f t="shared" si="18"/>
        <v>0</v>
      </c>
    </row>
    <row r="81" spans="2:11" x14ac:dyDescent="0.25">
      <c r="B81" s="54"/>
      <c r="C81" s="61" t="s">
        <v>54</v>
      </c>
      <c r="D81" s="61"/>
      <c r="E81" s="61"/>
      <c r="F81" s="138">
        <f t="shared" ref="F81:J81" si="19">F36</f>
        <v>0</v>
      </c>
      <c r="G81" s="138">
        <f t="shared" si="19"/>
        <v>0</v>
      </c>
      <c r="H81" s="138">
        <f t="shared" si="19"/>
        <v>0</v>
      </c>
      <c r="I81" s="138">
        <f t="shared" si="19"/>
        <v>0</v>
      </c>
      <c r="J81" s="138">
        <f t="shared" si="19"/>
        <v>0</v>
      </c>
    </row>
    <row r="82" spans="2:11" x14ac:dyDescent="0.25">
      <c r="B82" s="54"/>
      <c r="C82" s="61" t="s">
        <v>55</v>
      </c>
      <c r="D82" s="61"/>
      <c r="E82" s="61">
        <f>E7</f>
        <v>291977.14964270347</v>
      </c>
      <c r="F82" s="61">
        <f t="shared" ref="F82:J82" si="20">SUM(F76:F81)</f>
        <v>290024.54012912308</v>
      </c>
      <c r="G82" s="61">
        <f t="shared" si="20"/>
        <v>287193.27984247886</v>
      </c>
      <c r="H82" s="61">
        <f t="shared" si="20"/>
        <v>290702.54351870419</v>
      </c>
      <c r="I82" s="61">
        <f t="shared" si="20"/>
        <v>284543.80282724585</v>
      </c>
      <c r="J82" s="61">
        <f t="shared" si="20"/>
        <v>277003.58758233243</v>
      </c>
    </row>
    <row r="83" spans="2:11" x14ac:dyDescent="0.25">
      <c r="B83" s="54"/>
      <c r="C83" s="54"/>
      <c r="D83" s="54"/>
      <c r="E83" s="54"/>
      <c r="F83" s="54"/>
      <c r="G83" s="54"/>
      <c r="H83" s="54"/>
      <c r="I83" s="54"/>
      <c r="J83" s="54"/>
      <c r="K83" s="54"/>
    </row>
    <row r="84" spans="2:11" ht="18.75" x14ac:dyDescent="0.3">
      <c r="B84" s="34" t="s">
        <v>194</v>
      </c>
      <c r="C84" s="54"/>
      <c r="D84" s="54"/>
      <c r="E84" s="29">
        <v>2017</v>
      </c>
      <c r="F84" s="29">
        <f t="shared" ref="F84" si="21">E84+1</f>
        <v>2018</v>
      </c>
      <c r="G84" s="29">
        <f t="shared" ref="G84" si="22">F84+1</f>
        <v>2019</v>
      </c>
      <c r="H84" s="29">
        <f t="shared" ref="H84" si="23">G84+1</f>
        <v>2020</v>
      </c>
      <c r="I84" s="29">
        <f t="shared" ref="I84" si="24">H84+1</f>
        <v>2021</v>
      </c>
      <c r="J84" s="29">
        <f t="shared" ref="J84" si="25">I84+1</f>
        <v>2022</v>
      </c>
    </row>
    <row r="85" spans="2:11" x14ac:dyDescent="0.25">
      <c r="B85" s="54"/>
      <c r="C85" s="61" t="s">
        <v>52</v>
      </c>
      <c r="D85" s="61"/>
      <c r="E85" s="61"/>
      <c r="F85" s="61">
        <f>E91</f>
        <v>119841.09163845591</v>
      </c>
      <c r="G85" s="61">
        <f t="shared" ref="G85:J85" si="26">F91</f>
        <v>126315.26569152156</v>
      </c>
      <c r="H85" s="61">
        <f t="shared" si="26"/>
        <v>130939.94199407555</v>
      </c>
      <c r="I85" s="61">
        <f t="shared" si="26"/>
        <v>134946.85013634642</v>
      </c>
      <c r="J85" s="61">
        <f t="shared" si="26"/>
        <v>137435.25357044654</v>
      </c>
    </row>
    <row r="86" spans="2:11" x14ac:dyDescent="0.25">
      <c r="B86" s="54"/>
      <c r="C86" s="61" t="s">
        <v>196</v>
      </c>
      <c r="D86" s="61"/>
      <c r="E86" s="62"/>
      <c r="F86" s="61">
        <f t="shared" ref="F86:J86" si="27">F22</f>
        <v>8480.4571042916577</v>
      </c>
      <c r="G86" s="61">
        <f t="shared" si="27"/>
        <v>6397.6763202017901</v>
      </c>
      <c r="H86" s="61">
        <f t="shared" si="27"/>
        <v>6506.5905384618391</v>
      </c>
      <c r="I86" s="61">
        <f t="shared" si="27"/>
        <v>5283.6979667130827</v>
      </c>
      <c r="J86" s="61">
        <f t="shared" si="27"/>
        <v>12037.99848723578</v>
      </c>
    </row>
    <row r="87" spans="2:11" x14ac:dyDescent="0.25">
      <c r="B87" s="54"/>
      <c r="C87" s="61" t="s">
        <v>36</v>
      </c>
      <c r="D87" s="61"/>
      <c r="E87" s="61"/>
      <c r="F87" s="61">
        <f t="shared" ref="F87:J87" si="28">F32*F85</f>
        <v>1665.8205706081387</v>
      </c>
      <c r="G87" s="61">
        <f t="shared" si="28"/>
        <v>2546.6787437806879</v>
      </c>
      <c r="H87" s="61">
        <f t="shared" si="28"/>
        <v>2522.2698327072303</v>
      </c>
      <c r="I87" s="61">
        <f t="shared" si="28"/>
        <v>2698.9370027269902</v>
      </c>
      <c r="J87" s="61">
        <f t="shared" si="28"/>
        <v>2748.7050714089632</v>
      </c>
    </row>
    <row r="88" spans="2:11" x14ac:dyDescent="0.25">
      <c r="B88" s="54"/>
      <c r="C88" s="61" t="s">
        <v>56</v>
      </c>
      <c r="D88" s="61"/>
      <c r="E88" s="61"/>
      <c r="F88" s="61">
        <f t="shared" ref="F88:J88" si="29">-F57*F85</f>
        <v>-3672.1036218341469</v>
      </c>
      <c r="G88" s="61">
        <f t="shared" si="29"/>
        <v>-4319.6787614284858</v>
      </c>
      <c r="H88" s="61">
        <f t="shared" si="29"/>
        <v>-5021.9522288982243</v>
      </c>
      <c r="I88" s="61">
        <f t="shared" si="29"/>
        <v>-5494.2315353399263</v>
      </c>
      <c r="J88" s="61">
        <f t="shared" si="29"/>
        <v>-5260.5217783666221</v>
      </c>
    </row>
    <row r="89" spans="2:11" x14ac:dyDescent="0.25">
      <c r="B89" s="54"/>
      <c r="C89" s="61" t="s">
        <v>53</v>
      </c>
      <c r="D89" s="61"/>
      <c r="E89" s="61"/>
      <c r="F89" s="138">
        <f t="shared" ref="F89:J89" si="30">-F27</f>
        <v>0</v>
      </c>
      <c r="G89" s="138">
        <f t="shared" si="30"/>
        <v>0</v>
      </c>
      <c r="H89" s="138">
        <f t="shared" si="30"/>
        <v>0</v>
      </c>
      <c r="I89" s="138">
        <f t="shared" si="30"/>
        <v>0</v>
      </c>
      <c r="J89" s="138">
        <f t="shared" si="30"/>
        <v>0</v>
      </c>
    </row>
    <row r="90" spans="2:11" x14ac:dyDescent="0.25">
      <c r="B90" s="54"/>
      <c r="C90" s="61" t="s">
        <v>54</v>
      </c>
      <c r="D90" s="61"/>
      <c r="E90" s="61"/>
      <c r="F90" s="138">
        <f t="shared" ref="F90:J90" si="31">F37</f>
        <v>0</v>
      </c>
      <c r="G90" s="138">
        <f t="shared" si="31"/>
        <v>0</v>
      </c>
      <c r="H90" s="138">
        <f t="shared" si="31"/>
        <v>0</v>
      </c>
      <c r="I90" s="138">
        <f t="shared" si="31"/>
        <v>0</v>
      </c>
      <c r="J90" s="138">
        <f t="shared" si="31"/>
        <v>0</v>
      </c>
    </row>
    <row r="91" spans="2:11" x14ac:dyDescent="0.25">
      <c r="B91" s="54"/>
      <c r="C91" s="61" t="s">
        <v>55</v>
      </c>
      <c r="D91" s="61"/>
      <c r="E91" s="61">
        <f>E8</f>
        <v>119841.09163845591</v>
      </c>
      <c r="F91" s="61">
        <f t="shared" ref="F91:J91" si="32">SUM(F85:F90)</f>
        <v>126315.26569152156</v>
      </c>
      <c r="G91" s="61">
        <f t="shared" si="32"/>
        <v>130939.94199407555</v>
      </c>
      <c r="H91" s="61">
        <f t="shared" si="32"/>
        <v>134946.85013634642</v>
      </c>
      <c r="I91" s="61">
        <f t="shared" si="32"/>
        <v>137435.25357044654</v>
      </c>
      <c r="J91" s="61">
        <f t="shared" si="32"/>
        <v>146961.43535072467</v>
      </c>
    </row>
    <row r="92" spans="2:11" x14ac:dyDescent="0.25">
      <c r="B92" s="58"/>
      <c r="C92" s="58"/>
      <c r="D92" s="54"/>
      <c r="E92" s="54"/>
      <c r="F92" s="54"/>
      <c r="G92" s="54"/>
      <c r="H92" s="54"/>
      <c r="I92" s="54"/>
      <c r="J92" s="54"/>
      <c r="K92" s="54"/>
    </row>
    <row r="93" spans="2:11" ht="18.75" x14ac:dyDescent="0.3">
      <c r="B93" s="34" t="s">
        <v>195</v>
      </c>
      <c r="C93" s="54"/>
      <c r="D93" s="54"/>
      <c r="E93" s="29">
        <v>2017</v>
      </c>
      <c r="F93" s="29">
        <f t="shared" ref="F93" si="33">E93+1</f>
        <v>2018</v>
      </c>
      <c r="G93" s="29">
        <f t="shared" ref="G93" si="34">F93+1</f>
        <v>2019</v>
      </c>
      <c r="H93" s="29">
        <f t="shared" ref="H93" si="35">G93+1</f>
        <v>2020</v>
      </c>
      <c r="I93" s="29">
        <f t="shared" ref="I93" si="36">H93+1</f>
        <v>2021</v>
      </c>
      <c r="J93" s="29">
        <f t="shared" ref="J93" si="37">I93+1</f>
        <v>2022</v>
      </c>
    </row>
    <row r="94" spans="2:11" x14ac:dyDescent="0.25">
      <c r="B94" s="54"/>
      <c r="C94" s="61" t="s">
        <v>52</v>
      </c>
      <c r="D94" s="61"/>
      <c r="E94" s="61"/>
      <c r="F94" s="61">
        <f>E100</f>
        <v>11975.287201113089</v>
      </c>
      <c r="G94" s="61">
        <f t="shared" ref="G94:J94" si="38">F100</f>
        <v>12068.193785429257</v>
      </c>
      <c r="H94" s="61">
        <f t="shared" si="38"/>
        <v>11961.022158277836</v>
      </c>
      <c r="I94" s="61">
        <f t="shared" si="38"/>
        <v>11960.833105846745</v>
      </c>
      <c r="J94" s="61">
        <f t="shared" si="38"/>
        <v>11391.099178028086</v>
      </c>
    </row>
    <row r="95" spans="2:11" x14ac:dyDescent="0.25">
      <c r="B95" s="54"/>
      <c r="C95" s="61" t="s">
        <v>196</v>
      </c>
      <c r="D95" s="61"/>
      <c r="E95" s="62"/>
      <c r="F95" s="61">
        <f t="shared" ref="F95:J95" si="39">F23</f>
        <v>1970.8530556869384</v>
      </c>
      <c r="G95" s="61">
        <f t="shared" si="39"/>
        <v>1888.7628298028019</v>
      </c>
      <c r="H95" s="61">
        <f t="shared" si="39"/>
        <v>2259.4301445910569</v>
      </c>
      <c r="I95" s="61">
        <f t="shared" si="39"/>
        <v>2092.4095834898649</v>
      </c>
      <c r="J95" s="61">
        <f t="shared" si="39"/>
        <v>2003.5759866786391</v>
      </c>
    </row>
    <row r="96" spans="2:11" x14ac:dyDescent="0.25">
      <c r="B96" s="54"/>
      <c r="C96" s="61" t="s">
        <v>36</v>
      </c>
      <c r="D96" s="61"/>
      <c r="E96" s="61"/>
      <c r="F96" s="61">
        <f t="shared" ref="F96:J96" si="40">F33*F94</f>
        <v>166.45942961481836</v>
      </c>
      <c r="G96" s="61">
        <f t="shared" si="40"/>
        <v>243.31035857720386</v>
      </c>
      <c r="H96" s="61">
        <f t="shared" si="40"/>
        <v>230.40277014581176</v>
      </c>
      <c r="I96" s="61">
        <f t="shared" si="40"/>
        <v>239.21666211694037</v>
      </c>
      <c r="J96" s="61">
        <f t="shared" si="40"/>
        <v>227.82198356056441</v>
      </c>
    </row>
    <row r="97" spans="2:11" x14ac:dyDescent="0.25">
      <c r="B97" s="54"/>
      <c r="C97" s="61" t="s">
        <v>56</v>
      </c>
      <c r="D97" s="61"/>
      <c r="E97" s="61"/>
      <c r="F97" s="61">
        <f t="shared" ref="F97:J97" si="41">-F58*F94</f>
        <v>-2044.4059009855903</v>
      </c>
      <c r="G97" s="61">
        <f t="shared" si="41"/>
        <v>-2239.244815531426</v>
      </c>
      <c r="H97" s="61">
        <f t="shared" si="41"/>
        <v>-2490.0219671679602</v>
      </c>
      <c r="I97" s="61">
        <f t="shared" si="41"/>
        <v>-2901.3601734254644</v>
      </c>
      <c r="J97" s="61">
        <f t="shared" si="41"/>
        <v>-2610.6316113775524</v>
      </c>
    </row>
    <row r="98" spans="2:11" x14ac:dyDescent="0.25">
      <c r="B98" s="54"/>
      <c r="C98" s="61" t="s">
        <v>53</v>
      </c>
      <c r="D98" s="61"/>
      <c r="E98" s="61"/>
      <c r="F98" s="138">
        <f t="shared" ref="F98:J98" si="42">-F28</f>
        <v>0</v>
      </c>
      <c r="G98" s="138">
        <f t="shared" si="42"/>
        <v>0</v>
      </c>
      <c r="H98" s="138">
        <f t="shared" si="42"/>
        <v>0</v>
      </c>
      <c r="I98" s="138">
        <f t="shared" si="42"/>
        <v>0</v>
      </c>
      <c r="J98" s="138">
        <f t="shared" si="42"/>
        <v>0</v>
      </c>
    </row>
    <row r="99" spans="2:11" x14ac:dyDescent="0.25">
      <c r="B99" s="54"/>
      <c r="C99" s="61" t="s">
        <v>54</v>
      </c>
      <c r="D99" s="61"/>
      <c r="E99" s="61"/>
      <c r="F99" s="138">
        <f t="shared" ref="F99:J99" si="43">F38</f>
        <v>0</v>
      </c>
      <c r="G99" s="138">
        <f t="shared" si="43"/>
        <v>0</v>
      </c>
      <c r="H99" s="138">
        <f t="shared" si="43"/>
        <v>0</v>
      </c>
      <c r="I99" s="138">
        <f t="shared" si="43"/>
        <v>0</v>
      </c>
      <c r="J99" s="138">
        <f t="shared" si="43"/>
        <v>0</v>
      </c>
    </row>
    <row r="100" spans="2:11" x14ac:dyDescent="0.25">
      <c r="B100" s="54"/>
      <c r="C100" s="61" t="s">
        <v>55</v>
      </c>
      <c r="D100" s="61"/>
      <c r="E100" s="61">
        <f>E9</f>
        <v>11975.287201113089</v>
      </c>
      <c r="F100" s="61">
        <f t="shared" ref="F100:J100" si="44">SUM(F94:F99)</f>
        <v>12068.193785429257</v>
      </c>
      <c r="G100" s="61">
        <f t="shared" si="44"/>
        <v>11961.022158277836</v>
      </c>
      <c r="H100" s="61">
        <f t="shared" si="44"/>
        <v>11960.833105846745</v>
      </c>
      <c r="I100" s="61">
        <f t="shared" si="44"/>
        <v>11391.099178028086</v>
      </c>
      <c r="J100" s="61">
        <f t="shared" si="44"/>
        <v>11011.865536889738</v>
      </c>
    </row>
    <row r="101" spans="2:11" x14ac:dyDescent="0.25">
      <c r="B101" s="54"/>
      <c r="C101" s="61"/>
      <c r="D101" s="54"/>
      <c r="E101" s="54"/>
      <c r="F101" s="54"/>
      <c r="G101" s="54"/>
      <c r="H101" s="54"/>
      <c r="I101" s="54"/>
      <c r="J101" s="54"/>
      <c r="K101" s="54"/>
    </row>
    <row r="102" spans="2:11" ht="18.75" x14ac:dyDescent="0.3">
      <c r="B102" s="34" t="s">
        <v>57</v>
      </c>
      <c r="C102" s="60"/>
      <c r="D102" s="60"/>
      <c r="E102" s="29">
        <v>2017</v>
      </c>
      <c r="F102" s="29">
        <f t="shared" ref="F102" si="45">E102+1</f>
        <v>2018</v>
      </c>
      <c r="G102" s="29">
        <f t="shared" ref="G102" si="46">F102+1</f>
        <v>2019</v>
      </c>
      <c r="H102" s="29">
        <f t="shared" ref="H102" si="47">G102+1</f>
        <v>2020</v>
      </c>
      <c r="I102" s="29">
        <f t="shared" ref="I102" si="48">H102+1</f>
        <v>2021</v>
      </c>
      <c r="J102" s="29">
        <f t="shared" ref="J102" si="49">I102+1</f>
        <v>2022</v>
      </c>
    </row>
    <row r="103" spans="2:11" x14ac:dyDescent="0.25">
      <c r="B103" s="60"/>
      <c r="C103" s="61" t="s">
        <v>52</v>
      </c>
      <c r="D103" s="61"/>
      <c r="E103" s="61"/>
      <c r="F103" s="61">
        <f t="shared" ref="F103:J108" si="50">SUM(F67,F76,F85,F94,)</f>
        <v>524372.80367237434</v>
      </c>
      <c r="G103" s="61">
        <f t="shared" si="50"/>
        <v>530385.35139325808</v>
      </c>
      <c r="H103" s="61">
        <f t="shared" si="50"/>
        <v>534127.5907777258</v>
      </c>
      <c r="I103" s="61">
        <f t="shared" si="50"/>
        <v>543647.54703110107</v>
      </c>
      <c r="J103" s="61">
        <f t="shared" si="50"/>
        <v>541528.22225132829</v>
      </c>
    </row>
    <row r="104" spans="2:11" x14ac:dyDescent="0.25">
      <c r="B104" s="60"/>
      <c r="C104" s="61" t="s">
        <v>196</v>
      </c>
      <c r="D104" s="61"/>
      <c r="E104" s="62"/>
      <c r="F104" s="61">
        <f t="shared" si="50"/>
        <v>19691.940843623557</v>
      </c>
      <c r="G104" s="61">
        <f t="shared" si="50"/>
        <v>12622.622952142918</v>
      </c>
      <c r="H104" s="61">
        <f t="shared" si="50"/>
        <v>21140.888438395908</v>
      </c>
      <c r="I104" s="61">
        <f t="shared" si="50"/>
        <v>11503.461718694973</v>
      </c>
      <c r="J104" s="61">
        <f t="shared" si="50"/>
        <v>17158.073824772386</v>
      </c>
    </row>
    <row r="105" spans="2:11" x14ac:dyDescent="0.25">
      <c r="B105" s="60"/>
      <c r="C105" s="61" t="s">
        <v>36</v>
      </c>
      <c r="D105" s="61"/>
      <c r="E105" s="61"/>
      <c r="F105" s="61">
        <f t="shared" si="50"/>
        <v>7288.910598880112</v>
      </c>
      <c r="G105" s="61">
        <f t="shared" si="50"/>
        <v>10693.253052283477</v>
      </c>
      <c r="H105" s="61">
        <f t="shared" si="50"/>
        <v>10288.792621400475</v>
      </c>
      <c r="I105" s="61">
        <f t="shared" si="50"/>
        <v>10872.950940622271</v>
      </c>
      <c r="J105" s="61">
        <f t="shared" si="50"/>
        <v>10830.564445026695</v>
      </c>
    </row>
    <row r="106" spans="2:11" x14ac:dyDescent="0.25">
      <c r="B106" s="60"/>
      <c r="C106" s="61" t="s">
        <v>56</v>
      </c>
      <c r="D106" s="61"/>
      <c r="E106" s="61"/>
      <c r="F106" s="61">
        <f t="shared" si="50"/>
        <v>-20968.303721619915</v>
      </c>
      <c r="G106" s="61">
        <f t="shared" si="50"/>
        <v>-19573.636619958641</v>
      </c>
      <c r="H106" s="61">
        <f t="shared" si="50"/>
        <v>-21909.724806421127</v>
      </c>
      <c r="I106" s="61">
        <f t="shared" si="50"/>
        <v>-24495.737439089949</v>
      </c>
      <c r="J106" s="61">
        <f t="shared" si="50"/>
        <v>-24218.744042060585</v>
      </c>
    </row>
    <row r="107" spans="2:11" x14ac:dyDescent="0.25">
      <c r="B107" s="60"/>
      <c r="C107" s="61" t="s">
        <v>53</v>
      </c>
      <c r="D107" s="62"/>
      <c r="E107" s="61"/>
      <c r="F107" s="138">
        <f t="shared" si="50"/>
        <v>0</v>
      </c>
      <c r="G107" s="138">
        <f t="shared" si="50"/>
        <v>0</v>
      </c>
      <c r="H107" s="138">
        <f t="shared" si="50"/>
        <v>0</v>
      </c>
      <c r="I107" s="138">
        <f t="shared" si="50"/>
        <v>0</v>
      </c>
      <c r="J107" s="138">
        <f t="shared" si="50"/>
        <v>0</v>
      </c>
    </row>
    <row r="108" spans="2:11" x14ac:dyDescent="0.25">
      <c r="B108" s="60"/>
      <c r="C108" s="61" t="s">
        <v>54</v>
      </c>
      <c r="D108" s="61"/>
      <c r="E108" s="61"/>
      <c r="F108" s="138">
        <f t="shared" si="50"/>
        <v>0</v>
      </c>
      <c r="G108" s="138">
        <f t="shared" si="50"/>
        <v>0</v>
      </c>
      <c r="H108" s="138">
        <f t="shared" si="50"/>
        <v>0</v>
      </c>
      <c r="I108" s="138">
        <f t="shared" si="50"/>
        <v>0</v>
      </c>
      <c r="J108" s="138">
        <f t="shared" si="50"/>
        <v>0</v>
      </c>
    </row>
    <row r="109" spans="2:11" x14ac:dyDescent="0.25">
      <c r="B109" s="59"/>
      <c r="C109" s="61" t="s">
        <v>55</v>
      </c>
      <c r="D109" s="61"/>
      <c r="E109" s="61"/>
      <c r="F109" s="61">
        <f t="shared" ref="F109:J109" si="51">SUM(F73,F82,F91,F100)</f>
        <v>530385.35139325808</v>
      </c>
      <c r="G109" s="61">
        <f t="shared" si="51"/>
        <v>534127.5907777258</v>
      </c>
      <c r="H109" s="61">
        <f t="shared" si="51"/>
        <v>543647.54703110107</v>
      </c>
      <c r="I109" s="61">
        <f t="shared" si="51"/>
        <v>541528.22225132829</v>
      </c>
      <c r="J109" s="61">
        <f t="shared" si="51"/>
        <v>545298.1164790669</v>
      </c>
    </row>
    <row r="110" spans="2:11" x14ac:dyDescent="0.25">
      <c r="B110" s="59"/>
      <c r="C110" s="61"/>
      <c r="D110" s="61"/>
      <c r="E110" s="61"/>
      <c r="F110" s="61"/>
      <c r="G110" s="61"/>
      <c r="H110" s="61"/>
      <c r="I110" s="61"/>
      <c r="J110" s="61"/>
    </row>
    <row r="111" spans="2:11" ht="18.75" x14ac:dyDescent="0.3">
      <c r="B111" s="34" t="s">
        <v>58</v>
      </c>
      <c r="C111" s="60"/>
      <c r="D111" s="60"/>
      <c r="E111" s="29">
        <v>2017</v>
      </c>
      <c r="F111" s="29">
        <f t="shared" ref="F111" si="52">E111+1</f>
        <v>2018</v>
      </c>
      <c r="G111" s="29">
        <f t="shared" ref="G111" si="53">F111+1</f>
        <v>2019</v>
      </c>
      <c r="H111" s="29">
        <f t="shared" ref="H111" si="54">G111+1</f>
        <v>2020</v>
      </c>
      <c r="I111" s="29">
        <f t="shared" ref="I111" si="55">H111+1</f>
        <v>2021</v>
      </c>
      <c r="J111" s="29">
        <f t="shared" ref="J111" si="56">I111+1</f>
        <v>2022</v>
      </c>
    </row>
    <row r="112" spans="2:11" x14ac:dyDescent="0.25">
      <c r="B112" s="59"/>
      <c r="C112" s="61" t="s">
        <v>59</v>
      </c>
      <c r="D112" s="61"/>
      <c r="E112" s="61"/>
      <c r="F112" s="61">
        <f>F103</f>
        <v>524372.80367237434</v>
      </c>
      <c r="G112" s="61">
        <f t="shared" ref="G112:J112" si="57">F109</f>
        <v>530385.35139325808</v>
      </c>
      <c r="H112" s="61">
        <f t="shared" si="57"/>
        <v>534127.5907777258</v>
      </c>
      <c r="I112" s="61">
        <f t="shared" si="57"/>
        <v>543647.54703110107</v>
      </c>
      <c r="J112" s="61">
        <f t="shared" si="57"/>
        <v>541528.22225132829</v>
      </c>
    </row>
    <row r="113" spans="1:11" x14ac:dyDescent="0.25">
      <c r="B113" s="59"/>
      <c r="C113" s="61" t="s">
        <v>207</v>
      </c>
      <c r="D113" s="61"/>
      <c r="E113" s="62"/>
      <c r="F113" s="138">
        <f>F68*RIVProp</f>
        <v>0</v>
      </c>
      <c r="G113" s="138">
        <f>G68*RIVProp</f>
        <v>0</v>
      </c>
      <c r="H113" s="138">
        <f>H68*RIVProp</f>
        <v>0</v>
      </c>
      <c r="I113" s="138">
        <f>I68*RIVProp</f>
        <v>0</v>
      </c>
      <c r="J113" s="138">
        <f>J68*RIVProp</f>
        <v>0</v>
      </c>
    </row>
    <row r="114" spans="1:11" x14ac:dyDescent="0.25">
      <c r="B114" s="59"/>
      <c r="C114" s="61" t="s">
        <v>208</v>
      </c>
      <c r="D114" s="61"/>
      <c r="E114" s="61"/>
      <c r="F114" s="61">
        <f>F77*RIVProp</f>
        <v>4620.3153418224811</v>
      </c>
      <c r="G114" s="61">
        <f>G77*RIVProp</f>
        <v>2168.0919010691637</v>
      </c>
      <c r="H114" s="61">
        <f>H77*RIVProp</f>
        <v>6187.4338776715067</v>
      </c>
      <c r="I114" s="61">
        <f>I77*RIVProp</f>
        <v>2063.6770842460119</v>
      </c>
      <c r="J114" s="61">
        <f>J77*RIVProp</f>
        <v>1558.2496754289837</v>
      </c>
    </row>
    <row r="115" spans="1:11" x14ac:dyDescent="0.25">
      <c r="B115" s="59"/>
      <c r="C115" s="61" t="s">
        <v>209</v>
      </c>
      <c r="D115" s="61"/>
      <c r="E115" s="61"/>
      <c r="F115" s="61">
        <f>F86*RIVProp</f>
        <v>4240.2285521458289</v>
      </c>
      <c r="G115" s="61">
        <f>G86*RIVProp</f>
        <v>3198.838160100895</v>
      </c>
      <c r="H115" s="61">
        <f>H86*RIVProp</f>
        <v>3253.2952692309195</v>
      </c>
      <c r="I115" s="61">
        <f>I86*RIVProp</f>
        <v>2641.8489833565413</v>
      </c>
      <c r="J115" s="61">
        <f>J86*RIVProp</f>
        <v>6018.99924361789</v>
      </c>
    </row>
    <row r="116" spans="1:11" x14ac:dyDescent="0.25">
      <c r="B116" s="59"/>
      <c r="C116" s="61" t="s">
        <v>210</v>
      </c>
      <c r="D116" s="62"/>
      <c r="E116" s="61"/>
      <c r="F116" s="61">
        <f>F95*RIVProp</f>
        <v>985.42652784346922</v>
      </c>
      <c r="G116" s="61">
        <f>G95*RIVProp</f>
        <v>944.38141490140094</v>
      </c>
      <c r="H116" s="61">
        <f>H95*RIVProp</f>
        <v>1129.7150722955284</v>
      </c>
      <c r="I116" s="61">
        <f>I95*RIVProp</f>
        <v>1046.2047917449324</v>
      </c>
      <c r="J116" s="61">
        <f>J95*RIVProp</f>
        <v>1001.7879933393195</v>
      </c>
    </row>
    <row r="117" spans="1:11" x14ac:dyDescent="0.25">
      <c r="B117" s="60"/>
      <c r="C117" s="61" t="s">
        <v>58</v>
      </c>
      <c r="D117" s="61"/>
      <c r="E117" s="61"/>
      <c r="F117" s="61">
        <f>SUM(F112:F116)</f>
        <v>534218.77409418614</v>
      </c>
      <c r="G117" s="61">
        <f>SUM(G112:G116)</f>
        <v>536696.66286932945</v>
      </c>
      <c r="H117" s="61">
        <f>SUM(H112:H116)</f>
        <v>544698.03499692376</v>
      </c>
      <c r="I117" s="61">
        <f>SUM(I112:I116)</f>
        <v>549399.27789044857</v>
      </c>
      <c r="J117" s="61">
        <f>SUM(J112:J116)</f>
        <v>550107.25916371448</v>
      </c>
    </row>
    <row r="118" spans="1:11" x14ac:dyDescent="0.25">
      <c r="B118" s="54"/>
      <c r="C118" s="54"/>
      <c r="D118" s="54"/>
      <c r="E118" s="54"/>
      <c r="F118" s="54"/>
      <c r="G118" s="54"/>
      <c r="H118" s="54"/>
      <c r="I118" s="54"/>
      <c r="J118" s="54"/>
    </row>
    <row r="119" spans="1:11" ht="21" x14ac:dyDescent="0.35">
      <c r="A119" s="41" t="s">
        <v>62</v>
      </c>
    </row>
    <row r="120" spans="1:11" ht="18.75" x14ac:dyDescent="0.3">
      <c r="B120" s="34" t="s">
        <v>21</v>
      </c>
      <c r="C120" s="54"/>
      <c r="D120" s="54"/>
      <c r="E120" s="29">
        <v>2017</v>
      </c>
      <c r="F120" s="29">
        <f t="shared" ref="F120" si="58">E120+1</f>
        <v>2018</v>
      </c>
      <c r="G120" s="29">
        <f t="shared" ref="G120" si="59">F120+1</f>
        <v>2019</v>
      </c>
      <c r="H120" s="29">
        <f t="shared" ref="H120" si="60">G120+1</f>
        <v>2020</v>
      </c>
      <c r="I120" s="29">
        <f t="shared" ref="I120" si="61">H120+1</f>
        <v>2021</v>
      </c>
      <c r="J120" s="29">
        <f t="shared" ref="J120" si="62">I120+1</f>
        <v>2022</v>
      </c>
    </row>
    <row r="121" spans="1:11" x14ac:dyDescent="0.25">
      <c r="B121" s="54"/>
      <c r="C121" s="61" t="s">
        <v>52</v>
      </c>
      <c r="D121" s="61"/>
      <c r="E121" s="61"/>
      <c r="F121" s="61">
        <f>E125</f>
        <v>100579.27519010181</v>
      </c>
      <c r="G121" s="61">
        <f t="shared" ref="G121:J121" si="63">F125</f>
        <v>100579.27519010181</v>
      </c>
      <c r="H121" s="61">
        <f t="shared" si="63"/>
        <v>100579.27519010181</v>
      </c>
      <c r="I121" s="61">
        <f t="shared" si="63"/>
        <v>100579.27519010181</v>
      </c>
      <c r="J121" s="61">
        <f t="shared" si="63"/>
        <v>100579.27519010181</v>
      </c>
    </row>
    <row r="122" spans="1:11" x14ac:dyDescent="0.25">
      <c r="B122" s="54"/>
      <c r="C122" s="61" t="s">
        <v>196</v>
      </c>
      <c r="D122" s="61"/>
      <c r="E122" s="61"/>
      <c r="F122" s="138">
        <f t="shared" ref="F122:J122" si="64">F20</f>
        <v>0</v>
      </c>
      <c r="G122" s="138">
        <f t="shared" si="64"/>
        <v>0</v>
      </c>
      <c r="H122" s="138">
        <f t="shared" si="64"/>
        <v>0</v>
      </c>
      <c r="I122" s="138">
        <f t="shared" si="64"/>
        <v>0</v>
      </c>
      <c r="J122" s="138">
        <f t="shared" si="64"/>
        <v>0</v>
      </c>
    </row>
    <row r="123" spans="1:11" x14ac:dyDescent="0.25">
      <c r="B123" s="54"/>
      <c r="C123" s="61" t="s">
        <v>63</v>
      </c>
      <c r="D123" s="61"/>
      <c r="E123" s="61"/>
      <c r="F123" s="138">
        <f t="shared" ref="F123:J123" si="65">-F121*F60</f>
        <v>0</v>
      </c>
      <c r="G123" s="138">
        <f t="shared" si="65"/>
        <v>0</v>
      </c>
      <c r="H123" s="138">
        <f t="shared" si="65"/>
        <v>0</v>
      </c>
      <c r="I123" s="138">
        <f t="shared" si="65"/>
        <v>0</v>
      </c>
      <c r="J123" s="138">
        <f t="shared" si="65"/>
        <v>0</v>
      </c>
    </row>
    <row r="124" spans="1:11" x14ac:dyDescent="0.25">
      <c r="B124" s="54"/>
      <c r="C124" s="61" t="s">
        <v>53</v>
      </c>
      <c r="D124" s="61"/>
      <c r="E124" s="61"/>
      <c r="F124" s="138">
        <f t="shared" ref="F124:J124" si="66">-F50</f>
        <v>0</v>
      </c>
      <c r="G124" s="138">
        <f t="shared" si="66"/>
        <v>0</v>
      </c>
      <c r="H124" s="138">
        <f t="shared" si="66"/>
        <v>0</v>
      </c>
      <c r="I124" s="138">
        <f t="shared" si="66"/>
        <v>0</v>
      </c>
      <c r="J124" s="138">
        <f t="shared" si="66"/>
        <v>0</v>
      </c>
    </row>
    <row r="125" spans="1:11" x14ac:dyDescent="0.25">
      <c r="B125" s="58"/>
      <c r="C125" s="61" t="s">
        <v>55</v>
      </c>
      <c r="D125" s="61"/>
      <c r="E125" s="61">
        <f>E10</f>
        <v>100579.27519010181</v>
      </c>
      <c r="F125" s="61">
        <f t="shared" ref="F125:J125" si="67">SUM(F121:F124)</f>
        <v>100579.27519010181</v>
      </c>
      <c r="G125" s="61">
        <f t="shared" si="67"/>
        <v>100579.27519010181</v>
      </c>
      <c r="H125" s="61">
        <f t="shared" si="67"/>
        <v>100579.27519010181</v>
      </c>
      <c r="I125" s="61">
        <f t="shared" si="67"/>
        <v>100579.27519010181</v>
      </c>
      <c r="J125" s="61">
        <f t="shared" si="67"/>
        <v>100579.27519010181</v>
      </c>
    </row>
    <row r="126" spans="1:11" x14ac:dyDescent="0.25">
      <c r="B126" s="54"/>
      <c r="C126" s="54"/>
      <c r="D126" s="54"/>
      <c r="E126" s="54"/>
      <c r="F126" s="54"/>
      <c r="G126" s="54"/>
      <c r="H126" s="54"/>
      <c r="I126" s="54"/>
      <c r="J126" s="54"/>
      <c r="K126" s="54"/>
    </row>
    <row r="127" spans="1:11" ht="18.75" x14ac:dyDescent="0.3">
      <c r="B127" s="34" t="s">
        <v>193</v>
      </c>
      <c r="C127" s="54"/>
      <c r="D127" s="54"/>
      <c r="E127" s="29">
        <v>2017</v>
      </c>
      <c r="F127" s="29">
        <f t="shared" ref="F127" si="68">E127+1</f>
        <v>2018</v>
      </c>
      <c r="G127" s="29">
        <f t="shared" ref="G127" si="69">F127+1</f>
        <v>2019</v>
      </c>
      <c r="H127" s="29">
        <f t="shared" ref="H127" si="70">G127+1</f>
        <v>2020</v>
      </c>
      <c r="I127" s="29">
        <f t="shared" ref="I127" si="71">H127+1</f>
        <v>2021</v>
      </c>
      <c r="J127" s="29">
        <f t="shared" ref="J127" si="72">I127+1</f>
        <v>2022</v>
      </c>
    </row>
    <row r="128" spans="1:11" x14ac:dyDescent="0.25">
      <c r="B128" s="54"/>
      <c r="C128" s="61" t="s">
        <v>52</v>
      </c>
      <c r="D128" s="61"/>
      <c r="E128" s="61"/>
      <c r="F128" s="61">
        <f>E132</f>
        <v>291977.14964270347</v>
      </c>
      <c r="G128" s="61">
        <f t="shared" ref="G128:J128" si="73">F132</f>
        <v>287830.97268185363</v>
      </c>
      <c r="H128" s="61">
        <f t="shared" si="73"/>
        <v>278889.43429256824</v>
      </c>
      <c r="I128" s="61">
        <f t="shared" si="73"/>
        <v>279985.94885715505</v>
      </c>
      <c r="J128" s="61">
        <f t="shared" si="73"/>
        <v>272968.77864689037</v>
      </c>
    </row>
    <row r="129" spans="2:10" x14ac:dyDescent="0.25">
      <c r="B129" s="54"/>
      <c r="C129" s="61" t="s">
        <v>196</v>
      </c>
      <c r="D129" s="61"/>
      <c r="E129" s="61"/>
      <c r="F129" s="61">
        <f t="shared" ref="F129:J129" si="74">F21</f>
        <v>9240.6306836449621</v>
      </c>
      <c r="G129" s="61">
        <f t="shared" si="74"/>
        <v>4336.1838021383273</v>
      </c>
      <c r="H129" s="61">
        <f t="shared" si="74"/>
        <v>12374.867755343013</v>
      </c>
      <c r="I129" s="61">
        <f t="shared" si="74"/>
        <v>4127.3541684920237</v>
      </c>
      <c r="J129" s="61">
        <f t="shared" si="74"/>
        <v>3116.4993508579673</v>
      </c>
    </row>
    <row r="130" spans="2:10" x14ac:dyDescent="0.25">
      <c r="B130" s="54"/>
      <c r="C130" s="61" t="s">
        <v>63</v>
      </c>
      <c r="D130" s="61"/>
      <c r="E130" s="61"/>
      <c r="F130" s="61">
        <f t="shared" ref="F130:J130" si="75">-F128*F61</f>
        <v>-13386.807644494809</v>
      </c>
      <c r="G130" s="61">
        <f t="shared" si="75"/>
        <v>-13277.722191423716</v>
      </c>
      <c r="H130" s="61">
        <f t="shared" si="75"/>
        <v>-11278.353190756223</v>
      </c>
      <c r="I130" s="61">
        <f t="shared" si="75"/>
        <v>-11144.524378756729</v>
      </c>
      <c r="J130" s="61">
        <f t="shared" si="75"/>
        <v>-9030.8822906085588</v>
      </c>
    </row>
    <row r="131" spans="2:10" x14ac:dyDescent="0.25">
      <c r="B131" s="54"/>
      <c r="C131" s="61" t="s">
        <v>53</v>
      </c>
      <c r="D131" s="61"/>
      <c r="E131" s="61"/>
      <c r="F131" s="138">
        <f t="shared" ref="F131:J131" si="76">-F51</f>
        <v>0</v>
      </c>
      <c r="G131" s="138">
        <f t="shared" si="76"/>
        <v>0</v>
      </c>
      <c r="H131" s="138">
        <f t="shared" si="76"/>
        <v>0</v>
      </c>
      <c r="I131" s="138">
        <f t="shared" si="76"/>
        <v>0</v>
      </c>
      <c r="J131" s="138">
        <f t="shared" si="76"/>
        <v>0</v>
      </c>
    </row>
    <row r="132" spans="2:10" x14ac:dyDescent="0.25">
      <c r="B132" s="54"/>
      <c r="C132" s="61" t="s">
        <v>55</v>
      </c>
      <c r="D132" s="61"/>
      <c r="E132" s="61">
        <f>+E11</f>
        <v>291977.14964270347</v>
      </c>
      <c r="F132" s="61">
        <f t="shared" ref="F132:J132" si="77">SUM(F128:F131)</f>
        <v>287830.97268185363</v>
      </c>
      <c r="G132" s="61">
        <f t="shared" si="77"/>
        <v>278889.43429256824</v>
      </c>
      <c r="H132" s="61">
        <f t="shared" si="77"/>
        <v>279985.94885715505</v>
      </c>
      <c r="I132" s="61">
        <f t="shared" si="77"/>
        <v>272968.77864689037</v>
      </c>
      <c r="J132" s="61">
        <f t="shared" si="77"/>
        <v>267054.3957071398</v>
      </c>
    </row>
    <row r="133" spans="2:10" x14ac:dyDescent="0.25">
      <c r="B133" s="54"/>
      <c r="C133" s="54"/>
      <c r="D133" s="54"/>
      <c r="E133" s="54"/>
      <c r="F133" s="54"/>
      <c r="G133" s="54"/>
      <c r="H133" s="54"/>
      <c r="I133" s="54"/>
      <c r="J133" s="54"/>
    </row>
    <row r="134" spans="2:10" ht="18.75" x14ac:dyDescent="0.3">
      <c r="B134" s="34" t="s">
        <v>194</v>
      </c>
      <c r="C134" s="54"/>
      <c r="D134" s="54"/>
      <c r="E134" s="29">
        <v>2017</v>
      </c>
      <c r="F134" s="29">
        <f t="shared" ref="F134" si="78">E134+1</f>
        <v>2018</v>
      </c>
      <c r="G134" s="29">
        <f t="shared" ref="G134" si="79">F134+1</f>
        <v>2019</v>
      </c>
      <c r="H134" s="29">
        <f t="shared" ref="H134" si="80">G134+1</f>
        <v>2020</v>
      </c>
      <c r="I134" s="29">
        <f t="shared" ref="I134" si="81">H134+1</f>
        <v>2021</v>
      </c>
      <c r="J134" s="29">
        <f t="shared" ref="J134" si="82">I134+1</f>
        <v>2022</v>
      </c>
    </row>
    <row r="135" spans="2:10" x14ac:dyDescent="0.25">
      <c r="B135" s="54"/>
      <c r="C135" s="61" t="s">
        <v>52</v>
      </c>
      <c r="D135" s="61"/>
      <c r="E135" s="61"/>
      <c r="F135" s="61">
        <f>E139</f>
        <v>119841.09163845591</v>
      </c>
      <c r="G135" s="61">
        <f t="shared" ref="G135:J135" si="83">F139</f>
        <v>124935.0085136445</v>
      </c>
      <c r="H135" s="61">
        <f t="shared" si="83"/>
        <v>127457.25091526055</v>
      </c>
      <c r="I135" s="61">
        <f t="shared" si="83"/>
        <v>130596.55824011924</v>
      </c>
      <c r="J135" s="61">
        <f t="shared" si="83"/>
        <v>132385.34970007464</v>
      </c>
    </row>
    <row r="136" spans="2:10" x14ac:dyDescent="0.25">
      <c r="B136" s="54"/>
      <c r="C136" s="61" t="s">
        <v>196</v>
      </c>
      <c r="D136" s="61"/>
      <c r="E136" s="61"/>
      <c r="F136" s="61">
        <f t="shared" ref="F136:J136" si="84">+F22</f>
        <v>8480.4571042916577</v>
      </c>
      <c r="G136" s="61">
        <f t="shared" si="84"/>
        <v>6397.6763202017901</v>
      </c>
      <c r="H136" s="61">
        <f t="shared" si="84"/>
        <v>6506.5905384618391</v>
      </c>
      <c r="I136" s="61">
        <f t="shared" si="84"/>
        <v>5283.6979667130827</v>
      </c>
      <c r="J136" s="61">
        <f t="shared" si="84"/>
        <v>12037.99848723578</v>
      </c>
    </row>
    <row r="137" spans="2:10" x14ac:dyDescent="0.25">
      <c r="B137" s="54"/>
      <c r="C137" s="61" t="s">
        <v>56</v>
      </c>
      <c r="D137" s="61"/>
      <c r="E137" s="61"/>
      <c r="F137" s="61">
        <f t="shared" ref="F137:J137" si="85">-F135*F62</f>
        <v>-3386.5402291030832</v>
      </c>
      <c r="G137" s="61">
        <f t="shared" si="85"/>
        <v>-3875.4339185857334</v>
      </c>
      <c r="H137" s="61">
        <f t="shared" si="85"/>
        <v>-3367.2832136031452</v>
      </c>
      <c r="I137" s="61">
        <f t="shared" si="85"/>
        <v>-3494.9065067576948</v>
      </c>
      <c r="J137" s="61">
        <f t="shared" si="85"/>
        <v>-3636.4165303678601</v>
      </c>
    </row>
    <row r="138" spans="2:10" x14ac:dyDescent="0.25">
      <c r="B138" s="54"/>
      <c r="C138" s="61" t="s">
        <v>53</v>
      </c>
      <c r="D138" s="61"/>
      <c r="E138" s="61"/>
      <c r="F138" s="138">
        <f t="shared" ref="F138:J138" si="86">-F52</f>
        <v>0</v>
      </c>
      <c r="G138" s="138">
        <f t="shared" si="86"/>
        <v>0</v>
      </c>
      <c r="H138" s="138">
        <f t="shared" si="86"/>
        <v>0</v>
      </c>
      <c r="I138" s="138">
        <f t="shared" si="86"/>
        <v>0</v>
      </c>
      <c r="J138" s="138">
        <f t="shared" si="86"/>
        <v>0</v>
      </c>
    </row>
    <row r="139" spans="2:10" x14ac:dyDescent="0.25">
      <c r="B139" s="54"/>
      <c r="C139" s="61" t="s">
        <v>55</v>
      </c>
      <c r="D139" s="61"/>
      <c r="E139" s="61">
        <f>E12</f>
        <v>119841.09163845591</v>
      </c>
      <c r="F139" s="61">
        <f t="shared" ref="F139:J139" si="87">SUM(F135:F138)</f>
        <v>124935.0085136445</v>
      </c>
      <c r="G139" s="61">
        <f t="shared" si="87"/>
        <v>127457.25091526055</v>
      </c>
      <c r="H139" s="61">
        <f t="shared" si="87"/>
        <v>130596.55824011924</v>
      </c>
      <c r="I139" s="61">
        <f t="shared" si="87"/>
        <v>132385.34970007464</v>
      </c>
      <c r="J139" s="61">
        <f t="shared" si="87"/>
        <v>140786.93165694256</v>
      </c>
    </row>
    <row r="140" spans="2:10" x14ac:dyDescent="0.25">
      <c r="B140" s="58"/>
      <c r="C140" s="58"/>
      <c r="D140" s="58"/>
      <c r="E140" s="58"/>
      <c r="F140" s="58"/>
      <c r="G140" s="58"/>
      <c r="H140" s="58"/>
      <c r="I140" s="58"/>
      <c r="J140" s="58"/>
    </row>
    <row r="141" spans="2:10" ht="18.75" x14ac:dyDescent="0.3">
      <c r="B141" s="34" t="s">
        <v>195</v>
      </c>
      <c r="C141" s="54"/>
      <c r="D141" s="54"/>
      <c r="E141" s="29">
        <v>2017</v>
      </c>
      <c r="F141" s="29">
        <f t="shared" ref="F141" si="88">E141+1</f>
        <v>2018</v>
      </c>
      <c r="G141" s="29">
        <f t="shared" ref="G141" si="89">F141+1</f>
        <v>2019</v>
      </c>
      <c r="H141" s="29">
        <f t="shared" ref="H141" si="90">G141+1</f>
        <v>2020</v>
      </c>
      <c r="I141" s="29">
        <f t="shared" ref="I141" si="91">H141+1</f>
        <v>2021</v>
      </c>
      <c r="J141" s="29">
        <f t="shared" ref="J141" si="92">I141+1</f>
        <v>2022</v>
      </c>
    </row>
    <row r="142" spans="2:10" x14ac:dyDescent="0.25">
      <c r="B142" s="54"/>
      <c r="C142" s="61" t="s">
        <v>52</v>
      </c>
      <c r="D142" s="61"/>
      <c r="E142" s="61"/>
      <c r="F142" s="61">
        <f>E146</f>
        <v>11975.287201113089</v>
      </c>
      <c r="G142" s="61">
        <f t="shared" ref="G142:J142" si="93">F146</f>
        <v>11360.676308301694</v>
      </c>
      <c r="H142" s="61">
        <f t="shared" si="93"/>
        <v>10456.470447644777</v>
      </c>
      <c r="I142" s="61">
        <f t="shared" si="93"/>
        <v>9918.8302860069889</v>
      </c>
      <c r="J142" s="61">
        <f t="shared" si="93"/>
        <v>9397.0203914887206</v>
      </c>
    </row>
    <row r="143" spans="2:10" x14ac:dyDescent="0.25">
      <c r="B143" s="54"/>
      <c r="C143" s="61" t="s">
        <v>196</v>
      </c>
      <c r="D143" s="61"/>
      <c r="E143" s="61"/>
      <c r="F143" s="61">
        <f t="shared" ref="F143:J143" si="94">+F23</f>
        <v>1970.8530556869384</v>
      </c>
      <c r="G143" s="61">
        <f t="shared" si="94"/>
        <v>1888.7628298028019</v>
      </c>
      <c r="H143" s="61">
        <f t="shared" si="94"/>
        <v>2259.4301445910569</v>
      </c>
      <c r="I143" s="61">
        <f t="shared" si="94"/>
        <v>2092.4095834898649</v>
      </c>
      <c r="J143" s="61">
        <f t="shared" si="94"/>
        <v>2003.5759866786391</v>
      </c>
    </row>
    <row r="144" spans="2:10" x14ac:dyDescent="0.25">
      <c r="B144" s="54"/>
      <c r="C144" s="61" t="s">
        <v>56</v>
      </c>
      <c r="D144" s="61"/>
      <c r="E144" s="61"/>
      <c r="F144" s="61">
        <f t="shared" ref="F144:J144" si="95">-F142*F63</f>
        <v>-2585.463948498335</v>
      </c>
      <c r="G144" s="61">
        <f t="shared" si="95"/>
        <v>-2792.9686904597179</v>
      </c>
      <c r="H144" s="61">
        <f t="shared" si="95"/>
        <v>-2797.0703062288439</v>
      </c>
      <c r="I144" s="61">
        <f t="shared" si="95"/>
        <v>-2614.2194780081331</v>
      </c>
      <c r="J144" s="61">
        <f t="shared" si="95"/>
        <v>-2536.3895469084468</v>
      </c>
    </row>
    <row r="145" spans="1:10" x14ac:dyDescent="0.25">
      <c r="B145" s="54"/>
      <c r="C145" s="61" t="s">
        <v>53</v>
      </c>
      <c r="D145" s="61"/>
      <c r="E145" s="61"/>
      <c r="F145" s="138">
        <f t="shared" ref="F145:J145" si="96">-F53</f>
        <v>0</v>
      </c>
      <c r="G145" s="138">
        <f t="shared" si="96"/>
        <v>0</v>
      </c>
      <c r="H145" s="138">
        <f t="shared" si="96"/>
        <v>0</v>
      </c>
      <c r="I145" s="138">
        <f t="shared" si="96"/>
        <v>0</v>
      </c>
      <c r="J145" s="138">
        <f t="shared" si="96"/>
        <v>0</v>
      </c>
    </row>
    <row r="146" spans="1:10" x14ac:dyDescent="0.25">
      <c r="B146" s="54"/>
      <c r="C146" s="61" t="s">
        <v>55</v>
      </c>
      <c r="D146" s="61"/>
      <c r="E146" s="61">
        <f>E13</f>
        <v>11975.287201113089</v>
      </c>
      <c r="F146" s="61">
        <f t="shared" ref="F146:J146" si="97">SUM(F142:F145)</f>
        <v>11360.676308301694</v>
      </c>
      <c r="G146" s="61">
        <f t="shared" si="97"/>
        <v>10456.470447644777</v>
      </c>
      <c r="H146" s="61">
        <f t="shared" si="97"/>
        <v>9918.8302860069889</v>
      </c>
      <c r="I146" s="61">
        <f t="shared" si="97"/>
        <v>9397.0203914887206</v>
      </c>
      <c r="J146" s="61">
        <f t="shared" si="97"/>
        <v>8864.2068312589126</v>
      </c>
    </row>
    <row r="147" spans="1:10" x14ac:dyDescent="0.25">
      <c r="B147" s="58"/>
      <c r="C147" s="58"/>
      <c r="D147" s="58"/>
      <c r="E147" s="58"/>
      <c r="F147" s="58"/>
      <c r="G147" s="58"/>
      <c r="H147" s="58"/>
      <c r="I147" s="58"/>
      <c r="J147" s="58"/>
    </row>
    <row r="149" spans="1:10" ht="18.75" x14ac:dyDescent="0.3">
      <c r="B149" s="34" t="s">
        <v>57</v>
      </c>
      <c r="C149" s="60"/>
      <c r="D149" s="60"/>
      <c r="E149" s="29">
        <v>2017</v>
      </c>
      <c r="F149" s="29">
        <f t="shared" ref="F149" si="98">E149+1</f>
        <v>2018</v>
      </c>
      <c r="G149" s="29">
        <f t="shared" ref="G149" si="99">F149+1</f>
        <v>2019</v>
      </c>
      <c r="H149" s="29">
        <f t="shared" ref="H149" si="100">G149+1</f>
        <v>2020</v>
      </c>
      <c r="I149" s="29">
        <f t="shared" ref="I149" si="101">H149+1</f>
        <v>2021</v>
      </c>
      <c r="J149" s="29">
        <f t="shared" ref="J149" si="102">I149+1</f>
        <v>2022</v>
      </c>
    </row>
    <row r="150" spans="1:10" x14ac:dyDescent="0.25">
      <c r="B150" s="60"/>
      <c r="C150" s="61" t="s">
        <v>52</v>
      </c>
      <c r="D150" s="61"/>
      <c r="E150" s="61"/>
      <c r="F150" s="61">
        <f t="shared" ref="F150:J154" si="103">SUM(F121,F128,F135,F142)</f>
        <v>524372.80367237434</v>
      </c>
      <c r="G150" s="61">
        <f t="shared" si="103"/>
        <v>524705.9326939017</v>
      </c>
      <c r="H150" s="61">
        <f t="shared" si="103"/>
        <v>517382.43084557535</v>
      </c>
      <c r="I150" s="61">
        <f t="shared" si="103"/>
        <v>521080.61257338308</v>
      </c>
      <c r="J150" s="61">
        <f t="shared" si="103"/>
        <v>515330.42392855557</v>
      </c>
    </row>
    <row r="151" spans="1:10" x14ac:dyDescent="0.25">
      <c r="B151" s="60"/>
      <c r="C151" s="61" t="s">
        <v>196</v>
      </c>
      <c r="D151" s="61"/>
      <c r="E151" s="62"/>
      <c r="F151" s="61">
        <f t="shared" si="103"/>
        <v>19691.940843623557</v>
      </c>
      <c r="G151" s="61">
        <f t="shared" si="103"/>
        <v>12622.622952142918</v>
      </c>
      <c r="H151" s="61">
        <f t="shared" si="103"/>
        <v>21140.888438395908</v>
      </c>
      <c r="I151" s="61">
        <f t="shared" si="103"/>
        <v>11503.461718694973</v>
      </c>
      <c r="J151" s="61">
        <f t="shared" si="103"/>
        <v>17158.073824772386</v>
      </c>
    </row>
    <row r="152" spans="1:10" x14ac:dyDescent="0.25">
      <c r="B152" s="60"/>
      <c r="C152" s="61" t="s">
        <v>56</v>
      </c>
      <c r="D152" s="61"/>
      <c r="E152" s="61"/>
      <c r="F152" s="61">
        <f t="shared" si="103"/>
        <v>-19358.811822096228</v>
      </c>
      <c r="G152" s="61">
        <f t="shared" si="103"/>
        <v>-19946.124800469166</v>
      </c>
      <c r="H152" s="61">
        <f t="shared" si="103"/>
        <v>-17442.706710588212</v>
      </c>
      <c r="I152" s="61">
        <f t="shared" si="103"/>
        <v>-17253.650363522556</v>
      </c>
      <c r="J152" s="61">
        <f t="shared" si="103"/>
        <v>-15203.688367884866</v>
      </c>
    </row>
    <row r="153" spans="1:10" x14ac:dyDescent="0.25">
      <c r="B153" s="60"/>
      <c r="C153" s="61" t="s">
        <v>53</v>
      </c>
      <c r="D153" s="61"/>
      <c r="E153" s="61"/>
      <c r="F153" s="138">
        <f t="shared" si="103"/>
        <v>0</v>
      </c>
      <c r="G153" s="138">
        <f t="shared" si="103"/>
        <v>0</v>
      </c>
      <c r="H153" s="138">
        <f t="shared" si="103"/>
        <v>0</v>
      </c>
      <c r="I153" s="138">
        <f t="shared" si="103"/>
        <v>0</v>
      </c>
      <c r="J153" s="138">
        <f t="shared" si="103"/>
        <v>0</v>
      </c>
    </row>
    <row r="154" spans="1:10" x14ac:dyDescent="0.25">
      <c r="B154" s="60"/>
      <c r="C154" s="61" t="s">
        <v>55</v>
      </c>
      <c r="D154" s="61"/>
      <c r="E154" s="61"/>
      <c r="F154" s="61">
        <f t="shared" si="103"/>
        <v>524705.9326939017</v>
      </c>
      <c r="G154" s="61">
        <f t="shared" si="103"/>
        <v>517382.43084557535</v>
      </c>
      <c r="H154" s="61">
        <f t="shared" si="103"/>
        <v>521080.61257338308</v>
      </c>
      <c r="I154" s="61">
        <f t="shared" si="103"/>
        <v>515330.42392855557</v>
      </c>
      <c r="J154" s="61">
        <f t="shared" si="103"/>
        <v>517284.80938544305</v>
      </c>
    </row>
    <row r="155" spans="1:10" x14ac:dyDescent="0.25">
      <c r="B155" s="59"/>
      <c r="C155" s="61"/>
      <c r="D155" s="61"/>
      <c r="E155" s="61"/>
      <c r="F155" s="61"/>
      <c r="G155" s="61"/>
      <c r="H155" s="61"/>
      <c r="I155" s="61"/>
      <c r="J155" s="61"/>
    </row>
    <row r="156" spans="1:10" ht="21" x14ac:dyDescent="0.35">
      <c r="A156" s="41" t="s">
        <v>254</v>
      </c>
      <c r="E156" s="29">
        <v>2017</v>
      </c>
      <c r="F156" s="29">
        <f t="shared" ref="F156" si="104">E156+1</f>
        <v>2018</v>
      </c>
      <c r="G156" s="29">
        <f t="shared" ref="G156" si="105">F156+1</f>
        <v>2019</v>
      </c>
      <c r="H156" s="29">
        <f t="shared" ref="H156" si="106">G156+1</f>
        <v>2020</v>
      </c>
      <c r="I156" s="29">
        <f t="shared" ref="I156" si="107">H156+1</f>
        <v>2021</v>
      </c>
      <c r="J156" s="29">
        <f t="shared" ref="J156" si="108">I156+1</f>
        <v>2022</v>
      </c>
    </row>
    <row r="157" spans="1:10" x14ac:dyDescent="0.25">
      <c r="C157" s="61" t="s">
        <v>71</v>
      </c>
      <c r="D157" s="61"/>
      <c r="E157" s="61"/>
      <c r="F157" s="61">
        <f>F112</f>
        <v>524372.80367237434</v>
      </c>
      <c r="G157" s="61">
        <f>G112</f>
        <v>530385.35139325808</v>
      </c>
      <c r="H157" s="61">
        <f>H112</f>
        <v>534127.5907777258</v>
      </c>
      <c r="I157" s="61">
        <f>I112</f>
        <v>543647.54703110107</v>
      </c>
      <c r="J157" s="61">
        <f>J112</f>
        <v>541528.22225132829</v>
      </c>
    </row>
    <row r="158" spans="1:10" x14ac:dyDescent="0.25">
      <c r="C158" s="61" t="s">
        <v>69</v>
      </c>
      <c r="D158" s="61"/>
      <c r="E158" s="61"/>
      <c r="F158" s="66">
        <f>$E$15</f>
        <v>0.19</v>
      </c>
      <c r="G158" s="66">
        <f t="shared" ref="G158:J158" si="109">$E$15</f>
        <v>0.19</v>
      </c>
      <c r="H158" s="66">
        <f t="shared" si="109"/>
        <v>0.19</v>
      </c>
      <c r="I158" s="66">
        <f t="shared" si="109"/>
        <v>0.19</v>
      </c>
      <c r="J158" s="66">
        <f t="shared" si="109"/>
        <v>0.19</v>
      </c>
    </row>
    <row r="159" spans="1:10" x14ac:dyDescent="0.25">
      <c r="C159" s="61" t="s">
        <v>70</v>
      </c>
      <c r="D159" s="61"/>
      <c r="E159" s="61"/>
      <c r="F159" s="67">
        <f>$E$16</f>
        <v>4.41E-2</v>
      </c>
      <c r="G159" s="67">
        <f t="shared" ref="G159:J159" si="110">$E$16</f>
        <v>4.41E-2</v>
      </c>
      <c r="H159" s="67">
        <f t="shared" si="110"/>
        <v>4.41E-2</v>
      </c>
      <c r="I159" s="67">
        <f t="shared" si="110"/>
        <v>4.41E-2</v>
      </c>
      <c r="J159" s="67">
        <f t="shared" si="110"/>
        <v>4.41E-2</v>
      </c>
    </row>
    <row r="160" spans="1:10" x14ac:dyDescent="0.25">
      <c r="C160" s="61" t="s">
        <v>256</v>
      </c>
      <c r="D160" s="61"/>
      <c r="E160" s="61"/>
      <c r="F160" s="61">
        <f>F157*F158*F159</f>
        <v>4393.719721970825</v>
      </c>
      <c r="G160" s="61">
        <f t="shared" ref="G160:J160" si="111">G157*G158*G159</f>
        <v>4444.09885932411</v>
      </c>
      <c r="H160" s="61">
        <f t="shared" si="111"/>
        <v>4475.4550831265651</v>
      </c>
      <c r="I160" s="61">
        <f t="shared" si="111"/>
        <v>4555.2227965735956</v>
      </c>
      <c r="J160" s="61">
        <f t="shared" si="111"/>
        <v>4537.4649742438805</v>
      </c>
    </row>
    <row r="162" spans="1:10" ht="21" x14ac:dyDescent="0.35">
      <c r="A162" s="41" t="s">
        <v>255</v>
      </c>
      <c r="E162" s="29">
        <v>2017</v>
      </c>
      <c r="F162" s="29">
        <f t="shared" ref="F162" si="112">E162+1</f>
        <v>2018</v>
      </c>
      <c r="G162" s="29">
        <f t="shared" ref="G162" si="113">F162+1</f>
        <v>2019</v>
      </c>
      <c r="H162" s="29">
        <f t="shared" ref="H162" si="114">G162+1</f>
        <v>2020</v>
      </c>
      <c r="I162" s="29">
        <f t="shared" ref="I162" si="115">H162+1</f>
        <v>2021</v>
      </c>
      <c r="J162" s="29">
        <f t="shared" ref="J162" si="116">I162+1</f>
        <v>2022</v>
      </c>
    </row>
    <row r="163" spans="1:10" x14ac:dyDescent="0.25">
      <c r="C163" s="61" t="s">
        <v>71</v>
      </c>
      <c r="D163" s="61"/>
      <c r="E163" s="61"/>
      <c r="F163" s="61">
        <f>F157</f>
        <v>524372.80367237434</v>
      </c>
      <c r="G163" s="61">
        <f t="shared" ref="G163:J163" si="117">G157</f>
        <v>530385.35139325808</v>
      </c>
      <c r="H163" s="61">
        <f t="shared" si="117"/>
        <v>534127.5907777258</v>
      </c>
      <c r="I163" s="61">
        <f t="shared" si="117"/>
        <v>543647.54703110107</v>
      </c>
      <c r="J163" s="61">
        <f t="shared" si="117"/>
        <v>541528.22225132829</v>
      </c>
    </row>
    <row r="164" spans="1:10" x14ac:dyDescent="0.25">
      <c r="C164" s="61" t="s">
        <v>69</v>
      </c>
      <c r="D164" s="61"/>
      <c r="E164" s="61"/>
      <c r="F164" s="66">
        <f>$E$15</f>
        <v>0.19</v>
      </c>
      <c r="G164" s="66">
        <f t="shared" ref="G164:J164" si="118">$E$15</f>
        <v>0.19</v>
      </c>
      <c r="H164" s="66">
        <f t="shared" si="118"/>
        <v>0.19</v>
      </c>
      <c r="I164" s="66">
        <f t="shared" si="118"/>
        <v>0.19</v>
      </c>
      <c r="J164" s="66">
        <f t="shared" si="118"/>
        <v>0.19</v>
      </c>
    </row>
    <row r="165" spans="1:10" x14ac:dyDescent="0.25">
      <c r="C165" s="61" t="s">
        <v>70</v>
      </c>
      <c r="D165" s="61"/>
      <c r="E165" s="61"/>
      <c r="F165" s="67">
        <f>$E$17</f>
        <v>4.8000000000000001E-2</v>
      </c>
      <c r="G165" s="67">
        <f t="shared" ref="G165:J165" si="119">$E$17</f>
        <v>4.8000000000000001E-2</v>
      </c>
      <c r="H165" s="67">
        <f t="shared" si="119"/>
        <v>4.8000000000000001E-2</v>
      </c>
      <c r="I165" s="67">
        <f t="shared" si="119"/>
        <v>4.8000000000000001E-2</v>
      </c>
      <c r="J165" s="67">
        <f t="shared" si="119"/>
        <v>4.8000000000000001E-2</v>
      </c>
    </row>
    <row r="166" spans="1:10" x14ac:dyDescent="0.25">
      <c r="C166" s="61" t="s">
        <v>257</v>
      </c>
      <c r="D166" s="61"/>
      <c r="E166" s="61"/>
      <c r="F166" s="61">
        <f>F163*F164*F165</f>
        <v>4782.2799694920541</v>
      </c>
      <c r="G166" s="61">
        <f t="shared" ref="G166:J166" si="120">G163*G164*G165</f>
        <v>4837.1144047065136</v>
      </c>
      <c r="H166" s="61">
        <f t="shared" si="120"/>
        <v>4871.2436278928599</v>
      </c>
      <c r="I166" s="61">
        <f t="shared" si="120"/>
        <v>4958.0656289236422</v>
      </c>
      <c r="J166" s="61">
        <f t="shared" si="120"/>
        <v>4938.7373869321145</v>
      </c>
    </row>
    <row r="167" spans="1:10" ht="21" x14ac:dyDescent="0.35">
      <c r="A167" s="41" t="s">
        <v>7</v>
      </c>
      <c r="E167" s="29">
        <v>2017</v>
      </c>
      <c r="F167" s="29">
        <f t="shared" ref="F167" si="121">E167+1</f>
        <v>2018</v>
      </c>
      <c r="G167" s="29">
        <f t="shared" ref="G167" si="122">F167+1</f>
        <v>2019</v>
      </c>
      <c r="H167" s="29">
        <f t="shared" ref="H167" si="123">G167+1</f>
        <v>2020</v>
      </c>
      <c r="I167" s="29">
        <f t="shared" ref="I167" si="124">H167+1</f>
        <v>2021</v>
      </c>
      <c r="J167" s="29">
        <f t="shared" ref="J167" si="125">I167+1</f>
        <v>2022</v>
      </c>
    </row>
    <row r="168" spans="1:10" x14ac:dyDescent="0.25">
      <c r="C168" s="61" t="s">
        <v>58</v>
      </c>
      <c r="D168" s="61"/>
      <c r="E168" s="61"/>
      <c r="F168" s="69">
        <f>F117</f>
        <v>534218.77409418614</v>
      </c>
      <c r="G168" s="69">
        <f>G117</f>
        <v>536696.66286932945</v>
      </c>
      <c r="H168" s="69">
        <f>H117</f>
        <v>544698.03499692376</v>
      </c>
      <c r="I168" s="69">
        <f>I117</f>
        <v>549399.27789044857</v>
      </c>
      <c r="J168" s="69">
        <f>J117</f>
        <v>550107.25916371448</v>
      </c>
    </row>
    <row r="169" spans="1:10" x14ac:dyDescent="0.25">
      <c r="C169" s="61" t="s">
        <v>76</v>
      </c>
      <c r="D169" s="61"/>
      <c r="E169" s="61"/>
      <c r="F169" s="69">
        <f>F105</f>
        <v>7288.910598880112</v>
      </c>
      <c r="G169" s="69">
        <f>G105</f>
        <v>10693.253052283477</v>
      </c>
      <c r="H169" s="69">
        <f>H105</f>
        <v>10288.792621400475</v>
      </c>
      <c r="I169" s="69">
        <f>I105</f>
        <v>10872.950940622271</v>
      </c>
      <c r="J169" s="69">
        <f>J105</f>
        <v>10830.564445026695</v>
      </c>
    </row>
    <row r="170" spans="1:10" x14ac:dyDescent="0.25">
      <c r="C170" s="61" t="s">
        <v>154</v>
      </c>
      <c r="D170" s="61"/>
      <c r="E170" s="61"/>
      <c r="F170" s="69">
        <f>-F106</f>
        <v>20968.303721619915</v>
      </c>
      <c r="G170" s="69">
        <f>-G106</f>
        <v>19573.636619958641</v>
      </c>
      <c r="H170" s="69">
        <f>-H106</f>
        <v>21909.724806421127</v>
      </c>
      <c r="I170" s="69">
        <f>-I106</f>
        <v>24495.737439089949</v>
      </c>
      <c r="J170" s="69">
        <f>-J106</f>
        <v>24218.744042060585</v>
      </c>
    </row>
    <row r="171" spans="1:10" x14ac:dyDescent="0.25">
      <c r="C171" s="61" t="s">
        <v>155</v>
      </c>
      <c r="D171" s="61"/>
      <c r="E171" s="61"/>
      <c r="F171" s="69">
        <f>-F152</f>
        <v>19358.811822096228</v>
      </c>
      <c r="G171" s="69">
        <f t="shared" ref="G171:J171" si="126">-G152</f>
        <v>19946.124800469166</v>
      </c>
      <c r="H171" s="69">
        <f t="shared" si="126"/>
        <v>17442.706710588212</v>
      </c>
      <c r="I171" s="69">
        <f t="shared" si="126"/>
        <v>17253.650363522556</v>
      </c>
      <c r="J171" s="69">
        <f t="shared" si="126"/>
        <v>15203.688367884866</v>
      </c>
    </row>
    <row r="172" spans="1:10" x14ac:dyDescent="0.25">
      <c r="C172" s="61" t="s">
        <v>258</v>
      </c>
      <c r="D172" s="61"/>
      <c r="E172" s="61"/>
      <c r="F172" s="69">
        <f>F160</f>
        <v>4393.719721970825</v>
      </c>
      <c r="G172" s="69">
        <f t="shared" ref="G172:J172" si="127">G160</f>
        <v>4444.09885932411</v>
      </c>
      <c r="H172" s="69">
        <f t="shared" si="127"/>
        <v>4475.4550831265651</v>
      </c>
      <c r="I172" s="69">
        <f t="shared" si="127"/>
        <v>4555.2227965735956</v>
      </c>
      <c r="J172" s="69">
        <f t="shared" si="127"/>
        <v>4537.4649742438805</v>
      </c>
    </row>
    <row r="173" spans="1:10" x14ac:dyDescent="0.25">
      <c r="C173" s="61" t="s">
        <v>257</v>
      </c>
      <c r="D173" s="61"/>
      <c r="E173" s="61"/>
      <c r="F173" s="61">
        <f>F166</f>
        <v>4782.2799694920541</v>
      </c>
      <c r="G173" s="61">
        <f t="shared" ref="G173:J173" si="128">G166</f>
        <v>4837.1144047065136</v>
      </c>
      <c r="H173" s="61">
        <f t="shared" si="128"/>
        <v>4871.2436278928599</v>
      </c>
      <c r="I173" s="61">
        <f t="shared" si="128"/>
        <v>4958.0656289236422</v>
      </c>
      <c r="J173" s="61">
        <f t="shared" si="128"/>
        <v>4938.7373869321145</v>
      </c>
    </row>
    <row r="174" spans="1:10" x14ac:dyDescent="0.25">
      <c r="C174" s="61" t="s">
        <v>53</v>
      </c>
      <c r="D174" s="61"/>
      <c r="E174" s="61"/>
      <c r="F174" s="69">
        <f>-F107</f>
        <v>0</v>
      </c>
      <c r="G174" s="69">
        <f t="shared" ref="G174:J174" si="129">-G107</f>
        <v>0</v>
      </c>
      <c r="H174" s="69">
        <f t="shared" si="129"/>
        <v>0</v>
      </c>
      <c r="I174" s="69">
        <f t="shared" si="129"/>
        <v>0</v>
      </c>
      <c r="J174" s="69">
        <f t="shared" si="129"/>
        <v>0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Footer>&amp;L&amp;F&amp;C&amp;A&amp;R&amp;P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J66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2" width="4.85546875" style="1" customWidth="1"/>
    <col min="3" max="3" width="77.28515625" style="1" customWidth="1"/>
    <col min="4" max="4" width="15.42578125" style="1" customWidth="1"/>
    <col min="5" max="5" width="9.140625" style="1" customWidth="1"/>
    <col min="6" max="6" width="10.28515625" style="1" bestFit="1" customWidth="1"/>
    <col min="7" max="10" width="10" style="1" bestFit="1" customWidth="1"/>
    <col min="11" max="11" width="7.5703125" style="1" customWidth="1"/>
    <col min="12" max="16384" width="8.85546875" style="1"/>
  </cols>
  <sheetData>
    <row r="1" spans="1:10" ht="25.9" x14ac:dyDescent="0.5">
      <c r="A1" s="18" t="s">
        <v>104</v>
      </c>
      <c r="E1" s="27"/>
    </row>
    <row r="2" spans="1:10" ht="14.45" x14ac:dyDescent="0.3">
      <c r="A2" s="73" t="s">
        <v>215</v>
      </c>
    </row>
    <row r="3" spans="1:10" ht="23.45" x14ac:dyDescent="0.45">
      <c r="A3" s="26" t="s">
        <v>5</v>
      </c>
      <c r="D3" s="29" t="s">
        <v>51</v>
      </c>
      <c r="E3" s="29" t="s">
        <v>11</v>
      </c>
      <c r="F3" s="29">
        <v>2018</v>
      </c>
      <c r="G3" s="29">
        <f t="shared" ref="G3:J3" si="0">F3+1</f>
        <v>2019</v>
      </c>
      <c r="H3" s="29">
        <f t="shared" si="0"/>
        <v>2020</v>
      </c>
      <c r="I3" s="29">
        <f t="shared" si="0"/>
        <v>2021</v>
      </c>
      <c r="J3" s="29">
        <f t="shared" si="0"/>
        <v>2022</v>
      </c>
    </row>
    <row r="4" spans="1:10" ht="18" x14ac:dyDescent="0.35">
      <c r="B4" s="34" t="s">
        <v>31</v>
      </c>
      <c r="E4" s="29"/>
      <c r="F4" s="29"/>
      <c r="G4" s="29"/>
      <c r="H4" s="29"/>
      <c r="I4" s="29"/>
      <c r="J4" s="29"/>
    </row>
    <row r="5" spans="1:10" ht="14.45" x14ac:dyDescent="0.3">
      <c r="C5" s="37" t="str">
        <f>'Scenario Manager'!C37</f>
        <v>Airport activity charges</v>
      </c>
      <c r="D5" s="37" t="s">
        <v>29</v>
      </c>
      <c r="E5" s="51"/>
      <c r="F5" s="51">
        <f>'Scenario Manager'!F37</f>
        <v>79035.643929949147</v>
      </c>
      <c r="G5" s="51">
        <f>'Scenario Manager'!G37</f>
        <v>82551.690307640209</v>
      </c>
      <c r="H5" s="51">
        <f>'Scenario Manager'!H37</f>
        <v>86514.560328074382</v>
      </c>
      <c r="I5" s="51">
        <f>'Scenario Manager'!I37</f>
        <v>90559.1047399042</v>
      </c>
      <c r="J5" s="51">
        <f>'Scenario Manager'!J37</f>
        <v>95531.456914526745</v>
      </c>
    </row>
    <row r="6" spans="1:10" ht="14.45" x14ac:dyDescent="0.3">
      <c r="C6" s="37" t="str">
        <f>'Scenario Manager'!C38</f>
        <v>Lease, rental and concession income</v>
      </c>
      <c r="D6" s="37" t="s">
        <v>29</v>
      </c>
      <c r="E6" s="51"/>
      <c r="F6" s="51">
        <f>'Scenario Manager'!F38</f>
        <v>12120.862259178784</v>
      </c>
      <c r="G6" s="51">
        <f>'Scenario Manager'!G38</f>
        <v>12310.613704305024</v>
      </c>
      <c r="H6" s="51">
        <f>'Scenario Manager'!H38</f>
        <v>12529.188914055556</v>
      </c>
      <c r="I6" s="51">
        <f>'Scenario Manager'!I38</f>
        <v>12743.545766313102</v>
      </c>
      <c r="J6" s="51">
        <f>'Scenario Manager'!J38</f>
        <v>12968.736681639364</v>
      </c>
    </row>
    <row r="7" spans="1:10" ht="14.45" x14ac:dyDescent="0.3">
      <c r="C7" s="37" t="str">
        <f>'Scenario Manager'!C39</f>
        <v>Other revenue</v>
      </c>
      <c r="D7" s="37" t="s">
        <v>29</v>
      </c>
      <c r="E7" s="51"/>
      <c r="F7" s="51">
        <f>'Scenario Manager'!F39</f>
        <v>0</v>
      </c>
      <c r="G7" s="51">
        <f>'Scenario Manager'!G39</f>
        <v>0</v>
      </c>
      <c r="H7" s="51">
        <f>'Scenario Manager'!H39</f>
        <v>0</v>
      </c>
      <c r="I7" s="51">
        <f>'Scenario Manager'!I39</f>
        <v>0</v>
      </c>
      <c r="J7" s="51">
        <f>'Scenario Manager'!J39</f>
        <v>0</v>
      </c>
    </row>
    <row r="8" spans="1:10" ht="14.45" x14ac:dyDescent="0.3">
      <c r="C8" s="37" t="s">
        <v>68</v>
      </c>
      <c r="D8" s="37" t="s">
        <v>29</v>
      </c>
      <c r="E8" s="51"/>
      <c r="F8" s="51">
        <f>'Scenario Manager'!F40</f>
        <v>0</v>
      </c>
      <c r="G8" s="51">
        <f>'Scenario Manager'!G40</f>
        <v>0</v>
      </c>
      <c r="H8" s="51">
        <f>'Scenario Manager'!H40</f>
        <v>0</v>
      </c>
      <c r="I8" s="51">
        <f>'Scenario Manager'!I40</f>
        <v>0</v>
      </c>
      <c r="J8" s="51">
        <f>'Scenario Manager'!J40</f>
        <v>0</v>
      </c>
    </row>
    <row r="9" spans="1:10" ht="18" x14ac:dyDescent="0.35">
      <c r="B9" s="34" t="s">
        <v>48</v>
      </c>
      <c r="C9" s="37"/>
      <c r="D9" s="37"/>
      <c r="E9" s="51"/>
      <c r="F9" s="57"/>
      <c r="G9" s="57"/>
      <c r="H9" s="57"/>
      <c r="I9" s="57"/>
      <c r="J9" s="57"/>
    </row>
    <row r="10" spans="1:10" ht="14.45" customHeight="1" x14ac:dyDescent="0.3">
      <c r="B10" s="34"/>
      <c r="C10" s="37" t="s">
        <v>24</v>
      </c>
      <c r="D10" s="37" t="s">
        <v>29</v>
      </c>
      <c r="E10" s="51"/>
      <c r="F10" s="51">
        <f>'Scenario Manager'!F77</f>
        <v>0</v>
      </c>
      <c r="G10" s="51">
        <f>'Scenario Manager'!G77</f>
        <v>0</v>
      </c>
      <c r="H10" s="51">
        <f>'Scenario Manager'!H77</f>
        <v>0</v>
      </c>
      <c r="I10" s="51">
        <f>'Scenario Manager'!I77</f>
        <v>0</v>
      </c>
      <c r="J10" s="51">
        <f>'Scenario Manager'!J77</f>
        <v>0</v>
      </c>
    </row>
    <row r="11" spans="1:10" ht="14.45" customHeight="1" x14ac:dyDescent="0.3">
      <c r="B11" s="34"/>
      <c r="C11" s="37" t="s">
        <v>26</v>
      </c>
      <c r="D11" s="37" t="s">
        <v>29</v>
      </c>
      <c r="E11" s="51"/>
      <c r="F11" s="51">
        <f>'Scenario Manager'!F78</f>
        <v>0</v>
      </c>
      <c r="G11" s="51">
        <f>'Scenario Manager'!G78</f>
        <v>0</v>
      </c>
      <c r="H11" s="51">
        <f>'Scenario Manager'!H78</f>
        <v>0</v>
      </c>
      <c r="I11" s="51">
        <f>'Scenario Manager'!I78</f>
        <v>0</v>
      </c>
      <c r="J11" s="51">
        <f>'Scenario Manager'!J78</f>
        <v>0</v>
      </c>
    </row>
    <row r="12" spans="1:10" ht="14.45" customHeight="1" x14ac:dyDescent="0.3">
      <c r="B12" s="34"/>
      <c r="C12" s="37" t="s">
        <v>25</v>
      </c>
      <c r="D12" s="37" t="s">
        <v>29</v>
      </c>
      <c r="E12" s="51"/>
      <c r="F12" s="51">
        <f>'Scenario Manager'!F79</f>
        <v>0</v>
      </c>
      <c r="G12" s="51">
        <f>'Scenario Manager'!G79</f>
        <v>0</v>
      </c>
      <c r="H12" s="51">
        <f>'Scenario Manager'!H79</f>
        <v>0</v>
      </c>
      <c r="I12" s="51">
        <f>'Scenario Manager'!I79</f>
        <v>0</v>
      </c>
      <c r="J12" s="51">
        <f>'Scenario Manager'!J79</f>
        <v>0</v>
      </c>
    </row>
    <row r="13" spans="1:10" ht="14.45" customHeight="1" x14ac:dyDescent="0.3">
      <c r="B13" s="34"/>
      <c r="C13" s="37" t="s">
        <v>27</v>
      </c>
      <c r="D13" s="37" t="s">
        <v>29</v>
      </c>
      <c r="E13" s="51"/>
      <c r="F13" s="51">
        <f>'Scenario Manager'!F80</f>
        <v>0</v>
      </c>
      <c r="G13" s="51">
        <f>'Scenario Manager'!G80</f>
        <v>0</v>
      </c>
      <c r="H13" s="51">
        <f>'Scenario Manager'!H80</f>
        <v>0</v>
      </c>
      <c r="I13" s="51">
        <f>'Scenario Manager'!I80</f>
        <v>0</v>
      </c>
      <c r="J13" s="51">
        <f>'Scenario Manager'!J80</f>
        <v>0</v>
      </c>
    </row>
    <row r="14" spans="1:10" ht="14.45" customHeight="1" x14ac:dyDescent="0.35">
      <c r="B14" s="34"/>
      <c r="C14" s="37" t="s">
        <v>28</v>
      </c>
      <c r="D14" s="37" t="s">
        <v>29</v>
      </c>
      <c r="E14" s="51"/>
      <c r="F14" s="51">
        <f>'Scenario Manager'!F81</f>
        <v>0</v>
      </c>
      <c r="G14" s="51">
        <f>'Scenario Manager'!G81</f>
        <v>0</v>
      </c>
      <c r="H14" s="51">
        <f>'Scenario Manager'!H81</f>
        <v>0</v>
      </c>
      <c r="I14" s="51">
        <f>'Scenario Manager'!I81</f>
        <v>0</v>
      </c>
      <c r="J14" s="51">
        <f>'Scenario Manager'!J81</f>
        <v>0</v>
      </c>
    </row>
    <row r="15" spans="1:10" ht="14.45" customHeight="1" x14ac:dyDescent="0.35">
      <c r="B15" s="34" t="s">
        <v>9</v>
      </c>
      <c r="C15" s="37"/>
      <c r="D15" s="37"/>
      <c r="E15" s="51"/>
      <c r="F15" s="57"/>
      <c r="G15" s="57"/>
      <c r="H15" s="57"/>
      <c r="I15" s="57"/>
      <c r="J15" s="57"/>
    </row>
    <row r="16" spans="1:10" ht="15.6" customHeight="1" x14ac:dyDescent="0.35">
      <c r="B16" s="34"/>
      <c r="C16" s="37" t="str">
        <f>'Scenario Manager'!B14</f>
        <v>Tax rate</v>
      </c>
      <c r="D16" s="37" t="s">
        <v>29</v>
      </c>
      <c r="E16" s="52">
        <f>'Scenario Manager'!E14</f>
        <v>0.28000000000000003</v>
      </c>
      <c r="F16" s="57"/>
      <c r="G16" s="57"/>
      <c r="H16" s="57"/>
      <c r="I16" s="57"/>
      <c r="J16" s="57"/>
    </row>
    <row r="17" spans="1:10" ht="18" x14ac:dyDescent="0.35">
      <c r="A17" s="34"/>
      <c r="B17" s="34" t="s">
        <v>64</v>
      </c>
      <c r="C17" s="37"/>
      <c r="D17" s="37"/>
      <c r="E17" s="51"/>
      <c r="F17" s="57"/>
      <c r="G17" s="57"/>
      <c r="H17" s="57"/>
      <c r="I17" s="57"/>
      <c r="J17" s="57"/>
    </row>
    <row r="18" spans="1:10" ht="14.45" x14ac:dyDescent="0.3">
      <c r="C18" s="54" t="s">
        <v>33</v>
      </c>
      <c r="D18" s="37" t="s">
        <v>157</v>
      </c>
      <c r="E18" s="51"/>
      <c r="F18" s="49">
        <f>'Scenario asset base'!F168</f>
        <v>534218.77409418614</v>
      </c>
      <c r="G18" s="49">
        <f>'Scenario asset base'!G168</f>
        <v>536696.66286932945</v>
      </c>
      <c r="H18" s="49">
        <f>'Scenario asset base'!H168</f>
        <v>544698.03499692376</v>
      </c>
      <c r="I18" s="49">
        <f>'Scenario asset base'!I168</f>
        <v>549399.27789044857</v>
      </c>
      <c r="J18" s="49">
        <f>'Scenario asset base'!J168</f>
        <v>550107.25916371448</v>
      </c>
    </row>
    <row r="19" spans="1:10" ht="14.45" x14ac:dyDescent="0.3">
      <c r="C19" s="61" t="s">
        <v>36</v>
      </c>
      <c r="D19" s="37" t="s">
        <v>157</v>
      </c>
      <c r="E19" s="51"/>
      <c r="F19" s="49">
        <f>'Scenario asset base'!F169</f>
        <v>7288.910598880112</v>
      </c>
      <c r="G19" s="49">
        <f>'Scenario asset base'!G169</f>
        <v>10693.253052283477</v>
      </c>
      <c r="H19" s="49">
        <f>'Scenario asset base'!H169</f>
        <v>10288.792621400475</v>
      </c>
      <c r="I19" s="49">
        <f>'Scenario asset base'!I169</f>
        <v>10872.950940622271</v>
      </c>
      <c r="J19" s="49">
        <f>'Scenario asset base'!J169</f>
        <v>10830.564445026695</v>
      </c>
    </row>
    <row r="20" spans="1:10" ht="14.45" x14ac:dyDescent="0.3">
      <c r="C20" s="61" t="s">
        <v>37</v>
      </c>
      <c r="D20" s="37" t="s">
        <v>157</v>
      </c>
      <c r="E20" s="51"/>
      <c r="F20" s="49">
        <f>'Scenario asset base'!F170</f>
        <v>20968.303721619915</v>
      </c>
      <c r="G20" s="49">
        <f>'Scenario asset base'!G170</f>
        <v>19573.636619958641</v>
      </c>
      <c r="H20" s="49">
        <f>'Scenario asset base'!H170</f>
        <v>21909.724806421127</v>
      </c>
      <c r="I20" s="49">
        <f>'Scenario asset base'!I170</f>
        <v>24495.737439089949</v>
      </c>
      <c r="J20" s="49">
        <f>'Scenario asset base'!J170</f>
        <v>24218.744042060585</v>
      </c>
    </row>
    <row r="21" spans="1:10" ht="14.45" x14ac:dyDescent="0.3">
      <c r="C21" s="61" t="s">
        <v>66</v>
      </c>
      <c r="D21" s="37" t="s">
        <v>29</v>
      </c>
      <c r="E21" s="51"/>
      <c r="F21" s="49">
        <f>'Scenario Manager'!F88</f>
        <v>40765.19669380234</v>
      </c>
      <c r="G21" s="49">
        <f>'Scenario Manager'!G88</f>
        <v>37920.683678528811</v>
      </c>
      <c r="H21" s="49">
        <f>'Scenario Manager'!H88</f>
        <v>38630.272492554555</v>
      </c>
      <c r="I21" s="49">
        <f>'Scenario Manager'!I88</f>
        <v>39385.363659636321</v>
      </c>
      <c r="J21" s="49">
        <f>'Scenario Manager'!J88</f>
        <v>40157.05076450741</v>
      </c>
    </row>
    <row r="22" spans="1:10" ht="14.45" x14ac:dyDescent="0.3">
      <c r="C22" s="61" t="s">
        <v>67</v>
      </c>
      <c r="D22" s="37" t="s">
        <v>157</v>
      </c>
      <c r="E22" s="51"/>
      <c r="F22" s="49">
        <f>'Scenario asset base'!F171</f>
        <v>19358.811822096228</v>
      </c>
      <c r="G22" s="49">
        <f>'Scenario asset base'!G171</f>
        <v>19946.124800469166</v>
      </c>
      <c r="H22" s="49">
        <f>'Scenario asset base'!H171</f>
        <v>17442.706710588212</v>
      </c>
      <c r="I22" s="49">
        <f>'Scenario asset base'!I171</f>
        <v>17253.650363522556</v>
      </c>
      <c r="J22" s="49">
        <f>'Scenario asset base'!J171</f>
        <v>15203.688367884866</v>
      </c>
    </row>
    <row r="23" spans="1:10" ht="14.45" x14ac:dyDescent="0.3">
      <c r="C23" s="61" t="s">
        <v>72</v>
      </c>
      <c r="D23" s="37" t="s">
        <v>157</v>
      </c>
      <c r="E23" s="51"/>
      <c r="F23" s="49">
        <f>'Scenario asset base'!F172</f>
        <v>4393.719721970825</v>
      </c>
      <c r="G23" s="49">
        <f>'Scenario asset base'!G172</f>
        <v>4444.09885932411</v>
      </c>
      <c r="H23" s="49">
        <f>'Scenario asset base'!H172</f>
        <v>4475.4550831265651</v>
      </c>
      <c r="I23" s="49">
        <f>'Scenario asset base'!I172</f>
        <v>4555.2227965735956</v>
      </c>
      <c r="J23" s="49">
        <f>'Scenario asset base'!J172</f>
        <v>4537.4649742438805</v>
      </c>
    </row>
    <row r="24" spans="1:10" ht="14.45" x14ac:dyDescent="0.3">
      <c r="C24" s="61" t="s">
        <v>160</v>
      </c>
      <c r="D24" s="37" t="s">
        <v>157</v>
      </c>
      <c r="E24" s="51"/>
      <c r="F24" s="49">
        <f>'Scenario asset base'!F174</f>
        <v>0</v>
      </c>
      <c r="G24" s="49">
        <f>'Scenario asset base'!G174</f>
        <v>0</v>
      </c>
      <c r="H24" s="49">
        <f>'Scenario asset base'!H174</f>
        <v>0</v>
      </c>
      <c r="I24" s="49">
        <f>'Scenario asset base'!I174</f>
        <v>0</v>
      </c>
      <c r="J24" s="49">
        <f>'Scenario asset base'!J174</f>
        <v>0</v>
      </c>
    </row>
    <row r="26" spans="1:10" ht="23.45" x14ac:dyDescent="0.45">
      <c r="A26" s="26" t="s">
        <v>82</v>
      </c>
      <c r="F26" s="29">
        <v>2018</v>
      </c>
      <c r="G26" s="29">
        <f t="shared" ref="G26" si="1">F26+1</f>
        <v>2019</v>
      </c>
      <c r="H26" s="29">
        <f t="shared" ref="H26" si="2">G26+1</f>
        <v>2020</v>
      </c>
      <c r="I26" s="29">
        <f t="shared" ref="I26" si="3">H26+1</f>
        <v>2021</v>
      </c>
      <c r="J26" s="29">
        <f t="shared" ref="J26" si="4">I26+1</f>
        <v>2022</v>
      </c>
    </row>
    <row r="27" spans="1:10" x14ac:dyDescent="0.25">
      <c r="C27" s="61" t="s">
        <v>81</v>
      </c>
      <c r="D27" s="37"/>
      <c r="E27" s="37"/>
      <c r="F27" s="44">
        <f>F5+F6</f>
        <v>91156.506189127933</v>
      </c>
      <c r="G27" s="44">
        <f>G5+G6</f>
        <v>94862.304011945234</v>
      </c>
      <c r="H27" s="44">
        <f>H5+H6</f>
        <v>99043.749242129939</v>
      </c>
      <c r="I27" s="44">
        <f>I5+I6</f>
        <v>103302.65050621729</v>
      </c>
      <c r="J27" s="44">
        <f>J5+J6</f>
        <v>108500.19359616611</v>
      </c>
    </row>
    <row r="28" spans="1:10" x14ac:dyDescent="0.25">
      <c r="C28" s="61" t="s">
        <v>41</v>
      </c>
      <c r="D28" s="37"/>
      <c r="E28" s="37"/>
      <c r="F28" s="44">
        <f t="shared" ref="F28:J29" si="5">F7</f>
        <v>0</v>
      </c>
      <c r="G28" s="44">
        <f t="shared" si="5"/>
        <v>0</v>
      </c>
      <c r="H28" s="44">
        <f t="shared" si="5"/>
        <v>0</v>
      </c>
      <c r="I28" s="44">
        <f t="shared" si="5"/>
        <v>0</v>
      </c>
      <c r="J28" s="44">
        <f t="shared" si="5"/>
        <v>0</v>
      </c>
    </row>
    <row r="29" spans="1:10" x14ac:dyDescent="0.25">
      <c r="C29" s="61" t="s">
        <v>79</v>
      </c>
      <c r="D29" s="37"/>
      <c r="E29" s="37"/>
      <c r="F29" s="44">
        <f t="shared" si="5"/>
        <v>0</v>
      </c>
      <c r="G29" s="44">
        <f t="shared" si="5"/>
        <v>0</v>
      </c>
      <c r="H29" s="44">
        <f t="shared" si="5"/>
        <v>0</v>
      </c>
      <c r="I29" s="44">
        <f t="shared" si="5"/>
        <v>0</v>
      </c>
      <c r="J29" s="44">
        <f t="shared" si="5"/>
        <v>0</v>
      </c>
    </row>
    <row r="30" spans="1:10" x14ac:dyDescent="0.25">
      <c r="C30" s="61" t="s">
        <v>163</v>
      </c>
      <c r="D30" s="37"/>
      <c r="E30" s="37"/>
      <c r="F30" s="44">
        <f>SUM(F27:F29)</f>
        <v>91156.506189127933</v>
      </c>
      <c r="G30" s="44">
        <f t="shared" ref="G30:J30" si="6">SUM(G27:G29)</f>
        <v>94862.304011945234</v>
      </c>
      <c r="H30" s="44">
        <f t="shared" si="6"/>
        <v>99043.749242129939</v>
      </c>
      <c r="I30" s="44">
        <f t="shared" si="6"/>
        <v>103302.65050621729</v>
      </c>
      <c r="J30" s="44">
        <f t="shared" si="6"/>
        <v>108500.19359616611</v>
      </c>
    </row>
    <row r="31" spans="1:10" x14ac:dyDescent="0.25">
      <c r="C31" s="61"/>
      <c r="D31" s="37"/>
      <c r="E31" s="37"/>
      <c r="F31" s="44"/>
      <c r="G31" s="44"/>
      <c r="H31" s="44"/>
      <c r="I31" s="44"/>
      <c r="J31" s="44"/>
    </row>
    <row r="32" spans="1:10" x14ac:dyDescent="0.25">
      <c r="B32" s="55" t="s">
        <v>40</v>
      </c>
      <c r="C32" s="61" t="s">
        <v>83</v>
      </c>
      <c r="D32" s="37"/>
      <c r="E32" s="37"/>
      <c r="F32" s="44">
        <f>-F21</f>
        <v>-40765.19669380234</v>
      </c>
      <c r="G32" s="44">
        <f>-G21</f>
        <v>-37920.683678528811</v>
      </c>
      <c r="H32" s="44">
        <f>-H21</f>
        <v>-38630.272492554555</v>
      </c>
      <c r="I32" s="44">
        <f>-I21</f>
        <v>-39385.363659636321</v>
      </c>
      <c r="J32" s="44">
        <f>-J21</f>
        <v>-40157.05076450741</v>
      </c>
    </row>
    <row r="33" spans="1:10" x14ac:dyDescent="0.25">
      <c r="C33" s="61" t="s">
        <v>84</v>
      </c>
      <c r="D33" s="37"/>
      <c r="E33" s="37"/>
      <c r="F33" s="44">
        <f>SUM(F30:F32)</f>
        <v>50391.309495325593</v>
      </c>
      <c r="G33" s="44">
        <f t="shared" ref="G33:J33" si="7">SUM(G30:G32)</f>
        <v>56941.620333416424</v>
      </c>
      <c r="H33" s="44">
        <f t="shared" si="7"/>
        <v>60413.476749575384</v>
      </c>
      <c r="I33" s="44">
        <f t="shared" si="7"/>
        <v>63917.286846580973</v>
      </c>
      <c r="J33" s="44">
        <f t="shared" si="7"/>
        <v>68343.142831658697</v>
      </c>
    </row>
    <row r="34" spans="1:10" x14ac:dyDescent="0.25">
      <c r="C34" s="61"/>
      <c r="D34" s="37"/>
      <c r="E34" s="37"/>
      <c r="F34" s="44"/>
      <c r="G34" s="44"/>
      <c r="H34" s="44"/>
      <c r="I34" s="44"/>
      <c r="J34" s="44"/>
    </row>
    <row r="35" spans="1:10" x14ac:dyDescent="0.25">
      <c r="B35" s="55" t="s">
        <v>40</v>
      </c>
      <c r="C35" s="61" t="s">
        <v>56</v>
      </c>
      <c r="D35" s="37"/>
      <c r="E35" s="37"/>
      <c r="F35" s="44">
        <f>-F20</f>
        <v>-20968.303721619915</v>
      </c>
      <c r="G35" s="44">
        <f>-G20</f>
        <v>-19573.636619958641</v>
      </c>
      <c r="H35" s="44">
        <f>-H20</f>
        <v>-21909.724806421127</v>
      </c>
      <c r="I35" s="44">
        <f>-I20</f>
        <v>-24495.737439089949</v>
      </c>
      <c r="J35" s="44">
        <f>-J20</f>
        <v>-24218.744042060585</v>
      </c>
    </row>
    <row r="36" spans="1:10" x14ac:dyDescent="0.25">
      <c r="B36" s="55" t="s">
        <v>39</v>
      </c>
      <c r="C36" s="61" t="s">
        <v>80</v>
      </c>
      <c r="D36" s="37"/>
      <c r="E36" s="37"/>
      <c r="F36" s="44">
        <f>F19</f>
        <v>7288.910598880112</v>
      </c>
      <c r="G36" s="44">
        <f>G19</f>
        <v>10693.253052283477</v>
      </c>
      <c r="H36" s="44">
        <f>H19</f>
        <v>10288.792621400475</v>
      </c>
      <c r="I36" s="44">
        <f>I19</f>
        <v>10872.950940622271</v>
      </c>
      <c r="J36" s="44">
        <f>J19</f>
        <v>10830.564445026695</v>
      </c>
    </row>
    <row r="37" spans="1:10" x14ac:dyDescent="0.25">
      <c r="B37" s="54"/>
      <c r="C37" s="61" t="s">
        <v>74</v>
      </c>
      <c r="D37" s="37"/>
      <c r="E37" s="37"/>
      <c r="F37" s="44">
        <f>SUM(F33:F36)</f>
        <v>36711.916372585787</v>
      </c>
      <c r="G37" s="44">
        <f t="shared" ref="G37:J37" si="8">SUM(G33:G36)</f>
        <v>48061.236765741261</v>
      </c>
      <c r="H37" s="44">
        <f t="shared" si="8"/>
        <v>48792.544564554737</v>
      </c>
      <c r="I37" s="44">
        <f t="shared" si="8"/>
        <v>50294.500348113295</v>
      </c>
      <c r="J37" s="44">
        <f t="shared" si="8"/>
        <v>54954.963234624811</v>
      </c>
    </row>
    <row r="39" spans="1:10" ht="23.25" x14ac:dyDescent="0.35">
      <c r="A39" s="26" t="s">
        <v>106</v>
      </c>
      <c r="F39" s="29">
        <v>2018</v>
      </c>
      <c r="G39" s="29">
        <f t="shared" ref="G39" si="9">F39+1</f>
        <v>2019</v>
      </c>
      <c r="H39" s="29">
        <f t="shared" ref="H39" si="10">G39+1</f>
        <v>2020</v>
      </c>
      <c r="I39" s="29">
        <f t="shared" ref="I39" si="11">H39+1</f>
        <v>2021</v>
      </c>
      <c r="J39" s="29">
        <f t="shared" ref="J39" si="12">I39+1</f>
        <v>2022</v>
      </c>
    </row>
    <row r="40" spans="1:10" x14ac:dyDescent="0.25">
      <c r="C40" s="61" t="s">
        <v>74</v>
      </c>
      <c r="D40" s="61"/>
      <c r="E40" s="61"/>
      <c r="F40" s="61">
        <f>F37</f>
        <v>36711.916372585787</v>
      </c>
      <c r="G40" s="61">
        <f t="shared" ref="G40:J40" si="13">G37</f>
        <v>48061.236765741261</v>
      </c>
      <c r="H40" s="61">
        <f t="shared" si="13"/>
        <v>48792.544564554737</v>
      </c>
      <c r="I40" s="61">
        <f t="shared" si="13"/>
        <v>50294.500348113295</v>
      </c>
      <c r="J40" s="61">
        <f t="shared" si="13"/>
        <v>54954.963234624811</v>
      </c>
    </row>
    <row r="41" spans="1:10" x14ac:dyDescent="0.25">
      <c r="C41" s="61"/>
      <c r="D41" s="61"/>
      <c r="E41" s="61"/>
      <c r="F41" s="61"/>
      <c r="G41" s="61"/>
      <c r="H41" s="61"/>
      <c r="I41" s="61"/>
      <c r="J41" s="61"/>
    </row>
    <row r="42" spans="1:10" x14ac:dyDescent="0.25">
      <c r="B42" s="55" t="s">
        <v>39</v>
      </c>
      <c r="C42" s="61" t="s">
        <v>75</v>
      </c>
      <c r="D42" s="61"/>
      <c r="E42" s="61"/>
      <c r="F42" s="61">
        <f>F20</f>
        <v>20968.303721619915</v>
      </c>
      <c r="G42" s="61">
        <f>G20</f>
        <v>19573.636619958641</v>
      </c>
      <c r="H42" s="61">
        <f>H20</f>
        <v>21909.724806421127</v>
      </c>
      <c r="I42" s="61">
        <f>I20</f>
        <v>24495.737439089949</v>
      </c>
      <c r="J42" s="61">
        <f>J20</f>
        <v>24218.744042060585</v>
      </c>
    </row>
    <row r="43" spans="1:10" x14ac:dyDescent="0.25">
      <c r="B43" s="55"/>
      <c r="C43" s="61" t="s">
        <v>24</v>
      </c>
      <c r="D43" s="61"/>
      <c r="E43" s="61"/>
      <c r="F43" s="61">
        <f>F10</f>
        <v>0</v>
      </c>
      <c r="G43" s="61">
        <f>G10</f>
        <v>0</v>
      </c>
      <c r="H43" s="61">
        <f>H10</f>
        <v>0</v>
      </c>
      <c r="I43" s="61">
        <f>I10</f>
        <v>0</v>
      </c>
      <c r="J43" s="61">
        <f>J10</f>
        <v>0</v>
      </c>
    </row>
    <row r="44" spans="1:10" x14ac:dyDescent="0.25">
      <c r="B44" s="55"/>
      <c r="C44" s="61" t="s">
        <v>25</v>
      </c>
      <c r="D44" s="61"/>
      <c r="E44" s="61"/>
      <c r="F44" s="61">
        <f>F12</f>
        <v>0</v>
      </c>
      <c r="G44" s="61">
        <f>G12</f>
        <v>0</v>
      </c>
      <c r="H44" s="61">
        <f>H12</f>
        <v>0</v>
      </c>
      <c r="I44" s="61">
        <f>I12</f>
        <v>0</v>
      </c>
      <c r="J44" s="61">
        <f>J12</f>
        <v>0</v>
      </c>
    </row>
    <row r="45" spans="1:10" x14ac:dyDescent="0.25">
      <c r="B45" s="55"/>
      <c r="C45" s="61" t="s">
        <v>53</v>
      </c>
      <c r="D45" s="61"/>
      <c r="E45" s="61"/>
      <c r="F45" s="61">
        <f>-F8</f>
        <v>0</v>
      </c>
      <c r="G45" s="61">
        <f>-G8</f>
        <v>0</v>
      </c>
      <c r="H45" s="61">
        <f>-H8</f>
        <v>0</v>
      </c>
      <c r="I45" s="61">
        <f>-I8</f>
        <v>0</v>
      </c>
      <c r="J45" s="61">
        <f>-J8</f>
        <v>0</v>
      </c>
    </row>
    <row r="46" spans="1:10" x14ac:dyDescent="0.25">
      <c r="B46" s="55"/>
      <c r="C46" s="61"/>
      <c r="D46" s="61"/>
      <c r="E46" s="61"/>
      <c r="F46" s="61"/>
      <c r="G46" s="61"/>
      <c r="H46" s="61"/>
      <c r="I46" s="61"/>
      <c r="J46" s="61"/>
    </row>
    <row r="47" spans="1:10" x14ac:dyDescent="0.25">
      <c r="B47" s="55" t="s">
        <v>40</v>
      </c>
      <c r="C47" s="61" t="s">
        <v>76</v>
      </c>
      <c r="D47" s="61"/>
      <c r="E47" s="61"/>
      <c r="F47" s="61">
        <f>-F19</f>
        <v>-7288.910598880112</v>
      </c>
      <c r="G47" s="61">
        <f>-G19</f>
        <v>-10693.253052283477</v>
      </c>
      <c r="H47" s="61">
        <f>-H19</f>
        <v>-10288.792621400475</v>
      </c>
      <c r="I47" s="61">
        <f>-I19</f>
        <v>-10872.950940622271</v>
      </c>
      <c r="J47" s="61">
        <f>-J19</f>
        <v>-10830.564445026695</v>
      </c>
    </row>
    <row r="48" spans="1:10" x14ac:dyDescent="0.25">
      <c r="C48" s="61" t="s">
        <v>43</v>
      </c>
      <c r="D48" s="61"/>
      <c r="E48" s="61"/>
      <c r="F48" s="61">
        <f t="shared" ref="F48:J48" si="14">-F22</f>
        <v>-19358.811822096228</v>
      </c>
      <c r="G48" s="61">
        <f t="shared" si="14"/>
        <v>-19946.124800469166</v>
      </c>
      <c r="H48" s="61">
        <f t="shared" si="14"/>
        <v>-17442.706710588212</v>
      </c>
      <c r="I48" s="61">
        <f t="shared" si="14"/>
        <v>-17253.650363522556</v>
      </c>
      <c r="J48" s="61">
        <f t="shared" si="14"/>
        <v>-15203.688367884866</v>
      </c>
    </row>
    <row r="49" spans="1:10" x14ac:dyDescent="0.25">
      <c r="C49" s="61" t="s">
        <v>44</v>
      </c>
      <c r="D49" s="61"/>
      <c r="E49" s="61"/>
      <c r="F49" s="61">
        <f t="shared" ref="F49:J49" si="15">-F23</f>
        <v>-4393.719721970825</v>
      </c>
      <c r="G49" s="61">
        <f t="shared" si="15"/>
        <v>-4444.09885932411</v>
      </c>
      <c r="H49" s="61">
        <f t="shared" si="15"/>
        <v>-4475.4550831265651</v>
      </c>
      <c r="I49" s="61">
        <f t="shared" si="15"/>
        <v>-4555.2227965735956</v>
      </c>
      <c r="J49" s="61">
        <f t="shared" si="15"/>
        <v>-4537.4649742438805</v>
      </c>
    </row>
    <row r="50" spans="1:10" x14ac:dyDescent="0.25">
      <c r="C50" s="61" t="s">
        <v>26</v>
      </c>
      <c r="D50" s="61"/>
      <c r="E50" s="61"/>
      <c r="F50" s="61">
        <f>-F11</f>
        <v>0</v>
      </c>
      <c r="G50" s="61">
        <f>-G11</f>
        <v>0</v>
      </c>
      <c r="H50" s="61">
        <f>-H11</f>
        <v>0</v>
      </c>
      <c r="I50" s="61">
        <f>-I11</f>
        <v>0</v>
      </c>
      <c r="J50" s="61">
        <f>-J11</f>
        <v>0</v>
      </c>
    </row>
    <row r="51" spans="1:10" x14ac:dyDescent="0.25">
      <c r="C51" s="61" t="s">
        <v>27</v>
      </c>
      <c r="D51" s="61"/>
      <c r="E51" s="61"/>
      <c r="F51" s="61">
        <f>-F13</f>
        <v>0</v>
      </c>
      <c r="G51" s="61">
        <f>-G13</f>
        <v>0</v>
      </c>
      <c r="H51" s="61">
        <f>-H13</f>
        <v>0</v>
      </c>
      <c r="I51" s="61">
        <f>-I13</f>
        <v>0</v>
      </c>
      <c r="J51" s="61">
        <f>-J13</f>
        <v>0</v>
      </c>
    </row>
    <row r="52" spans="1:10" x14ac:dyDescent="0.25">
      <c r="C52" s="61" t="s">
        <v>101</v>
      </c>
      <c r="D52" s="61"/>
      <c r="E52" s="61"/>
      <c r="F52" s="61">
        <f>-F45*('Default asset base'!F147/'Default asset base'!F97)</f>
        <v>0</v>
      </c>
      <c r="G52" s="61">
        <f>-G45*('Default asset base'!G147/'Default asset base'!G97)</f>
        <v>0</v>
      </c>
      <c r="H52" s="61">
        <f>-H45*('Default asset base'!H147/'Default asset base'!H97)</f>
        <v>0</v>
      </c>
      <c r="I52" s="61">
        <f>-I45*('Default asset base'!I147/'Default asset base'!I97)</f>
        <v>0</v>
      </c>
      <c r="J52" s="61">
        <f>-J45*('Default asset base'!J147/'Default asset base'!J97)</f>
        <v>0</v>
      </c>
    </row>
    <row r="53" spans="1:10" x14ac:dyDescent="0.25">
      <c r="C53" s="61"/>
      <c r="D53" s="61"/>
      <c r="E53" s="61"/>
      <c r="F53" s="61"/>
      <c r="G53" s="61"/>
      <c r="H53" s="61"/>
      <c r="I53" s="61"/>
      <c r="J53" s="61"/>
    </row>
    <row r="54" spans="1:10" x14ac:dyDescent="0.25">
      <c r="C54" s="61" t="s">
        <v>77</v>
      </c>
      <c r="D54" s="61"/>
      <c r="E54" s="61"/>
      <c r="F54" s="61">
        <f>SUM(F40:F52)</f>
        <v>26638.77795125854</v>
      </c>
      <c r="G54" s="61">
        <f>SUM(G40:G52)</f>
        <v>32551.396673623149</v>
      </c>
      <c r="H54" s="61">
        <f>SUM(H40:H52)</f>
        <v>38495.314955860609</v>
      </c>
      <c r="I54" s="61">
        <f>SUM(I40:I52)</f>
        <v>42108.413686484826</v>
      </c>
      <c r="J54" s="61">
        <f>SUM(J40:J52)</f>
        <v>48601.989489529951</v>
      </c>
    </row>
    <row r="55" spans="1:10" x14ac:dyDescent="0.25">
      <c r="C55" s="61"/>
      <c r="D55" s="61"/>
      <c r="E55" s="61"/>
      <c r="F55" s="61"/>
      <c r="G55" s="61"/>
      <c r="H55" s="61"/>
      <c r="I55" s="61"/>
      <c r="J55" s="61"/>
    </row>
    <row r="56" spans="1:10" x14ac:dyDescent="0.25">
      <c r="C56" s="61" t="s">
        <v>78</v>
      </c>
      <c r="D56" s="61"/>
      <c r="E56" s="61"/>
      <c r="F56" s="61">
        <f>F54*$E$16</f>
        <v>7458.8578263523923</v>
      </c>
      <c r="G56" s="61">
        <f t="shared" ref="G56:J56" si="16">G54*$E$16</f>
        <v>9114.3910686144827</v>
      </c>
      <c r="H56" s="61">
        <f t="shared" si="16"/>
        <v>10778.688187640972</v>
      </c>
      <c r="I56" s="61">
        <f t="shared" si="16"/>
        <v>11790.355832215753</v>
      </c>
      <c r="J56" s="61">
        <f t="shared" si="16"/>
        <v>13608.557057068389</v>
      </c>
    </row>
    <row r="58" spans="1:10" x14ac:dyDescent="0.25">
      <c r="C58" s="61" t="s">
        <v>105</v>
      </c>
      <c r="D58" s="61"/>
      <c r="E58" s="61"/>
      <c r="F58" s="61">
        <f t="shared" ref="F58:J58" si="17">F56-(F49*$E$16)</f>
        <v>8689.0993485042236</v>
      </c>
      <c r="G58" s="61">
        <f t="shared" si="17"/>
        <v>10358.738749225235</v>
      </c>
      <c r="H58" s="61">
        <f t="shared" si="17"/>
        <v>12031.81561091641</v>
      </c>
      <c r="I58" s="61">
        <f t="shared" si="17"/>
        <v>13065.81821525636</v>
      </c>
      <c r="J58" s="61">
        <f t="shared" si="17"/>
        <v>14879.047249856676</v>
      </c>
    </row>
    <row r="60" spans="1:10" ht="23.25" x14ac:dyDescent="0.35">
      <c r="A60" s="26" t="s">
        <v>168</v>
      </c>
      <c r="F60" s="29">
        <v>2018</v>
      </c>
      <c r="G60" s="29">
        <f t="shared" ref="G60" si="18">F60+1</f>
        <v>2019</v>
      </c>
      <c r="H60" s="29">
        <f t="shared" ref="H60" si="19">G60+1</f>
        <v>2020</v>
      </c>
      <c r="I60" s="29">
        <f t="shared" ref="I60" si="20">H60+1</f>
        <v>2021</v>
      </c>
      <c r="J60" s="29">
        <f t="shared" ref="J60" si="21">I60+1</f>
        <v>2022</v>
      </c>
    </row>
    <row r="61" spans="1:10" x14ac:dyDescent="0.25">
      <c r="C61" s="61" t="s">
        <v>160</v>
      </c>
      <c r="D61" s="61"/>
      <c r="E61" s="61"/>
      <c r="F61" s="61">
        <f>F24</f>
        <v>0</v>
      </c>
      <c r="G61" s="61">
        <f t="shared" ref="G61:J61" si="22">G24</f>
        <v>0</v>
      </c>
      <c r="H61" s="61">
        <f t="shared" si="22"/>
        <v>0</v>
      </c>
      <c r="I61" s="61">
        <f t="shared" si="22"/>
        <v>0</v>
      </c>
      <c r="J61" s="61">
        <f t="shared" si="22"/>
        <v>0</v>
      </c>
    </row>
    <row r="62" spans="1:10" x14ac:dyDescent="0.25">
      <c r="C62" s="61" t="s">
        <v>161</v>
      </c>
      <c r="D62" s="61"/>
      <c r="E62" s="61"/>
      <c r="F62" s="61">
        <f>F8</f>
        <v>0</v>
      </c>
      <c r="G62" s="61">
        <f>G8</f>
        <v>0</v>
      </c>
      <c r="H62" s="61">
        <f>H8</f>
        <v>0</v>
      </c>
      <c r="I62" s="61">
        <f>I8</f>
        <v>0</v>
      </c>
      <c r="J62" s="61">
        <f>J8</f>
        <v>0</v>
      </c>
    </row>
    <row r="63" spans="1:10" x14ac:dyDescent="0.25">
      <c r="C63" s="118" t="s">
        <v>178</v>
      </c>
      <c r="D63" s="61"/>
      <c r="E63" s="61"/>
      <c r="F63" s="61">
        <f>F61+F62</f>
        <v>0</v>
      </c>
      <c r="G63" s="61">
        <f t="shared" ref="G63:J63" si="23">G61+G62</f>
        <v>0</v>
      </c>
      <c r="H63" s="61">
        <f t="shared" si="23"/>
        <v>0</v>
      </c>
      <c r="I63" s="61">
        <f t="shared" si="23"/>
        <v>0</v>
      </c>
      <c r="J63" s="61">
        <f t="shared" si="23"/>
        <v>0</v>
      </c>
    </row>
    <row r="65" spans="1:10" ht="21" x14ac:dyDescent="0.35">
      <c r="A65" s="41" t="s">
        <v>7</v>
      </c>
      <c r="F65" s="29">
        <v>2018</v>
      </c>
      <c r="G65" s="29">
        <f t="shared" ref="G65:J65" si="24">F65+1</f>
        <v>2019</v>
      </c>
      <c r="H65" s="29">
        <f t="shared" si="24"/>
        <v>2020</v>
      </c>
      <c r="I65" s="29">
        <f t="shared" si="24"/>
        <v>2021</v>
      </c>
      <c r="J65" s="29">
        <f t="shared" si="24"/>
        <v>2022</v>
      </c>
    </row>
    <row r="66" spans="1:10" x14ac:dyDescent="0.25">
      <c r="C66" s="118" t="s">
        <v>178</v>
      </c>
      <c r="D66" s="61"/>
      <c r="E66" s="61"/>
      <c r="F66" s="61">
        <f>F63</f>
        <v>0</v>
      </c>
      <c r="G66" s="61">
        <f t="shared" ref="G66:J66" si="25">G63</f>
        <v>0</v>
      </c>
      <c r="H66" s="61">
        <f t="shared" si="25"/>
        <v>0</v>
      </c>
      <c r="I66" s="61">
        <f t="shared" si="25"/>
        <v>0</v>
      </c>
      <c r="J66" s="61">
        <f t="shared" si="25"/>
        <v>0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Footer>&amp;L&amp;F&amp;C&amp;A&amp;R&amp;P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CoverSheet</vt:lpstr>
      <vt:lpstr>Description</vt:lpstr>
      <vt:lpstr>Table of Contents</vt:lpstr>
      <vt:lpstr>Inputs</vt:lpstr>
      <vt:lpstr>Scenario Manager</vt:lpstr>
      <vt:lpstr>Timing factors</vt:lpstr>
      <vt:lpstr>Default asset base</vt:lpstr>
      <vt:lpstr>Scenario asset base</vt:lpstr>
      <vt:lpstr>Forecast revenue and tax</vt:lpstr>
      <vt:lpstr>Required revenue (mid point)</vt:lpstr>
      <vt:lpstr>Req Rev (reasonable target)</vt:lpstr>
      <vt:lpstr>IRR</vt:lpstr>
      <vt:lpstr>Output</vt:lpstr>
      <vt:lpstr>CoverSheet!Print_Area</vt:lpstr>
      <vt:lpstr>'Default asset base'!Print_Area</vt:lpstr>
      <vt:lpstr>Description!Print_Area</vt:lpstr>
      <vt:lpstr>'Forecast revenue and tax'!Print_Area</vt:lpstr>
      <vt:lpstr>Inputs!Print_Area</vt:lpstr>
      <vt:lpstr>IRR!Print_Area</vt:lpstr>
      <vt:lpstr>Output!Print_Area</vt:lpstr>
      <vt:lpstr>'Req Rev (reasonable target)'!Print_Area</vt:lpstr>
      <vt:lpstr>'Required revenue (mid point)'!Print_Area</vt:lpstr>
      <vt:lpstr>'Scenario asset base'!Print_Area</vt:lpstr>
      <vt:lpstr>'Scenario Manager'!Print_Area</vt:lpstr>
      <vt:lpstr>'Table of Contents'!Print_Area</vt:lpstr>
      <vt:lpstr>'Scenario asset base'!RIVProp</vt:lpstr>
      <vt:lpstr>RIVProp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kimberlyf</cp:lastModifiedBy>
  <cp:lastPrinted>2014-05-07T03:48:25Z</cp:lastPrinted>
  <dcterms:created xsi:type="dcterms:W3CDTF">2012-07-04T01:49:43Z</dcterms:created>
  <dcterms:modified xsi:type="dcterms:W3CDTF">2018-07-17T23:09:59Z</dcterms:modified>
</cp:coreProperties>
</file>