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05" yWindow="-30" windowWidth="19320" windowHeight="8220" tabRatio="755" activeTab="3"/>
  </bookViews>
  <sheets>
    <sheet name="Output" sheetId="3" r:id="rId1"/>
    <sheet name="Opex" sheetId="2" r:id="rId2"/>
    <sheet name="Opex Inputs" sheetId="1" r:id="rId3"/>
    <sheet name="Capex" sheetId="8" r:id="rId4"/>
    <sheet name="Capex Inputs" sheetId="7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E10" i="8"/>
  <c r="E14"/>
  <c r="E285" i="2"/>
  <c r="E11" i="8"/>
  <c r="E12"/>
  <c r="E13"/>
  <c r="E15"/>
  <c r="G69" i="1"/>
  <c r="F69"/>
  <c r="E69"/>
  <c r="D69"/>
  <c r="C69"/>
  <c r="G68"/>
  <c r="F68"/>
  <c r="E68"/>
  <c r="D68"/>
  <c r="C68"/>
  <c r="G67"/>
  <c r="F67"/>
  <c r="E67"/>
  <c r="D67"/>
  <c r="C67"/>
  <c r="G66"/>
  <c r="F66"/>
  <c r="E66"/>
  <c r="D66"/>
  <c r="C66"/>
  <c r="G65"/>
  <c r="F65"/>
  <c r="E65"/>
  <c r="D65"/>
  <c r="C65"/>
  <c r="G59"/>
  <c r="F59"/>
  <c r="E59"/>
  <c r="D59"/>
  <c r="C59"/>
  <c r="G58"/>
  <c r="F58"/>
  <c r="E58"/>
  <c r="D58"/>
  <c r="C58"/>
  <c r="G57"/>
  <c r="F57"/>
  <c r="E57"/>
  <c r="D57"/>
  <c r="C57"/>
  <c r="G56"/>
  <c r="F56"/>
  <c r="E56"/>
  <c r="D56"/>
  <c r="C56"/>
  <c r="G55"/>
  <c r="F55"/>
  <c r="E55"/>
  <c r="D55"/>
  <c r="C55"/>
  <c r="G49"/>
  <c r="F49"/>
  <c r="E49"/>
  <c r="D49"/>
  <c r="C49"/>
  <c r="G48"/>
  <c r="F48"/>
  <c r="E48"/>
  <c r="D48"/>
  <c r="C48"/>
  <c r="G47"/>
  <c r="F47"/>
  <c r="E47"/>
  <c r="D47"/>
  <c r="C47"/>
  <c r="G46"/>
  <c r="F46"/>
  <c r="E46"/>
  <c r="D46"/>
  <c r="C46"/>
  <c r="G45"/>
  <c r="F45"/>
  <c r="E45"/>
  <c r="D45"/>
  <c r="C45"/>
  <c r="F39"/>
  <c r="D39"/>
  <c r="C39"/>
  <c r="F38"/>
  <c r="D38"/>
  <c r="C38"/>
  <c r="F37"/>
  <c r="D37"/>
  <c r="C37"/>
  <c r="F36"/>
  <c r="D36"/>
  <c r="C36"/>
  <c r="F35"/>
  <c r="D35"/>
  <c r="C35"/>
  <c r="F34"/>
  <c r="D34"/>
  <c r="C34"/>
  <c r="F33"/>
  <c r="D33"/>
  <c r="C33"/>
  <c r="F9"/>
  <c r="D9"/>
  <c r="C9"/>
  <c r="F32" i="7"/>
  <c r="D32"/>
  <c r="C32"/>
  <c r="F31"/>
  <c r="D31"/>
  <c r="C31"/>
  <c r="F30"/>
  <c r="D30"/>
  <c r="C30"/>
  <c r="F29"/>
  <c r="D29"/>
  <c r="C29"/>
  <c r="F28"/>
  <c r="D28"/>
  <c r="C28"/>
  <c r="F27"/>
  <c r="D27"/>
  <c r="C27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F185" i="2"/>
  <c r="F187" s="1"/>
  <c r="C151" i="8" l="1"/>
  <c r="A25" i="3" l="1"/>
  <c r="S241" i="2"/>
  <c r="T241"/>
  <c r="S242"/>
  <c r="T242"/>
  <c r="S243"/>
  <c r="T243"/>
  <c r="S244"/>
  <c r="T244"/>
  <c r="S245"/>
  <c r="T245"/>
  <c r="S246"/>
  <c r="T246"/>
  <c r="S247"/>
  <c r="T247"/>
  <c r="R242"/>
  <c r="R243"/>
  <c r="R244"/>
  <c r="R245"/>
  <c r="R246"/>
  <c r="R247"/>
  <c r="R241"/>
  <c r="D225"/>
  <c r="E225"/>
  <c r="F225"/>
  <c r="G225"/>
  <c r="C225"/>
  <c r="D209"/>
  <c r="E209"/>
  <c r="F209"/>
  <c r="G209"/>
  <c r="C209"/>
  <c r="D193"/>
  <c r="E193"/>
  <c r="F193"/>
  <c r="G193"/>
  <c r="C193"/>
  <c r="E210" l="1"/>
  <c r="D226"/>
  <c r="F226"/>
  <c r="C226"/>
  <c r="E226"/>
  <c r="G226"/>
  <c r="C194"/>
  <c r="E194"/>
  <c r="G194"/>
  <c r="D194"/>
  <c r="F194"/>
  <c r="G210"/>
  <c r="D210"/>
  <c r="F210"/>
  <c r="C210"/>
  <c r="C9" l="1"/>
  <c r="B9"/>
  <c r="C30"/>
  <c r="B30"/>
  <c r="C51"/>
  <c r="B51"/>
  <c r="B192"/>
  <c r="B157" i="8" l="1"/>
  <c r="B148"/>
  <c r="B149"/>
  <c r="B150"/>
  <c r="B151"/>
  <c r="B152"/>
  <c r="B153"/>
  <c r="C147"/>
  <c r="D147"/>
  <c r="E147"/>
  <c r="F147"/>
  <c r="G147"/>
  <c r="C146"/>
  <c r="B146"/>
  <c r="A19" i="3"/>
  <c r="A20"/>
  <c r="A21"/>
  <c r="A22"/>
  <c r="A23"/>
  <c r="A24"/>
  <c r="B18"/>
  <c r="C18"/>
  <c r="D18"/>
  <c r="E18"/>
  <c r="F18"/>
  <c r="B126" i="8" l="1"/>
  <c r="B124"/>
  <c r="C122"/>
  <c r="B122"/>
  <c r="C118"/>
  <c r="B118"/>
  <c r="B120"/>
  <c r="D112"/>
  <c r="B112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87"/>
  <c r="B88"/>
  <c r="B89"/>
  <c r="B86"/>
  <c r="C85"/>
  <c r="D85"/>
  <c r="E85"/>
  <c r="F85"/>
  <c r="G85"/>
  <c r="C84"/>
  <c r="B84"/>
  <c r="B58"/>
  <c r="B59"/>
  <c r="B60"/>
  <c r="B61"/>
  <c r="C57"/>
  <c r="D57"/>
  <c r="E57"/>
  <c r="F57"/>
  <c r="G57"/>
  <c r="C56"/>
  <c r="B56"/>
  <c r="C25"/>
  <c r="C26"/>
  <c r="C27"/>
  <c r="B23"/>
  <c r="C23"/>
  <c r="B24"/>
  <c r="C24"/>
  <c r="B25"/>
  <c r="C47" s="1"/>
  <c r="B26"/>
  <c r="B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G216" l="1"/>
  <c r="G220"/>
  <c r="C216"/>
  <c r="C220"/>
  <c r="G217"/>
  <c r="G221"/>
  <c r="C217"/>
  <c r="D217" s="1"/>
  <c r="C222"/>
  <c r="G218"/>
  <c r="H218" s="1"/>
  <c r="G215"/>
  <c r="C218"/>
  <c r="C215"/>
  <c r="G219"/>
  <c r="C221"/>
  <c r="C219"/>
  <c r="D216"/>
  <c r="H215"/>
  <c r="D215"/>
  <c r="G48"/>
  <c r="G47"/>
  <c r="G50"/>
  <c r="C50"/>
  <c r="G49"/>
  <c r="C49"/>
  <c r="H48" l="1"/>
  <c r="H50"/>
  <c r="H47"/>
  <c r="H49"/>
  <c r="H219"/>
  <c r="H221"/>
  <c r="H216"/>
  <c r="H217"/>
  <c r="H220"/>
  <c r="D49"/>
  <c r="D47"/>
  <c r="D50"/>
  <c r="D220"/>
  <c r="D221"/>
  <c r="D218"/>
  <c r="D222"/>
  <c r="D219"/>
  <c r="C48"/>
  <c r="D48" s="1"/>
  <c r="B14" l="1"/>
  <c r="B15"/>
  <c r="B10"/>
  <c r="B11"/>
  <c r="B12"/>
  <c r="B13"/>
  <c r="C9"/>
  <c r="D9"/>
  <c r="E9"/>
  <c r="F9"/>
  <c r="G9"/>
  <c r="C8"/>
  <c r="B8"/>
  <c r="E12" i="2" l="1"/>
  <c r="F12"/>
  <c r="G12"/>
  <c r="E13"/>
  <c r="F13"/>
  <c r="G13"/>
  <c r="E14"/>
  <c r="F14"/>
  <c r="G14"/>
  <c r="D13"/>
  <c r="D14"/>
  <c r="C121" l="1"/>
  <c r="C122"/>
  <c r="C123"/>
  <c r="C124"/>
  <c r="C125"/>
  <c r="B122"/>
  <c r="B123"/>
  <c r="B124"/>
  <c r="B125"/>
  <c r="B121"/>
  <c r="C73"/>
  <c r="C74"/>
  <c r="C75"/>
  <c r="C76"/>
  <c r="C77"/>
  <c r="B74"/>
  <c r="B75"/>
  <c r="B76"/>
  <c r="B77"/>
  <c r="B73"/>
  <c r="B5" i="3" l="1"/>
  <c r="C5"/>
  <c r="D5"/>
  <c r="E5"/>
  <c r="F5"/>
  <c r="A6"/>
  <c r="A7"/>
  <c r="A8"/>
  <c r="A9"/>
  <c r="A10"/>
  <c r="A11"/>
  <c r="A12"/>
  <c r="B258" i="2" l="1"/>
  <c r="B289" s="1"/>
  <c r="C257"/>
  <c r="C288" s="1"/>
  <c r="D257"/>
  <c r="D288" s="1"/>
  <c r="E257"/>
  <c r="E288" s="1"/>
  <c r="F257"/>
  <c r="F288" s="1"/>
  <c r="G257"/>
  <c r="G288" s="1"/>
  <c r="C283"/>
  <c r="B283"/>
  <c r="C284"/>
  <c r="D284"/>
  <c r="E284"/>
  <c r="F284"/>
  <c r="G284"/>
  <c r="C285"/>
  <c r="D285"/>
  <c r="F285"/>
  <c r="G285"/>
  <c r="B285"/>
  <c r="C256" l="1"/>
  <c r="B256"/>
  <c r="B259"/>
  <c r="B260"/>
  <c r="B261"/>
  <c r="B262"/>
  <c r="B263"/>
  <c r="B264"/>
  <c r="F170"/>
  <c r="C170"/>
  <c r="B170"/>
  <c r="B187"/>
  <c r="C187"/>
  <c r="C185"/>
  <c r="B185"/>
  <c r="B224"/>
  <c r="B208"/>
  <c r="C192"/>
  <c r="C208"/>
  <c r="C224"/>
  <c r="B80"/>
  <c r="C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27"/>
  <c r="B128"/>
  <c r="C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79"/>
  <c r="C52"/>
  <c r="D52"/>
  <c r="E52"/>
  <c r="F52"/>
  <c r="G52"/>
  <c r="C53"/>
  <c r="C60" s="1"/>
  <c r="D53"/>
  <c r="D60" s="1"/>
  <c r="E53"/>
  <c r="E60" s="1"/>
  <c r="F53"/>
  <c r="F60" s="1"/>
  <c r="G53"/>
  <c r="G60" s="1"/>
  <c r="C54"/>
  <c r="C61" s="1"/>
  <c r="D54"/>
  <c r="D61" s="1"/>
  <c r="E54"/>
  <c r="E61" s="1"/>
  <c r="F54"/>
  <c r="F61" s="1"/>
  <c r="G54"/>
  <c r="G61" s="1"/>
  <c r="C55"/>
  <c r="C62" s="1"/>
  <c r="D55"/>
  <c r="D62" s="1"/>
  <c r="E55"/>
  <c r="E62" s="1"/>
  <c r="F55"/>
  <c r="F62" s="1"/>
  <c r="G55"/>
  <c r="G62" s="1"/>
  <c r="C56"/>
  <c r="C63" s="1"/>
  <c r="D56"/>
  <c r="D63" s="1"/>
  <c r="E56"/>
  <c r="E63" s="1"/>
  <c r="F56"/>
  <c r="F63" s="1"/>
  <c r="G56"/>
  <c r="G63" s="1"/>
  <c r="C57"/>
  <c r="C64" s="1"/>
  <c r="D57"/>
  <c r="D64" s="1"/>
  <c r="E57"/>
  <c r="F57"/>
  <c r="F64" s="1"/>
  <c r="G57"/>
  <c r="G64" s="1"/>
  <c r="B53"/>
  <c r="B54"/>
  <c r="B55"/>
  <c r="B56"/>
  <c r="B57"/>
  <c r="E64"/>
  <c r="C31"/>
  <c r="D31"/>
  <c r="E31"/>
  <c r="F31"/>
  <c r="G31"/>
  <c r="C32"/>
  <c r="C39" s="1"/>
  <c r="D32"/>
  <c r="D39" s="1"/>
  <c r="E32"/>
  <c r="E39" s="1"/>
  <c r="F32"/>
  <c r="F39" s="1"/>
  <c r="G32"/>
  <c r="G39" s="1"/>
  <c r="C33"/>
  <c r="C40" s="1"/>
  <c r="D33"/>
  <c r="D40" s="1"/>
  <c r="E33"/>
  <c r="E40" s="1"/>
  <c r="F33"/>
  <c r="F40" s="1"/>
  <c r="G33"/>
  <c r="G40" s="1"/>
  <c r="C34"/>
  <c r="C41" s="1"/>
  <c r="D34"/>
  <c r="D41" s="1"/>
  <c r="E34"/>
  <c r="E41" s="1"/>
  <c r="F34"/>
  <c r="F41" s="1"/>
  <c r="G34"/>
  <c r="G41" s="1"/>
  <c r="C35"/>
  <c r="C42" s="1"/>
  <c r="D35"/>
  <c r="D42" s="1"/>
  <c r="E35"/>
  <c r="E42" s="1"/>
  <c r="F35"/>
  <c r="F42" s="1"/>
  <c r="G35"/>
  <c r="G42" s="1"/>
  <c r="C36"/>
  <c r="C43" s="1"/>
  <c r="D36"/>
  <c r="D43" s="1"/>
  <c r="E36"/>
  <c r="E43" s="1"/>
  <c r="F36"/>
  <c r="F43" s="1"/>
  <c r="G36"/>
  <c r="G43" s="1"/>
  <c r="B32"/>
  <c r="B33"/>
  <c r="B34"/>
  <c r="B35"/>
  <c r="B36"/>
  <c r="C7"/>
  <c r="C10"/>
  <c r="D10"/>
  <c r="E10"/>
  <c r="F10"/>
  <c r="G10"/>
  <c r="C11"/>
  <c r="C18" s="1"/>
  <c r="D11"/>
  <c r="D18" s="1"/>
  <c r="E11"/>
  <c r="E18" s="1"/>
  <c r="F11"/>
  <c r="F18" s="1"/>
  <c r="G11"/>
  <c r="G18" s="1"/>
  <c r="C12"/>
  <c r="C19" s="1"/>
  <c r="D12"/>
  <c r="D19" s="1"/>
  <c r="E19"/>
  <c r="F19"/>
  <c r="G19"/>
  <c r="C13"/>
  <c r="C20" s="1"/>
  <c r="D20"/>
  <c r="E20"/>
  <c r="F20"/>
  <c r="G20"/>
  <c r="C14"/>
  <c r="C21" s="1"/>
  <c r="D21"/>
  <c r="E21"/>
  <c r="F21"/>
  <c r="G21"/>
  <c r="C15"/>
  <c r="C22" s="1"/>
  <c r="D15"/>
  <c r="D22" s="1"/>
  <c r="E15"/>
  <c r="E22" s="1"/>
  <c r="F15"/>
  <c r="F22" s="1"/>
  <c r="G15"/>
  <c r="G22" s="1"/>
  <c r="B11"/>
  <c r="B12"/>
  <c r="B13"/>
  <c r="B14"/>
  <c r="B15"/>
  <c r="F66" l="1"/>
  <c r="F232" s="1"/>
  <c r="F171"/>
  <c r="D66"/>
  <c r="C24"/>
  <c r="F45"/>
  <c r="D45"/>
  <c r="E45"/>
  <c r="C45"/>
  <c r="G45"/>
  <c r="C66"/>
  <c r="E66"/>
  <c r="G66"/>
  <c r="G24"/>
  <c r="E24"/>
  <c r="F24"/>
  <c r="D24"/>
  <c r="E202" l="1"/>
  <c r="E198"/>
  <c r="E201"/>
  <c r="E197"/>
  <c r="E200"/>
  <c r="E203"/>
  <c r="E199"/>
  <c r="C234"/>
  <c r="C233"/>
  <c r="C232"/>
  <c r="C231"/>
  <c r="C230"/>
  <c r="C229"/>
  <c r="C235"/>
  <c r="D213"/>
  <c r="D215"/>
  <c r="D217"/>
  <c r="D219"/>
  <c r="D214"/>
  <c r="D216"/>
  <c r="D218"/>
  <c r="F202"/>
  <c r="F198"/>
  <c r="F201"/>
  <c r="F197"/>
  <c r="F200"/>
  <c r="F199"/>
  <c r="G197"/>
  <c r="G200"/>
  <c r="G203"/>
  <c r="G199"/>
  <c r="G201"/>
  <c r="G198"/>
  <c r="G202"/>
  <c r="E229"/>
  <c r="E232"/>
  <c r="E235"/>
  <c r="E231"/>
  <c r="E234"/>
  <c r="E230"/>
  <c r="E233"/>
  <c r="G213"/>
  <c r="G215"/>
  <c r="G217"/>
  <c r="G219"/>
  <c r="G214"/>
  <c r="G216"/>
  <c r="G218"/>
  <c r="E214"/>
  <c r="E216"/>
  <c r="E218"/>
  <c r="E213"/>
  <c r="E215"/>
  <c r="E217"/>
  <c r="E219"/>
  <c r="F214"/>
  <c r="F216"/>
  <c r="F218"/>
  <c r="F213"/>
  <c r="F215"/>
  <c r="F217"/>
  <c r="D229"/>
  <c r="D232"/>
  <c r="D235"/>
  <c r="D231"/>
  <c r="D234"/>
  <c r="D230"/>
  <c r="D233"/>
  <c r="D197"/>
  <c r="D200"/>
  <c r="D203"/>
  <c r="D199"/>
  <c r="D202"/>
  <c r="D198"/>
  <c r="D201"/>
  <c r="G229"/>
  <c r="G232"/>
  <c r="G235"/>
  <c r="G231"/>
  <c r="G234"/>
  <c r="G230"/>
  <c r="G233"/>
  <c r="C216"/>
  <c r="C213"/>
  <c r="C217"/>
  <c r="C214"/>
  <c r="C218"/>
  <c r="C215"/>
  <c r="C219"/>
  <c r="C202"/>
  <c r="C201"/>
  <c r="C200"/>
  <c r="C199"/>
  <c r="C198"/>
  <c r="C197"/>
  <c r="C203"/>
  <c r="F234"/>
  <c r="F230"/>
  <c r="F233"/>
  <c r="F229"/>
  <c r="F231"/>
  <c r="E156"/>
  <c r="E158"/>
  <c r="E104"/>
  <c r="E98"/>
  <c r="E100"/>
  <c r="E102"/>
  <c r="E106"/>
  <c r="E110"/>
  <c r="F179" s="1"/>
  <c r="E88"/>
  <c r="E90"/>
  <c r="E92"/>
  <c r="E94"/>
  <c r="E96"/>
  <c r="E108"/>
  <c r="C179" s="1"/>
  <c r="E112"/>
  <c r="E136"/>
  <c r="E138"/>
  <c r="E140"/>
  <c r="E142"/>
  <c r="E144"/>
  <c r="E146"/>
  <c r="E148"/>
  <c r="E150"/>
  <c r="E152"/>
  <c r="E160"/>
  <c r="E154"/>
  <c r="C175" l="1"/>
  <c r="C242" s="1"/>
  <c r="C174"/>
  <c r="F177"/>
  <c r="F178"/>
  <c r="F245" s="1"/>
  <c r="C177"/>
  <c r="C244" s="1"/>
  <c r="C178"/>
  <c r="E245" s="1"/>
  <c r="F174"/>
  <c r="F175"/>
  <c r="C180"/>
  <c r="C176"/>
  <c r="E243" s="1"/>
  <c r="F176"/>
  <c r="C241"/>
  <c r="F241" l="1"/>
  <c r="F272" s="1"/>
  <c r="F243"/>
  <c r="F246"/>
  <c r="F242"/>
  <c r="F244"/>
  <c r="E241"/>
  <c r="E272" s="1"/>
  <c r="C272"/>
  <c r="D241"/>
  <c r="D272" s="1"/>
  <c r="G241"/>
  <c r="G272" s="1"/>
  <c r="F273" l="1"/>
  <c r="F274" s="1"/>
  <c r="F275" s="1"/>
  <c r="G245"/>
  <c r="D245"/>
  <c r="C245"/>
  <c r="C246"/>
  <c r="G246"/>
  <c r="E246"/>
  <c r="D246"/>
  <c r="D247"/>
  <c r="C247"/>
  <c r="E247"/>
  <c r="G247"/>
  <c r="D242"/>
  <c r="D273" s="1"/>
  <c r="E242"/>
  <c r="E273" s="1"/>
  <c r="C273"/>
  <c r="G242"/>
  <c r="G273" s="1"/>
  <c r="D244"/>
  <c r="G244"/>
  <c r="E244"/>
  <c r="D243"/>
  <c r="G243"/>
  <c r="C243"/>
  <c r="D274" l="1"/>
  <c r="C274"/>
  <c r="C275" s="1"/>
  <c r="E274"/>
  <c r="G274"/>
  <c r="F276" l="1"/>
  <c r="F277" s="1"/>
  <c r="G275"/>
  <c r="D275"/>
  <c r="E275"/>
  <c r="E276" l="1"/>
  <c r="D276"/>
  <c r="C276"/>
  <c r="G276"/>
  <c r="G277" l="1"/>
  <c r="C277"/>
  <c r="C278" s="1"/>
  <c r="D277"/>
  <c r="E277"/>
  <c r="E278" l="1"/>
  <c r="D278"/>
  <c r="G278"/>
  <c r="C87" i="8" l="1"/>
  <c r="C94" s="1"/>
  <c r="C89"/>
  <c r="C96" s="1"/>
  <c r="C59"/>
  <c r="C66" s="1"/>
  <c r="C61"/>
  <c r="C68" s="1"/>
  <c r="C259" i="2"/>
  <c r="C261"/>
  <c r="C263"/>
  <c r="D86" i="8"/>
  <c r="D93" s="1"/>
  <c r="D88"/>
  <c r="D95" s="1"/>
  <c r="D58"/>
  <c r="D65" s="1"/>
  <c r="D60"/>
  <c r="D67" s="1"/>
  <c r="D258" i="2"/>
  <c r="D289" s="1"/>
  <c r="D293" s="1"/>
  <c r="D260"/>
  <c r="D262"/>
  <c r="D264"/>
  <c r="E87" i="8"/>
  <c r="E94" s="1"/>
  <c r="E89"/>
  <c r="E96" s="1"/>
  <c r="E59"/>
  <c r="E66" s="1"/>
  <c r="E61"/>
  <c r="E68" s="1"/>
  <c r="E259" i="2"/>
  <c r="E261"/>
  <c r="E263"/>
  <c r="G86" i="8"/>
  <c r="G93" s="1"/>
  <c r="G88"/>
  <c r="G95" s="1"/>
  <c r="G58"/>
  <c r="G65" s="1"/>
  <c r="G60"/>
  <c r="G67" s="1"/>
  <c r="G258" i="2"/>
  <c r="G289" s="1"/>
  <c r="G293" s="1"/>
  <c r="G260"/>
  <c r="G262"/>
  <c r="G264"/>
  <c r="C86" i="8"/>
  <c r="C93" s="1"/>
  <c r="C88"/>
  <c r="C95" s="1"/>
  <c r="C58"/>
  <c r="C65" s="1"/>
  <c r="C60"/>
  <c r="C67" s="1"/>
  <c r="C258" i="2"/>
  <c r="C289" s="1"/>
  <c r="C293" s="1"/>
  <c r="C260"/>
  <c r="C262"/>
  <c r="C264"/>
  <c r="C265" s="1"/>
  <c r="D87" i="8"/>
  <c r="D94" s="1"/>
  <c r="D89"/>
  <c r="D96" s="1"/>
  <c r="D59"/>
  <c r="D66" s="1"/>
  <c r="D61"/>
  <c r="D68" s="1"/>
  <c r="D259" i="2"/>
  <c r="D261"/>
  <c r="D263"/>
  <c r="E86" i="8"/>
  <c r="E93" s="1"/>
  <c r="E88"/>
  <c r="E95" s="1"/>
  <c r="E58"/>
  <c r="E65" s="1"/>
  <c r="E60"/>
  <c r="E67" s="1"/>
  <c r="E258" i="2"/>
  <c r="E289" s="1"/>
  <c r="E260"/>
  <c r="E262"/>
  <c r="E264"/>
  <c r="G87" i="8"/>
  <c r="G94" s="1"/>
  <c r="G89"/>
  <c r="G96" s="1"/>
  <c r="G59"/>
  <c r="G66" s="1"/>
  <c r="G61"/>
  <c r="G68" s="1"/>
  <c r="G259" i="2"/>
  <c r="G261"/>
  <c r="G263"/>
  <c r="E293" l="1"/>
  <c r="E302" s="1"/>
  <c r="E314" s="1"/>
  <c r="G304"/>
  <c r="G299"/>
  <c r="G300"/>
  <c r="G301"/>
  <c r="G313" s="1"/>
  <c r="G302"/>
  <c r="G303"/>
  <c r="G315" s="1"/>
  <c r="G305"/>
  <c r="C300"/>
  <c r="C312" s="1"/>
  <c r="C302"/>
  <c r="C304"/>
  <c r="C305"/>
  <c r="C301"/>
  <c r="C303"/>
  <c r="C299"/>
  <c r="C311" s="1"/>
  <c r="E300"/>
  <c r="E301"/>
  <c r="E313" s="1"/>
  <c r="E303"/>
  <c r="E304"/>
  <c r="E299"/>
  <c r="E305"/>
  <c r="D305"/>
  <c r="D299"/>
  <c r="D300"/>
  <c r="D312" s="1"/>
  <c r="D301"/>
  <c r="D313" s="1"/>
  <c r="D302"/>
  <c r="D314" s="1"/>
  <c r="D303"/>
  <c r="D304"/>
  <c r="G312"/>
  <c r="G314"/>
  <c r="C314"/>
  <c r="C315"/>
  <c r="D311"/>
  <c r="G153" i="8"/>
  <c r="G15"/>
  <c r="G11"/>
  <c r="G149"/>
  <c r="F13"/>
  <c r="F151"/>
  <c r="E265" i="2"/>
  <c r="E150" i="8"/>
  <c r="D151"/>
  <c r="D13"/>
  <c r="C150"/>
  <c r="C12"/>
  <c r="G265" i="2"/>
  <c r="G12" i="8"/>
  <c r="G150"/>
  <c r="E153"/>
  <c r="E154" s="1"/>
  <c r="E149"/>
  <c r="D12"/>
  <c r="D150"/>
  <c r="C153"/>
  <c r="C15"/>
  <c r="C149"/>
  <c r="C11"/>
  <c r="D74"/>
  <c r="D124" s="1"/>
  <c r="D102"/>
  <c r="G13"/>
  <c r="G151"/>
  <c r="E152"/>
  <c r="E148"/>
  <c r="D15"/>
  <c r="D153"/>
  <c r="D11"/>
  <c r="D149"/>
  <c r="C152"/>
  <c r="C14"/>
  <c r="C10"/>
  <c r="C148"/>
  <c r="G152"/>
  <c r="G14"/>
  <c r="G148"/>
  <c r="G10"/>
  <c r="F148"/>
  <c r="F10"/>
  <c r="E151"/>
  <c r="D265" i="2"/>
  <c r="D152" i="8"/>
  <c r="D14"/>
  <c r="D148"/>
  <c r="D10"/>
  <c r="C13"/>
  <c r="E74"/>
  <c r="E124" s="1"/>
  <c r="E102"/>
  <c r="C74"/>
  <c r="C124" s="1"/>
  <c r="C102"/>
  <c r="G74"/>
  <c r="G124" s="1"/>
  <c r="G102"/>
  <c r="G234" l="1"/>
  <c r="G229"/>
  <c r="G230"/>
  <c r="G231"/>
  <c r="G232"/>
  <c r="G233"/>
  <c r="G235"/>
  <c r="C231"/>
  <c r="C233"/>
  <c r="C235"/>
  <c r="C230"/>
  <c r="C232"/>
  <c r="C234"/>
  <c r="C229"/>
  <c r="E235"/>
  <c r="E229"/>
  <c r="E230"/>
  <c r="E231"/>
  <c r="E232"/>
  <c r="E233"/>
  <c r="E234"/>
  <c r="D233"/>
  <c r="D230"/>
  <c r="D232"/>
  <c r="D235"/>
  <c r="D229"/>
  <c r="D231"/>
  <c r="D234"/>
  <c r="D315" i="2"/>
  <c r="C313"/>
  <c r="B8" i="3" s="1"/>
  <c r="E312" i="2"/>
  <c r="G311"/>
  <c r="D17" i="8"/>
  <c r="D120" s="1"/>
  <c r="D128" s="1"/>
  <c r="D136" s="1"/>
  <c r="D140" s="1"/>
  <c r="D161" s="1"/>
  <c r="D244" s="1"/>
  <c r="E315" i="2"/>
  <c r="E311"/>
  <c r="C317"/>
  <c r="E317"/>
  <c r="C7" i="3"/>
  <c r="C10"/>
  <c r="C6"/>
  <c r="C9"/>
  <c r="C8"/>
  <c r="B6"/>
  <c r="B10"/>
  <c r="B7"/>
  <c r="B9"/>
  <c r="D154" i="8"/>
  <c r="G154"/>
  <c r="G17"/>
  <c r="G120" s="1"/>
  <c r="G128" s="1"/>
  <c r="G136" s="1"/>
  <c r="G140" s="1"/>
  <c r="G159" s="1"/>
  <c r="G242" s="1"/>
  <c r="E17"/>
  <c r="E120" s="1"/>
  <c r="E128" s="1"/>
  <c r="E136" s="1"/>
  <c r="E140" s="1"/>
  <c r="E164" s="1"/>
  <c r="E247" s="1"/>
  <c r="C154"/>
  <c r="C17"/>
  <c r="C120" s="1"/>
  <c r="C128" s="1"/>
  <c r="C136" s="1"/>
  <c r="C140" s="1"/>
  <c r="C159" l="1"/>
  <c r="C242" s="1"/>
  <c r="C256" s="1"/>
  <c r="B19" i="3" s="1"/>
  <c r="C162" i="8"/>
  <c r="D162"/>
  <c r="D245" s="1"/>
  <c r="D259" s="1"/>
  <c r="C22" i="3" s="1"/>
  <c r="D165" i="8"/>
  <c r="D248" s="1"/>
  <c r="D262" s="1"/>
  <c r="C25" i="3" s="1"/>
  <c r="D159" i="8"/>
  <c r="E161"/>
  <c r="E160"/>
  <c r="E243" s="1"/>
  <c r="E257" s="1"/>
  <c r="D160"/>
  <c r="D164"/>
  <c r="D163"/>
  <c r="D258"/>
  <c r="C21" i="3" s="1"/>
  <c r="E316" i="2"/>
  <c r="C316"/>
  <c r="B11" i="3" s="1"/>
  <c r="G316" i="2"/>
  <c r="D316"/>
  <c r="C11" i="3" s="1"/>
  <c r="G317" i="2"/>
  <c r="D317"/>
  <c r="C12" i="3" s="1"/>
  <c r="B12"/>
  <c r="E163" i="8"/>
  <c r="G163"/>
  <c r="G162"/>
  <c r="C160"/>
  <c r="C163"/>
  <c r="C164"/>
  <c r="C161"/>
  <c r="G160"/>
  <c r="E159"/>
  <c r="C165"/>
  <c r="G161"/>
  <c r="E165"/>
  <c r="G164"/>
  <c r="E261"/>
  <c r="G256"/>
  <c r="E162"/>
  <c r="G165"/>
  <c r="G248" l="1"/>
  <c r="G262" s="1"/>
  <c r="G244"/>
  <c r="G258" s="1"/>
  <c r="E242"/>
  <c r="E256" s="1"/>
  <c r="C243"/>
  <c r="C257" s="1"/>
  <c r="B20" i="3" s="1"/>
  <c r="D242" i="8"/>
  <c r="D256" s="1"/>
  <c r="C19" i="3" s="1"/>
  <c r="G247" i="8"/>
  <c r="G261" s="1"/>
  <c r="C247"/>
  <c r="C261" s="1"/>
  <c r="B24" i="3" s="1"/>
  <c r="G246" i="8"/>
  <c r="G260" s="1"/>
  <c r="D247"/>
  <c r="D261" s="1"/>
  <c r="C24" i="3" s="1"/>
  <c r="E245" i="8"/>
  <c r="E259" s="1"/>
  <c r="E248"/>
  <c r="E262" s="1"/>
  <c r="C248"/>
  <c r="C262" s="1"/>
  <c r="B25" i="3" s="1"/>
  <c r="G243" i="8"/>
  <c r="G257" s="1"/>
  <c r="C244"/>
  <c r="C258" s="1"/>
  <c r="B21" i="3" s="1"/>
  <c r="C246" i="8"/>
  <c r="C260" s="1"/>
  <c r="B23" i="3" s="1"/>
  <c r="G245" i="8"/>
  <c r="G259" s="1"/>
  <c r="E246"/>
  <c r="E260" s="1"/>
  <c r="D246"/>
  <c r="D260" s="1"/>
  <c r="C23" i="3" s="1"/>
  <c r="D243" i="8"/>
  <c r="D257" s="1"/>
  <c r="C20" i="3" s="1"/>
  <c r="E244" i="8"/>
  <c r="E258" s="1"/>
  <c r="C245"/>
  <c r="C259" s="1"/>
  <c r="B22" i="3" s="1"/>
  <c r="F264" i="2"/>
  <c r="F262"/>
  <c r="F260"/>
  <c r="F258"/>
  <c r="F289" s="1"/>
  <c r="F293" s="1"/>
  <c r="F263"/>
  <c r="F261"/>
  <c r="F259"/>
  <c r="F299" l="1"/>
  <c r="F300"/>
  <c r="F312" s="1"/>
  <c r="F301"/>
  <c r="F313" s="1"/>
  <c r="F302"/>
  <c r="F303"/>
  <c r="F304"/>
  <c r="F58" i="8"/>
  <c r="F65" s="1"/>
  <c r="F12"/>
  <c r="F150"/>
  <c r="F86"/>
  <c r="F93" s="1"/>
  <c r="F60"/>
  <c r="F67" s="1"/>
  <c r="F88"/>
  <c r="F95" s="1"/>
  <c r="F61"/>
  <c r="F68" s="1"/>
  <c r="F59"/>
  <c r="F66" s="1"/>
  <c r="F89"/>
  <c r="F96" s="1"/>
  <c r="F87"/>
  <c r="F94" s="1"/>
  <c r="F15"/>
  <c r="F153"/>
  <c r="F11"/>
  <c r="F149"/>
  <c r="F14"/>
  <c r="F152"/>
  <c r="F311" i="2"/>
  <c r="F315"/>
  <c r="F314" l="1"/>
  <c r="E10" i="3"/>
  <c r="E9"/>
  <c r="E8"/>
  <c r="E7"/>
  <c r="E6"/>
  <c r="F17" i="8"/>
  <c r="F120" s="1"/>
  <c r="F102"/>
  <c r="F74"/>
  <c r="F124" s="1"/>
  <c r="F230" l="1"/>
  <c r="F232"/>
  <c r="F229"/>
  <c r="F234"/>
  <c r="F231"/>
  <c r="F233"/>
  <c r="F316" i="2"/>
  <c r="E11" i="3" s="1"/>
  <c r="F128" i="8"/>
  <c r="F136" s="1"/>
  <c r="F140" s="1"/>
  <c r="F161" l="1"/>
  <c r="F244" s="1"/>
  <c r="F258" s="1"/>
  <c r="E21" i="3" s="1"/>
  <c r="F164" i="8"/>
  <c r="F162"/>
  <c r="F245" s="1"/>
  <c r="F259" s="1"/>
  <c r="E22" i="3" s="1"/>
  <c r="F159" i="8"/>
  <c r="F163"/>
  <c r="F160"/>
  <c r="F242" l="1"/>
  <c r="F256" s="1"/>
  <c r="E19" i="3" s="1"/>
  <c r="F247" i="8"/>
  <c r="F261" s="1"/>
  <c r="E24" i="3" s="1"/>
  <c r="F243" i="8"/>
  <c r="F257" s="1"/>
  <c r="E20" i="3" s="1"/>
  <c r="F246" i="8"/>
  <c r="F260" s="1"/>
  <c r="E23" i="3" s="1"/>
</calcChain>
</file>

<file path=xl/sharedStrings.xml><?xml version="1.0" encoding="utf-8"?>
<sst xmlns="http://schemas.openxmlformats.org/spreadsheetml/2006/main" count="418" uniqueCount="178">
  <si>
    <t>IO1</t>
  </si>
  <si>
    <t>IO2</t>
  </si>
  <si>
    <t>IO3</t>
  </si>
  <si>
    <t>IO4</t>
  </si>
  <si>
    <t>IO5</t>
  </si>
  <si>
    <t>IO6</t>
  </si>
  <si>
    <t>IO7</t>
  </si>
  <si>
    <t>IO8</t>
  </si>
  <si>
    <t>IO9</t>
  </si>
  <si>
    <t>IO10</t>
  </si>
  <si>
    <t>IO11</t>
  </si>
  <si>
    <t>IO12</t>
  </si>
  <si>
    <t>IO13</t>
  </si>
  <si>
    <t>IO14</t>
  </si>
  <si>
    <t>IO15</t>
  </si>
  <si>
    <t>IO16</t>
  </si>
  <si>
    <t>IO17</t>
  </si>
  <si>
    <t>IO18</t>
  </si>
  <si>
    <t>IO19</t>
  </si>
  <si>
    <t>IO20</t>
  </si>
  <si>
    <t>Opex partial productivity factor</t>
  </si>
  <si>
    <t>Elasticity of opex to network length</t>
  </si>
  <si>
    <t>Elasticity of opex to energy throughput</t>
  </si>
  <si>
    <t>Elasticity of opex to number of consumers</t>
  </si>
  <si>
    <t>Historical series of network length</t>
  </si>
  <si>
    <t>Historical series of energy throughput</t>
  </si>
  <si>
    <t>Historical series of number of consumers</t>
  </si>
  <si>
    <t>Weight for labour costs in opex input price factor</t>
  </si>
  <si>
    <t>Quarterly labour cost index</t>
  </si>
  <si>
    <t>Quarterly producer price index</t>
  </si>
  <si>
    <t>Labout cost timing weight Q1</t>
  </si>
  <si>
    <t>Labout cost timing weight Q2</t>
  </si>
  <si>
    <t>Labout cost timing weight Q3</t>
  </si>
  <si>
    <t>Labout cost timing weight Q4</t>
  </si>
  <si>
    <t>Non-labour cost timing weight Q1</t>
  </si>
  <si>
    <t>Non-labour cost timing weight Q2</t>
  </si>
  <si>
    <t>Non-labour cost timing weight Q3</t>
  </si>
  <si>
    <t>Non-labour cost timing weight Q4</t>
  </si>
  <si>
    <t>System Length (km)</t>
  </si>
  <si>
    <t xml:space="preserve">Gasnet </t>
  </si>
  <si>
    <t>Powerco</t>
  </si>
  <si>
    <t>Maui</t>
  </si>
  <si>
    <t>Index</t>
  </si>
  <si>
    <t>Labour cost index (NZIER data)</t>
  </si>
  <si>
    <t>Producer price index (NZIER data)</t>
  </si>
  <si>
    <t>Weight</t>
  </si>
  <si>
    <t>Quarter Ending</t>
  </si>
  <si>
    <t>PC1</t>
  </si>
  <si>
    <t>Percentage change in network length</t>
  </si>
  <si>
    <t>input</t>
  </si>
  <si>
    <t>Natural Log</t>
  </si>
  <si>
    <t>PC2</t>
  </si>
  <si>
    <t>Percentage change in energy throughput</t>
  </si>
  <si>
    <t>Percentage change in the numbers of consumers</t>
  </si>
  <si>
    <t>PC3</t>
  </si>
  <si>
    <t>PC4</t>
  </si>
  <si>
    <t>Annual percentage change in the price of labour</t>
  </si>
  <si>
    <t>PC5</t>
  </si>
  <si>
    <t>% Change PC1</t>
  </si>
  <si>
    <t>% Change PC2</t>
  </si>
  <si>
    <t>% Change PC3</t>
  </si>
  <si>
    <t>OSF1</t>
  </si>
  <si>
    <t>Sum of annual scaling factors</t>
  </si>
  <si>
    <t>OSF2</t>
  </si>
  <si>
    <t>OSF3</t>
  </si>
  <si>
    <t>OSF4</t>
  </si>
  <si>
    <t>OSF5</t>
  </si>
  <si>
    <t>OSF6</t>
  </si>
  <si>
    <t>Opex input price factor</t>
  </si>
  <si>
    <t>Network length factor</t>
  </si>
  <si>
    <t>Energy throughput factor</t>
  </si>
  <si>
    <t>Number of consumers factor</t>
  </si>
  <si>
    <t>PC3, IO5</t>
  </si>
  <si>
    <t>PC2, IO4</t>
  </si>
  <si>
    <t>PC4, PC5, IO10</t>
  </si>
  <si>
    <t>Year ending</t>
  </si>
  <si>
    <t>% change</t>
  </si>
  <si>
    <t>Weight for non-labour costs in opex input price factor</t>
  </si>
  <si>
    <t>OSF2 to OSF6</t>
  </si>
  <si>
    <t>NOS1</t>
  </si>
  <si>
    <t>NOS2</t>
  </si>
  <si>
    <t>NOS3</t>
  </si>
  <si>
    <t>NOS4</t>
  </si>
  <si>
    <t>NOS5</t>
  </si>
  <si>
    <t>Nominal opex series</t>
  </si>
  <si>
    <t>Nominal trend in opex</t>
  </si>
  <si>
    <t>Base year opex with out of trend factors removed</t>
  </si>
  <si>
    <t>Index of the nominal trend in opex</t>
  </si>
  <si>
    <t>Sum of out of trend factors</t>
  </si>
  <si>
    <t>Annual percentage change in the price of non-labour inputs</t>
  </si>
  <si>
    <t>2011 (base year)</t>
  </si>
  <si>
    <t>inputs</t>
  </si>
  <si>
    <t>NOS5, IO1</t>
  </si>
  <si>
    <t>Sum of annual material changes in opex</t>
  </si>
  <si>
    <t>NOS3, NOS4</t>
  </si>
  <si>
    <t>NOS2, NOS5</t>
  </si>
  <si>
    <t>Nominal Operating Expenditure Series</t>
  </si>
  <si>
    <t>Annual Scaling Factors for Operating Expenditure</t>
  </si>
  <si>
    <t>Calculations Used To Determine The Annual Scaling Factors</t>
  </si>
  <si>
    <t>Quarter</t>
  </si>
  <si>
    <t xml:space="preserve">Opex </t>
  </si>
  <si>
    <t>Average</t>
  </si>
  <si>
    <t>Labout cost timing weight</t>
  </si>
  <si>
    <t>Weighted Average Index</t>
  </si>
  <si>
    <t>Change form preceeding four quarters</t>
  </si>
  <si>
    <t>Non-labour cost timing weight</t>
  </si>
  <si>
    <t>IO11,IO13, IO14,IO15,IO16</t>
  </si>
  <si>
    <t>IO12,IO17,IO18,IO19,IO20</t>
  </si>
  <si>
    <t xml:space="preserve">PC1, IO3 </t>
  </si>
  <si>
    <t>Inputs used to model capital expenditure</t>
  </si>
  <si>
    <t>IC1</t>
  </si>
  <si>
    <t>IC2</t>
  </si>
  <si>
    <t>IC3</t>
  </si>
  <si>
    <t>IC4</t>
  </si>
  <si>
    <t>IC5</t>
  </si>
  <si>
    <t>Network Capex threshold</t>
  </si>
  <si>
    <t>Capital Goods Price Index</t>
  </si>
  <si>
    <t>Date</t>
  </si>
  <si>
    <t>Capital Goods Price Index (NZIER data)</t>
  </si>
  <si>
    <t>NNCC1</t>
  </si>
  <si>
    <t>Supplier's historic non-network capex series in constant prices</t>
  </si>
  <si>
    <t>CTC4, IC2</t>
  </si>
  <si>
    <t>Calculations required to determine whether the network capex threshold is exceeded</t>
  </si>
  <si>
    <t>CTC1</t>
  </si>
  <si>
    <t>CTC4</t>
  </si>
  <si>
    <t>The historical capital goods input price index</t>
  </si>
  <si>
    <t>Four quarter weighted average index</t>
  </si>
  <si>
    <t>Factor to convert into June 2011 prices</t>
  </si>
  <si>
    <t>Factor to convert into Dec 2011 prices</t>
  </si>
  <si>
    <t>Factors to convert into 2011 prices</t>
  </si>
  <si>
    <t>CTC3</t>
  </si>
  <si>
    <t>Suppliers historic average network capex</t>
  </si>
  <si>
    <t>CTC2</t>
  </si>
  <si>
    <t>Suppliers historic network capex series in constant prices</t>
  </si>
  <si>
    <t>IC1,CTC4</t>
  </si>
  <si>
    <t>Calculations required to determine the non-network capex series</t>
  </si>
  <si>
    <t>NNCC2</t>
  </si>
  <si>
    <t>Nominal capital expenditure series</t>
  </si>
  <si>
    <t>NCS1</t>
  </si>
  <si>
    <t>NCS2</t>
  </si>
  <si>
    <t>NCS3</t>
  </si>
  <si>
    <t>NCS4</t>
  </si>
  <si>
    <t>Nominal capex series</t>
  </si>
  <si>
    <t>Nominal network capex series</t>
  </si>
  <si>
    <t>Nominal non-network capex series</t>
  </si>
  <si>
    <t>Capital good input price index</t>
  </si>
  <si>
    <t xml:space="preserve">input </t>
  </si>
  <si>
    <t>Factors to convert into nominal future prices</t>
  </si>
  <si>
    <t>NCS4, NNCC2</t>
  </si>
  <si>
    <t>Scaling of supplier forecast if the network capex threshold is exceeded</t>
  </si>
  <si>
    <t>CTS1</t>
  </si>
  <si>
    <t>CTS2</t>
  </si>
  <si>
    <t>CTS3</t>
  </si>
  <si>
    <t>CTS4</t>
  </si>
  <si>
    <t>Network capex threshold</t>
  </si>
  <si>
    <t>Supplier's forecast relative to historic levels</t>
  </si>
  <si>
    <t>Capex scaling factor</t>
  </si>
  <si>
    <t>Scaled forecast of network capex (constant prices)</t>
  </si>
  <si>
    <t>Annual average of the suppliers forecast of constant price network capex</t>
  </si>
  <si>
    <t>CTC1, CTC3</t>
  </si>
  <si>
    <t>Relative</t>
  </si>
  <si>
    <t>CTS1, CTS2</t>
  </si>
  <si>
    <t>Network capex threshold divided by the suppliers forecast relative to historic levels</t>
  </si>
  <si>
    <t>Minimum of network capex threshold divided by the suppliers forecast relative to historic levels and one</t>
  </si>
  <si>
    <t>NCS2, NCS3</t>
  </si>
  <si>
    <t>Capex</t>
  </si>
  <si>
    <t>CTC1,IC3</t>
  </si>
  <si>
    <t>NCS4, CTS4</t>
  </si>
  <si>
    <t>Suppliers historic non-network capex series in constant prices</t>
  </si>
  <si>
    <t>Vector Dist</t>
  </si>
  <si>
    <t>Vector Trans</t>
  </si>
  <si>
    <t>Suppliers Forecast of Network Capex ($000)</t>
  </si>
  <si>
    <t>Disclosed Non-network Capex ($000)</t>
  </si>
  <si>
    <t>Disclosed Network Capex ($000)</t>
  </si>
  <si>
    <t>Base year opex ($000)</t>
  </si>
  <si>
    <t>Suppliers forecast of increased insurance costs due to natural disasters ($000)</t>
  </si>
  <si>
    <t>Total amount of gas conveyed (GJ)</t>
  </si>
  <si>
    <t>Total customers (number)</t>
  </si>
</sst>
</file>

<file path=xl/styles.xml><?xml version="1.0" encoding="utf-8"?>
<styleSheet xmlns="http://schemas.openxmlformats.org/spreadsheetml/2006/main">
  <numFmts count="12">
    <numFmt numFmtId="164" formatCode="_(* #,##0.00_);_(* \(#,##0.00\);_(* &quot;-&quot;??_);_(@_)"/>
    <numFmt numFmtId="165" formatCode="_(* #,##0_);_(* \(#,##0\);_(* &quot;-&quot;??_);_(@_)"/>
    <numFmt numFmtId="166" formatCode="[$-C09]dd\-mmm\-yy;@"/>
    <numFmt numFmtId="167" formatCode="0.0"/>
    <numFmt numFmtId="168" formatCode="_(* #,##0.0_);_(* \(#,##0.0\);_(* &quot;-&quot;??_);_(@_)"/>
    <numFmt numFmtId="169" formatCode="0.000"/>
    <numFmt numFmtId="170" formatCode="_(* #,##0.000_);_(* \(#,##0.000\);_(* &quot;-&quot;??_);_(@_)"/>
    <numFmt numFmtId="171" formatCode="_(* #,##0.0000_);_(* \(#,##0.0000\);_(* &quot;-&quot;??_);_(@_)"/>
    <numFmt numFmtId="172" formatCode="_-* #,##0.000_-;\-* #,##0.000_-;_-* &quot;-&quot;??_-;_-@_-"/>
    <numFmt numFmtId="173" formatCode="0.000000%"/>
    <numFmt numFmtId="174" formatCode="0.0000"/>
    <numFmt numFmtId="175" formatCode="0.0000%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1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1" xfId="0" applyBorder="1"/>
    <xf numFmtId="165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1" applyFont="1" applyAlignment="1">
      <alignment horizontal="center"/>
    </xf>
    <xf numFmtId="0" fontId="0" fillId="0" borderId="0" xfId="0" applyBorder="1"/>
    <xf numFmtId="9" fontId="0" fillId="0" borderId="0" xfId="2" applyFont="1"/>
    <xf numFmtId="10" fontId="0" fillId="0" borderId="0" xfId="2" applyNumberFormat="1" applyFont="1"/>
    <xf numFmtId="0" fontId="2" fillId="0" borderId="0" xfId="0" applyFont="1" applyAlignment="1">
      <alignment horizontal="center"/>
    </xf>
    <xf numFmtId="2" fontId="0" fillId="0" borderId="0" xfId="0" applyNumberFormat="1"/>
    <xf numFmtId="2" fontId="0" fillId="0" borderId="2" xfId="0" applyNumberFormat="1" applyBorder="1"/>
    <xf numFmtId="10" fontId="2" fillId="0" borderId="4" xfId="2" applyNumberFormat="1" applyFont="1" applyFill="1" applyBorder="1"/>
    <xf numFmtId="0" fontId="5" fillId="0" borderId="0" xfId="0" applyFont="1"/>
    <xf numFmtId="9" fontId="0" fillId="0" borderId="0" xfId="2" applyFont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0" xfId="0" applyFont="1"/>
    <xf numFmtId="165" fontId="0" fillId="0" borderId="5" xfId="0" applyNumberFormat="1" applyBorder="1"/>
    <xf numFmtId="0" fontId="0" fillId="0" borderId="0" xfId="0" applyFont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0" fontId="0" fillId="0" borderId="0" xfId="2" applyNumberFormat="1" applyFont="1" applyAlignment="1">
      <alignment horizontal="center"/>
    </xf>
    <xf numFmtId="10" fontId="0" fillId="0" borderId="5" xfId="2" applyNumberFormat="1" applyFon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0" fontId="0" fillId="0" borderId="2" xfId="2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" xfId="0" applyBorder="1"/>
    <xf numFmtId="165" fontId="0" fillId="0" borderId="2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6" fillId="2" borderId="0" xfId="0" applyFont="1" applyFill="1"/>
    <xf numFmtId="0" fontId="0" fillId="2" borderId="0" xfId="0" applyFill="1"/>
    <xf numFmtId="0" fontId="7" fillId="0" borderId="0" xfId="0" applyFont="1"/>
    <xf numFmtId="0" fontId="7" fillId="0" borderId="0" xfId="0" applyFont="1" applyBorder="1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Alignment="1"/>
    <xf numFmtId="169" fontId="0" fillId="0" borderId="0" xfId="0" applyNumberFormat="1"/>
    <xf numFmtId="1" fontId="0" fillId="0" borderId="0" xfId="0" applyNumberFormat="1"/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7" fontId="0" fillId="0" borderId="0" xfId="0" applyNumberFormat="1" applyBorder="1"/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7" fontId="0" fillId="0" borderId="8" xfId="0" applyNumberFormat="1" applyBorder="1"/>
    <xf numFmtId="10" fontId="0" fillId="0" borderId="8" xfId="2" applyNumberFormat="1" applyFont="1" applyBorder="1"/>
    <xf numFmtId="0" fontId="0" fillId="0" borderId="5" xfId="0" applyBorder="1"/>
    <xf numFmtId="165" fontId="0" fillId="0" borderId="0" xfId="1" applyNumberFormat="1" applyFont="1" applyBorder="1"/>
    <xf numFmtId="0" fontId="0" fillId="0" borderId="4" xfId="0" applyBorder="1" applyAlignment="1">
      <alignment horizontal="center"/>
    </xf>
    <xf numFmtId="10" fontId="0" fillId="0" borderId="0" xfId="0" applyNumberFormat="1"/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7" fontId="0" fillId="0" borderId="2" xfId="0" applyNumberFormat="1" applyBorder="1"/>
    <xf numFmtId="167" fontId="0" fillId="0" borderId="3" xfId="0" applyNumberFormat="1" applyBorder="1"/>
    <xf numFmtId="10" fontId="0" fillId="0" borderId="9" xfId="2" applyNumberFormat="1" applyFont="1" applyBorder="1"/>
    <xf numFmtId="10" fontId="0" fillId="0" borderId="5" xfId="2" applyNumberFormat="1" applyFont="1" applyBorder="1"/>
    <xf numFmtId="10" fontId="0" fillId="0" borderId="0" xfId="2" applyNumberFormat="1" applyFont="1" applyBorder="1"/>
    <xf numFmtId="10" fontId="0" fillId="0" borderId="2" xfId="2" applyNumberFormat="1" applyFont="1" applyBorder="1"/>
    <xf numFmtId="165" fontId="0" fillId="0" borderId="4" xfId="0" applyNumberFormat="1" applyBorder="1"/>
    <xf numFmtId="170" fontId="0" fillId="0" borderId="8" xfId="0" applyNumberFormat="1" applyBorder="1"/>
    <xf numFmtId="170" fontId="0" fillId="0" borderId="9" xfId="0" applyNumberFormat="1" applyBorder="1"/>
    <xf numFmtId="14" fontId="0" fillId="0" borderId="0" xfId="0" applyNumberFormat="1"/>
    <xf numFmtId="171" fontId="0" fillId="0" borderId="0" xfId="1" applyNumberFormat="1" applyFont="1"/>
    <xf numFmtId="172" fontId="0" fillId="0" borderId="0" xfId="0" applyNumberFormat="1" applyBorder="1" applyAlignment="1">
      <alignment horizontal="center" wrapText="1"/>
    </xf>
    <xf numFmtId="172" fontId="0" fillId="0" borderId="0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9" fontId="3" fillId="0" borderId="0" xfId="2" applyFont="1"/>
    <xf numFmtId="165" fontId="3" fillId="0" borderId="0" xfId="1" applyNumberFormat="1" applyFont="1"/>
    <xf numFmtId="165" fontId="3" fillId="0" borderId="2" xfId="1" applyNumberFormat="1" applyFont="1" applyBorder="1"/>
    <xf numFmtId="165" fontId="3" fillId="0" borderId="0" xfId="1" applyNumberFormat="1" applyFont="1" applyAlignment="1">
      <alignment horizontal="center"/>
    </xf>
    <xf numFmtId="9" fontId="3" fillId="0" borderId="2" xfId="2" applyFont="1" applyBorder="1"/>
    <xf numFmtId="0" fontId="0" fillId="0" borderId="4" xfId="0" applyFont="1" applyBorder="1" applyAlignment="1">
      <alignment horizontal="center"/>
    </xf>
    <xf numFmtId="165" fontId="0" fillId="0" borderId="10" xfId="0" applyNumberFormat="1" applyFont="1" applyBorder="1"/>
    <xf numFmtId="165" fontId="0" fillId="0" borderId="4" xfId="0" applyNumberFormat="1" applyFont="1" applyBorder="1"/>
    <xf numFmtId="0" fontId="5" fillId="0" borderId="1" xfId="0" applyFont="1" applyBorder="1"/>
    <xf numFmtId="2" fontId="5" fillId="0" borderId="5" xfId="0" applyNumberFormat="1" applyFont="1" applyBorder="1"/>
    <xf numFmtId="2" fontId="5" fillId="0" borderId="0" xfId="0" applyNumberFormat="1" applyFont="1"/>
    <xf numFmtId="165" fontId="0" fillId="0" borderId="10" xfId="0" applyNumberFormat="1" applyBorder="1"/>
    <xf numFmtId="0" fontId="8" fillId="0" borderId="0" xfId="0" applyFont="1"/>
    <xf numFmtId="173" fontId="0" fillId="0" borderId="0" xfId="2" applyNumberFormat="1" applyFont="1"/>
    <xf numFmtId="10" fontId="0" fillId="0" borderId="0" xfId="2" applyNumberFormat="1" applyFont="1" applyFill="1" applyBorder="1" applyAlignment="1">
      <alignment horizontal="center"/>
    </xf>
    <xf numFmtId="164" fontId="0" fillId="0" borderId="0" xfId="1" applyFont="1" applyFill="1" applyBorder="1" applyAlignment="1">
      <alignment horizontal="center"/>
    </xf>
    <xf numFmtId="175" fontId="0" fillId="0" borderId="0" xfId="2" applyNumberFormat="1" applyFont="1"/>
    <xf numFmtId="174" fontId="0" fillId="0" borderId="5" xfId="0" applyNumberFormat="1" applyBorder="1"/>
    <xf numFmtId="174" fontId="0" fillId="0" borderId="0" xfId="0" applyNumberFormat="1"/>
    <xf numFmtId="0" fontId="0" fillId="0" borderId="1" xfId="0" applyFont="1" applyBorder="1" applyAlignment="1">
      <alignment horizontal="center"/>
    </xf>
    <xf numFmtId="3" fontId="0" fillId="0" borderId="0" xfId="0" applyNumberFormat="1"/>
    <xf numFmtId="175" fontId="0" fillId="0" borderId="0" xfId="0" applyNumberFormat="1"/>
    <xf numFmtId="164" fontId="0" fillId="0" borderId="0" xfId="0" applyNumberFormat="1"/>
    <xf numFmtId="164" fontId="0" fillId="0" borderId="0" xfId="1" applyNumberFormat="1" applyFont="1" applyFill="1" applyBorder="1" applyAlignment="1">
      <alignment horizontal="center"/>
    </xf>
    <xf numFmtId="168" fontId="5" fillId="0" borderId="0" xfId="0" applyNumberFormat="1" applyFont="1" applyBorder="1" applyAlignment="1"/>
    <xf numFmtId="170" fontId="0" fillId="0" borderId="7" xfId="0" applyNumberFormat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165" fontId="0" fillId="0" borderId="0" xfId="0" applyNumberFormat="1" applyFill="1" applyBorder="1"/>
    <xf numFmtId="0" fontId="8" fillId="0" borderId="0" xfId="0" applyFont="1" applyBorder="1" applyAlignment="1">
      <alignment horizontal="center"/>
    </xf>
    <xf numFmtId="165" fontId="5" fillId="0" borderId="2" xfId="0" applyNumberFormat="1" applyFont="1" applyBorder="1"/>
    <xf numFmtId="165" fontId="5" fillId="0" borderId="0" xfId="0" applyNumberFormat="1" applyFont="1" applyBorder="1"/>
    <xf numFmtId="170" fontId="5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0" fillId="3" borderId="0" xfId="0" applyNumberFormat="1" applyFill="1" applyBorder="1"/>
    <xf numFmtId="165" fontId="0" fillId="0" borderId="2" xfId="0" applyNumberFormat="1" applyFill="1" applyBorder="1"/>
    <xf numFmtId="165" fontId="5" fillId="3" borderId="0" xfId="0" applyNumberFormat="1" applyFont="1" applyFill="1" applyBorder="1" applyAlignment="1">
      <alignment horizontal="center"/>
    </xf>
    <xf numFmtId="165" fontId="5" fillId="3" borderId="0" xfId="0" applyNumberFormat="1" applyFont="1" applyFill="1"/>
    <xf numFmtId="170" fontId="0" fillId="3" borderId="8" xfId="0" applyNumberFormat="1" applyFill="1" applyBorder="1" applyAlignment="1">
      <alignment horizontal="center"/>
    </xf>
    <xf numFmtId="170" fontId="0" fillId="3" borderId="9" xfId="0" applyNumberFormat="1" applyFill="1" applyBorder="1" applyAlignment="1">
      <alignment horizontal="center"/>
    </xf>
    <xf numFmtId="170" fontId="5" fillId="3" borderId="7" xfId="0" applyNumberFormat="1" applyFont="1" applyFill="1" applyBorder="1" applyAlignment="1">
      <alignment horizontal="center"/>
    </xf>
    <xf numFmtId="170" fontId="5" fillId="3" borderId="8" xfId="0" applyNumberFormat="1" applyFont="1" applyFill="1" applyBorder="1" applyAlignment="1">
      <alignment horizontal="center"/>
    </xf>
    <xf numFmtId="170" fontId="5" fillId="3" borderId="9" xfId="0" applyNumberFormat="1" applyFont="1" applyFill="1" applyBorder="1" applyAlignment="1">
      <alignment horizontal="center"/>
    </xf>
    <xf numFmtId="168" fontId="5" fillId="3" borderId="7" xfId="0" applyNumberFormat="1" applyFont="1" applyFill="1" applyBorder="1" applyAlignment="1"/>
    <xf numFmtId="168" fontId="5" fillId="3" borderId="8" xfId="0" applyNumberFormat="1" applyFont="1" applyFill="1" applyBorder="1" applyAlignment="1"/>
    <xf numFmtId="168" fontId="5" fillId="3" borderId="9" xfId="0" applyNumberFormat="1" applyFont="1" applyFill="1" applyBorder="1" applyAlignment="1"/>
    <xf numFmtId="165" fontId="0" fillId="3" borderId="0" xfId="0" applyNumberFormat="1" applyFill="1"/>
    <xf numFmtId="165" fontId="0" fillId="3" borderId="0" xfId="1" applyNumberFormat="1" applyFont="1" applyFill="1" applyBorder="1" applyAlignment="1">
      <alignment horizontal="center"/>
    </xf>
    <xf numFmtId="165" fontId="0" fillId="0" borderId="0" xfId="0" applyNumberFormat="1" applyBorder="1"/>
    <xf numFmtId="165" fontId="0" fillId="0" borderId="0" xfId="0" applyNumberFormat="1" applyBorder="1"/>
    <xf numFmtId="9" fontId="3" fillId="0" borderId="0" xfId="2" applyFont="1"/>
    <xf numFmtId="165" fontId="3" fillId="0" borderId="0" xfId="1" applyNumberFormat="1" applyFont="1"/>
    <xf numFmtId="2" fontId="5" fillId="0" borderId="0" xfId="0" applyNumberFormat="1" applyFont="1"/>
    <xf numFmtId="165" fontId="5" fillId="0" borderId="0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nks%20Workbo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 Inputs"/>
      <sheetName val="Schedule C Revenue Stats"/>
      <sheetName val="Indices"/>
      <sheetName val="CPI data"/>
      <sheetName val="Input - Distribution"/>
      <sheetName val="Input - Transmission"/>
      <sheetName val="TCSD Inputs"/>
      <sheetName val="Financial Model Static"/>
      <sheetName val="Amendments"/>
    </sheetNames>
    <sheetDataSet>
      <sheetData sheetId="0" refreshError="1">
        <row r="24">
          <cell r="E24">
            <v>1332.3170536123812</v>
          </cell>
          <cell r="F24">
            <v>15396.216399752841</v>
          </cell>
          <cell r="H24">
            <v>8768</v>
          </cell>
        </row>
        <row r="37">
          <cell r="E37">
            <v>107.678</v>
          </cell>
          <cell r="F37">
            <v>1025</v>
          </cell>
          <cell r="G37">
            <v>6069</v>
          </cell>
          <cell r="H37">
            <v>0</v>
          </cell>
          <cell r="I37">
            <v>6128</v>
          </cell>
        </row>
        <row r="38">
          <cell r="E38">
            <v>53.556050000000006</v>
          </cell>
          <cell r="F38">
            <v>1519</v>
          </cell>
          <cell r="G38">
            <v>4351</v>
          </cell>
          <cell r="H38">
            <v>0</v>
          </cell>
          <cell r="I38">
            <v>5457</v>
          </cell>
        </row>
        <row r="39">
          <cell r="E39">
            <v>49</v>
          </cell>
          <cell r="F39">
            <v>818</v>
          </cell>
          <cell r="G39">
            <v>1065</v>
          </cell>
          <cell r="H39">
            <v>0</v>
          </cell>
          <cell r="I39">
            <v>1943</v>
          </cell>
        </row>
        <row r="40">
          <cell r="E40">
            <v>154</v>
          </cell>
          <cell r="F40">
            <v>1314.0441449343366</v>
          </cell>
          <cell r="G40">
            <v>1372</v>
          </cell>
          <cell r="H40">
            <v>28</v>
          </cell>
          <cell r="I40">
            <v>3610</v>
          </cell>
        </row>
        <row r="41">
          <cell r="E41">
            <v>636.77099999999996</v>
          </cell>
          <cell r="F41">
            <v>8516.4962759922309</v>
          </cell>
          <cell r="G41">
            <v>16357.238820000002</v>
          </cell>
          <cell r="H41">
            <v>701</v>
          </cell>
          <cell r="I41">
            <v>5066.3067300000002</v>
          </cell>
        </row>
        <row r="42">
          <cell r="E42">
            <v>400.17500000000001</v>
          </cell>
          <cell r="F42">
            <v>8706.9021182849192</v>
          </cell>
          <cell r="G42">
            <v>22825.832339700271</v>
          </cell>
          <cell r="H42">
            <v>326</v>
          </cell>
          <cell r="I42">
            <v>5670</v>
          </cell>
        </row>
        <row r="43">
          <cell r="E43">
            <v>521</v>
          </cell>
          <cell r="F43">
            <v>10233.565399999999</v>
          </cell>
          <cell r="G43">
            <v>11298</v>
          </cell>
          <cell r="H43">
            <v>896</v>
          </cell>
          <cell r="I43">
            <v>12567</v>
          </cell>
        </row>
        <row r="44">
          <cell r="E44">
            <v>561</v>
          </cell>
          <cell r="F44">
            <v>6461.5612851668002</v>
          </cell>
          <cell r="G44">
            <v>21373</v>
          </cell>
          <cell r="H44">
            <v>39</v>
          </cell>
          <cell r="I44">
            <v>7911</v>
          </cell>
        </row>
        <row r="46">
          <cell r="E46">
            <v>560</v>
          </cell>
          <cell r="F46">
            <v>9909.5943309000013</v>
          </cell>
          <cell r="H46">
            <v>1966</v>
          </cell>
        </row>
        <row r="47">
          <cell r="E47">
            <v>606</v>
          </cell>
          <cell r="F47">
            <v>9651.3120772688599</v>
          </cell>
          <cell r="H47">
            <v>4420</v>
          </cell>
        </row>
        <row r="48">
          <cell r="E48">
            <v>593</v>
          </cell>
          <cell r="F48">
            <v>9785.0324777951391</v>
          </cell>
          <cell r="H48">
            <v>40060</v>
          </cell>
        </row>
        <row r="49">
          <cell r="E49">
            <v>608</v>
          </cell>
          <cell r="F49">
            <v>10864.937265279001</v>
          </cell>
          <cell r="H49">
            <v>2185</v>
          </cell>
        </row>
        <row r="50">
          <cell r="E50">
            <v>619</v>
          </cell>
          <cell r="F50">
            <v>10953.5738070922</v>
          </cell>
          <cell r="H50">
            <v>1980</v>
          </cell>
        </row>
        <row r="51">
          <cell r="E51">
            <v>617</v>
          </cell>
          <cell r="F51">
            <v>11042.948392079799</v>
          </cell>
          <cell r="H51">
            <v>2835</v>
          </cell>
        </row>
        <row r="53">
          <cell r="E53">
            <v>0</v>
          </cell>
          <cell r="F53">
            <v>0</v>
          </cell>
          <cell r="H53">
            <v>0</v>
          </cell>
        </row>
        <row r="54">
          <cell r="E54">
            <v>67.851525121047615</v>
          </cell>
          <cell r="F54">
            <v>38.674613968873253</v>
          </cell>
          <cell r="H54">
            <v>0</v>
          </cell>
        </row>
        <row r="55">
          <cell r="E55">
            <v>110.49847330637343</v>
          </cell>
          <cell r="F55">
            <v>64</v>
          </cell>
          <cell r="H55">
            <v>487</v>
          </cell>
        </row>
        <row r="56">
          <cell r="E56">
            <v>110.91342750556464</v>
          </cell>
          <cell r="F56">
            <v>82</v>
          </cell>
          <cell r="H56">
            <v>518</v>
          </cell>
        </row>
        <row r="57">
          <cell r="E57">
            <v>111.4908303307316</v>
          </cell>
          <cell r="F57">
            <v>101</v>
          </cell>
          <cell r="H57">
            <v>642</v>
          </cell>
        </row>
        <row r="58">
          <cell r="E58">
            <v>112.23555524065355</v>
          </cell>
          <cell r="F58">
            <v>123</v>
          </cell>
          <cell r="H58">
            <v>673</v>
          </cell>
        </row>
        <row r="59">
          <cell r="E59">
            <v>113.15262189787316</v>
          </cell>
          <cell r="F59">
            <v>147</v>
          </cell>
          <cell r="H59">
            <v>673</v>
          </cell>
        </row>
        <row r="61">
          <cell r="E61">
            <v>365</v>
          </cell>
          <cell r="F61">
            <v>5792</v>
          </cell>
          <cell r="G61">
            <v>9756</v>
          </cell>
          <cell r="H61">
            <v>308.27699999999999</v>
          </cell>
          <cell r="I61">
            <v>2218.6</v>
          </cell>
        </row>
        <row r="62">
          <cell r="E62">
            <v>366</v>
          </cell>
          <cell r="F62">
            <v>5890</v>
          </cell>
          <cell r="G62">
            <v>9911</v>
          </cell>
          <cell r="H62">
            <v>308.27699999999999</v>
          </cell>
          <cell r="I62">
            <v>2218.6</v>
          </cell>
        </row>
        <row r="63">
          <cell r="E63">
            <v>384</v>
          </cell>
          <cell r="F63">
            <v>5901</v>
          </cell>
          <cell r="G63">
            <v>10061</v>
          </cell>
          <cell r="H63">
            <v>308.27699999999999</v>
          </cell>
          <cell r="I63">
            <v>2218.6</v>
          </cell>
        </row>
        <row r="64">
          <cell r="E64">
            <v>386</v>
          </cell>
          <cell r="F64">
            <v>6170</v>
          </cell>
          <cell r="G64">
            <v>10155</v>
          </cell>
          <cell r="H64">
            <v>308.27699999999999</v>
          </cell>
          <cell r="I64">
            <v>2219.6999999999998</v>
          </cell>
        </row>
        <row r="65">
          <cell r="E65">
            <v>387</v>
          </cell>
          <cell r="F65">
            <v>6177</v>
          </cell>
          <cell r="G65">
            <v>10252</v>
          </cell>
          <cell r="H65">
            <v>308.27699999999999</v>
          </cell>
          <cell r="I65">
            <v>2219.6999999999998</v>
          </cell>
        </row>
        <row r="66">
          <cell r="E66">
            <v>1055279</v>
          </cell>
          <cell r="F66">
            <v>9564363</v>
          </cell>
          <cell r="G66">
            <v>22597621</v>
          </cell>
          <cell r="H66">
            <v>137116559</v>
          </cell>
          <cell r="I66">
            <v>92679929</v>
          </cell>
        </row>
        <row r="67">
          <cell r="E67">
            <v>1034957</v>
          </cell>
          <cell r="F67">
            <v>9204033</v>
          </cell>
          <cell r="G67">
            <v>22117219</v>
          </cell>
          <cell r="H67">
            <v>133152233</v>
          </cell>
          <cell r="I67">
            <v>105248977</v>
          </cell>
        </row>
        <row r="68">
          <cell r="E68">
            <v>961994</v>
          </cell>
          <cell r="F68">
            <v>9316465</v>
          </cell>
          <cell r="G68">
            <v>21607463</v>
          </cell>
          <cell r="H68">
            <v>134266062</v>
          </cell>
          <cell r="I68">
            <v>92048260</v>
          </cell>
        </row>
        <row r="69">
          <cell r="E69">
            <v>1094541</v>
          </cell>
          <cell r="F69">
            <v>9268755</v>
          </cell>
          <cell r="G69">
            <v>21226186</v>
          </cell>
          <cell r="H69">
            <v>128637477</v>
          </cell>
          <cell r="I69">
            <v>94270089</v>
          </cell>
        </row>
        <row r="70">
          <cell r="E70">
            <v>1174868</v>
          </cell>
          <cell r="F70">
            <v>8887622</v>
          </cell>
          <cell r="G70">
            <v>21132754</v>
          </cell>
          <cell r="H70">
            <v>113652355</v>
          </cell>
          <cell r="I70">
            <v>94260725</v>
          </cell>
        </row>
        <row r="71">
          <cell r="E71">
            <v>10326</v>
          </cell>
          <cell r="F71">
            <v>103404</v>
          </cell>
          <cell r="G71">
            <v>140872</v>
          </cell>
          <cell r="H71">
            <v>13</v>
          </cell>
          <cell r="I71">
            <v>16</v>
          </cell>
        </row>
        <row r="72">
          <cell r="E72">
            <v>10331</v>
          </cell>
          <cell r="F72">
            <v>103602</v>
          </cell>
          <cell r="G72">
            <v>145122</v>
          </cell>
          <cell r="H72">
            <v>13</v>
          </cell>
          <cell r="I72">
            <v>14</v>
          </cell>
        </row>
        <row r="73">
          <cell r="E73">
            <v>10287</v>
          </cell>
          <cell r="F73">
            <v>102011</v>
          </cell>
          <cell r="G73">
            <v>148357</v>
          </cell>
          <cell r="H73">
            <v>12.5</v>
          </cell>
          <cell r="I73">
            <v>14</v>
          </cell>
        </row>
        <row r="74">
          <cell r="E74">
            <v>10309</v>
          </cell>
          <cell r="F74">
            <v>102346</v>
          </cell>
          <cell r="G74">
            <v>150892</v>
          </cell>
          <cell r="H74">
            <v>12</v>
          </cell>
          <cell r="I74">
            <v>12</v>
          </cell>
        </row>
        <row r="75">
          <cell r="E75">
            <v>10353</v>
          </cell>
          <cell r="F75">
            <v>102482</v>
          </cell>
          <cell r="G75">
            <v>151104</v>
          </cell>
          <cell r="H75">
            <v>12</v>
          </cell>
          <cell r="I75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27"/>
  <sheetViews>
    <sheetView zoomScale="80" zoomScaleNormal="80" workbookViewId="0">
      <selection activeCell="D20" sqref="D20"/>
    </sheetView>
  </sheetViews>
  <sheetFormatPr defaultRowHeight="15"/>
  <cols>
    <col min="1" max="1" width="8.85546875" customWidth="1"/>
    <col min="2" max="6" width="12.85546875" customWidth="1"/>
    <col min="7" max="7" width="9.28515625" bestFit="1" customWidth="1"/>
  </cols>
  <sheetData>
    <row r="1" spans="1:17" ht="23.25">
      <c r="A1" s="99"/>
      <c r="C1" s="116"/>
      <c r="D1" s="99"/>
      <c r="E1" s="99"/>
    </row>
    <row r="4" spans="1:17">
      <c r="A4" t="s">
        <v>100</v>
      </c>
    </row>
    <row r="5" spans="1:17">
      <c r="A5" s="5"/>
      <c r="B5" s="7" t="str">
        <f>+Opex!C310</f>
        <v xml:space="preserve">Gasnet </v>
      </c>
      <c r="C5" s="8" t="str">
        <f>+Opex!D310</f>
        <v>Powerco</v>
      </c>
      <c r="D5" s="8" t="str">
        <f>+Opex!E310</f>
        <v>Vector Dist</v>
      </c>
      <c r="E5" s="8" t="str">
        <f>+Opex!F310</f>
        <v>Maui</v>
      </c>
      <c r="F5" s="8" t="str">
        <f>+Opex!G310</f>
        <v>Vector Trans</v>
      </c>
    </row>
    <row r="6" spans="1:17">
      <c r="A6" s="10">
        <f>+Opex!B311</f>
        <v>2012</v>
      </c>
      <c r="B6" s="43">
        <f>Opex!C311</f>
        <v>1441.9424059011546</v>
      </c>
      <c r="C6" s="44">
        <f>Opex!D311</f>
        <v>15901.822182833223</v>
      </c>
      <c r="D6" s="44">
        <v>20114.381984163552</v>
      </c>
      <c r="E6" s="44">
        <f>Opex!F311</f>
        <v>8940.1404286778888</v>
      </c>
      <c r="F6" s="44">
        <v>32021.139672085203</v>
      </c>
      <c r="M6" s="4"/>
      <c r="N6" s="4"/>
      <c r="O6" s="4"/>
      <c r="P6" s="4"/>
      <c r="Q6" s="4"/>
    </row>
    <row r="7" spans="1:17">
      <c r="A7" s="10">
        <f>+Opex!B312</f>
        <v>2013</v>
      </c>
      <c r="B7" s="43">
        <f>Opex!C312</f>
        <v>1519.7549189429192</v>
      </c>
      <c r="C7" s="44">
        <f>Opex!D312</f>
        <v>16316.829993685353</v>
      </c>
      <c r="D7" s="44">
        <v>20732.191917402823</v>
      </c>
      <c r="E7" s="44">
        <f>Opex!F312</f>
        <v>9621.0957214322152</v>
      </c>
      <c r="F7" s="44">
        <v>32843.74221359138</v>
      </c>
      <c r="M7" s="4"/>
      <c r="N7" s="4"/>
      <c r="O7" s="4"/>
      <c r="P7" s="4"/>
      <c r="Q7" s="4"/>
    </row>
    <row r="8" spans="1:17">
      <c r="A8" s="10">
        <f>+Opex!B313</f>
        <v>2014</v>
      </c>
      <c r="B8" s="43">
        <f>Opex!C313</f>
        <v>1563.671174188391</v>
      </c>
      <c r="C8" s="44">
        <f>Opex!D313</f>
        <v>16819.841302858753</v>
      </c>
      <c r="D8" s="44">
        <v>21474.685348780979</v>
      </c>
      <c r="E8" s="44">
        <f>Opex!F313</f>
        <v>9885.5236772615608</v>
      </c>
      <c r="F8" s="44">
        <v>33834.835502561131</v>
      </c>
      <c r="M8" s="4"/>
      <c r="N8" s="4"/>
      <c r="O8" s="4"/>
      <c r="P8" s="4"/>
      <c r="Q8" s="4"/>
    </row>
    <row r="9" spans="1:17">
      <c r="A9" s="10">
        <f>+Opex!B314</f>
        <v>2015</v>
      </c>
      <c r="B9" s="43">
        <f>Opex!C314</f>
        <v>1611.2839967454174</v>
      </c>
      <c r="C9" s="44">
        <f>Opex!D314</f>
        <v>17363.573156339877</v>
      </c>
      <c r="D9" s="44">
        <v>22275.717896441238</v>
      </c>
      <c r="E9" s="44">
        <f>Opex!F314</f>
        <v>10274.136849181497</v>
      </c>
      <c r="F9" s="44">
        <v>34875.730239408309</v>
      </c>
      <c r="M9" s="4"/>
      <c r="N9" s="4"/>
      <c r="O9" s="4"/>
      <c r="P9" s="4"/>
      <c r="Q9" s="4"/>
    </row>
    <row r="10" spans="1:17">
      <c r="A10" s="10">
        <f>+Opex!B315</f>
        <v>2016</v>
      </c>
      <c r="B10" s="43">
        <f>Opex!C315</f>
        <v>1666.1328304600859</v>
      </c>
      <c r="C10" s="44">
        <f>Opex!D315</f>
        <v>17990.587818225762</v>
      </c>
      <c r="D10" s="44">
        <v>23186.45019826627</v>
      </c>
      <c r="E10" s="44">
        <f>Opex!F315</f>
        <v>10572.491510943468</v>
      </c>
      <c r="F10" s="44">
        <v>36007.324676890094</v>
      </c>
      <c r="M10" s="4"/>
      <c r="N10" s="4"/>
      <c r="O10" s="4"/>
      <c r="P10" s="4"/>
      <c r="Q10" s="4"/>
    </row>
    <row r="11" spans="1:17">
      <c r="A11" s="10">
        <f>+Opex!B316</f>
        <v>2017</v>
      </c>
      <c r="B11" s="43">
        <f>Opex!C316</f>
        <v>1714.2254871982109</v>
      </c>
      <c r="C11" s="44">
        <f>Opex!D316</f>
        <v>18538.69629719013</v>
      </c>
      <c r="D11" s="44">
        <v>23998.909131419758</v>
      </c>
      <c r="E11" s="44">
        <f>Opex!F316</f>
        <v>10794.917865550149</v>
      </c>
      <c r="F11" s="44">
        <v>36861.903845580382</v>
      </c>
      <c r="M11" s="4"/>
      <c r="N11" s="4"/>
      <c r="O11" s="4"/>
      <c r="P11" s="4"/>
      <c r="Q11" s="4"/>
    </row>
    <row r="12" spans="1:17">
      <c r="A12" s="10">
        <f>+Opex!B317</f>
        <v>2018</v>
      </c>
      <c r="B12" s="43">
        <f>Opex!C317</f>
        <v>1761.2278946629556</v>
      </c>
      <c r="C12" s="44">
        <f>Opex!D317</f>
        <v>19032.145466113612</v>
      </c>
      <c r="D12" s="44">
        <v>24775.388569302981</v>
      </c>
      <c r="E12" s="44"/>
      <c r="F12" s="44">
        <v>37654.482075226901</v>
      </c>
      <c r="M12" s="4"/>
      <c r="N12" s="4"/>
      <c r="O12" s="4"/>
      <c r="P12" s="4"/>
      <c r="Q12" s="4"/>
    </row>
    <row r="15" spans="1:17">
      <c r="B15" s="19"/>
      <c r="C15" s="19"/>
      <c r="D15" s="65"/>
      <c r="E15" s="19"/>
      <c r="F15" s="19"/>
      <c r="G15" s="19"/>
    </row>
    <row r="16" spans="1:17">
      <c r="G16" s="19"/>
    </row>
    <row r="17" spans="1:17">
      <c r="A17" t="s">
        <v>165</v>
      </c>
      <c r="G17" s="19"/>
    </row>
    <row r="18" spans="1:17">
      <c r="A18" s="5"/>
      <c r="B18" s="7" t="str">
        <f>+Capex!C255</f>
        <v xml:space="preserve">Gasnet </v>
      </c>
      <c r="C18" s="8" t="str">
        <f>+Capex!D255</f>
        <v>Powerco</v>
      </c>
      <c r="D18" s="8" t="str">
        <f>+Capex!E255</f>
        <v>Vector Dist</v>
      </c>
      <c r="E18" s="8" t="str">
        <f>+Capex!F255</f>
        <v>Maui</v>
      </c>
      <c r="F18" s="8" t="str">
        <f>+Capex!G255</f>
        <v>Vector Trans</v>
      </c>
      <c r="G18" s="19"/>
    </row>
    <row r="19" spans="1:17">
      <c r="A19" s="10">
        <f>+Capex!B256</f>
        <v>2012</v>
      </c>
      <c r="B19" s="43">
        <f>+Capex!C256</f>
        <v>657.04744068144294</v>
      </c>
      <c r="C19" s="44">
        <f>+Capex!D256</f>
        <v>11120.622973548896</v>
      </c>
      <c r="D19" s="44">
        <v>22136.051897844605</v>
      </c>
      <c r="E19" s="44">
        <f>+Capex!F256</f>
        <v>139.85406176504577</v>
      </c>
      <c r="F19" s="44">
        <v>11728.168033164666</v>
      </c>
      <c r="G19" s="19"/>
      <c r="M19" s="4"/>
      <c r="N19" s="4"/>
      <c r="O19" s="4"/>
      <c r="P19" s="4"/>
      <c r="Q19" s="4"/>
    </row>
    <row r="20" spans="1:17">
      <c r="A20" s="10">
        <f>+Capex!B257</f>
        <v>2013</v>
      </c>
      <c r="B20" s="43">
        <f>+Capex!C257</f>
        <v>711.60956496671088</v>
      </c>
      <c r="C20" s="44">
        <f>+Capex!D257</f>
        <v>10989.046783512918</v>
      </c>
      <c r="D20" s="44">
        <v>24450.323139028224</v>
      </c>
      <c r="E20" s="44">
        <f>+Capex!F257</f>
        <v>310.11469176019443</v>
      </c>
      <c r="F20" s="44">
        <v>13815.969417898661</v>
      </c>
      <c r="G20" s="19"/>
      <c r="M20" s="4"/>
      <c r="N20" s="4"/>
      <c r="O20" s="4"/>
      <c r="P20" s="4"/>
      <c r="Q20" s="4"/>
    </row>
    <row r="21" spans="1:17">
      <c r="A21" s="10">
        <f>+Capex!B258</f>
        <v>2014</v>
      </c>
      <c r="B21" s="43">
        <f>+Capex!C258</f>
        <v>710.70166562255531</v>
      </c>
      <c r="C21" s="44">
        <f>+Capex!D258</f>
        <v>11321.119422835327</v>
      </c>
      <c r="D21" s="44">
        <v>28853.425594311633</v>
      </c>
      <c r="E21" s="44">
        <f>+Capex!F258</f>
        <v>2808.6303123154107</v>
      </c>
      <c r="F21" s="44">
        <v>23430.017091020971</v>
      </c>
      <c r="G21" s="19"/>
      <c r="M21" s="4"/>
      <c r="N21" s="4"/>
      <c r="O21" s="4"/>
      <c r="P21" s="4"/>
      <c r="Q21" s="4"/>
    </row>
    <row r="22" spans="1:17">
      <c r="A22" s="10">
        <f>+Capex!B259</f>
        <v>2015</v>
      </c>
      <c r="B22" s="43">
        <f>+Capex!C259</f>
        <v>742.09065628983831</v>
      </c>
      <c r="C22" s="44">
        <f>+Capex!D259</f>
        <v>12706.257816820122</v>
      </c>
      <c r="D22" s="44">
        <v>20412.487774098019</v>
      </c>
      <c r="E22" s="44">
        <f>+Capex!F259</f>
        <v>163.81073279060431</v>
      </c>
      <c r="F22" s="44">
        <v>13393.003989574536</v>
      </c>
      <c r="G22" s="19"/>
      <c r="M22" s="4"/>
      <c r="N22" s="4"/>
      <c r="O22" s="4"/>
      <c r="P22" s="4"/>
      <c r="Q22" s="4"/>
    </row>
    <row r="23" spans="1:17">
      <c r="A23" s="10">
        <f>+Capex!B260</f>
        <v>2016</v>
      </c>
      <c r="B23" s="43">
        <f>+Capex!C260</f>
        <v>771.63100375479428</v>
      </c>
      <c r="C23" s="44">
        <f>+Capex!D260</f>
        <v>13103.419643026316</v>
      </c>
      <c r="D23" s="44">
        <v>16666.903175429881</v>
      </c>
      <c r="E23" s="44">
        <f>+Capex!F260</f>
        <v>152.55126804049794</v>
      </c>
      <c r="F23" s="44">
        <v>12221.331951816263</v>
      </c>
      <c r="G23" s="19"/>
      <c r="M23" s="4"/>
      <c r="N23" s="4"/>
      <c r="O23" s="4"/>
      <c r="P23" s="4"/>
      <c r="Q23" s="4"/>
    </row>
    <row r="24" spans="1:17">
      <c r="A24" s="10">
        <f>+Capex!B261</f>
        <v>2017</v>
      </c>
      <c r="B24" s="43">
        <f>+Capex!C261</f>
        <v>786.0547215869002</v>
      </c>
      <c r="C24" s="44">
        <f>+Capex!D261</f>
        <v>13484.507096244981</v>
      </c>
      <c r="D24" s="44">
        <v>17052.90578825253</v>
      </c>
      <c r="E24" s="44">
        <f>+Capex!F261</f>
        <v>219.63748195679881</v>
      </c>
      <c r="F24" s="44">
        <v>12385.915323491661</v>
      </c>
      <c r="G24" s="19"/>
      <c r="M24" s="4"/>
      <c r="N24" s="4"/>
      <c r="O24" s="4"/>
      <c r="P24" s="4"/>
      <c r="Q24" s="4"/>
    </row>
    <row r="25" spans="1:17">
      <c r="A25" s="10">
        <f>+Capex!B262</f>
        <v>2018</v>
      </c>
      <c r="B25" s="43">
        <f>+Capex!C262</f>
        <v>802.56187074022512</v>
      </c>
      <c r="C25" s="44">
        <f>+Capex!D262</f>
        <v>13767.681745266125</v>
      </c>
      <c r="D25" s="44">
        <v>17411.016809805835</v>
      </c>
      <c r="E25" s="44"/>
      <c r="F25" s="44">
        <v>12646.019545284988</v>
      </c>
      <c r="G25" s="19"/>
      <c r="M25" s="4"/>
      <c r="N25" s="4"/>
      <c r="O25" s="4"/>
      <c r="P25" s="4"/>
      <c r="Q25" s="4"/>
    </row>
    <row r="26" spans="1:17">
      <c r="G26" s="19"/>
    </row>
    <row r="27" spans="1:17">
      <c r="G27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T317"/>
  <sheetViews>
    <sheetView zoomScale="80" zoomScaleNormal="80" workbookViewId="0">
      <selection activeCell="J17" sqref="J17"/>
    </sheetView>
  </sheetViews>
  <sheetFormatPr defaultRowHeight="15"/>
  <cols>
    <col min="2" max="7" width="17.7109375" customWidth="1"/>
    <col min="10" max="10" width="12" bestFit="1" customWidth="1"/>
    <col min="11" max="14" width="11.28515625" bestFit="1" customWidth="1"/>
    <col min="15" max="15" width="9.28515625" bestFit="1" customWidth="1"/>
    <col min="16" max="16" width="9.42578125" bestFit="1" customWidth="1"/>
    <col min="18" max="19" width="24.28515625" bestFit="1" customWidth="1"/>
    <col min="20" max="20" width="25" bestFit="1" customWidth="1"/>
  </cols>
  <sheetData>
    <row r="2" spans="1:7" ht="18.75">
      <c r="A2" s="45" t="s">
        <v>98</v>
      </c>
      <c r="B2" s="46"/>
      <c r="C2" s="46"/>
      <c r="D2" s="46"/>
      <c r="E2" s="46"/>
      <c r="F2" s="46"/>
      <c r="G2" s="46"/>
    </row>
    <row r="6" spans="1:7">
      <c r="A6" s="22" t="s">
        <v>47</v>
      </c>
      <c r="B6" s="3" t="s">
        <v>48</v>
      </c>
    </row>
    <row r="7" spans="1:7">
      <c r="B7" s="10" t="s">
        <v>49</v>
      </c>
      <c r="C7" s="10" t="str">
        <f>+'Opex Inputs'!A41</f>
        <v>IO7</v>
      </c>
    </row>
    <row r="8" spans="1:7">
      <c r="A8" s="10"/>
      <c r="B8" s="10"/>
    </row>
    <row r="9" spans="1:7">
      <c r="B9" s="10" t="str">
        <f>+'Opex Inputs'!A41</f>
        <v>IO7</v>
      </c>
      <c r="C9" t="str">
        <f>+'Opex Inputs'!B41</f>
        <v>Historical series of network length</v>
      </c>
    </row>
    <row r="10" spans="1:7">
      <c r="B10" s="5"/>
      <c r="C10" s="7" t="str">
        <f>+'Opex Inputs'!C44</f>
        <v xml:space="preserve">Gasnet </v>
      </c>
      <c r="D10" s="8" t="str">
        <f>+'Opex Inputs'!D44</f>
        <v>Powerco</v>
      </c>
      <c r="E10" s="8" t="str">
        <f>+'Opex Inputs'!E44</f>
        <v>Vector Dist</v>
      </c>
      <c r="F10" s="8" t="str">
        <f>+'Opex Inputs'!F44</f>
        <v>Maui</v>
      </c>
      <c r="G10" s="8" t="str">
        <f>+'Opex Inputs'!G44</f>
        <v>Vector Trans</v>
      </c>
    </row>
    <row r="11" spans="1:7">
      <c r="B11" s="13">
        <f>+'Opex Inputs'!B45</f>
        <v>2007</v>
      </c>
      <c r="C11" s="6">
        <f>+'Opex Inputs'!C45</f>
        <v>365</v>
      </c>
      <c r="D11" s="4">
        <f>+'Opex Inputs'!D45</f>
        <v>5792</v>
      </c>
      <c r="E11" s="4">
        <f>+'Opex Inputs'!E45</f>
        <v>9756</v>
      </c>
      <c r="F11" s="4">
        <f>+'Opex Inputs'!F45</f>
        <v>308.27699999999999</v>
      </c>
      <c r="G11" s="4">
        <f>+'Opex Inputs'!G45</f>
        <v>2218.6</v>
      </c>
    </row>
    <row r="12" spans="1:7">
      <c r="B12" s="10">
        <f>+'Opex Inputs'!B46</f>
        <v>2008</v>
      </c>
      <c r="C12" s="6">
        <f>+'Opex Inputs'!C46</f>
        <v>366</v>
      </c>
      <c r="D12" s="4">
        <f>+'Opex Inputs'!D46</f>
        <v>5890</v>
      </c>
      <c r="E12" s="4">
        <f>+'Opex Inputs'!E46</f>
        <v>9911</v>
      </c>
      <c r="F12" s="4">
        <f>+'Opex Inputs'!F46</f>
        <v>308.27699999999999</v>
      </c>
      <c r="G12" s="4">
        <f>+'Opex Inputs'!G46</f>
        <v>2218.6</v>
      </c>
    </row>
    <row r="13" spans="1:7">
      <c r="B13" s="10">
        <f>+'Opex Inputs'!B47</f>
        <v>2009</v>
      </c>
      <c r="C13" s="6">
        <f>+'Opex Inputs'!C47</f>
        <v>384</v>
      </c>
      <c r="D13" s="4">
        <f>+'Opex Inputs'!D47</f>
        <v>5901</v>
      </c>
      <c r="E13" s="4">
        <f>+'Opex Inputs'!E47</f>
        <v>10061</v>
      </c>
      <c r="F13" s="4">
        <f>+'Opex Inputs'!F47</f>
        <v>308.27699999999999</v>
      </c>
      <c r="G13" s="4">
        <f>+'Opex Inputs'!G47</f>
        <v>2218.6</v>
      </c>
    </row>
    <row r="14" spans="1:7">
      <c r="B14" s="10">
        <f>+'Opex Inputs'!B48</f>
        <v>2010</v>
      </c>
      <c r="C14" s="6">
        <f>+'Opex Inputs'!C48</f>
        <v>386</v>
      </c>
      <c r="D14" s="4">
        <f>+'Opex Inputs'!D48</f>
        <v>6170</v>
      </c>
      <c r="E14" s="4">
        <f>+'Opex Inputs'!E48</f>
        <v>10155</v>
      </c>
      <c r="F14" s="4">
        <f>+'Opex Inputs'!F48</f>
        <v>308.27699999999999</v>
      </c>
      <c r="G14" s="4">
        <f>+'Opex Inputs'!G48</f>
        <v>2219.6999999999998</v>
      </c>
    </row>
    <row r="15" spans="1:7">
      <c r="B15" s="10">
        <f>+'Opex Inputs'!B49</f>
        <v>2011</v>
      </c>
      <c r="C15" s="6">
        <f>+'Opex Inputs'!C49</f>
        <v>387</v>
      </c>
      <c r="D15" s="4">
        <f>+'Opex Inputs'!D49</f>
        <v>6177</v>
      </c>
      <c r="E15" s="4">
        <f>+'Opex Inputs'!E49</f>
        <v>10252</v>
      </c>
      <c r="F15" s="4">
        <f>+'Opex Inputs'!F49</f>
        <v>308.27699999999999</v>
      </c>
      <c r="G15" s="4">
        <f>+'Opex Inputs'!G49</f>
        <v>2219.6999999999998</v>
      </c>
    </row>
    <row r="17" spans="1:15">
      <c r="B17" s="5" t="s">
        <v>50</v>
      </c>
      <c r="C17" s="7" t="s">
        <v>39</v>
      </c>
      <c r="D17" s="8" t="s">
        <v>40</v>
      </c>
      <c r="E17" s="8" t="s">
        <v>169</v>
      </c>
      <c r="F17" s="8" t="s">
        <v>41</v>
      </c>
      <c r="G17" s="8" t="s">
        <v>170</v>
      </c>
    </row>
    <row r="18" spans="1:15">
      <c r="B18" s="10">
        <v>2007</v>
      </c>
      <c r="C18" s="24">
        <f>LN(C11)</f>
        <v>5.8998973535824915</v>
      </c>
      <c r="D18" s="23">
        <f t="shared" ref="D18:G18" si="0">LN(D11)</f>
        <v>8.6642329340655522</v>
      </c>
      <c r="E18" s="23">
        <f t="shared" si="0"/>
        <v>9.1856377593358101</v>
      </c>
      <c r="F18" s="23">
        <f t="shared" si="0"/>
        <v>5.7309987294494409</v>
      </c>
      <c r="G18" s="23">
        <f t="shared" si="0"/>
        <v>7.7046316453045591</v>
      </c>
    </row>
    <row r="19" spans="1:15">
      <c r="B19" s="10">
        <v>2008</v>
      </c>
      <c r="C19" s="24">
        <f t="shared" ref="C19:G21" si="1">LN(C12)</f>
        <v>5.9026333334013659</v>
      </c>
      <c r="D19" s="23">
        <f t="shared" si="1"/>
        <v>8.6810112766456324</v>
      </c>
      <c r="E19" s="23">
        <f t="shared" si="1"/>
        <v>9.2014005304067084</v>
      </c>
      <c r="F19" s="23">
        <f t="shared" si="1"/>
        <v>5.7309987294494409</v>
      </c>
      <c r="G19" s="23">
        <f t="shared" si="1"/>
        <v>7.7046316453045591</v>
      </c>
    </row>
    <row r="20" spans="1:15">
      <c r="B20" s="10">
        <v>2009</v>
      </c>
      <c r="C20" s="24">
        <f t="shared" si="1"/>
        <v>5.9506425525877269</v>
      </c>
      <c r="D20" s="23">
        <f t="shared" si="1"/>
        <v>8.682877107057168</v>
      </c>
      <c r="E20" s="23">
        <f t="shared" si="1"/>
        <v>9.2164218422920499</v>
      </c>
      <c r="F20" s="23">
        <f t="shared" si="1"/>
        <v>5.7309987294494409</v>
      </c>
      <c r="G20" s="23">
        <f t="shared" si="1"/>
        <v>7.7046316453045591</v>
      </c>
    </row>
    <row r="21" spans="1:15">
      <c r="B21" s="10">
        <v>2010</v>
      </c>
      <c r="C21" s="24">
        <f t="shared" si="1"/>
        <v>5.955837369464831</v>
      </c>
      <c r="D21" s="23">
        <f t="shared" si="1"/>
        <v>8.727454116899434</v>
      </c>
      <c r="E21" s="23">
        <f t="shared" si="1"/>
        <v>9.2257214740144846</v>
      </c>
      <c r="F21" s="23">
        <f t="shared" si="1"/>
        <v>5.7309987294494409</v>
      </c>
      <c r="G21" s="23">
        <f t="shared" si="1"/>
        <v>7.7051273305996153</v>
      </c>
      <c r="O21" s="21"/>
    </row>
    <row r="22" spans="1:15">
      <c r="B22" s="10">
        <v>2011</v>
      </c>
      <c r="C22" s="24">
        <f>LN(C15)</f>
        <v>5.9584246930297819</v>
      </c>
      <c r="D22" s="23">
        <f t="shared" ref="D22:G22" si="2">LN(D15)</f>
        <v>8.7285879956958983</v>
      </c>
      <c r="E22" s="23">
        <f t="shared" si="2"/>
        <v>9.2352280874839625</v>
      </c>
      <c r="F22" s="23">
        <f t="shared" si="2"/>
        <v>5.7309987294494409</v>
      </c>
      <c r="G22" s="23">
        <f t="shared" si="2"/>
        <v>7.7051273305996153</v>
      </c>
    </row>
    <row r="24" spans="1:15">
      <c r="B24" s="29" t="s">
        <v>58</v>
      </c>
      <c r="C24" s="25">
        <f>EXP(SLOPE(C18:C22,$B18:$B22))-1</f>
        <v>1.717163773658803E-2</v>
      </c>
      <c r="D24" s="25">
        <f t="shared" ref="D24:F24" si="3">EXP(SLOPE(D18:D22,$B18:$B22))-1</f>
        <v>1.7669588663393743E-2</v>
      </c>
      <c r="E24" s="25">
        <f t="shared" si="3"/>
        <v>1.2426738142395477E-2</v>
      </c>
      <c r="F24" s="25">
        <f t="shared" si="3"/>
        <v>0</v>
      </c>
      <c r="G24" s="25">
        <f>EXP(SLOPE(G18:G22,$B18:$B22))-1</f>
        <v>1.487166457410094E-4</v>
      </c>
    </row>
    <row r="27" spans="1:15">
      <c r="A27" s="22" t="s">
        <v>51</v>
      </c>
      <c r="B27" s="3" t="s">
        <v>52</v>
      </c>
    </row>
    <row r="28" spans="1:15">
      <c r="B28" s="10" t="s">
        <v>49</v>
      </c>
      <c r="C28" s="10" t="s">
        <v>7</v>
      </c>
    </row>
    <row r="29" spans="1:15">
      <c r="A29" s="10"/>
      <c r="B29" s="10"/>
    </row>
    <row r="30" spans="1:15">
      <c r="B30" s="10" t="str">
        <f>+'Opex Inputs'!A51</f>
        <v>IO8</v>
      </c>
      <c r="C30" t="str">
        <f>+'Opex Inputs'!B51</f>
        <v>Historical series of energy throughput</v>
      </c>
    </row>
    <row r="31" spans="1:15">
      <c r="B31" s="5"/>
      <c r="C31" s="7" t="str">
        <f>+'Opex Inputs'!C54</f>
        <v xml:space="preserve">Gasnet </v>
      </c>
      <c r="D31" s="8" t="str">
        <f>+'Opex Inputs'!D54</f>
        <v>Powerco</v>
      </c>
      <c r="E31" s="8" t="str">
        <f>+'Opex Inputs'!E54</f>
        <v>Vector Dist</v>
      </c>
      <c r="F31" s="8" t="str">
        <f>+'Opex Inputs'!F54</f>
        <v>Maui</v>
      </c>
      <c r="G31" s="8" t="str">
        <f>+'Opex Inputs'!G54</f>
        <v>Vector Trans</v>
      </c>
    </row>
    <row r="32" spans="1:15">
      <c r="B32" s="13">
        <f>+'Opex Inputs'!B55</f>
        <v>2007</v>
      </c>
      <c r="C32" s="6">
        <f>+'Opex Inputs'!C55</f>
        <v>1055279</v>
      </c>
      <c r="D32" s="4">
        <f>+'Opex Inputs'!D55</f>
        <v>9564363</v>
      </c>
      <c r="E32" s="4">
        <f>+'Opex Inputs'!E55</f>
        <v>22597621</v>
      </c>
      <c r="F32" s="4">
        <f>+'Opex Inputs'!F55</f>
        <v>137116559</v>
      </c>
      <c r="G32" s="4">
        <f>+'Opex Inputs'!G55</f>
        <v>92679929</v>
      </c>
    </row>
    <row r="33" spans="1:13">
      <c r="B33" s="10">
        <f>+'Opex Inputs'!B56</f>
        <v>2008</v>
      </c>
      <c r="C33" s="6">
        <f>+'Opex Inputs'!C56</f>
        <v>1034957</v>
      </c>
      <c r="D33" s="4">
        <f>+'Opex Inputs'!D56</f>
        <v>9204033</v>
      </c>
      <c r="E33" s="4">
        <f>+'Opex Inputs'!E56</f>
        <v>22117219</v>
      </c>
      <c r="F33" s="4">
        <f>+'Opex Inputs'!F56</f>
        <v>133152233</v>
      </c>
      <c r="G33" s="4">
        <f>+'Opex Inputs'!G56</f>
        <v>105248977</v>
      </c>
    </row>
    <row r="34" spans="1:13">
      <c r="B34" s="10">
        <f>+'Opex Inputs'!B57</f>
        <v>2009</v>
      </c>
      <c r="C34" s="6">
        <f>+'Opex Inputs'!C57</f>
        <v>961994</v>
      </c>
      <c r="D34" s="4">
        <f>+'Opex Inputs'!D57</f>
        <v>9316465</v>
      </c>
      <c r="E34" s="4">
        <f>+'Opex Inputs'!E57</f>
        <v>21607463</v>
      </c>
      <c r="F34" s="4">
        <f>+'Opex Inputs'!F57</f>
        <v>134266062</v>
      </c>
      <c r="G34" s="4">
        <f>+'Opex Inputs'!G57</f>
        <v>92048260</v>
      </c>
    </row>
    <row r="35" spans="1:13">
      <c r="B35" s="10">
        <f>+'Opex Inputs'!B58</f>
        <v>2010</v>
      </c>
      <c r="C35" s="6">
        <f>+'Opex Inputs'!C58</f>
        <v>1094541</v>
      </c>
      <c r="D35" s="4">
        <f>+'Opex Inputs'!D58</f>
        <v>9268755</v>
      </c>
      <c r="E35" s="4">
        <f>+'Opex Inputs'!E58</f>
        <v>21226186</v>
      </c>
      <c r="F35" s="4">
        <f>+'Opex Inputs'!F58</f>
        <v>128637477</v>
      </c>
      <c r="G35" s="4">
        <f>+'Opex Inputs'!G58</f>
        <v>94270089</v>
      </c>
    </row>
    <row r="36" spans="1:13">
      <c r="B36" s="10">
        <f>+'Opex Inputs'!B59</f>
        <v>2011</v>
      </c>
      <c r="C36" s="6">
        <f>+'Opex Inputs'!C59</f>
        <v>1174868</v>
      </c>
      <c r="D36" s="4">
        <f>+'Opex Inputs'!D59</f>
        <v>8887622</v>
      </c>
      <c r="E36" s="4">
        <f>+'Opex Inputs'!E59</f>
        <v>21132754</v>
      </c>
      <c r="F36" s="4">
        <f>+'Opex Inputs'!F59</f>
        <v>113652355</v>
      </c>
      <c r="G36" s="4">
        <f>+'Opex Inputs'!G59</f>
        <v>94260725</v>
      </c>
    </row>
    <row r="38" spans="1:13">
      <c r="B38" s="5" t="s">
        <v>50</v>
      </c>
      <c r="C38" s="7" t="s">
        <v>39</v>
      </c>
      <c r="D38" s="8" t="s">
        <v>40</v>
      </c>
      <c r="E38" s="8" t="s">
        <v>169</v>
      </c>
      <c r="F38" s="8" t="s">
        <v>41</v>
      </c>
      <c r="G38" s="8" t="s">
        <v>170</v>
      </c>
    </row>
    <row r="39" spans="1:13">
      <c r="B39" s="10">
        <v>2007</v>
      </c>
      <c r="C39" s="24">
        <f>LN(C32)</f>
        <v>13.869315744906554</v>
      </c>
      <c r="D39" s="23">
        <f t="shared" ref="D39:G39" si="4">LN(D32)</f>
        <v>16.073554561670701</v>
      </c>
      <c r="E39" s="23">
        <f t="shared" si="4"/>
        <v>16.933355193214989</v>
      </c>
      <c r="F39" s="23">
        <f t="shared" si="4"/>
        <v>18.736341917691394</v>
      </c>
      <c r="G39" s="23">
        <f t="shared" si="4"/>
        <v>18.344662491451334</v>
      </c>
    </row>
    <row r="40" spans="1:13">
      <c r="B40" s="10">
        <v>2008</v>
      </c>
      <c r="C40" s="24">
        <f t="shared" ref="C40:G40" si="5">LN(C33)</f>
        <v>13.849870437924832</v>
      </c>
      <c r="D40" s="23">
        <f t="shared" si="5"/>
        <v>16.03515231552862</v>
      </c>
      <c r="E40" s="23">
        <f t="shared" si="5"/>
        <v>16.911867003387261</v>
      </c>
      <c r="F40" s="23">
        <f t="shared" si="5"/>
        <v>18.707003640643112</v>
      </c>
      <c r="G40" s="23">
        <f t="shared" si="5"/>
        <v>18.471839310764565</v>
      </c>
    </row>
    <row r="41" spans="1:13">
      <c r="B41" s="10">
        <v>2009</v>
      </c>
      <c r="C41" s="24">
        <f t="shared" ref="C41:G41" si="6">LN(C34)</f>
        <v>13.776763492622157</v>
      </c>
      <c r="D41" s="23">
        <f t="shared" si="6"/>
        <v>16.047293822866934</v>
      </c>
      <c r="E41" s="23">
        <f t="shared" si="6"/>
        <v>16.888549322239072</v>
      </c>
      <c r="F41" s="23">
        <f t="shared" si="6"/>
        <v>18.715333926654761</v>
      </c>
      <c r="G41" s="23">
        <f t="shared" si="6"/>
        <v>18.337823562694467</v>
      </c>
    </row>
    <row r="42" spans="1:13">
      <c r="B42" s="10">
        <v>2010</v>
      </c>
      <c r="C42" s="24">
        <f t="shared" ref="C42:G42" si="7">LN(C35)</f>
        <v>13.905845655270856</v>
      </c>
      <c r="D42" s="23">
        <f t="shared" si="7"/>
        <v>16.0421596243153</v>
      </c>
      <c r="E42" s="23">
        <f t="shared" si="7"/>
        <v>16.87074616610354</v>
      </c>
      <c r="F42" s="23">
        <f t="shared" si="7"/>
        <v>18.67250875032946</v>
      </c>
      <c r="G42" s="23">
        <f t="shared" si="7"/>
        <v>18.361674507468631</v>
      </c>
    </row>
    <row r="43" spans="1:13">
      <c r="B43" s="10">
        <v>2011</v>
      </c>
      <c r="C43" s="24">
        <f>LN(C36)</f>
        <v>13.976666358824206</v>
      </c>
      <c r="D43" s="23">
        <f t="shared" ref="D43:G43" si="8">LN(D36)</f>
        <v>16.000170080144283</v>
      </c>
      <c r="E43" s="23">
        <f t="shared" si="8"/>
        <v>16.866334717114384</v>
      </c>
      <c r="F43" s="23">
        <f t="shared" si="8"/>
        <v>18.548654829561556</v>
      </c>
      <c r="G43" s="23">
        <f t="shared" si="8"/>
        <v>18.361575170921899</v>
      </c>
    </row>
    <row r="45" spans="1:13">
      <c r="B45" s="29" t="s">
        <v>59</v>
      </c>
      <c r="C45" s="25">
        <f>EXP(SLOPE(C39:C43,$B39:$B43))-1</f>
        <v>2.743730091401031E-2</v>
      </c>
      <c r="D45" s="25">
        <f t="shared" ref="D45:F45" si="9">EXP(SLOPE(D39:D43,$B39:$B43))-1</f>
        <v>-1.3878952242758369E-2</v>
      </c>
      <c r="E45" s="25">
        <f t="shared" si="9"/>
        <v>-1.7363662486226339E-2</v>
      </c>
      <c r="F45" s="25">
        <f t="shared" si="9"/>
        <v>-4.0158302598225948E-2</v>
      </c>
      <c r="G45" s="25">
        <f>EXP(SLOPE(G39:G43,$B39:$B43))-1</f>
        <v>-7.6048798877319523E-3</v>
      </c>
    </row>
    <row r="46" spans="1:13">
      <c r="C46" s="11"/>
      <c r="D46" s="18"/>
      <c r="G46" s="21"/>
    </row>
    <row r="47" spans="1:13">
      <c r="C47" s="11"/>
      <c r="D47" s="18"/>
      <c r="G47" s="21"/>
      <c r="L47" s="20"/>
      <c r="M47" s="20"/>
    </row>
    <row r="48" spans="1:13">
      <c r="A48" s="22" t="s">
        <v>54</v>
      </c>
      <c r="B48" s="3" t="s">
        <v>53</v>
      </c>
    </row>
    <row r="49" spans="1:7">
      <c r="B49" s="10" t="s">
        <v>49</v>
      </c>
      <c r="C49" s="10" t="s">
        <v>8</v>
      </c>
    </row>
    <row r="50" spans="1:7">
      <c r="A50" s="10"/>
      <c r="B50" s="10"/>
    </row>
    <row r="51" spans="1:7">
      <c r="B51" s="10" t="str">
        <f>+'Opex Inputs'!A61</f>
        <v>IO9</v>
      </c>
      <c r="C51" t="str">
        <f>+'Opex Inputs'!B61</f>
        <v>Historical series of number of consumers</v>
      </c>
    </row>
    <row r="52" spans="1:7">
      <c r="B52" s="5"/>
      <c r="C52" s="7" t="str">
        <f>+'Opex Inputs'!C64</f>
        <v xml:space="preserve">Gasnet </v>
      </c>
      <c r="D52" s="8" t="str">
        <f>+'Opex Inputs'!D64</f>
        <v>Powerco</v>
      </c>
      <c r="E52" s="8" t="str">
        <f>+'Opex Inputs'!E64</f>
        <v>Vector Dist</v>
      </c>
      <c r="F52" s="8" t="str">
        <f>+'Opex Inputs'!F64</f>
        <v>Maui</v>
      </c>
      <c r="G52" s="8" t="str">
        <f>+'Opex Inputs'!G64</f>
        <v>Vector Trans</v>
      </c>
    </row>
    <row r="53" spans="1:7">
      <c r="B53" s="13">
        <f>+'Opex Inputs'!B65</f>
        <v>2007</v>
      </c>
      <c r="C53" s="6">
        <f>+'Opex Inputs'!C65</f>
        <v>10326</v>
      </c>
      <c r="D53" s="4">
        <f>+'Opex Inputs'!D65</f>
        <v>103404</v>
      </c>
      <c r="E53" s="4">
        <f>+'Opex Inputs'!E65</f>
        <v>140872</v>
      </c>
      <c r="F53" s="4">
        <f>+'Opex Inputs'!F65</f>
        <v>13</v>
      </c>
      <c r="G53" s="4">
        <f>+'Opex Inputs'!G65</f>
        <v>16</v>
      </c>
    </row>
    <row r="54" spans="1:7">
      <c r="B54" s="10">
        <f>+'Opex Inputs'!B66</f>
        <v>2008</v>
      </c>
      <c r="C54" s="6">
        <f>+'Opex Inputs'!C66</f>
        <v>10331</v>
      </c>
      <c r="D54" s="4">
        <f>+'Opex Inputs'!D66</f>
        <v>103602</v>
      </c>
      <c r="E54" s="4">
        <f>+'Opex Inputs'!E66</f>
        <v>145122</v>
      </c>
      <c r="F54" s="4">
        <f>+'Opex Inputs'!F66</f>
        <v>13</v>
      </c>
      <c r="G54" s="4">
        <f>+'Opex Inputs'!G66</f>
        <v>14</v>
      </c>
    </row>
    <row r="55" spans="1:7">
      <c r="B55" s="10">
        <f>+'Opex Inputs'!B67</f>
        <v>2009</v>
      </c>
      <c r="C55" s="6">
        <f>+'Opex Inputs'!C67</f>
        <v>10287</v>
      </c>
      <c r="D55" s="4">
        <f>+'Opex Inputs'!D67</f>
        <v>102011</v>
      </c>
      <c r="E55" s="4">
        <f>+'Opex Inputs'!E67</f>
        <v>148357</v>
      </c>
      <c r="F55" s="4">
        <f>+'Opex Inputs'!F67</f>
        <v>12.5</v>
      </c>
      <c r="G55" s="4">
        <f>+'Opex Inputs'!G67</f>
        <v>14</v>
      </c>
    </row>
    <row r="56" spans="1:7">
      <c r="B56" s="10">
        <f>+'Opex Inputs'!B68</f>
        <v>2010</v>
      </c>
      <c r="C56" s="6">
        <f>+'Opex Inputs'!C68</f>
        <v>10309</v>
      </c>
      <c r="D56" s="4">
        <f>+'Opex Inputs'!D68</f>
        <v>102346</v>
      </c>
      <c r="E56" s="4">
        <f>+'Opex Inputs'!E68</f>
        <v>150892</v>
      </c>
      <c r="F56" s="4">
        <f>+'Opex Inputs'!F68</f>
        <v>12</v>
      </c>
      <c r="G56" s="4">
        <f>+'Opex Inputs'!G68</f>
        <v>12</v>
      </c>
    </row>
    <row r="57" spans="1:7">
      <c r="B57" s="10">
        <f>+'Opex Inputs'!B69</f>
        <v>2011</v>
      </c>
      <c r="C57" s="6">
        <f>+'Opex Inputs'!C69</f>
        <v>10353</v>
      </c>
      <c r="D57" s="4">
        <f>+'Opex Inputs'!D69</f>
        <v>102482</v>
      </c>
      <c r="E57" s="4">
        <f>+'Opex Inputs'!E69</f>
        <v>151104</v>
      </c>
      <c r="F57" s="4">
        <f>+'Opex Inputs'!F69</f>
        <v>12</v>
      </c>
      <c r="G57" s="4">
        <f>+'Opex Inputs'!G69</f>
        <v>11</v>
      </c>
    </row>
    <row r="59" spans="1:7">
      <c r="B59" s="5" t="s">
        <v>50</v>
      </c>
      <c r="C59" s="7" t="s">
        <v>39</v>
      </c>
      <c r="D59" s="8" t="s">
        <v>40</v>
      </c>
      <c r="E59" s="8" t="s">
        <v>169</v>
      </c>
      <c r="F59" s="8" t="s">
        <v>41</v>
      </c>
      <c r="G59" s="8" t="s">
        <v>170</v>
      </c>
    </row>
    <row r="60" spans="1:7">
      <c r="B60" s="10">
        <v>2007</v>
      </c>
      <c r="C60" s="24">
        <f>LN(C53)</f>
        <v>9.2424202654395948</v>
      </c>
      <c r="D60" s="23">
        <f t="shared" ref="D60:G60" si="10">LN(D53)</f>
        <v>11.546398925027766</v>
      </c>
      <c r="E60" s="23">
        <f t="shared" si="10"/>
        <v>11.855606955640614</v>
      </c>
      <c r="F60" s="23">
        <f t="shared" si="10"/>
        <v>2.5649493574615367</v>
      </c>
      <c r="G60" s="23">
        <f t="shared" si="10"/>
        <v>2.7725887222397811</v>
      </c>
    </row>
    <row r="61" spans="1:7">
      <c r="B61" s="10">
        <v>2008</v>
      </c>
      <c r="C61" s="24">
        <f t="shared" ref="C61:G61" si="11">LN(C54)</f>
        <v>9.2429043628494458</v>
      </c>
      <c r="D61" s="23">
        <f t="shared" si="11"/>
        <v>11.548311913640486</v>
      </c>
      <c r="E61" s="23">
        <f t="shared" si="11"/>
        <v>11.885330046951902</v>
      </c>
      <c r="F61" s="23">
        <f t="shared" si="11"/>
        <v>2.5649493574615367</v>
      </c>
      <c r="G61" s="23">
        <f t="shared" si="11"/>
        <v>2.6390573296152584</v>
      </c>
    </row>
    <row r="62" spans="1:7">
      <c r="B62" s="10">
        <v>2009</v>
      </c>
      <c r="C62" s="24">
        <f t="shared" ref="C62:G62" si="12">LN(C55)</f>
        <v>9.2386362411310294</v>
      </c>
      <c r="D62" s="23">
        <f>LN(D55)</f>
        <v>11.532835929589011</v>
      </c>
      <c r="E62" s="23">
        <f t="shared" si="12"/>
        <v>11.907376810315228</v>
      </c>
      <c r="F62" s="23">
        <f t="shared" si="12"/>
        <v>2.5257286443082556</v>
      </c>
      <c r="G62" s="23">
        <f t="shared" si="12"/>
        <v>2.6390573296152584</v>
      </c>
    </row>
    <row r="63" spans="1:7">
      <c r="B63" s="10">
        <v>2010</v>
      </c>
      <c r="C63" s="24">
        <f t="shared" ref="C63:G63" si="13">LN(C56)</f>
        <v>9.2407725790963848</v>
      </c>
      <c r="D63" s="23">
        <f t="shared" si="13"/>
        <v>11.536114508742926</v>
      </c>
      <c r="E63" s="23">
        <f t="shared" si="13"/>
        <v>11.9243196281087</v>
      </c>
      <c r="F63" s="23">
        <f t="shared" si="13"/>
        <v>2.4849066497880004</v>
      </c>
      <c r="G63" s="23">
        <f t="shared" si="13"/>
        <v>2.4849066497880004</v>
      </c>
    </row>
    <row r="64" spans="1:7">
      <c r="B64" s="10">
        <v>2011</v>
      </c>
      <c r="C64" s="24">
        <f>LN(C57)</f>
        <v>9.2450316117661124</v>
      </c>
      <c r="D64" s="23">
        <f t="shared" ref="D64:G64" si="14">LN(D57)</f>
        <v>11.537442452383305</v>
      </c>
      <c r="E64" s="23">
        <f t="shared" si="14"/>
        <v>11.925723620445185</v>
      </c>
      <c r="F64" s="23">
        <f t="shared" si="14"/>
        <v>2.4849066497880004</v>
      </c>
      <c r="G64" s="23">
        <f t="shared" si="14"/>
        <v>2.3978952727983707</v>
      </c>
    </row>
    <row r="66" spans="1:7">
      <c r="B66" s="29" t="s">
        <v>60</v>
      </c>
      <c r="C66" s="25">
        <f>EXP(SLOPE(C60:C64,$B60:$B64))-1</f>
        <v>3.09138663508568E-4</v>
      </c>
      <c r="D66" s="25">
        <f t="shared" ref="D66:E66" si="15">EXP(SLOPE(D60:D64,$B60:$B64))-1</f>
        <v>-3.0065063991241425E-3</v>
      </c>
      <c r="E66" s="25">
        <f t="shared" si="15"/>
        <v>1.808385911514554E-2</v>
      </c>
      <c r="F66" s="25">
        <f>EXP(SLOPE(F60:F64,$B60:$B64))-1</f>
        <v>-2.3726798629371104E-2</v>
      </c>
      <c r="G66" s="25">
        <f>EXP(SLOPE(G60:G64,$B60:$B64))-1</f>
        <v>-8.6392067899073277E-2</v>
      </c>
    </row>
    <row r="67" spans="1:7">
      <c r="C67" s="11"/>
      <c r="D67" s="18"/>
    </row>
    <row r="68" spans="1:7">
      <c r="C68" s="11"/>
      <c r="D68" s="18"/>
    </row>
    <row r="69" spans="1:7">
      <c r="A69" s="22" t="s">
        <v>55</v>
      </c>
      <c r="B69" s="3" t="s">
        <v>56</v>
      </c>
      <c r="C69" s="11"/>
      <c r="D69" s="18"/>
    </row>
    <row r="70" spans="1:7">
      <c r="B70" s="10" t="s">
        <v>49</v>
      </c>
      <c r="C70" s="28" t="s">
        <v>106</v>
      </c>
      <c r="D70" s="18"/>
    </row>
    <row r="71" spans="1:7">
      <c r="B71" s="10"/>
      <c r="C71" s="10"/>
      <c r="D71" s="18"/>
    </row>
    <row r="72" spans="1:7">
      <c r="B72" s="28" t="s">
        <v>102</v>
      </c>
      <c r="C72" s="10"/>
      <c r="D72" s="18"/>
    </row>
    <row r="73" spans="1:7">
      <c r="B73" s="68" t="str">
        <f>+'Opex Inputs'!B159</f>
        <v>Quarter</v>
      </c>
      <c r="C73" s="68" t="str">
        <f>+'Opex Inputs'!C159</f>
        <v>Weight</v>
      </c>
      <c r="D73" s="18"/>
    </row>
    <row r="74" spans="1:7">
      <c r="B74" s="50">
        <f>+'Opex Inputs'!B160</f>
        <v>1</v>
      </c>
      <c r="C74" s="17">
        <f>+'Opex Inputs'!C160</f>
        <v>0.25</v>
      </c>
      <c r="D74" s="18"/>
    </row>
    <row r="75" spans="1:7">
      <c r="B75" s="50">
        <f>+'Opex Inputs'!B161</f>
        <v>2</v>
      </c>
      <c r="C75" s="17">
        <f>+'Opex Inputs'!C161</f>
        <v>0.25</v>
      </c>
      <c r="D75" s="18"/>
    </row>
    <row r="76" spans="1:7">
      <c r="B76" s="50">
        <f>+'Opex Inputs'!B162</f>
        <v>3</v>
      </c>
      <c r="C76" s="17">
        <f>+'Opex Inputs'!C162</f>
        <v>0.25</v>
      </c>
      <c r="D76" s="18"/>
    </row>
    <row r="77" spans="1:7">
      <c r="B77" s="50">
        <f>+'Opex Inputs'!B163</f>
        <v>4</v>
      </c>
      <c r="C77" s="17">
        <f>+'Opex Inputs'!C163</f>
        <v>0.25</v>
      </c>
      <c r="D77" s="18"/>
    </row>
    <row r="78" spans="1:7">
      <c r="D78" s="18"/>
    </row>
    <row r="79" spans="1:7" ht="15.75">
      <c r="B79" s="9" t="str">
        <f>+'Opex Inputs'!B77</f>
        <v>Labour cost index (NZIER data)</v>
      </c>
      <c r="D79" s="18"/>
    </row>
    <row r="80" spans="1:7" ht="45">
      <c r="B80" s="57" t="str">
        <f>+'Opex Inputs'!B78</f>
        <v>Quarter Ending</v>
      </c>
      <c r="C80" s="58" t="str">
        <f>+'Opex Inputs'!C78</f>
        <v>Index</v>
      </c>
      <c r="D80" s="70" t="s">
        <v>103</v>
      </c>
      <c r="E80" s="59" t="s">
        <v>104</v>
      </c>
      <c r="G80" s="69"/>
    </row>
    <row r="81" spans="2:8">
      <c r="B81" s="53">
        <f>+'Opex Inputs'!B79</f>
        <v>40451</v>
      </c>
      <c r="C81" s="130"/>
      <c r="D81" s="64"/>
      <c r="E81" s="60"/>
      <c r="G81" s="19"/>
    </row>
    <row r="82" spans="2:8">
      <c r="B82" s="54">
        <f>+'Opex Inputs'!B80</f>
        <v>40543</v>
      </c>
      <c r="C82" s="131"/>
      <c r="D82" s="42"/>
      <c r="E82" s="61"/>
      <c r="G82" s="19"/>
    </row>
    <row r="83" spans="2:8">
      <c r="B83" s="54">
        <f>+'Opex Inputs'!B81</f>
        <v>40633</v>
      </c>
      <c r="C83" s="131"/>
      <c r="D83" s="42"/>
      <c r="E83" s="61"/>
      <c r="G83" s="19"/>
    </row>
    <row r="84" spans="2:8">
      <c r="B84" s="54">
        <f>+'Opex Inputs'!B82</f>
        <v>40724</v>
      </c>
      <c r="C84" s="131"/>
      <c r="D84" s="71">
        <v>1028.25</v>
      </c>
      <c r="E84" s="62"/>
      <c r="G84" s="56"/>
    </row>
    <row r="85" spans="2:8">
      <c r="B85" s="54">
        <f>+'Opex Inputs'!B83</f>
        <v>40816</v>
      </c>
      <c r="C85" s="131"/>
      <c r="D85" s="71">
        <v>1033.25</v>
      </c>
      <c r="E85" s="62"/>
      <c r="G85" s="56"/>
    </row>
    <row r="86" spans="2:8">
      <c r="B86" s="54">
        <f>+'Opex Inputs'!B84</f>
        <v>40908</v>
      </c>
      <c r="C86" s="131"/>
      <c r="D86" s="71">
        <v>1038.5</v>
      </c>
      <c r="E86" s="62"/>
      <c r="G86" s="56"/>
    </row>
    <row r="87" spans="2:8">
      <c r="B87" s="54">
        <f>+'Opex Inputs'!B85</f>
        <v>40999</v>
      </c>
      <c r="C87" s="131"/>
      <c r="D87" s="71">
        <v>1043.75</v>
      </c>
      <c r="E87" s="62"/>
      <c r="G87" s="56"/>
    </row>
    <row r="88" spans="2:8">
      <c r="B88" s="54">
        <f>+'Opex Inputs'!B86</f>
        <v>41090</v>
      </c>
      <c r="C88" s="131"/>
      <c r="D88" s="71">
        <v>1049</v>
      </c>
      <c r="E88" s="63">
        <f>+D88/D84-1</f>
        <v>2.0179917335278352E-2</v>
      </c>
      <c r="G88" s="56"/>
    </row>
    <row r="89" spans="2:8">
      <c r="B89" s="54">
        <f>+'Opex Inputs'!B87</f>
        <v>41182</v>
      </c>
      <c r="C89" s="131"/>
      <c r="D89" s="71">
        <v>1053.8282048308774</v>
      </c>
      <c r="E89" s="62"/>
      <c r="G89" s="56"/>
    </row>
    <row r="90" spans="2:8">
      <c r="B90" s="54">
        <f>+'Opex Inputs'!B88</f>
        <v>41274</v>
      </c>
      <c r="C90" s="131"/>
      <c r="D90" s="71">
        <v>1058.23901799891</v>
      </c>
      <c r="E90" s="63">
        <f t="shared" ref="E90" si="16">+D90/D86-1</f>
        <v>1.9007239286384259E-2</v>
      </c>
      <c r="G90" s="56"/>
      <c r="H90" s="52"/>
    </row>
    <row r="91" spans="2:8">
      <c r="B91" s="54">
        <f>+'Opex Inputs'!B89</f>
        <v>41364</v>
      </c>
      <c r="C91" s="131"/>
      <c r="D91" s="71">
        <v>1062.486860994776</v>
      </c>
      <c r="E91" s="62"/>
      <c r="G91" s="56"/>
    </row>
    <row r="92" spans="2:8">
      <c r="B92" s="54">
        <f>+'Opex Inputs'!B90</f>
        <v>41455</v>
      </c>
      <c r="C92" s="131"/>
      <c r="D92" s="71">
        <v>1067.053330181262</v>
      </c>
      <c r="E92" s="63">
        <f t="shared" ref="E92" si="17">+D92/D88-1</f>
        <v>1.7210038304348974E-2</v>
      </c>
      <c r="G92" s="56"/>
    </row>
    <row r="93" spans="2:8">
      <c r="B93" s="54">
        <f>+'Opex Inputs'!B91</f>
        <v>41547</v>
      </c>
      <c r="C93" s="131"/>
      <c r="D93" s="71">
        <v>1071.8667269541118</v>
      </c>
      <c r="E93" s="62"/>
      <c r="G93" s="56"/>
    </row>
    <row r="94" spans="2:8">
      <c r="B94" s="54">
        <f>+'Opex Inputs'!B92</f>
        <v>41639</v>
      </c>
      <c r="C94" s="131"/>
      <c r="D94" s="71">
        <v>1076.929186136008</v>
      </c>
      <c r="E94" s="63">
        <f t="shared" ref="E94" si="18">+D94/D90-1</f>
        <v>1.7661575333368873E-2</v>
      </c>
      <c r="G94" s="56"/>
    </row>
    <row r="95" spans="2:8">
      <c r="B95" s="54">
        <f>+'Opex Inputs'!B93</f>
        <v>41729</v>
      </c>
      <c r="C95" s="131"/>
      <c r="D95" s="71">
        <v>1082.242856825967</v>
      </c>
      <c r="E95" s="62"/>
      <c r="G95" s="56"/>
    </row>
    <row r="96" spans="2:8">
      <c r="B96" s="54">
        <f>+'Opex Inputs'!B94</f>
        <v>41820</v>
      </c>
      <c r="C96" s="131"/>
      <c r="D96" s="71">
        <v>1087.6550555891799</v>
      </c>
      <c r="E96" s="63">
        <f t="shared" ref="E96" si="19">+D96/D92-1</f>
        <v>1.9307118796413114E-2</v>
      </c>
      <c r="G96" s="56"/>
    </row>
    <row r="97" spans="2:8">
      <c r="B97" s="54">
        <f>+'Opex Inputs'!B95</f>
        <v>41912</v>
      </c>
      <c r="C97" s="131"/>
      <c r="D97" s="71">
        <v>1093.1666445401404</v>
      </c>
      <c r="E97" s="62"/>
      <c r="G97" s="56"/>
      <c r="H97" s="51"/>
    </row>
    <row r="98" spans="2:8">
      <c r="B98" s="54">
        <f>+'Opex Inputs'!B96</f>
        <v>42004</v>
      </c>
      <c r="C98" s="131"/>
      <c r="D98" s="71">
        <v>1098.7784920018994</v>
      </c>
      <c r="E98" s="63">
        <f t="shared" ref="E98" si="20">+D98/D94-1</f>
        <v>2.028852606761089E-2</v>
      </c>
      <c r="G98" s="56"/>
      <c r="H98" s="51"/>
    </row>
    <row r="99" spans="2:8">
      <c r="B99" s="54">
        <f>+'Opex Inputs'!B97</f>
        <v>42094</v>
      </c>
      <c r="C99" s="131"/>
      <c r="D99" s="71">
        <v>1104.4914725468643</v>
      </c>
      <c r="E99" s="62"/>
      <c r="G99" s="56"/>
      <c r="H99" s="51"/>
    </row>
    <row r="100" spans="2:8">
      <c r="B100" s="54">
        <f>+'Opex Inputs'!B98</f>
        <v>42185</v>
      </c>
      <c r="C100" s="131"/>
      <c r="D100" s="71">
        <v>1110.6528881469239</v>
      </c>
      <c r="E100" s="63">
        <f t="shared" ref="E100" si="21">+D100/D96-1</f>
        <v>2.1144417469090016E-2</v>
      </c>
      <c r="G100" s="56"/>
    </row>
    <row r="101" spans="2:8">
      <c r="B101" s="54">
        <f>+'Opex Inputs'!B99</f>
        <v>42277</v>
      </c>
      <c r="C101" s="131"/>
      <c r="D101" s="71">
        <v>1117.2678776205462</v>
      </c>
      <c r="E101" s="62"/>
      <c r="G101" s="56"/>
    </row>
    <row r="102" spans="2:8">
      <c r="B102" s="54">
        <f>+'Opex Inputs'!B100</f>
        <v>42369</v>
      </c>
      <c r="C102" s="131"/>
      <c r="D102" s="71">
        <v>1124.341625324967</v>
      </c>
      <c r="E102" s="63">
        <f t="shared" ref="E102" si="22">+D102/D98-1</f>
        <v>2.3265047058296018E-2</v>
      </c>
      <c r="G102" s="56"/>
    </row>
    <row r="103" spans="2:8">
      <c r="B103" s="54">
        <f>+'Opex Inputs'!B101</f>
        <v>42460</v>
      </c>
      <c r="C103" s="131"/>
      <c r="D103" s="71">
        <v>1131.8793615191385</v>
      </c>
      <c r="E103" s="62"/>
      <c r="G103" s="56"/>
    </row>
    <row r="104" spans="2:8">
      <c r="B104" s="54">
        <f>+'Opex Inputs'!B102</f>
        <v>42551</v>
      </c>
      <c r="C104" s="131"/>
      <c r="D104" s="71">
        <v>1138.8640753661675</v>
      </c>
      <c r="E104" s="63">
        <f t="shared" ref="E104" si="23">+D104/D100-1</f>
        <v>2.5400543698502087E-2</v>
      </c>
      <c r="G104" s="56"/>
    </row>
    <row r="105" spans="2:8">
      <c r="B105" s="54">
        <f>+'Opex Inputs'!B103</f>
        <v>42643</v>
      </c>
      <c r="C105" s="131"/>
      <c r="D105" s="71">
        <v>1145.2892875522816</v>
      </c>
      <c r="E105" s="62"/>
      <c r="G105" s="56"/>
    </row>
    <row r="106" spans="2:8">
      <c r="B106" s="54">
        <f>+'Opex Inputs'!B104</f>
        <v>42735</v>
      </c>
      <c r="C106" s="131"/>
      <c r="D106" s="71">
        <v>1151.1484625963819</v>
      </c>
      <c r="E106" s="63">
        <f t="shared" ref="E106" si="24">+D106/D102-1</f>
        <v>2.3842252806096198E-2</v>
      </c>
      <c r="G106" s="56"/>
    </row>
    <row r="107" spans="2:8">
      <c r="B107" s="54">
        <f>+'Opex Inputs'!B105</f>
        <v>42825</v>
      </c>
      <c r="C107" s="131"/>
      <c r="D107" s="71">
        <v>1156.4350084150342</v>
      </c>
      <c r="E107" s="62"/>
      <c r="G107" s="56"/>
    </row>
    <row r="108" spans="2:8">
      <c r="B108" s="54">
        <f>+'Opex Inputs'!B106</f>
        <v>42916</v>
      </c>
      <c r="C108" s="131"/>
      <c r="D108" s="71">
        <v>1161.8536905694004</v>
      </c>
      <c r="E108" s="63">
        <f t="shared" ref="E108" si="25">+D108/D104-1</f>
        <v>2.0186443404882404E-2</v>
      </c>
      <c r="G108" s="56"/>
    </row>
    <row r="109" spans="2:8">
      <c r="B109" s="54">
        <f>+'Opex Inputs'!B107</f>
        <v>43008</v>
      </c>
      <c r="C109" s="131"/>
      <c r="D109" s="71">
        <v>1167.4056511773299</v>
      </c>
      <c r="E109" s="62"/>
      <c r="G109" s="56"/>
    </row>
    <row r="110" spans="2:8">
      <c r="B110" s="54">
        <f>+'Opex Inputs'!B108</f>
        <v>43100</v>
      </c>
      <c r="C110" s="131"/>
      <c r="D110" s="71">
        <v>1173.0920402583711</v>
      </c>
      <c r="E110" s="63">
        <f t="shared" ref="E110" si="26">+D110/D106-1</f>
        <v>1.906233502887722E-2</v>
      </c>
      <c r="G110" s="56"/>
    </row>
    <row r="111" spans="2:8">
      <c r="B111" s="54">
        <f>+'Opex Inputs'!B109</f>
        <v>43190</v>
      </c>
      <c r="C111" s="131"/>
      <c r="D111" s="71">
        <v>1178.9140157832435</v>
      </c>
      <c r="E111" s="62"/>
      <c r="G111" s="56"/>
    </row>
    <row r="112" spans="2:8">
      <c r="B112" s="55">
        <f>+'Opex Inputs'!B110</f>
        <v>43281</v>
      </c>
      <c r="C112" s="132"/>
      <c r="D112" s="72">
        <v>1184.7648853742667</v>
      </c>
      <c r="E112" s="73">
        <f t="shared" ref="E112" si="27">+D112/D108-1</f>
        <v>1.9719518034700068E-2</v>
      </c>
      <c r="G112" s="56"/>
    </row>
    <row r="113" spans="1:7">
      <c r="B113" s="14"/>
      <c r="C113" s="111"/>
      <c r="D113" s="56"/>
      <c r="E113" s="56"/>
      <c r="G113" s="56"/>
    </row>
    <row r="114" spans="1:7">
      <c r="B114" s="14"/>
      <c r="C114" s="111"/>
      <c r="D114" s="56"/>
      <c r="E114" s="75"/>
      <c r="G114" s="56"/>
    </row>
    <row r="115" spans="1:7">
      <c r="C115" s="26"/>
    </row>
    <row r="116" spans="1:7">
      <c r="C116" s="26"/>
    </row>
    <row r="117" spans="1:7">
      <c r="A117" s="22" t="s">
        <v>57</v>
      </c>
      <c r="B117" s="3" t="s">
        <v>89</v>
      </c>
      <c r="C117" s="26"/>
    </row>
    <row r="118" spans="1:7">
      <c r="B118" s="10" t="s">
        <v>49</v>
      </c>
      <c r="C118" s="28" t="s">
        <v>107</v>
      </c>
    </row>
    <row r="119" spans="1:7">
      <c r="B119" s="10"/>
      <c r="C119" s="10"/>
    </row>
    <row r="120" spans="1:7">
      <c r="B120" s="28" t="s">
        <v>105</v>
      </c>
      <c r="C120" s="10"/>
    </row>
    <row r="121" spans="1:7">
      <c r="B121" s="8" t="str">
        <f>+'Opex Inputs'!B171</f>
        <v>Quarter</v>
      </c>
      <c r="C121" s="8" t="str">
        <f>+'Opex Inputs'!C171</f>
        <v>Weight</v>
      </c>
    </row>
    <row r="122" spans="1:7">
      <c r="B122" s="10">
        <f>+'Opex Inputs'!B172</f>
        <v>1</v>
      </c>
      <c r="C122" s="27">
        <f>+'Opex Inputs'!C172</f>
        <v>0.25</v>
      </c>
    </row>
    <row r="123" spans="1:7">
      <c r="B123" s="10">
        <f>+'Opex Inputs'!B173</f>
        <v>2</v>
      </c>
      <c r="C123" s="27">
        <f>+'Opex Inputs'!C173</f>
        <v>0.25</v>
      </c>
    </row>
    <row r="124" spans="1:7">
      <c r="B124" s="10">
        <f>+'Opex Inputs'!B174</f>
        <v>3</v>
      </c>
      <c r="C124" s="27">
        <f>+'Opex Inputs'!C174</f>
        <v>0.25</v>
      </c>
    </row>
    <row r="125" spans="1:7">
      <c r="B125" s="10">
        <f>+'Opex Inputs'!B175</f>
        <v>4</v>
      </c>
      <c r="C125" s="27">
        <f>+'Opex Inputs'!C175</f>
        <v>0.25</v>
      </c>
    </row>
    <row r="126" spans="1:7">
      <c r="B126" s="10"/>
      <c r="C126" s="10"/>
    </row>
    <row r="127" spans="1:7" ht="15.75">
      <c r="B127" s="12" t="str">
        <f>+'Opex Inputs'!B116</f>
        <v>Producer price index (NZIER data)</v>
      </c>
      <c r="C127" s="26"/>
    </row>
    <row r="128" spans="1:7" ht="45">
      <c r="B128" s="57" t="str">
        <f>+'Opex Inputs'!B117</f>
        <v>Quarter Ending</v>
      </c>
      <c r="C128" s="58" t="str">
        <f>+'Opex Inputs'!C117</f>
        <v>Index</v>
      </c>
      <c r="D128" s="70" t="s">
        <v>103</v>
      </c>
      <c r="E128" s="59" t="s">
        <v>104</v>
      </c>
      <c r="F128" s="69"/>
      <c r="G128" s="69"/>
    </row>
    <row r="129" spans="2:7">
      <c r="B129" s="53">
        <f>+'Opex Inputs'!B118</f>
        <v>40451</v>
      </c>
      <c r="C129" s="130"/>
      <c r="D129" s="64"/>
      <c r="E129" s="60"/>
      <c r="F129" s="19"/>
      <c r="G129" s="19"/>
    </row>
    <row r="130" spans="2:7">
      <c r="B130" s="54">
        <f>+'Opex Inputs'!B119</f>
        <v>40543</v>
      </c>
      <c r="C130" s="131"/>
      <c r="D130" s="42"/>
      <c r="E130" s="61"/>
      <c r="F130" s="19"/>
      <c r="G130" s="19"/>
    </row>
    <row r="131" spans="2:7">
      <c r="B131" s="54">
        <f>+'Opex Inputs'!B120</f>
        <v>40633</v>
      </c>
      <c r="C131" s="131"/>
      <c r="D131" s="42"/>
      <c r="E131" s="61"/>
      <c r="F131" s="19"/>
      <c r="G131" s="19"/>
    </row>
    <row r="132" spans="2:7">
      <c r="B132" s="54">
        <f>+'Opex Inputs'!B121</f>
        <v>40724</v>
      </c>
      <c r="C132" s="131"/>
      <c r="D132" s="71">
        <v>1010.929045</v>
      </c>
      <c r="E132" s="62"/>
      <c r="F132" s="56"/>
      <c r="G132" s="56"/>
    </row>
    <row r="133" spans="2:7">
      <c r="B133" s="54">
        <f>+'Opex Inputs'!B122</f>
        <v>40816</v>
      </c>
      <c r="C133" s="131"/>
      <c r="D133" s="71">
        <v>1022.5</v>
      </c>
      <c r="E133" s="62"/>
      <c r="F133" s="56"/>
      <c r="G133" s="56"/>
    </row>
    <row r="134" spans="2:7">
      <c r="B134" s="54">
        <f>+'Opex Inputs'!B123</f>
        <v>40908</v>
      </c>
      <c r="C134" s="131"/>
      <c r="D134" s="71">
        <v>1033</v>
      </c>
      <c r="E134" s="62"/>
      <c r="F134" s="56"/>
      <c r="G134" s="56"/>
    </row>
    <row r="135" spans="2:7">
      <c r="B135" s="54">
        <f>+'Opex Inputs'!B124</f>
        <v>40999</v>
      </c>
      <c r="C135" s="131"/>
      <c r="D135" s="71">
        <v>1038.75</v>
      </c>
      <c r="E135" s="62"/>
      <c r="F135" s="56"/>
      <c r="G135" s="56"/>
    </row>
    <row r="136" spans="2:7">
      <c r="B136" s="54">
        <f>+'Opex Inputs'!B125</f>
        <v>41090</v>
      </c>
      <c r="C136" s="131"/>
      <c r="D136" s="71">
        <v>1043.75</v>
      </c>
      <c r="E136" s="63">
        <f>+D136/D132-1</f>
        <v>3.2466131191235093E-2</v>
      </c>
      <c r="F136" s="56"/>
      <c r="G136" s="56"/>
    </row>
    <row r="137" spans="2:7">
      <c r="B137" s="54">
        <f>+'Opex Inputs'!B126</f>
        <v>41182</v>
      </c>
      <c r="C137" s="131"/>
      <c r="D137" s="71">
        <v>1048.75</v>
      </c>
      <c r="E137" s="63"/>
      <c r="F137" s="56"/>
      <c r="G137" s="56"/>
    </row>
    <row r="138" spans="2:7">
      <c r="B138" s="54">
        <f>+'Opex Inputs'!B127</f>
        <v>41274</v>
      </c>
      <c r="C138" s="131"/>
      <c r="D138" s="71">
        <v>1054.25</v>
      </c>
      <c r="E138" s="63">
        <f>+D138/D134-1</f>
        <v>2.0571151984511094E-2</v>
      </c>
      <c r="F138" s="56"/>
      <c r="G138" s="56"/>
    </row>
    <row r="139" spans="2:7">
      <c r="B139" s="54">
        <f>+'Opex Inputs'!B128</f>
        <v>41364</v>
      </c>
      <c r="C139" s="131"/>
      <c r="D139" s="71">
        <v>1060.5</v>
      </c>
      <c r="E139" s="62"/>
      <c r="F139" s="56"/>
      <c r="G139" s="56"/>
    </row>
    <row r="140" spans="2:7">
      <c r="B140" s="54">
        <f>+'Opex Inputs'!B129</f>
        <v>41455</v>
      </c>
      <c r="C140" s="131"/>
      <c r="D140" s="71">
        <v>1067.25</v>
      </c>
      <c r="E140" s="63">
        <f>+D140/D136-1</f>
        <v>2.2514970059880346E-2</v>
      </c>
      <c r="F140" s="56"/>
      <c r="G140" s="56"/>
    </row>
    <row r="141" spans="2:7">
      <c r="B141" s="54">
        <f>+'Opex Inputs'!B130</f>
        <v>41547</v>
      </c>
      <c r="C141" s="131"/>
      <c r="D141" s="71">
        <v>1075</v>
      </c>
      <c r="E141" s="63"/>
      <c r="F141" s="56"/>
      <c r="G141" s="56"/>
    </row>
    <row r="142" spans="2:7">
      <c r="B142" s="54">
        <f>+'Opex Inputs'!B131</f>
        <v>41639</v>
      </c>
      <c r="C142" s="131"/>
      <c r="D142" s="71">
        <v>1083.5</v>
      </c>
      <c r="E142" s="63">
        <f>+D142/D138-1</f>
        <v>2.7744842304956219E-2</v>
      </c>
      <c r="F142" s="56"/>
      <c r="G142" s="56"/>
    </row>
    <row r="143" spans="2:7">
      <c r="B143" s="54">
        <f>+'Opex Inputs'!B132</f>
        <v>41729</v>
      </c>
      <c r="C143" s="131"/>
      <c r="D143" s="71">
        <v>1092.75</v>
      </c>
      <c r="E143" s="62"/>
      <c r="F143" s="56"/>
      <c r="G143" s="56"/>
    </row>
    <row r="144" spans="2:7">
      <c r="B144" s="54">
        <f>+'Opex Inputs'!B133</f>
        <v>41820</v>
      </c>
      <c r="C144" s="131"/>
      <c r="D144" s="71">
        <v>1102</v>
      </c>
      <c r="E144" s="63">
        <f>+D144/D140-1</f>
        <v>3.2560318575778791E-2</v>
      </c>
      <c r="F144" s="56"/>
      <c r="G144" s="56"/>
    </row>
    <row r="145" spans="2:7">
      <c r="B145" s="54">
        <f>+'Opex Inputs'!B134</f>
        <v>41912</v>
      </c>
      <c r="C145" s="131"/>
      <c r="D145" s="71">
        <v>1111</v>
      </c>
      <c r="E145" s="63"/>
      <c r="F145" s="56"/>
      <c r="G145" s="56"/>
    </row>
    <row r="146" spans="2:7">
      <c r="B146" s="54">
        <f>+'Opex Inputs'!B135</f>
        <v>42004</v>
      </c>
      <c r="C146" s="131"/>
      <c r="D146" s="71">
        <v>1119.75</v>
      </c>
      <c r="E146" s="63">
        <f>+D146/D142-1</f>
        <v>3.3456391324411694E-2</v>
      </c>
      <c r="F146" s="56"/>
      <c r="G146" s="56"/>
    </row>
    <row r="147" spans="2:7">
      <c r="B147" s="54">
        <f>+'Opex Inputs'!B136</f>
        <v>42094</v>
      </c>
      <c r="C147" s="131"/>
      <c r="D147" s="71">
        <v>1129</v>
      </c>
      <c r="E147" s="62"/>
      <c r="F147" s="56"/>
      <c r="G147" s="56"/>
    </row>
    <row r="148" spans="2:7">
      <c r="B148" s="54">
        <f>+'Opex Inputs'!B137</f>
        <v>42185</v>
      </c>
      <c r="C148" s="131"/>
      <c r="D148" s="71">
        <v>1139</v>
      </c>
      <c r="E148" s="63">
        <f>+D148/D144-1</f>
        <v>3.3575317604355615E-2</v>
      </c>
      <c r="F148" s="56"/>
      <c r="G148" s="56"/>
    </row>
    <row r="149" spans="2:7">
      <c r="B149" s="54">
        <f>+'Opex Inputs'!B138</f>
        <v>42277</v>
      </c>
      <c r="C149" s="131"/>
      <c r="D149" s="71">
        <v>1149.25</v>
      </c>
      <c r="E149" s="63"/>
      <c r="F149" s="56"/>
      <c r="G149" s="56"/>
    </row>
    <row r="150" spans="2:7">
      <c r="B150" s="54">
        <f>+'Opex Inputs'!B139</f>
        <v>42369</v>
      </c>
      <c r="C150" s="131"/>
      <c r="D150" s="71">
        <v>1159.75</v>
      </c>
      <c r="E150" s="63">
        <f>+D150/D146-1</f>
        <v>3.5722259432909187E-2</v>
      </c>
      <c r="F150" s="56"/>
      <c r="G150" s="56"/>
    </row>
    <row r="151" spans="2:7">
      <c r="B151" s="54">
        <f>+'Opex Inputs'!B140</f>
        <v>42460</v>
      </c>
      <c r="C151" s="131"/>
      <c r="D151" s="71">
        <v>1170.25</v>
      </c>
      <c r="E151" s="62"/>
      <c r="F151" s="56"/>
      <c r="G151" s="56"/>
    </row>
    <row r="152" spans="2:7">
      <c r="B152" s="54">
        <f>+'Opex Inputs'!B141</f>
        <v>42551</v>
      </c>
      <c r="C152" s="131"/>
      <c r="D152" s="71">
        <v>1180.5</v>
      </c>
      <c r="E152" s="63">
        <f>+D152/D148-1</f>
        <v>3.6435469710272228E-2</v>
      </c>
      <c r="F152" s="56"/>
      <c r="G152" s="56"/>
    </row>
    <row r="153" spans="2:7">
      <c r="B153" s="54">
        <f>+'Opex Inputs'!B142</f>
        <v>42643</v>
      </c>
      <c r="C153" s="131"/>
      <c r="D153" s="71">
        <v>1190</v>
      </c>
      <c r="E153" s="63"/>
      <c r="F153" s="56"/>
      <c r="G153" s="56"/>
    </row>
    <row r="154" spans="2:7">
      <c r="B154" s="54">
        <f>+'Opex Inputs'!B143</f>
        <v>42735</v>
      </c>
      <c r="C154" s="131"/>
      <c r="D154" s="71">
        <v>1198.75</v>
      </c>
      <c r="E154" s="63">
        <f>+D154/D150-1</f>
        <v>3.3627937055399792E-2</v>
      </c>
      <c r="F154" s="56"/>
      <c r="G154" s="56"/>
    </row>
    <row r="155" spans="2:7">
      <c r="B155" s="54">
        <f>+'Opex Inputs'!B144</f>
        <v>42825</v>
      </c>
      <c r="C155" s="131"/>
      <c r="D155" s="71">
        <v>1207.75</v>
      </c>
      <c r="E155" s="62"/>
      <c r="F155" s="56"/>
      <c r="G155" s="56"/>
    </row>
    <row r="156" spans="2:7">
      <c r="B156" s="54">
        <f>+'Opex Inputs'!B145</f>
        <v>42916</v>
      </c>
      <c r="C156" s="131"/>
      <c r="D156" s="71">
        <v>1215.8789869964594</v>
      </c>
      <c r="E156" s="63">
        <f>+D156/D152-1</f>
        <v>2.996949343198585E-2</v>
      </c>
      <c r="F156" s="56"/>
      <c r="G156" s="56"/>
    </row>
    <row r="157" spans="2:7">
      <c r="B157" s="54">
        <f>+'Opex Inputs'!B146</f>
        <v>43008</v>
      </c>
      <c r="C157" s="131"/>
      <c r="D157" s="71">
        <v>1223.8956470732883</v>
      </c>
      <c r="E157" s="63"/>
      <c r="F157" s="56"/>
      <c r="G157" s="56"/>
    </row>
    <row r="158" spans="2:7">
      <c r="B158" s="54">
        <f>+'Opex Inputs'!B147</f>
        <v>43100</v>
      </c>
      <c r="C158" s="131"/>
      <c r="D158" s="71">
        <v>1231.808712630331</v>
      </c>
      <c r="E158" s="63">
        <f>+D158/D154-1</f>
        <v>2.7577653914770295E-2</v>
      </c>
      <c r="F158" s="56"/>
      <c r="G158" s="56"/>
    </row>
    <row r="159" spans="2:7">
      <c r="B159" s="54">
        <f>+'Opex Inputs'!B148</f>
        <v>43190</v>
      </c>
      <c r="C159" s="131"/>
      <c r="D159" s="71">
        <v>1238.376962630331</v>
      </c>
      <c r="E159" s="62"/>
      <c r="F159" s="56"/>
      <c r="G159" s="56"/>
    </row>
    <row r="160" spans="2:7">
      <c r="B160" s="55">
        <f>+'Opex Inputs'!B149</f>
        <v>43281</v>
      </c>
      <c r="C160" s="132"/>
      <c r="D160" s="72">
        <v>1244.980235850755</v>
      </c>
      <c r="E160" s="73">
        <f>+D160/D156-1</f>
        <v>2.3934329950206168E-2</v>
      </c>
      <c r="F160" s="56"/>
      <c r="G160" s="56"/>
    </row>
    <row r="161" spans="1:7">
      <c r="F161" s="56"/>
      <c r="G161" s="56"/>
    </row>
    <row r="162" spans="1:7">
      <c r="F162" s="56"/>
      <c r="G162" s="56"/>
    </row>
    <row r="163" spans="1:7">
      <c r="C163" s="26"/>
    </row>
    <row r="164" spans="1:7">
      <c r="C164" s="26"/>
    </row>
    <row r="165" spans="1:7" ht="18.75">
      <c r="A165" s="45" t="s">
        <v>97</v>
      </c>
      <c r="B165" s="46"/>
      <c r="C165" s="46"/>
      <c r="D165" s="46"/>
      <c r="E165" s="46"/>
      <c r="F165" s="46"/>
      <c r="G165" s="46"/>
    </row>
    <row r="166" spans="1:7">
      <c r="C166" s="26"/>
    </row>
    <row r="167" spans="1:7">
      <c r="A167" s="22" t="s">
        <v>63</v>
      </c>
      <c r="B167" s="3" t="s">
        <v>68</v>
      </c>
    </row>
    <row r="168" spans="1:7">
      <c r="A168" s="22"/>
      <c r="B168" s="10" t="s">
        <v>49</v>
      </c>
      <c r="C168" t="s">
        <v>74</v>
      </c>
    </row>
    <row r="169" spans="1:7">
      <c r="A169" s="22"/>
      <c r="B169" s="3"/>
    </row>
    <row r="170" spans="1:7">
      <c r="A170" s="22"/>
      <c r="B170" s="32" t="str">
        <f>+'Opex Inputs'!A71</f>
        <v>IO10</v>
      </c>
      <c r="C170" s="34" t="str">
        <f>+'Opex Inputs'!B71</f>
        <v>Weight for labour costs in opex input price factor</v>
      </c>
      <c r="F170" s="27">
        <f>+'Opex Inputs'!B73</f>
        <v>0.6</v>
      </c>
    </row>
    <row r="171" spans="1:7">
      <c r="A171" s="22"/>
      <c r="B171" s="32"/>
      <c r="C171" s="28" t="s">
        <v>77</v>
      </c>
      <c r="F171" s="27">
        <f>1-F170</f>
        <v>0.4</v>
      </c>
    </row>
    <row r="172" spans="1:7">
      <c r="A172" s="22"/>
      <c r="B172" s="3"/>
    </row>
    <row r="173" spans="1:7">
      <c r="A173" s="22"/>
      <c r="B173" s="35" t="s">
        <v>75</v>
      </c>
      <c r="C173" s="35" t="s">
        <v>76</v>
      </c>
      <c r="E173" s="35" t="s">
        <v>75</v>
      </c>
      <c r="F173" s="35" t="s">
        <v>76</v>
      </c>
    </row>
    <row r="174" spans="1:7">
      <c r="A174" s="22"/>
      <c r="B174" s="11">
        <v>41090</v>
      </c>
      <c r="C174" s="36">
        <f t="shared" ref="C174:C180" si="28">(VLOOKUP(B174,$B$81:$E$114,4,FALSE)*$F$170)+(VLOOKUP(B174,$B$129:$E$162,4,FALSE)*$F$171)</f>
        <v>2.509440287766105E-2</v>
      </c>
      <c r="E174" s="11">
        <v>41274</v>
      </c>
      <c r="F174" s="36">
        <f t="shared" ref="F174:F178" si="29">(VLOOKUP(E174,$B$81:$E$114,4,FALSE)*$F$170)+(VLOOKUP(E174,$B$129:$E$162,4,FALSE)*$F$171)</f>
        <v>1.9632804365634991E-2</v>
      </c>
    </row>
    <row r="175" spans="1:7">
      <c r="A175" s="22"/>
      <c r="B175" s="11">
        <v>41455</v>
      </c>
      <c r="C175" s="36">
        <f t="shared" si="28"/>
        <v>1.9332011006561522E-2</v>
      </c>
      <c r="E175" s="11">
        <v>41639</v>
      </c>
      <c r="F175" s="36">
        <f t="shared" si="29"/>
        <v>2.1694882122003812E-2</v>
      </c>
    </row>
    <row r="176" spans="1:7">
      <c r="A176" s="22"/>
      <c r="B176" s="11">
        <v>41820</v>
      </c>
      <c r="C176" s="36">
        <f t="shared" si="28"/>
        <v>2.4608398708159385E-2</v>
      </c>
      <c r="E176" s="11">
        <v>42004</v>
      </c>
      <c r="F176" s="36">
        <f t="shared" si="29"/>
        <v>2.5555672170331212E-2</v>
      </c>
    </row>
    <row r="177" spans="1:7">
      <c r="A177" s="22"/>
      <c r="B177" s="11">
        <v>42185</v>
      </c>
      <c r="C177" s="36">
        <f>(VLOOKUP(B177,$B$81:$E$114,4,FALSE)*$F$170)+(VLOOKUP(B177,$B$129:$E$162,4,FALSE)*$F$171)</f>
        <v>2.6116777523196258E-2</v>
      </c>
      <c r="E177" s="11">
        <v>42369</v>
      </c>
      <c r="F177" s="36">
        <f t="shared" si="29"/>
        <v>2.8247932008141286E-2</v>
      </c>
    </row>
    <row r="178" spans="1:7">
      <c r="A178" s="22"/>
      <c r="B178" s="11">
        <v>42551</v>
      </c>
      <c r="C178" s="36">
        <f>(VLOOKUP(B178,$B$81:$E$114,4,FALSE)*$F$170)+(VLOOKUP(B178,$B$129:$E$162,4,FALSE)*$F$171)</f>
        <v>2.9814514103210142E-2</v>
      </c>
      <c r="E178" s="11">
        <v>42735</v>
      </c>
      <c r="F178" s="36">
        <f t="shared" si="29"/>
        <v>2.7756526505817634E-2</v>
      </c>
    </row>
    <row r="179" spans="1:7">
      <c r="A179" s="22"/>
      <c r="B179" s="11">
        <v>42916</v>
      </c>
      <c r="C179" s="36">
        <f t="shared" si="28"/>
        <v>2.4099663415723782E-2</v>
      </c>
      <c r="E179" s="11">
        <v>43100</v>
      </c>
      <c r="F179" s="36">
        <f>(VLOOKUP(E179,$B$81:$E$114,4,FALSE)*$F$170)+(VLOOKUP(E179,$B$129:$E$162,4,FALSE)*$F$171)</f>
        <v>2.2468462583234448E-2</v>
      </c>
    </row>
    <row r="180" spans="1:7">
      <c r="A180" s="22"/>
      <c r="B180" s="11">
        <v>43281</v>
      </c>
      <c r="C180" s="36">
        <f t="shared" si="28"/>
        <v>2.1405442800902508E-2</v>
      </c>
      <c r="E180" s="11"/>
      <c r="F180" s="36"/>
    </row>
    <row r="181" spans="1:7">
      <c r="A181" s="22"/>
      <c r="B181" s="3"/>
    </row>
    <row r="182" spans="1:7">
      <c r="A182" s="22" t="s">
        <v>64</v>
      </c>
      <c r="B182" s="3" t="s">
        <v>20</v>
      </c>
    </row>
    <row r="183" spans="1:7">
      <c r="A183" s="22"/>
      <c r="B183" s="10" t="s">
        <v>49</v>
      </c>
      <c r="C183" t="s">
        <v>1</v>
      </c>
    </row>
    <row r="184" spans="1:7">
      <c r="A184" s="22"/>
      <c r="B184" s="3"/>
    </row>
    <row r="185" spans="1:7">
      <c r="A185" s="22"/>
      <c r="B185" s="13" t="str">
        <f>+'Opex Inputs'!A11</f>
        <v>IO2</v>
      </c>
      <c r="C185" s="19" t="str">
        <f>+'Opex Inputs'!B11</f>
        <v>Opex partial productivity factor</v>
      </c>
      <c r="D185" s="13"/>
      <c r="E185" s="13"/>
      <c r="F185" s="33">
        <f>+'Opex Inputs'!B13</f>
        <v>0</v>
      </c>
      <c r="G185" s="13"/>
    </row>
    <row r="186" spans="1:7">
      <c r="A186" s="22"/>
      <c r="B186" s="3"/>
    </row>
    <row r="187" spans="1:7">
      <c r="A187" s="22"/>
      <c r="B187" s="32" t="str">
        <f>+A182</f>
        <v>OSF3</v>
      </c>
      <c r="C187" t="str">
        <f>+B182</f>
        <v>Opex partial productivity factor</v>
      </c>
      <c r="F187" s="17">
        <f>+F185</f>
        <v>0</v>
      </c>
    </row>
    <row r="188" spans="1:7">
      <c r="A188" s="22"/>
      <c r="B188" s="3"/>
    </row>
    <row r="189" spans="1:7">
      <c r="A189" s="22" t="s">
        <v>65</v>
      </c>
      <c r="B189" s="3" t="s">
        <v>69</v>
      </c>
    </row>
    <row r="190" spans="1:7">
      <c r="A190" s="22"/>
      <c r="B190" s="10" t="s">
        <v>49</v>
      </c>
      <c r="C190" s="10" t="s">
        <v>108</v>
      </c>
    </row>
    <row r="191" spans="1:7">
      <c r="A191" s="22"/>
      <c r="B191" s="10"/>
    </row>
    <row r="192" spans="1:7">
      <c r="A192" s="22"/>
      <c r="B192" s="32" t="str">
        <f>+'Opex Inputs'!A15</f>
        <v>IO3</v>
      </c>
      <c r="C192" s="30" t="str">
        <f>+'Opex Inputs'!B15</f>
        <v>Elasticity of opex to network length</v>
      </c>
    </row>
    <row r="193" spans="1:7">
      <c r="A193" s="22"/>
      <c r="B193" s="32"/>
      <c r="C193" s="106" t="str">
        <f>+'Opex Inputs'!C17</f>
        <v xml:space="preserve">Gasnet </v>
      </c>
      <c r="D193" s="106" t="str">
        <f>+'Opex Inputs'!D17</f>
        <v>Powerco</v>
      </c>
      <c r="E193" s="106" t="str">
        <f>+'Opex Inputs'!E17</f>
        <v>Vector Dist</v>
      </c>
      <c r="F193" s="106" t="str">
        <f>+'Opex Inputs'!F17</f>
        <v>Maui</v>
      </c>
      <c r="G193" s="106" t="str">
        <f>+'Opex Inputs'!G17</f>
        <v>Vector Trans</v>
      </c>
    </row>
    <row r="194" spans="1:7">
      <c r="A194" s="22"/>
      <c r="B194" s="32"/>
      <c r="C194" s="32">
        <f>+'Opex Inputs'!C18</f>
        <v>0.35809999999999997</v>
      </c>
      <c r="D194" s="32">
        <f>+'Opex Inputs'!D18</f>
        <v>0.3569</v>
      </c>
      <c r="E194" s="32">
        <f>+'Opex Inputs'!E18</f>
        <v>0.3594</v>
      </c>
      <c r="F194" s="32">
        <f>+'Opex Inputs'!F18</f>
        <v>0</v>
      </c>
      <c r="G194" s="32">
        <f>+'Opex Inputs'!G18</f>
        <v>0</v>
      </c>
    </row>
    <row r="195" spans="1:7">
      <c r="A195" s="22"/>
    </row>
    <row r="196" spans="1:7">
      <c r="A196" s="22"/>
      <c r="B196" s="8"/>
      <c r="C196" s="7" t="s">
        <v>39</v>
      </c>
      <c r="D196" s="8" t="s">
        <v>40</v>
      </c>
      <c r="E196" s="8" t="s">
        <v>169</v>
      </c>
      <c r="F196" s="8" t="s">
        <v>41</v>
      </c>
      <c r="G196" s="8" t="s">
        <v>170</v>
      </c>
    </row>
    <row r="197" spans="1:7">
      <c r="A197" s="22"/>
      <c r="B197" s="13">
        <v>2012</v>
      </c>
      <c r="C197" s="74">
        <f>+C$24*C$194</f>
        <v>6.149163473472173E-3</v>
      </c>
      <c r="D197" s="75">
        <f t="shared" ref="D197:G197" si="30">+D$24*D$194</f>
        <v>6.3062761939652262E-3</v>
      </c>
      <c r="E197" s="75">
        <f t="shared" si="30"/>
        <v>4.4661696883769343E-3</v>
      </c>
      <c r="F197" s="75">
        <f t="shared" si="30"/>
        <v>0</v>
      </c>
      <c r="G197" s="75">
        <f t="shared" si="30"/>
        <v>0</v>
      </c>
    </row>
    <row r="198" spans="1:7">
      <c r="A198" s="22"/>
      <c r="B198" s="10">
        <v>2013</v>
      </c>
      <c r="C198" s="76">
        <f t="shared" ref="C198:G203" si="31">+C$24*C$194</f>
        <v>6.149163473472173E-3</v>
      </c>
      <c r="D198" s="75">
        <f t="shared" si="31"/>
        <v>6.3062761939652262E-3</v>
      </c>
      <c r="E198" s="75">
        <f t="shared" si="31"/>
        <v>4.4661696883769343E-3</v>
      </c>
      <c r="F198" s="75">
        <f t="shared" si="31"/>
        <v>0</v>
      </c>
      <c r="G198" s="75">
        <f t="shared" si="31"/>
        <v>0</v>
      </c>
    </row>
    <row r="199" spans="1:7">
      <c r="A199" s="22"/>
      <c r="B199" s="13">
        <v>2014</v>
      </c>
      <c r="C199" s="76">
        <f t="shared" si="31"/>
        <v>6.149163473472173E-3</v>
      </c>
      <c r="D199" s="75">
        <f t="shared" si="31"/>
        <v>6.3062761939652262E-3</v>
      </c>
      <c r="E199" s="75">
        <f t="shared" si="31"/>
        <v>4.4661696883769343E-3</v>
      </c>
      <c r="F199" s="75">
        <f t="shared" si="31"/>
        <v>0</v>
      </c>
      <c r="G199" s="75">
        <f t="shared" si="31"/>
        <v>0</v>
      </c>
    </row>
    <row r="200" spans="1:7">
      <c r="A200" s="22"/>
      <c r="B200" s="10">
        <v>2015</v>
      </c>
      <c r="C200" s="76">
        <f t="shared" si="31"/>
        <v>6.149163473472173E-3</v>
      </c>
      <c r="D200" s="75">
        <f t="shared" si="31"/>
        <v>6.3062761939652262E-3</v>
      </c>
      <c r="E200" s="75">
        <f t="shared" si="31"/>
        <v>4.4661696883769343E-3</v>
      </c>
      <c r="F200" s="75">
        <f t="shared" si="31"/>
        <v>0</v>
      </c>
      <c r="G200" s="75">
        <f t="shared" si="31"/>
        <v>0</v>
      </c>
    </row>
    <row r="201" spans="1:7">
      <c r="A201" s="22"/>
      <c r="B201" s="13">
        <v>2016</v>
      </c>
      <c r="C201" s="76">
        <f t="shared" si="31"/>
        <v>6.149163473472173E-3</v>
      </c>
      <c r="D201" s="75">
        <f t="shared" si="31"/>
        <v>6.3062761939652262E-3</v>
      </c>
      <c r="E201" s="75">
        <f t="shared" si="31"/>
        <v>4.4661696883769343E-3</v>
      </c>
      <c r="F201" s="75">
        <f t="shared" si="31"/>
        <v>0</v>
      </c>
      <c r="G201" s="75">
        <f t="shared" si="31"/>
        <v>0</v>
      </c>
    </row>
    <row r="202" spans="1:7">
      <c r="A202" s="22"/>
      <c r="B202" s="10">
        <v>2017</v>
      </c>
      <c r="C202" s="76">
        <f t="shared" si="31"/>
        <v>6.149163473472173E-3</v>
      </c>
      <c r="D202" s="75">
        <f t="shared" si="31"/>
        <v>6.3062761939652262E-3</v>
      </c>
      <c r="E202" s="75">
        <f t="shared" si="31"/>
        <v>4.4661696883769343E-3</v>
      </c>
      <c r="F202" s="75">
        <f t="shared" si="31"/>
        <v>0</v>
      </c>
      <c r="G202" s="75">
        <f t="shared" si="31"/>
        <v>0</v>
      </c>
    </row>
    <row r="203" spans="1:7">
      <c r="A203" s="22"/>
      <c r="B203" s="13">
        <v>2018</v>
      </c>
      <c r="C203" s="76">
        <f t="shared" si="31"/>
        <v>6.149163473472173E-3</v>
      </c>
      <c r="D203" s="75">
        <f t="shared" si="31"/>
        <v>6.3062761939652262E-3</v>
      </c>
      <c r="E203" s="75">
        <f t="shared" si="31"/>
        <v>4.4661696883769343E-3</v>
      </c>
      <c r="F203" s="75"/>
      <c r="G203" s="75">
        <f t="shared" si="31"/>
        <v>0</v>
      </c>
    </row>
    <row r="204" spans="1:7">
      <c r="A204" s="22"/>
      <c r="B204" s="3"/>
    </row>
    <row r="205" spans="1:7">
      <c r="A205" s="22" t="s">
        <v>66</v>
      </c>
      <c r="B205" s="3" t="s">
        <v>70</v>
      </c>
    </row>
    <row r="206" spans="1:7">
      <c r="A206" s="22"/>
      <c r="B206" s="10" t="s">
        <v>49</v>
      </c>
      <c r="C206" s="10" t="s">
        <v>73</v>
      </c>
    </row>
    <row r="207" spans="1:7">
      <c r="A207" s="22"/>
      <c r="B207" s="10"/>
    </row>
    <row r="208" spans="1:7">
      <c r="A208" s="22"/>
      <c r="B208" s="32" t="str">
        <f>+'Opex Inputs'!A20</f>
        <v>IO4</v>
      </c>
      <c r="C208" s="30" t="str">
        <f>+'Opex Inputs'!B20</f>
        <v>Elasticity of opex to energy throughput</v>
      </c>
    </row>
    <row r="209" spans="1:7">
      <c r="A209" s="22"/>
      <c r="B209" s="32"/>
      <c r="C209" s="106" t="str">
        <f>+'Opex Inputs'!C22</f>
        <v xml:space="preserve">Gasnet </v>
      </c>
      <c r="D209" s="106" t="str">
        <f>+'Opex Inputs'!D22</f>
        <v>Powerco</v>
      </c>
      <c r="E209" s="106" t="str">
        <f>+'Opex Inputs'!E22</f>
        <v>Vector Dist</v>
      </c>
      <c r="F209" s="106" t="str">
        <f>+'Opex Inputs'!F22</f>
        <v>Maui</v>
      </c>
      <c r="G209" s="106" t="str">
        <f>+'Opex Inputs'!G22</f>
        <v>Vector Trans</v>
      </c>
    </row>
    <row r="210" spans="1:7">
      <c r="A210" s="22"/>
      <c r="B210" s="32"/>
      <c r="C210" s="32">
        <f>+'Opex Inputs'!C23</f>
        <v>0</v>
      </c>
      <c r="D210" s="32">
        <f>+'Opex Inputs'!D23</f>
        <v>0</v>
      </c>
      <c r="E210" s="32">
        <f>+'Opex Inputs'!E23</f>
        <v>0</v>
      </c>
      <c r="F210" s="32">
        <f>+'Opex Inputs'!F23</f>
        <v>0</v>
      </c>
      <c r="G210" s="32">
        <f>+'Opex Inputs'!G23</f>
        <v>0</v>
      </c>
    </row>
    <row r="211" spans="1:7">
      <c r="A211" s="22"/>
    </row>
    <row r="212" spans="1:7">
      <c r="A212" s="22"/>
      <c r="B212" s="5"/>
      <c r="C212" s="7" t="s">
        <v>39</v>
      </c>
      <c r="D212" s="8" t="s">
        <v>40</v>
      </c>
      <c r="E212" s="8" t="s">
        <v>169</v>
      </c>
      <c r="F212" s="8" t="s">
        <v>41</v>
      </c>
      <c r="G212" s="8" t="s">
        <v>170</v>
      </c>
    </row>
    <row r="213" spans="1:7">
      <c r="A213" s="22"/>
      <c r="B213" s="13">
        <v>2012</v>
      </c>
      <c r="C213" s="74">
        <f>+C$45*C$210</f>
        <v>0</v>
      </c>
      <c r="D213" s="75">
        <f t="shared" ref="D213:G213" si="32">+D$45*D$210</f>
        <v>0</v>
      </c>
      <c r="E213" s="75">
        <f t="shared" si="32"/>
        <v>0</v>
      </c>
      <c r="F213" s="75">
        <f t="shared" si="32"/>
        <v>0</v>
      </c>
      <c r="G213" s="75">
        <f t="shared" si="32"/>
        <v>0</v>
      </c>
    </row>
    <row r="214" spans="1:7">
      <c r="A214" s="22"/>
      <c r="B214" s="10">
        <v>2013</v>
      </c>
      <c r="C214" s="76">
        <f t="shared" ref="C214:G219" si="33">+C$45*C$210</f>
        <v>0</v>
      </c>
      <c r="D214" s="75">
        <f t="shared" si="33"/>
        <v>0</v>
      </c>
      <c r="E214" s="75">
        <f t="shared" si="33"/>
        <v>0</v>
      </c>
      <c r="F214" s="75">
        <f t="shared" si="33"/>
        <v>0</v>
      </c>
      <c r="G214" s="75">
        <f t="shared" si="33"/>
        <v>0</v>
      </c>
    </row>
    <row r="215" spans="1:7">
      <c r="A215" s="22"/>
      <c r="B215" s="13">
        <v>2014</v>
      </c>
      <c r="C215" s="76">
        <f t="shared" si="33"/>
        <v>0</v>
      </c>
      <c r="D215" s="75">
        <f t="shared" si="33"/>
        <v>0</v>
      </c>
      <c r="E215" s="75">
        <f t="shared" si="33"/>
        <v>0</v>
      </c>
      <c r="F215" s="75">
        <f t="shared" si="33"/>
        <v>0</v>
      </c>
      <c r="G215" s="75">
        <f t="shared" si="33"/>
        <v>0</v>
      </c>
    </row>
    <row r="216" spans="1:7">
      <c r="A216" s="22"/>
      <c r="B216" s="10">
        <v>2015</v>
      </c>
      <c r="C216" s="76">
        <f t="shared" si="33"/>
        <v>0</v>
      </c>
      <c r="D216" s="75">
        <f t="shared" si="33"/>
        <v>0</v>
      </c>
      <c r="E216" s="75">
        <f t="shared" si="33"/>
        <v>0</v>
      </c>
      <c r="F216" s="75">
        <f t="shared" si="33"/>
        <v>0</v>
      </c>
      <c r="G216" s="75">
        <f t="shared" si="33"/>
        <v>0</v>
      </c>
    </row>
    <row r="217" spans="1:7">
      <c r="A217" s="22"/>
      <c r="B217" s="13">
        <v>2016</v>
      </c>
      <c r="C217" s="76">
        <f t="shared" si="33"/>
        <v>0</v>
      </c>
      <c r="D217" s="75">
        <f t="shared" si="33"/>
        <v>0</v>
      </c>
      <c r="E217" s="75">
        <f t="shared" si="33"/>
        <v>0</v>
      </c>
      <c r="F217" s="75">
        <f t="shared" si="33"/>
        <v>0</v>
      </c>
      <c r="G217" s="75">
        <f t="shared" si="33"/>
        <v>0</v>
      </c>
    </row>
    <row r="218" spans="1:7">
      <c r="A218" s="22"/>
      <c r="B218" s="10">
        <v>2017</v>
      </c>
      <c r="C218" s="76">
        <f t="shared" si="33"/>
        <v>0</v>
      </c>
      <c r="D218" s="75">
        <f t="shared" si="33"/>
        <v>0</v>
      </c>
      <c r="E218" s="75">
        <f t="shared" si="33"/>
        <v>0</v>
      </c>
      <c r="F218" s="75">
        <f t="shared" si="33"/>
        <v>0</v>
      </c>
      <c r="G218" s="75">
        <f t="shared" si="33"/>
        <v>0</v>
      </c>
    </row>
    <row r="219" spans="1:7">
      <c r="A219" s="22"/>
      <c r="B219" s="13">
        <v>2018</v>
      </c>
      <c r="C219" s="76">
        <f t="shared" si="33"/>
        <v>0</v>
      </c>
      <c r="D219" s="75">
        <f t="shared" si="33"/>
        <v>0</v>
      </c>
      <c r="E219" s="75">
        <f t="shared" si="33"/>
        <v>0</v>
      </c>
      <c r="F219" s="75"/>
      <c r="G219" s="75">
        <f t="shared" si="33"/>
        <v>0</v>
      </c>
    </row>
    <row r="220" spans="1:7">
      <c r="A220" s="22"/>
      <c r="B220" s="3"/>
    </row>
    <row r="221" spans="1:7">
      <c r="A221" s="22" t="s">
        <v>67</v>
      </c>
      <c r="B221" s="3" t="s">
        <v>71</v>
      </c>
    </row>
    <row r="222" spans="1:7">
      <c r="A222" s="22"/>
      <c r="B222" s="10" t="s">
        <v>49</v>
      </c>
      <c r="C222" s="10" t="s">
        <v>72</v>
      </c>
    </row>
    <row r="223" spans="1:7">
      <c r="A223" s="22"/>
      <c r="B223" s="10"/>
    </row>
    <row r="224" spans="1:7">
      <c r="A224" s="22"/>
      <c r="B224" s="32" t="str">
        <f>+'Opex Inputs'!A25</f>
        <v>IO5</v>
      </c>
      <c r="C224" s="30" t="str">
        <f>+'Opex Inputs'!B25</f>
        <v>Elasticity of opex to number of consumers</v>
      </c>
    </row>
    <row r="225" spans="1:7">
      <c r="A225" s="22"/>
      <c r="B225" s="32"/>
      <c r="C225" s="106" t="str">
        <f>+'Opex Inputs'!C27</f>
        <v xml:space="preserve">Gasnet </v>
      </c>
      <c r="D225" s="106" t="str">
        <f>+'Opex Inputs'!D27</f>
        <v>Powerco</v>
      </c>
      <c r="E225" s="106" t="str">
        <f>+'Opex Inputs'!E27</f>
        <v>Vector Dist</v>
      </c>
      <c r="F225" s="106" t="str">
        <f>+'Opex Inputs'!F27</f>
        <v>Maui</v>
      </c>
      <c r="G225" s="106" t="str">
        <f>+'Opex Inputs'!G27</f>
        <v>Vector Trans</v>
      </c>
    </row>
    <row r="226" spans="1:7">
      <c r="A226" s="22"/>
      <c r="B226" s="32"/>
      <c r="C226" s="32">
        <f>+'Opex Inputs'!C28</f>
        <v>0.35809999999999997</v>
      </c>
      <c r="D226" s="32">
        <f>+'Opex Inputs'!D28</f>
        <v>0.3569</v>
      </c>
      <c r="E226" s="32">
        <f>+'Opex Inputs'!E28</f>
        <v>0.3594</v>
      </c>
      <c r="F226" s="32">
        <f>+'Opex Inputs'!F28</f>
        <v>0</v>
      </c>
      <c r="G226" s="32">
        <f>+'Opex Inputs'!G28</f>
        <v>0</v>
      </c>
    </row>
    <row r="227" spans="1:7">
      <c r="A227" s="22"/>
    </row>
    <row r="228" spans="1:7">
      <c r="B228" s="5"/>
      <c r="C228" s="7" t="s">
        <v>39</v>
      </c>
      <c r="D228" s="8" t="s">
        <v>40</v>
      </c>
      <c r="E228" s="8" t="s">
        <v>169</v>
      </c>
      <c r="F228" s="8" t="s">
        <v>41</v>
      </c>
      <c r="G228" s="8" t="s">
        <v>170</v>
      </c>
    </row>
    <row r="229" spans="1:7">
      <c r="B229" s="13">
        <v>2012</v>
      </c>
      <c r="C229" s="74">
        <f>+C$66*C$226</f>
        <v>1.1070255540241819E-4</v>
      </c>
      <c r="D229" s="75">
        <f t="shared" ref="D229:G229" si="34">+D$66*D$226</f>
        <v>-1.0730221338474065E-3</v>
      </c>
      <c r="E229" s="75">
        <f t="shared" si="34"/>
        <v>6.4993389659833067E-3</v>
      </c>
      <c r="F229" s="75">
        <f t="shared" si="34"/>
        <v>0</v>
      </c>
      <c r="G229" s="75">
        <f t="shared" si="34"/>
        <v>0</v>
      </c>
    </row>
    <row r="230" spans="1:7">
      <c r="B230" s="10">
        <v>2013</v>
      </c>
      <c r="C230" s="76">
        <f t="shared" ref="C230:G235" si="35">+C$66*C$226</f>
        <v>1.1070255540241819E-4</v>
      </c>
      <c r="D230" s="75">
        <f t="shared" si="35"/>
        <v>-1.0730221338474065E-3</v>
      </c>
      <c r="E230" s="75">
        <f t="shared" si="35"/>
        <v>6.4993389659833067E-3</v>
      </c>
      <c r="F230" s="75">
        <f t="shared" si="35"/>
        <v>0</v>
      </c>
      <c r="G230" s="75">
        <f t="shared" si="35"/>
        <v>0</v>
      </c>
    </row>
    <row r="231" spans="1:7">
      <c r="B231" s="13">
        <v>2014</v>
      </c>
      <c r="C231" s="76">
        <f t="shared" si="35"/>
        <v>1.1070255540241819E-4</v>
      </c>
      <c r="D231" s="75">
        <f t="shared" si="35"/>
        <v>-1.0730221338474065E-3</v>
      </c>
      <c r="E231" s="75">
        <f t="shared" si="35"/>
        <v>6.4993389659833067E-3</v>
      </c>
      <c r="F231" s="75">
        <f t="shared" si="35"/>
        <v>0</v>
      </c>
      <c r="G231" s="75">
        <f t="shared" si="35"/>
        <v>0</v>
      </c>
    </row>
    <row r="232" spans="1:7">
      <c r="B232" s="10">
        <v>2015</v>
      </c>
      <c r="C232" s="76">
        <f t="shared" si="35"/>
        <v>1.1070255540241819E-4</v>
      </c>
      <c r="D232" s="75">
        <f t="shared" si="35"/>
        <v>-1.0730221338474065E-3</v>
      </c>
      <c r="E232" s="75">
        <f t="shared" si="35"/>
        <v>6.4993389659833067E-3</v>
      </c>
      <c r="F232" s="75">
        <f>+F$66*F$226</f>
        <v>0</v>
      </c>
      <c r="G232" s="75">
        <f t="shared" si="35"/>
        <v>0</v>
      </c>
    </row>
    <row r="233" spans="1:7">
      <c r="B233" s="13">
        <v>2016</v>
      </c>
      <c r="C233" s="76">
        <f t="shared" si="35"/>
        <v>1.1070255540241819E-4</v>
      </c>
      <c r="D233" s="75">
        <f t="shared" si="35"/>
        <v>-1.0730221338474065E-3</v>
      </c>
      <c r="E233" s="75">
        <f t="shared" si="35"/>
        <v>6.4993389659833067E-3</v>
      </c>
      <c r="F233" s="75">
        <f t="shared" si="35"/>
        <v>0</v>
      </c>
      <c r="G233" s="75">
        <f t="shared" si="35"/>
        <v>0</v>
      </c>
    </row>
    <row r="234" spans="1:7">
      <c r="B234" s="10">
        <v>2017</v>
      </c>
      <c r="C234" s="76">
        <f t="shared" si="35"/>
        <v>1.1070255540241819E-4</v>
      </c>
      <c r="D234" s="75">
        <f t="shared" si="35"/>
        <v>-1.0730221338474065E-3</v>
      </c>
      <c r="E234" s="75">
        <f t="shared" si="35"/>
        <v>6.4993389659833067E-3</v>
      </c>
      <c r="F234" s="75">
        <f t="shared" si="35"/>
        <v>0</v>
      </c>
      <c r="G234" s="75">
        <f t="shared" si="35"/>
        <v>0</v>
      </c>
    </row>
    <row r="235" spans="1:7">
      <c r="B235" s="13">
        <v>2018</v>
      </c>
      <c r="C235" s="76">
        <f t="shared" si="35"/>
        <v>1.1070255540241819E-4</v>
      </c>
      <c r="D235" s="75">
        <f t="shared" si="35"/>
        <v>-1.0730221338474065E-3</v>
      </c>
      <c r="E235" s="75">
        <f t="shared" si="35"/>
        <v>6.4993389659833067E-3</v>
      </c>
      <c r="F235" s="75"/>
      <c r="G235" s="75">
        <f t="shared" si="35"/>
        <v>0</v>
      </c>
    </row>
    <row r="237" spans="1:7">
      <c r="A237" s="22" t="s">
        <v>61</v>
      </c>
      <c r="B237" s="3" t="s">
        <v>62</v>
      </c>
    </row>
    <row r="238" spans="1:7">
      <c r="A238" s="22"/>
      <c r="B238" s="10" t="s">
        <v>49</v>
      </c>
      <c r="C238" s="10" t="s">
        <v>78</v>
      </c>
    </row>
    <row r="239" spans="1:7">
      <c r="A239" s="22"/>
      <c r="B239" s="3"/>
    </row>
    <row r="240" spans="1:7">
      <c r="A240" s="22"/>
      <c r="B240" s="8"/>
      <c r="C240" s="7" t="s">
        <v>39</v>
      </c>
      <c r="D240" s="8" t="s">
        <v>40</v>
      </c>
      <c r="E240" s="8" t="s">
        <v>169</v>
      </c>
      <c r="F240" s="8" t="s">
        <v>41</v>
      </c>
      <c r="G240" s="8" t="s">
        <v>170</v>
      </c>
    </row>
    <row r="241" spans="1:20">
      <c r="A241" s="22"/>
      <c r="B241" s="13">
        <v>2012</v>
      </c>
      <c r="C241" s="37">
        <f t="shared" ref="C241:E247" si="36">+$C174+$F$187+C197+C213+C229</f>
        <v>3.1354268906535643E-2</v>
      </c>
      <c r="D241" s="38">
        <f t="shared" si="36"/>
        <v>3.032765693777887E-2</v>
      </c>
      <c r="E241" s="38">
        <f t="shared" si="36"/>
        <v>3.6059911532021288E-2</v>
      </c>
      <c r="F241" s="38">
        <f t="shared" ref="F241:F246" si="37">+$F174+$F$187+F197+F213+F229</f>
        <v>1.9632804365634991E-2</v>
      </c>
      <c r="G241" s="38">
        <f t="shared" ref="G241:G247" si="38">+$C174+$F$187+G197+G213+G229</f>
        <v>2.509440287766105E-2</v>
      </c>
      <c r="J241" s="67"/>
      <c r="K241" s="67"/>
      <c r="L241" s="67"/>
      <c r="N241" s="108"/>
      <c r="O241" s="108"/>
      <c r="P241" s="108"/>
      <c r="R241" s="108">
        <f>+J241-N241</f>
        <v>0</v>
      </c>
      <c r="S241" s="108">
        <f t="shared" ref="S241:T247" si="39">+K241-O241</f>
        <v>0</v>
      </c>
      <c r="T241" s="108">
        <f t="shared" si="39"/>
        <v>0</v>
      </c>
    </row>
    <row r="242" spans="1:20">
      <c r="A242" s="22"/>
      <c r="B242" s="10">
        <v>2013</v>
      </c>
      <c r="C242" s="39">
        <f t="shared" si="36"/>
        <v>2.5591877035436115E-2</v>
      </c>
      <c r="D242" s="38">
        <f t="shared" si="36"/>
        <v>2.4565265066679342E-2</v>
      </c>
      <c r="E242" s="38">
        <f t="shared" si="36"/>
        <v>3.0297519660921764E-2</v>
      </c>
      <c r="F242" s="38">
        <f t="shared" si="37"/>
        <v>2.1694882122003812E-2</v>
      </c>
      <c r="G242" s="38">
        <f t="shared" si="38"/>
        <v>1.9332011006561522E-2</v>
      </c>
      <c r="J242" s="67"/>
      <c r="K242" s="67"/>
      <c r="L242" s="67"/>
      <c r="N242" s="108"/>
      <c r="O242" s="108"/>
      <c r="P242" s="108"/>
      <c r="R242" s="108">
        <f t="shared" ref="R242:R247" si="40">+J242-N242</f>
        <v>0</v>
      </c>
      <c r="S242" s="108">
        <f t="shared" si="39"/>
        <v>0</v>
      </c>
      <c r="T242" s="108">
        <f t="shared" si="39"/>
        <v>0</v>
      </c>
    </row>
    <row r="243" spans="1:20">
      <c r="A243" s="22"/>
      <c r="B243" s="13">
        <v>2014</v>
      </c>
      <c r="C243" s="39">
        <f t="shared" si="36"/>
        <v>3.0868264737033978E-2</v>
      </c>
      <c r="D243" s="38">
        <f t="shared" si="36"/>
        <v>2.9841652768277206E-2</v>
      </c>
      <c r="E243" s="38">
        <f t="shared" si="36"/>
        <v>3.5573907362519627E-2</v>
      </c>
      <c r="F243" s="38">
        <f t="shared" si="37"/>
        <v>2.5555672170331212E-2</v>
      </c>
      <c r="G243" s="38">
        <f t="shared" si="38"/>
        <v>2.4608398708159385E-2</v>
      </c>
      <c r="J243" s="67"/>
      <c r="K243" s="67"/>
      <c r="L243" s="67"/>
      <c r="N243" s="108"/>
      <c r="O243" s="108"/>
      <c r="P243" s="108"/>
      <c r="R243" s="108">
        <f t="shared" si="40"/>
        <v>0</v>
      </c>
      <c r="S243" s="108">
        <f t="shared" si="39"/>
        <v>0</v>
      </c>
      <c r="T243" s="108">
        <f t="shared" si="39"/>
        <v>0</v>
      </c>
    </row>
    <row r="244" spans="1:20">
      <c r="A244" s="22"/>
      <c r="B244" s="10">
        <v>2015</v>
      </c>
      <c r="C244" s="39">
        <f t="shared" si="36"/>
        <v>3.2376643552070844E-2</v>
      </c>
      <c r="D244" s="38">
        <f t="shared" si="36"/>
        <v>3.1350031583314078E-2</v>
      </c>
      <c r="E244" s="38">
        <f t="shared" si="36"/>
        <v>3.7082286177556496E-2</v>
      </c>
      <c r="F244" s="38">
        <f t="shared" si="37"/>
        <v>2.8247932008141286E-2</v>
      </c>
      <c r="G244" s="38">
        <f t="shared" si="38"/>
        <v>2.6116777523196258E-2</v>
      </c>
      <c r="J244" s="67"/>
      <c r="K244" s="67"/>
      <c r="L244" s="67"/>
      <c r="N244" s="108"/>
      <c r="O244" s="108"/>
      <c r="P244" s="108"/>
      <c r="R244" s="108">
        <f t="shared" si="40"/>
        <v>0</v>
      </c>
      <c r="S244" s="108">
        <f t="shared" si="39"/>
        <v>0</v>
      </c>
      <c r="T244" s="108">
        <f t="shared" si="39"/>
        <v>0</v>
      </c>
    </row>
    <row r="245" spans="1:20">
      <c r="A245" s="22"/>
      <c r="B245" s="13">
        <v>2016</v>
      </c>
      <c r="C245" s="39">
        <f t="shared" si="36"/>
        <v>3.6074380132084728E-2</v>
      </c>
      <c r="D245" s="38">
        <f t="shared" si="36"/>
        <v>3.5047768163327962E-2</v>
      </c>
      <c r="E245" s="38">
        <f t="shared" si="36"/>
        <v>4.0780022757570387E-2</v>
      </c>
      <c r="F245" s="38">
        <f>+$F178+$F$187+F201+F217+F233</f>
        <v>2.7756526505817634E-2</v>
      </c>
      <c r="G245" s="38">
        <f t="shared" si="38"/>
        <v>2.9814514103210142E-2</v>
      </c>
      <c r="J245" s="67"/>
      <c r="K245" s="67"/>
      <c r="L245" s="67"/>
      <c r="N245" s="108"/>
      <c r="O245" s="108"/>
      <c r="P245" s="108"/>
      <c r="R245" s="108">
        <f t="shared" si="40"/>
        <v>0</v>
      </c>
      <c r="S245" s="108">
        <f t="shared" si="39"/>
        <v>0</v>
      </c>
      <c r="T245" s="108">
        <f t="shared" si="39"/>
        <v>0</v>
      </c>
    </row>
    <row r="246" spans="1:20">
      <c r="A246" s="22"/>
      <c r="B246" s="10">
        <v>2017</v>
      </c>
      <c r="C246" s="39">
        <f t="shared" si="36"/>
        <v>3.0359529444598375E-2</v>
      </c>
      <c r="D246" s="38">
        <f t="shared" si="36"/>
        <v>2.9332917475841602E-2</v>
      </c>
      <c r="E246" s="38">
        <f t="shared" si="36"/>
        <v>3.5065172070084021E-2</v>
      </c>
      <c r="F246" s="38">
        <f t="shared" si="37"/>
        <v>2.2468462583234448E-2</v>
      </c>
      <c r="G246" s="38">
        <f t="shared" si="38"/>
        <v>2.4099663415723782E-2</v>
      </c>
      <c r="J246" s="67"/>
      <c r="K246" s="67"/>
      <c r="L246" s="67"/>
      <c r="N246" s="108"/>
      <c r="O246" s="108"/>
      <c r="P246" s="108"/>
      <c r="R246" s="108">
        <f t="shared" si="40"/>
        <v>0</v>
      </c>
      <c r="S246" s="108">
        <f t="shared" si="39"/>
        <v>0</v>
      </c>
      <c r="T246" s="108">
        <f t="shared" si="39"/>
        <v>0</v>
      </c>
    </row>
    <row r="247" spans="1:20">
      <c r="A247" s="22"/>
      <c r="B247" s="13">
        <v>2018</v>
      </c>
      <c r="C247" s="39">
        <f t="shared" si="36"/>
        <v>2.7665308829777101E-2</v>
      </c>
      <c r="D247" s="38">
        <f t="shared" si="36"/>
        <v>2.6638696861020328E-2</v>
      </c>
      <c r="E247" s="38">
        <f t="shared" si="36"/>
        <v>3.2370951455262746E-2</v>
      </c>
      <c r="F247" s="38"/>
      <c r="G247" s="38">
        <f t="shared" si="38"/>
        <v>2.1405442800902508E-2</v>
      </c>
      <c r="J247" s="67"/>
      <c r="K247" s="67"/>
      <c r="L247" s="67"/>
      <c r="N247" s="108"/>
      <c r="O247" s="108"/>
      <c r="P247" s="108"/>
      <c r="R247" s="108">
        <f t="shared" si="40"/>
        <v>0</v>
      </c>
      <c r="S247" s="108">
        <f t="shared" si="39"/>
        <v>0</v>
      </c>
      <c r="T247" s="108">
        <f t="shared" si="39"/>
        <v>0</v>
      </c>
    </row>
    <row r="248" spans="1:20">
      <c r="A248" s="22"/>
      <c r="B248" s="3"/>
    </row>
    <row r="250" spans="1:20" ht="18.75">
      <c r="A250" s="45" t="s">
        <v>96</v>
      </c>
      <c r="B250" s="46"/>
      <c r="C250" s="46"/>
      <c r="D250" s="46"/>
      <c r="E250" s="46"/>
      <c r="F250" s="46"/>
      <c r="G250" s="46"/>
    </row>
    <row r="253" spans="1:20">
      <c r="A253" s="3" t="s">
        <v>83</v>
      </c>
      <c r="B253" s="3" t="s">
        <v>88</v>
      </c>
    </row>
    <row r="254" spans="1:20">
      <c r="B254" s="10" t="s">
        <v>49</v>
      </c>
      <c r="C254" s="10" t="s">
        <v>5</v>
      </c>
    </row>
    <row r="256" spans="1:20">
      <c r="B256" s="10" t="str">
        <f>+'Opex Inputs'!A30</f>
        <v>IO6</v>
      </c>
      <c r="C256" t="str">
        <f>+'Opex Inputs'!B30</f>
        <v>Suppliers forecast of increased insurance costs due to natural disasters ($000)</v>
      </c>
    </row>
    <row r="257" spans="1:14">
      <c r="B257" s="5"/>
      <c r="C257" s="7" t="str">
        <f>+'Opex Inputs'!C32</f>
        <v xml:space="preserve">Gasnet </v>
      </c>
      <c r="D257" s="8" t="str">
        <f>+'Opex Inputs'!D32</f>
        <v>Powerco</v>
      </c>
      <c r="E257" s="8" t="str">
        <f>+'Opex Inputs'!E32</f>
        <v>Vector Dist</v>
      </c>
      <c r="F257" s="8" t="str">
        <f>+'Opex Inputs'!F32</f>
        <v>Maui</v>
      </c>
      <c r="G257" s="8" t="str">
        <f>+'Opex Inputs'!G32</f>
        <v>Vector Trans</v>
      </c>
    </row>
    <row r="258" spans="1:14">
      <c r="B258" s="10">
        <f>+'Opex Inputs'!B33</f>
        <v>2011</v>
      </c>
      <c r="C258" s="6">
        <f>+'Opex Inputs'!C33</f>
        <v>0</v>
      </c>
      <c r="D258" s="15">
        <f>+'Opex Inputs'!D33</f>
        <v>0</v>
      </c>
      <c r="E258" s="121">
        <f>+'Opex Inputs'!E33</f>
        <v>0</v>
      </c>
      <c r="F258" s="15">
        <f>+'Opex Inputs'!F33</f>
        <v>0</v>
      </c>
      <c r="G258" s="121">
        <f>+'Opex Inputs'!G33</f>
        <v>0</v>
      </c>
    </row>
    <row r="259" spans="1:14">
      <c r="B259" s="10">
        <f>+'Opex Inputs'!B34</f>
        <v>2012</v>
      </c>
      <c r="C259" s="6">
        <f>+'Opex Inputs'!C34</f>
        <v>67.851525121047615</v>
      </c>
      <c r="D259" s="15">
        <f>+'Opex Inputs'!D34</f>
        <v>38.674613968873253</v>
      </c>
      <c r="E259" s="121">
        <f>+'Opex Inputs'!E34</f>
        <v>0</v>
      </c>
      <c r="F259" s="15">
        <f>+'Opex Inputs'!F34</f>
        <v>0</v>
      </c>
      <c r="G259" s="121">
        <f>+'Opex Inputs'!G34</f>
        <v>0</v>
      </c>
    </row>
    <row r="260" spans="1:14">
      <c r="B260" s="10">
        <f>+'Opex Inputs'!B35</f>
        <v>2013</v>
      </c>
      <c r="C260" s="6">
        <f>+'Opex Inputs'!C35</f>
        <v>110.49847330637343</v>
      </c>
      <c r="D260" s="15">
        <f>+'Opex Inputs'!D35</f>
        <v>64</v>
      </c>
      <c r="E260" s="121">
        <f>+'Opex Inputs'!E35</f>
        <v>0</v>
      </c>
      <c r="F260" s="15">
        <f>+'Opex Inputs'!F35</f>
        <v>487</v>
      </c>
      <c r="G260" s="121">
        <f>+'Opex Inputs'!G35</f>
        <v>0</v>
      </c>
    </row>
    <row r="261" spans="1:14">
      <c r="B261" s="10">
        <f>+'Opex Inputs'!B36</f>
        <v>2014</v>
      </c>
      <c r="C261" s="6">
        <f>+'Opex Inputs'!C36</f>
        <v>110.91342750556464</v>
      </c>
      <c r="D261" s="15">
        <f>+'Opex Inputs'!D36</f>
        <v>82</v>
      </c>
      <c r="E261" s="121">
        <f>+'Opex Inputs'!E36</f>
        <v>0</v>
      </c>
      <c r="F261" s="15">
        <f>+'Opex Inputs'!F36</f>
        <v>518</v>
      </c>
      <c r="G261" s="121">
        <f>+'Opex Inputs'!G36</f>
        <v>0</v>
      </c>
    </row>
    <row r="262" spans="1:14">
      <c r="B262" s="10">
        <f>+'Opex Inputs'!B37</f>
        <v>2015</v>
      </c>
      <c r="C262" s="6">
        <f>+'Opex Inputs'!C37</f>
        <v>111.4908303307316</v>
      </c>
      <c r="D262" s="15">
        <f>+'Opex Inputs'!D37</f>
        <v>101</v>
      </c>
      <c r="E262" s="121">
        <f>+'Opex Inputs'!E37</f>
        <v>0</v>
      </c>
      <c r="F262" s="15">
        <f>+'Opex Inputs'!F37</f>
        <v>642</v>
      </c>
      <c r="G262" s="121">
        <f>+'Opex Inputs'!G37</f>
        <v>0</v>
      </c>
    </row>
    <row r="263" spans="1:14">
      <c r="B263" s="10">
        <f>+'Opex Inputs'!B38</f>
        <v>2016</v>
      </c>
      <c r="C263" s="6">
        <f>+'Opex Inputs'!C38</f>
        <v>112.23555524065355</v>
      </c>
      <c r="D263" s="15">
        <f>+'Opex Inputs'!D38</f>
        <v>123</v>
      </c>
      <c r="E263" s="121">
        <f>+'Opex Inputs'!E38</f>
        <v>0</v>
      </c>
      <c r="F263" s="15">
        <f>+'Opex Inputs'!F38</f>
        <v>673</v>
      </c>
      <c r="G263" s="121">
        <f>+'Opex Inputs'!G38</f>
        <v>0</v>
      </c>
    </row>
    <row r="264" spans="1:14">
      <c r="B264" s="10">
        <f>+'Opex Inputs'!B39</f>
        <v>2017</v>
      </c>
      <c r="C264" s="6">
        <f>+'Opex Inputs'!C39</f>
        <v>113.15262189787316</v>
      </c>
      <c r="D264" s="15">
        <f>+'Opex Inputs'!D39</f>
        <v>147</v>
      </c>
      <c r="E264" s="121">
        <f>+'Opex Inputs'!E39</f>
        <v>0</v>
      </c>
      <c r="F264" s="15">
        <f>+'Opex Inputs'!F39</f>
        <v>673</v>
      </c>
      <c r="G264" s="121">
        <f>+'Opex Inputs'!G39</f>
        <v>0</v>
      </c>
    </row>
    <row r="265" spans="1:14">
      <c r="B265" s="66">
        <v>2018</v>
      </c>
      <c r="C265" s="98">
        <f>+C264*(1+$E$160)</f>
        <v>115.86085408510777</v>
      </c>
      <c r="D265" s="77">
        <f t="shared" ref="D265:G265" si="41">+D264*(1+$E$160)</f>
        <v>150.51834650268032</v>
      </c>
      <c r="E265" s="77">
        <f t="shared" si="41"/>
        <v>0</v>
      </c>
      <c r="F265" s="77"/>
      <c r="G265" s="77">
        <f t="shared" si="41"/>
        <v>0</v>
      </c>
    </row>
    <row r="266" spans="1:14">
      <c r="B266" s="19"/>
      <c r="C266" s="15"/>
    </row>
    <row r="267" spans="1:14">
      <c r="A267" s="3" t="s">
        <v>82</v>
      </c>
      <c r="B267" s="3" t="s">
        <v>87</v>
      </c>
    </row>
    <row r="268" spans="1:14">
      <c r="A268" s="3"/>
      <c r="B268" s="10" t="s">
        <v>49</v>
      </c>
      <c r="C268" s="10" t="s">
        <v>61</v>
      </c>
    </row>
    <row r="269" spans="1:14">
      <c r="A269" s="3"/>
      <c r="B269" s="3"/>
    </row>
    <row r="270" spans="1:14">
      <c r="A270" s="3"/>
      <c r="B270" s="5"/>
      <c r="C270" s="7" t="s">
        <v>39</v>
      </c>
      <c r="D270" s="8" t="s">
        <v>40</v>
      </c>
      <c r="E270" s="8" t="s">
        <v>169</v>
      </c>
      <c r="F270" s="8" t="s">
        <v>41</v>
      </c>
      <c r="G270" s="8" t="s">
        <v>170</v>
      </c>
    </row>
    <row r="271" spans="1:14">
      <c r="A271" s="3"/>
      <c r="B271" s="13" t="s">
        <v>90</v>
      </c>
      <c r="C271" s="40">
        <v>1</v>
      </c>
      <c r="D271" s="41">
        <v>1</v>
      </c>
      <c r="E271" s="41">
        <v>1</v>
      </c>
      <c r="F271" s="41">
        <v>1</v>
      </c>
      <c r="G271" s="41">
        <v>1</v>
      </c>
    </row>
    <row r="272" spans="1:14">
      <c r="A272" s="3"/>
      <c r="B272" s="10">
        <v>2012</v>
      </c>
      <c r="C272" s="40">
        <f t="shared" ref="C272:G278" si="42">+C271*(1+C241)</f>
        <v>1.0313542689065356</v>
      </c>
      <c r="D272" s="41">
        <f t="shared" si="42"/>
        <v>1.0303276569377788</v>
      </c>
      <c r="E272" s="41">
        <f t="shared" si="42"/>
        <v>1.0360599115320213</v>
      </c>
      <c r="F272" s="41">
        <f t="shared" si="42"/>
        <v>1.0196328043656351</v>
      </c>
      <c r="G272" s="41">
        <f t="shared" si="42"/>
        <v>1.025094402877661</v>
      </c>
      <c r="I272" s="102"/>
      <c r="J272" s="102"/>
      <c r="K272" s="102"/>
      <c r="L272" s="102"/>
      <c r="M272" s="102"/>
      <c r="N272" s="102"/>
    </row>
    <row r="273" spans="1:14">
      <c r="A273" s="3"/>
      <c r="B273" s="10">
        <v>2013</v>
      </c>
      <c r="C273" s="40">
        <f t="shared" si="42"/>
        <v>1.0577485605363639</v>
      </c>
      <c r="D273" s="41">
        <f t="shared" si="42"/>
        <v>1.0556379289359861</v>
      </c>
      <c r="E273" s="41">
        <f t="shared" si="42"/>
        <v>1.0674499570715557</v>
      </c>
      <c r="F273" s="41">
        <f t="shared" si="42"/>
        <v>1.0417536178640756</v>
      </c>
      <c r="G273" s="41">
        <f t="shared" si="42"/>
        <v>1.0449115391568566</v>
      </c>
      <c r="I273" s="102"/>
      <c r="J273" s="102"/>
      <c r="K273" s="102"/>
      <c r="L273" s="102"/>
      <c r="M273" s="102"/>
      <c r="N273" s="102"/>
    </row>
    <row r="274" spans="1:14">
      <c r="A274" s="3"/>
      <c r="B274" s="10">
        <v>2014</v>
      </c>
      <c r="C274" s="40">
        <f t="shared" si="42"/>
        <v>1.090399423128217</v>
      </c>
      <c r="D274" s="41">
        <f>+D273*(1+D243)</f>
        <v>1.0871399094603171</v>
      </c>
      <c r="E274" s="41">
        <f t="shared" si="42"/>
        <v>1.1054233229585448</v>
      </c>
      <c r="F274" s="41">
        <f t="shared" si="42"/>
        <v>1.0683763318044663</v>
      </c>
      <c r="G274" s="41">
        <f t="shared" si="42"/>
        <v>1.070625138927185</v>
      </c>
      <c r="I274" s="102"/>
      <c r="J274" s="102"/>
      <c r="K274" s="102"/>
      <c r="L274" s="102"/>
      <c r="M274" s="102"/>
      <c r="N274" s="102"/>
    </row>
    <row r="275" spans="1:14">
      <c r="A275" s="3"/>
      <c r="B275" s="10">
        <v>2015</v>
      </c>
      <c r="C275" s="40">
        <f>+C274*(1+C244)</f>
        <v>1.1257028965802232</v>
      </c>
      <c r="D275" s="41">
        <f t="shared" si="42"/>
        <v>1.1212217799573794</v>
      </c>
      <c r="E275" s="41">
        <f t="shared" si="42"/>
        <v>1.1464149469678391</v>
      </c>
      <c r="F275" s="41">
        <f>+F274*(1+F244)</f>
        <v>1.0985557537843862</v>
      </c>
      <c r="G275" s="41">
        <f t="shared" si="42"/>
        <v>1.0985864174912874</v>
      </c>
      <c r="I275" s="102"/>
      <c r="J275" s="102"/>
      <c r="K275" s="102"/>
      <c r="L275" s="102"/>
      <c r="M275" s="102"/>
      <c r="N275" s="102"/>
    </row>
    <row r="276" spans="1:14">
      <c r="A276" s="3"/>
      <c r="B276" s="10">
        <v>2016</v>
      </c>
      <c r="C276" s="40">
        <f t="shared" si="42"/>
        <v>1.1663119307872469</v>
      </c>
      <c r="D276" s="41">
        <f t="shared" si="42"/>
        <v>1.1605181009609995</v>
      </c>
      <c r="E276" s="41">
        <f t="shared" si="42"/>
        <v>1.1931657745948063</v>
      </c>
      <c r="F276" s="41">
        <f t="shared" si="42"/>
        <v>1.1290478456824211</v>
      </c>
      <c r="G276" s="41">
        <f t="shared" si="42"/>
        <v>1.1313402377291766</v>
      </c>
      <c r="I276" s="102"/>
      <c r="J276" s="102"/>
      <c r="K276" s="102"/>
      <c r="L276" s="102"/>
      <c r="M276" s="102"/>
      <c r="N276" s="102"/>
    </row>
    <row r="277" spans="1:14">
      <c r="A277" s="3"/>
      <c r="B277" s="10">
        <v>2017</v>
      </c>
      <c r="C277" s="40">
        <f t="shared" si="42"/>
        <v>1.2017206121915687</v>
      </c>
      <c r="D277" s="41">
        <f t="shared" si="42"/>
        <v>1.1945594826457089</v>
      </c>
      <c r="E277" s="41">
        <f t="shared" si="42"/>
        <v>1.2350043377891085</v>
      </c>
      <c r="F277" s="41">
        <f>+F276*(1+F246)</f>
        <v>1.1544158149578181</v>
      </c>
      <c r="G277" s="41">
        <f t="shared" si="42"/>
        <v>1.1586051566671147</v>
      </c>
      <c r="I277" s="102"/>
      <c r="J277" s="102"/>
      <c r="K277" s="102"/>
      <c r="L277" s="102"/>
      <c r="M277" s="102"/>
      <c r="N277" s="102"/>
    </row>
    <row r="278" spans="1:14">
      <c r="A278" s="3"/>
      <c r="B278" s="10">
        <v>2018</v>
      </c>
      <c r="C278" s="40">
        <f t="shared" si="42"/>
        <v>1.2349665840549573</v>
      </c>
      <c r="D278" s="41">
        <f t="shared" si="42"/>
        <v>1.2263809905863652</v>
      </c>
      <c r="E278" s="41">
        <f t="shared" si="42"/>
        <v>1.2749826032547187</v>
      </c>
      <c r="F278" s="41"/>
      <c r="G278" s="41">
        <f t="shared" si="42"/>
        <v>1.1834056130769834</v>
      </c>
      <c r="I278" s="102"/>
      <c r="J278" s="102"/>
      <c r="K278" s="102"/>
      <c r="L278" s="102"/>
      <c r="M278" s="102"/>
      <c r="N278" s="102"/>
    </row>
    <row r="279" spans="1:14">
      <c r="A279" s="3"/>
      <c r="B279" s="3"/>
    </row>
    <row r="280" spans="1:14">
      <c r="A280" s="3" t="s">
        <v>81</v>
      </c>
      <c r="B280" s="3" t="s">
        <v>86</v>
      </c>
      <c r="I280" s="103"/>
      <c r="J280" s="103"/>
      <c r="K280" s="103"/>
      <c r="L280" s="103"/>
      <c r="M280" s="103"/>
    </row>
    <row r="281" spans="1:14">
      <c r="A281" s="3"/>
      <c r="B281" s="10" t="s">
        <v>91</v>
      </c>
      <c r="C281" s="10" t="s">
        <v>92</v>
      </c>
      <c r="I281" s="103"/>
      <c r="J281" s="103"/>
      <c r="K281" s="103"/>
      <c r="L281" s="103"/>
      <c r="M281" s="103"/>
    </row>
    <row r="282" spans="1:14">
      <c r="A282" s="3"/>
      <c r="B282" s="3"/>
      <c r="I282" s="103"/>
      <c r="J282" s="103"/>
      <c r="K282" s="103"/>
      <c r="L282" s="103"/>
      <c r="M282" s="103"/>
    </row>
    <row r="283" spans="1:14">
      <c r="A283" s="3"/>
      <c r="B283" s="10" t="str">
        <f>+'Opex Inputs'!A6</f>
        <v>IO1</v>
      </c>
      <c r="C283" t="str">
        <f>+'Opex Inputs'!B6</f>
        <v>Base year opex ($000)</v>
      </c>
      <c r="I283" s="103"/>
      <c r="J283" s="103"/>
      <c r="K283" s="103"/>
      <c r="L283" s="103"/>
      <c r="M283" s="103"/>
    </row>
    <row r="284" spans="1:14">
      <c r="A284" s="3"/>
      <c r="B284" s="5"/>
      <c r="C284" s="7" t="str">
        <f>+'Opex Inputs'!C8</f>
        <v xml:space="preserve">Gasnet </v>
      </c>
      <c r="D284" s="8" t="str">
        <f>+'Opex Inputs'!D8</f>
        <v>Powerco</v>
      </c>
      <c r="E284" s="8" t="str">
        <f>+'Opex Inputs'!E8</f>
        <v>Vector Dist</v>
      </c>
      <c r="F284" s="8" t="str">
        <f>+'Opex Inputs'!F8</f>
        <v>Maui</v>
      </c>
      <c r="G284" s="8" t="str">
        <f>+'Opex Inputs'!G8</f>
        <v>Vector Trans</v>
      </c>
      <c r="I284" s="103"/>
      <c r="J284" s="103"/>
      <c r="K284" s="103"/>
      <c r="L284" s="103"/>
      <c r="M284" s="103"/>
    </row>
    <row r="285" spans="1:14">
      <c r="A285" s="3"/>
      <c r="B285" s="10">
        <f>+'Opex Inputs'!B9</f>
        <v>2011</v>
      </c>
      <c r="C285" s="6">
        <f>+'Opex Inputs'!C9</f>
        <v>1332.3170536123812</v>
      </c>
      <c r="D285" s="4">
        <f>+'Opex Inputs'!D9</f>
        <v>15396.216399752841</v>
      </c>
      <c r="E285" s="133">
        <f>+'Opex Inputs'!E9</f>
        <v>0</v>
      </c>
      <c r="F285" s="4">
        <f>+'Opex Inputs'!F9</f>
        <v>8768</v>
      </c>
      <c r="G285" s="133">
        <f>+'Opex Inputs'!G9</f>
        <v>0</v>
      </c>
      <c r="I285" s="103"/>
      <c r="J285" s="103"/>
      <c r="K285" s="103"/>
      <c r="L285" s="103"/>
      <c r="M285" s="103"/>
    </row>
    <row r="286" spans="1:14">
      <c r="A286" s="3"/>
      <c r="B286" s="3"/>
      <c r="I286" s="23"/>
      <c r="J286" s="23"/>
      <c r="K286" s="23"/>
      <c r="L286" s="23"/>
      <c r="M286" s="23"/>
    </row>
    <row r="287" spans="1:14">
      <c r="A287" s="3"/>
      <c r="B287" s="10"/>
      <c r="C287" t="s">
        <v>93</v>
      </c>
      <c r="I287" s="23"/>
      <c r="J287" s="23"/>
      <c r="K287" s="23"/>
      <c r="L287" s="23"/>
      <c r="M287" s="23"/>
    </row>
    <row r="288" spans="1:14">
      <c r="A288" s="3"/>
      <c r="B288" s="5"/>
      <c r="C288" s="7" t="str">
        <f t="shared" ref="C288:G289" si="43">+C257</f>
        <v xml:space="preserve">Gasnet </v>
      </c>
      <c r="D288" s="8" t="str">
        <f t="shared" si="43"/>
        <v>Powerco</v>
      </c>
      <c r="E288" s="8" t="str">
        <f t="shared" si="43"/>
        <v>Vector Dist</v>
      </c>
      <c r="F288" s="8" t="str">
        <f t="shared" si="43"/>
        <v>Maui</v>
      </c>
      <c r="G288" s="8" t="str">
        <f t="shared" si="43"/>
        <v>Vector Trans</v>
      </c>
      <c r="I288" s="23"/>
      <c r="J288" s="23"/>
      <c r="K288" s="23"/>
      <c r="L288" s="23"/>
      <c r="M288" s="23"/>
    </row>
    <row r="289" spans="1:15">
      <c r="A289" s="3"/>
      <c r="B289" s="10">
        <f>+B258</f>
        <v>2011</v>
      </c>
      <c r="C289" s="6">
        <f t="shared" si="43"/>
        <v>0</v>
      </c>
      <c r="D289" s="15">
        <f>+D258</f>
        <v>0</v>
      </c>
      <c r="E289" s="15">
        <f t="shared" si="43"/>
        <v>0</v>
      </c>
      <c r="F289" s="15">
        <f t="shared" si="43"/>
        <v>0</v>
      </c>
      <c r="G289" s="15">
        <f t="shared" si="43"/>
        <v>0</v>
      </c>
      <c r="I289" s="23"/>
      <c r="J289" s="23"/>
      <c r="K289" s="23"/>
      <c r="L289" s="23"/>
      <c r="M289" s="23"/>
    </row>
    <row r="290" spans="1:15">
      <c r="A290" s="3"/>
      <c r="B290" s="3"/>
      <c r="I290" s="23"/>
      <c r="J290" s="23"/>
      <c r="K290" s="23"/>
      <c r="L290" s="23"/>
      <c r="M290" s="23"/>
    </row>
    <row r="291" spans="1:15">
      <c r="A291" s="3"/>
      <c r="B291" s="10" t="s">
        <v>81</v>
      </c>
      <c r="C291" s="30" t="s">
        <v>86</v>
      </c>
      <c r="I291" s="23"/>
      <c r="J291" s="23"/>
      <c r="K291" s="23"/>
      <c r="L291" s="23"/>
      <c r="M291" s="23"/>
    </row>
    <row r="292" spans="1:15">
      <c r="A292" s="3"/>
      <c r="B292" s="5"/>
      <c r="C292" s="7" t="s">
        <v>39</v>
      </c>
      <c r="D292" s="8" t="s">
        <v>40</v>
      </c>
      <c r="E292" s="8" t="s">
        <v>169</v>
      </c>
      <c r="F292" s="8" t="s">
        <v>41</v>
      </c>
      <c r="G292" s="8" t="s">
        <v>170</v>
      </c>
    </row>
    <row r="293" spans="1:15">
      <c r="A293" s="3"/>
      <c r="B293" s="10">
        <v>2011</v>
      </c>
      <c r="C293" s="31">
        <f>+C285-C289</f>
        <v>1332.3170536123812</v>
      </c>
      <c r="D293" s="4">
        <f>+D285-D289</f>
        <v>15396.216399752841</v>
      </c>
      <c r="E293" s="133">
        <f>+E285-E289</f>
        <v>0</v>
      </c>
      <c r="F293" s="4">
        <f>+F285-F289</f>
        <v>8768</v>
      </c>
      <c r="G293" s="133">
        <f>+G285-G289</f>
        <v>0</v>
      </c>
    </row>
    <row r="295" spans="1:15">
      <c r="A295" s="3" t="s">
        <v>80</v>
      </c>
      <c r="B295" s="3" t="s">
        <v>85</v>
      </c>
    </row>
    <row r="296" spans="1:15">
      <c r="A296" s="3"/>
      <c r="B296" s="10" t="s">
        <v>91</v>
      </c>
      <c r="C296" s="10" t="s">
        <v>94</v>
      </c>
    </row>
    <row r="297" spans="1:15">
      <c r="A297" s="3"/>
      <c r="B297" s="3"/>
      <c r="J297" s="102"/>
      <c r="K297" s="102"/>
      <c r="L297" s="102"/>
      <c r="M297" s="102"/>
      <c r="N297" s="102"/>
    </row>
    <row r="298" spans="1:15">
      <c r="A298" s="3"/>
      <c r="B298" s="5"/>
      <c r="C298" s="7" t="s">
        <v>39</v>
      </c>
      <c r="D298" s="8" t="s">
        <v>40</v>
      </c>
      <c r="E298" s="8" t="s">
        <v>169</v>
      </c>
      <c r="F298" s="8" t="s">
        <v>41</v>
      </c>
      <c r="G298" s="8" t="s">
        <v>170</v>
      </c>
      <c r="J298" s="102"/>
      <c r="K298" s="102"/>
      <c r="L298" s="102"/>
      <c r="M298" s="102"/>
      <c r="N298" s="102"/>
    </row>
    <row r="299" spans="1:15">
      <c r="A299" s="3"/>
      <c r="B299" s="10">
        <v>2012</v>
      </c>
      <c r="C299" s="43">
        <f>C$293*C272</f>
        <v>1374.090880780107</v>
      </c>
      <c r="D299" s="44">
        <f t="shared" ref="D299:G299" si="44">D$293*D272</f>
        <v>15863.14756886435</v>
      </c>
      <c r="E299" s="134">
        <f>E$293*E272</f>
        <v>0</v>
      </c>
      <c r="F299" s="44">
        <f>F$293*F272</f>
        <v>8940.1404286778888</v>
      </c>
      <c r="G299" s="134">
        <f t="shared" si="44"/>
        <v>0</v>
      </c>
      <c r="I299" s="107"/>
      <c r="J299" s="110"/>
      <c r="K299" s="110"/>
      <c r="L299" s="110"/>
      <c r="M299" s="110"/>
      <c r="N299" s="110"/>
      <c r="O299" s="102"/>
    </row>
    <row r="300" spans="1:15">
      <c r="A300" s="3"/>
      <c r="B300" s="10">
        <v>2013</v>
      </c>
      <c r="C300" s="43">
        <f t="shared" ref="C300:G304" si="45">C$293*C273</f>
        <v>1409.2564456365458</v>
      </c>
      <c r="D300" s="44">
        <f t="shared" si="45"/>
        <v>16252.829993685353</v>
      </c>
      <c r="E300" s="134">
        <f t="shared" si="45"/>
        <v>0</v>
      </c>
      <c r="F300" s="44">
        <f t="shared" si="45"/>
        <v>9134.0957214322152</v>
      </c>
      <c r="G300" s="134">
        <f t="shared" si="45"/>
        <v>0</v>
      </c>
      <c r="I300" s="101"/>
      <c r="J300" s="110"/>
      <c r="K300" s="110"/>
      <c r="L300" s="110"/>
      <c r="M300" s="110"/>
      <c r="N300" s="110"/>
      <c r="O300" s="102"/>
    </row>
    <row r="301" spans="1:15">
      <c r="A301" s="3"/>
      <c r="B301" s="10">
        <v>2014</v>
      </c>
      <c r="C301" s="43">
        <f t="shared" si="45"/>
        <v>1452.7577466828263</v>
      </c>
      <c r="D301" s="44">
        <f t="shared" si="45"/>
        <v>16737.841302858753</v>
      </c>
      <c r="E301" s="134">
        <f t="shared" si="45"/>
        <v>0</v>
      </c>
      <c r="F301" s="44">
        <f t="shared" si="45"/>
        <v>9367.5236772615608</v>
      </c>
      <c r="G301" s="134">
        <f t="shared" si="45"/>
        <v>0</v>
      </c>
      <c r="I301" s="101"/>
      <c r="J301" s="110"/>
      <c r="K301" s="110"/>
      <c r="L301" s="110"/>
      <c r="M301" s="110"/>
      <c r="N301" s="110"/>
      <c r="O301" s="102"/>
    </row>
    <row r="302" spans="1:15">
      <c r="A302" s="3"/>
      <c r="B302" s="10">
        <v>2015</v>
      </c>
      <c r="C302" s="43">
        <f t="shared" si="45"/>
        <v>1499.7931664146859</v>
      </c>
      <c r="D302" s="44">
        <f t="shared" si="45"/>
        <v>17262.573156339877</v>
      </c>
      <c r="E302" s="134">
        <f>E$293*E275</f>
        <v>0</v>
      </c>
      <c r="F302" s="44">
        <f t="shared" si="45"/>
        <v>9632.1368491814974</v>
      </c>
      <c r="G302" s="134">
        <f t="shared" si="45"/>
        <v>0</v>
      </c>
      <c r="I302" s="101"/>
      <c r="J302" s="110"/>
      <c r="K302" s="110"/>
      <c r="L302" s="110"/>
      <c r="M302" s="110"/>
      <c r="N302" s="110"/>
      <c r="O302" s="102"/>
    </row>
    <row r="303" spans="1:15">
      <c r="A303" s="3"/>
      <c r="B303" s="10">
        <v>2016</v>
      </c>
      <c r="C303" s="43">
        <f t="shared" si="45"/>
        <v>1553.8972752194322</v>
      </c>
      <c r="D303" s="44">
        <f t="shared" si="45"/>
        <v>17867.587818225762</v>
      </c>
      <c r="E303" s="134">
        <f t="shared" si="45"/>
        <v>0</v>
      </c>
      <c r="F303" s="44">
        <f t="shared" si="45"/>
        <v>9899.4915109434678</v>
      </c>
      <c r="G303" s="134">
        <f t="shared" si="45"/>
        <v>0</v>
      </c>
      <c r="I303" s="101"/>
      <c r="J303" s="110"/>
      <c r="K303" s="110"/>
      <c r="L303" s="110"/>
      <c r="M303" s="110"/>
      <c r="N303" s="110"/>
      <c r="O303" s="102"/>
    </row>
    <row r="304" spans="1:15">
      <c r="A304" s="3"/>
      <c r="B304" s="10">
        <v>2017</v>
      </c>
      <c r="C304" s="43">
        <f t="shared" si="45"/>
        <v>1601.0728653003378</v>
      </c>
      <c r="D304" s="44">
        <f t="shared" si="45"/>
        <v>18391.69629719013</v>
      </c>
      <c r="E304" s="134">
        <f t="shared" si="45"/>
        <v>0</v>
      </c>
      <c r="F304" s="44">
        <f t="shared" si="45"/>
        <v>10121.917865550149</v>
      </c>
      <c r="G304" s="134">
        <f>G$293*G277</f>
        <v>0</v>
      </c>
      <c r="I304" s="101"/>
      <c r="J304" s="110"/>
      <c r="K304" s="110"/>
      <c r="L304" s="110"/>
      <c r="M304" s="110"/>
      <c r="N304" s="110"/>
      <c r="O304" s="102"/>
    </row>
    <row r="305" spans="1:15">
      <c r="A305" s="3"/>
      <c r="B305" s="10">
        <v>2018</v>
      </c>
      <c r="C305" s="43">
        <f>C$293*C278</f>
        <v>1645.3670405778478</v>
      </c>
      <c r="D305" s="44">
        <f t="shared" ref="D305:G305" si="46">D$293*D278</f>
        <v>18881.62711961093</v>
      </c>
      <c r="E305" s="134">
        <f t="shared" si="46"/>
        <v>0</v>
      </c>
      <c r="F305" s="44"/>
      <c r="G305" s="134">
        <f t="shared" si="46"/>
        <v>0</v>
      </c>
      <c r="I305" s="101"/>
      <c r="J305" s="110"/>
      <c r="K305" s="110"/>
      <c r="L305" s="110"/>
      <c r="M305" s="110"/>
      <c r="N305" s="110"/>
      <c r="O305" s="102"/>
    </row>
    <row r="307" spans="1:15">
      <c r="A307" s="3" t="s">
        <v>79</v>
      </c>
      <c r="B307" s="3" t="s">
        <v>84</v>
      </c>
      <c r="J307" s="109"/>
      <c r="K307" s="109"/>
      <c r="L307" s="109"/>
      <c r="M307" s="109"/>
      <c r="N307" s="109"/>
      <c r="O307" s="109"/>
    </row>
    <row r="308" spans="1:15">
      <c r="A308" s="3"/>
      <c r="B308" s="10" t="s">
        <v>91</v>
      </c>
      <c r="C308" s="10" t="s">
        <v>95</v>
      </c>
      <c r="J308" s="109"/>
      <c r="K308" s="109"/>
      <c r="L308" s="109"/>
      <c r="M308" s="109"/>
      <c r="N308" s="109"/>
      <c r="O308" s="109"/>
    </row>
    <row r="309" spans="1:15">
      <c r="A309" s="3"/>
      <c r="B309" s="3"/>
      <c r="J309" s="109"/>
      <c r="K309" s="109"/>
      <c r="L309" s="109"/>
      <c r="M309" s="109"/>
      <c r="N309" s="109"/>
      <c r="O309" s="109"/>
    </row>
    <row r="310" spans="1:15">
      <c r="A310" s="3"/>
      <c r="B310" s="5"/>
      <c r="C310" s="7" t="s">
        <v>39</v>
      </c>
      <c r="D310" s="8" t="s">
        <v>40</v>
      </c>
      <c r="E310" s="8" t="s">
        <v>169</v>
      </c>
      <c r="F310" s="8" t="s">
        <v>41</v>
      </c>
      <c r="G310" s="8" t="s">
        <v>170</v>
      </c>
      <c r="J310" s="109"/>
      <c r="K310" s="109"/>
      <c r="L310" s="109"/>
      <c r="M310" s="109"/>
      <c r="N310" s="109"/>
      <c r="O310" s="109"/>
    </row>
    <row r="311" spans="1:15">
      <c r="A311" s="3"/>
      <c r="B311" s="10">
        <v>2012</v>
      </c>
      <c r="C311" s="43">
        <f t="shared" ref="C311:G317" si="47">+C299+C259</f>
        <v>1441.9424059011546</v>
      </c>
      <c r="D311" s="44">
        <f t="shared" si="47"/>
        <v>15901.822182833223</v>
      </c>
      <c r="E311" s="134">
        <f t="shared" si="47"/>
        <v>0</v>
      </c>
      <c r="F311" s="44">
        <f t="shared" si="47"/>
        <v>8940.1404286778888</v>
      </c>
      <c r="G311" s="134">
        <f t="shared" si="47"/>
        <v>0</v>
      </c>
      <c r="J311" s="109"/>
      <c r="K311" s="109"/>
      <c r="L311" s="109"/>
      <c r="M311" s="109"/>
      <c r="N311" s="109"/>
      <c r="O311" s="109"/>
    </row>
    <row r="312" spans="1:15">
      <c r="A312" s="3"/>
      <c r="B312" s="10">
        <v>2013</v>
      </c>
      <c r="C312" s="43">
        <f>+C300+C260</f>
        <v>1519.7549189429192</v>
      </c>
      <c r="D312" s="44">
        <f t="shared" si="47"/>
        <v>16316.829993685353</v>
      </c>
      <c r="E312" s="134">
        <f t="shared" si="47"/>
        <v>0</v>
      </c>
      <c r="F312" s="44">
        <f t="shared" si="47"/>
        <v>9621.0957214322152</v>
      </c>
      <c r="G312" s="134">
        <f t="shared" si="47"/>
        <v>0</v>
      </c>
      <c r="J312" s="109"/>
      <c r="K312" s="109"/>
      <c r="L312" s="109"/>
      <c r="M312" s="109"/>
      <c r="N312" s="109"/>
      <c r="O312" s="109"/>
    </row>
    <row r="313" spans="1:15">
      <c r="A313" s="3"/>
      <c r="B313" s="10">
        <v>2014</v>
      </c>
      <c r="C313" s="43">
        <f>+C301+C261</f>
        <v>1563.671174188391</v>
      </c>
      <c r="D313" s="44">
        <f>+D301+D261</f>
        <v>16819.841302858753</v>
      </c>
      <c r="E313" s="134">
        <f>+E301+E261</f>
        <v>0</v>
      </c>
      <c r="F313" s="44">
        <f t="shared" si="47"/>
        <v>9885.5236772615608</v>
      </c>
      <c r="G313" s="134">
        <f t="shared" si="47"/>
        <v>0</v>
      </c>
      <c r="J313" s="109"/>
      <c r="K313" s="109"/>
      <c r="L313" s="109"/>
      <c r="M313" s="109"/>
      <c r="N313" s="109"/>
      <c r="O313" s="109"/>
    </row>
    <row r="314" spans="1:15">
      <c r="A314" s="3"/>
      <c r="B314" s="10">
        <v>2015</v>
      </c>
      <c r="C314" s="43">
        <f>+C302+C262</f>
        <v>1611.2839967454174</v>
      </c>
      <c r="D314" s="44">
        <f t="shared" si="47"/>
        <v>17363.573156339877</v>
      </c>
      <c r="E314" s="134">
        <f t="shared" si="47"/>
        <v>0</v>
      </c>
      <c r="F314" s="44">
        <f t="shared" si="47"/>
        <v>10274.136849181497</v>
      </c>
      <c r="G314" s="134">
        <f t="shared" si="47"/>
        <v>0</v>
      </c>
      <c r="J314" s="109"/>
      <c r="K314" s="109"/>
      <c r="L314" s="109"/>
      <c r="M314" s="109"/>
      <c r="N314" s="109"/>
      <c r="O314" s="109"/>
    </row>
    <row r="315" spans="1:15">
      <c r="A315" s="3"/>
      <c r="B315" s="10">
        <v>2016</v>
      </c>
      <c r="C315" s="43">
        <f t="shared" si="47"/>
        <v>1666.1328304600859</v>
      </c>
      <c r="D315" s="44">
        <f t="shared" si="47"/>
        <v>17990.587818225762</v>
      </c>
      <c r="E315" s="134">
        <f t="shared" si="47"/>
        <v>0</v>
      </c>
      <c r="F315" s="44">
        <f t="shared" si="47"/>
        <v>10572.491510943468</v>
      </c>
      <c r="G315" s="134">
        <f t="shared" si="47"/>
        <v>0</v>
      </c>
    </row>
    <row r="316" spans="1:15">
      <c r="A316" s="3"/>
      <c r="B316" s="10">
        <v>2017</v>
      </c>
      <c r="C316" s="43">
        <f t="shared" si="47"/>
        <v>1714.2254871982109</v>
      </c>
      <c r="D316" s="44">
        <f t="shared" si="47"/>
        <v>18538.69629719013</v>
      </c>
      <c r="E316" s="134">
        <f t="shared" si="47"/>
        <v>0</v>
      </c>
      <c r="F316" s="44">
        <f t="shared" si="47"/>
        <v>10794.917865550149</v>
      </c>
      <c r="G316" s="134">
        <f t="shared" si="47"/>
        <v>0</v>
      </c>
    </row>
    <row r="317" spans="1:15">
      <c r="A317" s="3"/>
      <c r="B317" s="10">
        <v>2018</v>
      </c>
      <c r="C317" s="43">
        <f t="shared" si="47"/>
        <v>1761.2278946629556</v>
      </c>
      <c r="D317" s="44">
        <f t="shared" si="47"/>
        <v>19032.145466113612</v>
      </c>
      <c r="E317" s="134">
        <f t="shared" si="47"/>
        <v>0</v>
      </c>
      <c r="F317" s="44"/>
      <c r="G317" s="134">
        <f t="shared" si="47"/>
        <v>0</v>
      </c>
    </row>
  </sheetData>
  <printOptions headings="1"/>
  <pageMargins left="0.70866141732283472" right="0.70866141732283472" top="0.74803149606299213" bottom="0.74803149606299213" header="0.31496062992125984" footer="0.31496062992125984"/>
  <pageSetup paperSize="8" scale="4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4:L175"/>
  <sheetViews>
    <sheetView topLeftCell="A25" zoomScale="80" zoomScaleNormal="80" workbookViewId="0">
      <selection activeCell="G7" sqref="G7"/>
    </sheetView>
  </sheetViews>
  <sheetFormatPr defaultRowHeight="15"/>
  <cols>
    <col min="1" max="1" width="14.7109375" customWidth="1"/>
    <col min="2" max="2" width="17" customWidth="1"/>
    <col min="3" max="7" width="14.28515625" customWidth="1"/>
    <col min="8" max="11" width="13.7109375" customWidth="1"/>
  </cols>
  <sheetData>
    <row r="4" spans="1:12" ht="18.75">
      <c r="A4" s="45" t="s">
        <v>98</v>
      </c>
      <c r="B4" s="46"/>
      <c r="C4" s="46"/>
      <c r="D4" s="46"/>
      <c r="E4" s="46"/>
      <c r="F4" s="46"/>
      <c r="G4" s="46"/>
    </row>
    <row r="6" spans="1:12">
      <c r="A6" s="22" t="s">
        <v>0</v>
      </c>
      <c r="B6" s="3" t="s">
        <v>174</v>
      </c>
    </row>
    <row r="8" spans="1:12">
      <c r="B8" s="5"/>
      <c r="C8" s="7" t="s">
        <v>39</v>
      </c>
      <c r="D8" s="8" t="s">
        <v>40</v>
      </c>
      <c r="E8" s="8" t="s">
        <v>169</v>
      </c>
      <c r="F8" s="8" t="s">
        <v>41</v>
      </c>
      <c r="G8" s="8" t="s">
        <v>170</v>
      </c>
    </row>
    <row r="9" spans="1:12">
      <c r="B9" s="10">
        <v>2011</v>
      </c>
      <c r="C9" s="6">
        <f>+'[1]Model Inputs'!E24</f>
        <v>1332.3170536123812</v>
      </c>
      <c r="D9" s="15">
        <f>+'[1]Model Inputs'!F24</f>
        <v>15396.216399752841</v>
      </c>
      <c r="E9" s="121"/>
      <c r="F9" s="15">
        <f>+'[1]Model Inputs'!H24</f>
        <v>8768</v>
      </c>
      <c r="G9" s="121"/>
      <c r="I9" s="4"/>
      <c r="J9" s="4"/>
      <c r="K9" s="4"/>
      <c r="L9" s="4"/>
    </row>
    <row r="10" spans="1:12">
      <c r="B10" s="2"/>
    </row>
    <row r="11" spans="1:12">
      <c r="A11" s="22" t="s">
        <v>1</v>
      </c>
      <c r="B11" s="3" t="s">
        <v>20</v>
      </c>
    </row>
    <row r="12" spans="1:12">
      <c r="B12" s="2"/>
    </row>
    <row r="13" spans="1:12">
      <c r="B13" s="1">
        <v>0</v>
      </c>
    </row>
    <row r="14" spans="1:12">
      <c r="B14" s="1"/>
    </row>
    <row r="15" spans="1:12">
      <c r="A15" s="22" t="s">
        <v>2</v>
      </c>
      <c r="B15" s="3" t="s">
        <v>21</v>
      </c>
    </row>
    <row r="16" spans="1:12">
      <c r="B16" s="1"/>
    </row>
    <row r="17" spans="1:7">
      <c r="B17" s="5"/>
      <c r="C17" s="7" t="s">
        <v>39</v>
      </c>
      <c r="D17" s="8" t="s">
        <v>40</v>
      </c>
      <c r="E17" s="8" t="s">
        <v>169</v>
      </c>
      <c r="F17" s="8" t="s">
        <v>41</v>
      </c>
      <c r="G17" s="8" t="s">
        <v>170</v>
      </c>
    </row>
    <row r="18" spans="1:7">
      <c r="B18" s="10"/>
      <c r="C18" s="104">
        <v>0.35809999999999997</v>
      </c>
      <c r="D18" s="105">
        <v>0.3569</v>
      </c>
      <c r="E18" s="105">
        <v>0.3594</v>
      </c>
      <c r="F18" s="105">
        <v>0</v>
      </c>
      <c r="G18" s="105">
        <v>0</v>
      </c>
    </row>
    <row r="20" spans="1:7">
      <c r="A20" s="22" t="s">
        <v>3</v>
      </c>
      <c r="B20" s="3" t="s">
        <v>22</v>
      </c>
    </row>
    <row r="22" spans="1:7">
      <c r="B22" s="5"/>
      <c r="C22" s="7" t="s">
        <v>39</v>
      </c>
      <c r="D22" s="8" t="s">
        <v>40</v>
      </c>
      <c r="E22" s="8" t="s">
        <v>169</v>
      </c>
      <c r="F22" s="8" t="s">
        <v>41</v>
      </c>
      <c r="G22" s="8" t="s">
        <v>170</v>
      </c>
    </row>
    <row r="23" spans="1:7">
      <c r="B23" s="10"/>
      <c r="C23" s="64">
        <v>0</v>
      </c>
      <c r="D23">
        <v>0</v>
      </c>
      <c r="E23">
        <v>0</v>
      </c>
      <c r="F23">
        <v>0</v>
      </c>
      <c r="G23">
        <v>0</v>
      </c>
    </row>
    <row r="25" spans="1:7">
      <c r="A25" s="22" t="s">
        <v>4</v>
      </c>
      <c r="B25" s="3" t="s">
        <v>23</v>
      </c>
    </row>
    <row r="27" spans="1:7">
      <c r="B27" s="5"/>
      <c r="C27" s="7" t="s">
        <v>39</v>
      </c>
      <c r="D27" s="8" t="s">
        <v>40</v>
      </c>
      <c r="E27" s="8" t="s">
        <v>169</v>
      </c>
      <c r="F27" s="8" t="s">
        <v>41</v>
      </c>
      <c r="G27" s="8" t="s">
        <v>170</v>
      </c>
    </row>
    <row r="28" spans="1:7">
      <c r="B28" s="10"/>
      <c r="C28" s="104">
        <v>0.35809999999999997</v>
      </c>
      <c r="D28" s="105">
        <v>0.3569</v>
      </c>
      <c r="E28" s="105">
        <v>0.3594</v>
      </c>
      <c r="F28" s="105">
        <v>0</v>
      </c>
      <c r="G28" s="105">
        <v>0</v>
      </c>
    </row>
    <row r="30" spans="1:7">
      <c r="A30" s="22" t="s">
        <v>5</v>
      </c>
      <c r="B30" s="3" t="s">
        <v>175</v>
      </c>
    </row>
    <row r="32" spans="1:7">
      <c r="B32" s="5"/>
      <c r="C32" s="7" t="s">
        <v>39</v>
      </c>
      <c r="D32" s="8" t="s">
        <v>40</v>
      </c>
      <c r="E32" s="8" t="s">
        <v>169</v>
      </c>
      <c r="F32" s="8" t="s">
        <v>41</v>
      </c>
      <c r="G32" s="8" t="s">
        <v>170</v>
      </c>
    </row>
    <row r="33" spans="1:7">
      <c r="B33" s="10">
        <v>2011</v>
      </c>
      <c r="C33" s="6">
        <f>+'[1]Model Inputs'!E53</f>
        <v>0</v>
      </c>
      <c r="D33" s="15">
        <f>+'[1]Model Inputs'!F53</f>
        <v>0</v>
      </c>
      <c r="E33" s="121"/>
      <c r="F33" s="115">
        <f>+'[1]Model Inputs'!H53</f>
        <v>0</v>
      </c>
      <c r="G33" s="121"/>
    </row>
    <row r="34" spans="1:7">
      <c r="B34" s="10">
        <v>2012</v>
      </c>
      <c r="C34" s="6">
        <f>+'[1]Model Inputs'!E54</f>
        <v>67.851525121047615</v>
      </c>
      <c r="D34" s="15">
        <f>+'[1]Model Inputs'!F54</f>
        <v>38.674613968873253</v>
      </c>
      <c r="E34" s="121"/>
      <c r="F34" s="115">
        <f>+'[1]Model Inputs'!H54</f>
        <v>0</v>
      </c>
      <c r="G34" s="121"/>
    </row>
    <row r="35" spans="1:7">
      <c r="B35" s="10">
        <v>2013</v>
      </c>
      <c r="C35" s="6">
        <f>+'[1]Model Inputs'!E55</f>
        <v>110.49847330637343</v>
      </c>
      <c r="D35" s="15">
        <f>+'[1]Model Inputs'!F55</f>
        <v>64</v>
      </c>
      <c r="E35" s="121"/>
      <c r="F35" s="115">
        <f>+'[1]Model Inputs'!H55</f>
        <v>487</v>
      </c>
      <c r="G35" s="121"/>
    </row>
    <row r="36" spans="1:7">
      <c r="B36" s="10">
        <v>2014</v>
      </c>
      <c r="C36" s="6">
        <f>+'[1]Model Inputs'!E56</f>
        <v>110.91342750556464</v>
      </c>
      <c r="D36" s="15">
        <f>+'[1]Model Inputs'!F56</f>
        <v>82</v>
      </c>
      <c r="E36" s="121"/>
      <c r="F36" s="115">
        <f>+'[1]Model Inputs'!H56</f>
        <v>518</v>
      </c>
      <c r="G36" s="121"/>
    </row>
    <row r="37" spans="1:7">
      <c r="B37" s="10">
        <v>2015</v>
      </c>
      <c r="C37" s="6">
        <f>+'[1]Model Inputs'!E57</f>
        <v>111.4908303307316</v>
      </c>
      <c r="D37" s="15">
        <f>+'[1]Model Inputs'!F57</f>
        <v>101</v>
      </c>
      <c r="E37" s="121"/>
      <c r="F37" s="115">
        <f>+'[1]Model Inputs'!H57</f>
        <v>642</v>
      </c>
      <c r="G37" s="121"/>
    </row>
    <row r="38" spans="1:7">
      <c r="B38" s="10">
        <v>2016</v>
      </c>
      <c r="C38" s="6">
        <f>+'[1]Model Inputs'!E58</f>
        <v>112.23555524065355</v>
      </c>
      <c r="D38" s="15">
        <f>+'[1]Model Inputs'!F58</f>
        <v>123</v>
      </c>
      <c r="E38" s="121"/>
      <c r="F38" s="115">
        <f>+'[1]Model Inputs'!H58</f>
        <v>673</v>
      </c>
      <c r="G38" s="121"/>
    </row>
    <row r="39" spans="1:7">
      <c r="B39" s="10">
        <v>2017</v>
      </c>
      <c r="C39" s="6">
        <f>+'[1]Model Inputs'!E59</f>
        <v>113.15262189787316</v>
      </c>
      <c r="D39" s="15">
        <f>+'[1]Model Inputs'!F59</f>
        <v>147</v>
      </c>
      <c r="E39" s="121"/>
      <c r="F39" s="115">
        <f>+'[1]Model Inputs'!H59</f>
        <v>673</v>
      </c>
      <c r="G39" s="121"/>
    </row>
    <row r="40" spans="1:7">
      <c r="B40" s="2"/>
    </row>
    <row r="41" spans="1:7">
      <c r="A41" s="22" t="s">
        <v>6</v>
      </c>
      <c r="B41" s="3" t="s">
        <v>24</v>
      </c>
    </row>
    <row r="42" spans="1:7">
      <c r="B42" s="2"/>
    </row>
    <row r="43" spans="1:7">
      <c r="B43" t="s">
        <v>38</v>
      </c>
    </row>
    <row r="44" spans="1:7">
      <c r="B44" s="5"/>
      <c r="C44" s="7" t="s">
        <v>39</v>
      </c>
      <c r="D44" s="8" t="s">
        <v>40</v>
      </c>
      <c r="E44" s="8" t="s">
        <v>169</v>
      </c>
      <c r="F44" s="8" t="s">
        <v>41</v>
      </c>
      <c r="G44" s="8" t="s">
        <v>170</v>
      </c>
    </row>
    <row r="45" spans="1:7">
      <c r="B45" s="13">
        <v>2007</v>
      </c>
      <c r="C45" s="6">
        <f>+'[1]Model Inputs'!E61</f>
        <v>365</v>
      </c>
      <c r="D45" s="15">
        <f>+'[1]Model Inputs'!F61</f>
        <v>5792</v>
      </c>
      <c r="E45" s="15">
        <f>+'[1]Model Inputs'!G61</f>
        <v>9756</v>
      </c>
      <c r="F45" s="15">
        <f>+'[1]Model Inputs'!H61</f>
        <v>308.27699999999999</v>
      </c>
      <c r="G45" s="15">
        <f>+'[1]Model Inputs'!I61</f>
        <v>2218.6</v>
      </c>
    </row>
    <row r="46" spans="1:7">
      <c r="B46" s="10">
        <v>2008</v>
      </c>
      <c r="C46" s="6">
        <f>+'[1]Model Inputs'!E62</f>
        <v>366</v>
      </c>
      <c r="D46" s="15">
        <f>+'[1]Model Inputs'!F62</f>
        <v>5890</v>
      </c>
      <c r="E46" s="15">
        <f>+'[1]Model Inputs'!G62</f>
        <v>9911</v>
      </c>
      <c r="F46" s="15">
        <f>+'[1]Model Inputs'!H62</f>
        <v>308.27699999999999</v>
      </c>
      <c r="G46" s="15">
        <f>+'[1]Model Inputs'!I62</f>
        <v>2218.6</v>
      </c>
    </row>
    <row r="47" spans="1:7">
      <c r="B47" s="10">
        <v>2009</v>
      </c>
      <c r="C47" s="6">
        <f>+'[1]Model Inputs'!E63</f>
        <v>384</v>
      </c>
      <c r="D47" s="15">
        <f>+'[1]Model Inputs'!F63</f>
        <v>5901</v>
      </c>
      <c r="E47" s="15">
        <f>+'[1]Model Inputs'!G63</f>
        <v>10061</v>
      </c>
      <c r="F47" s="15">
        <f>+'[1]Model Inputs'!H63</f>
        <v>308.27699999999999</v>
      </c>
      <c r="G47" s="15">
        <f>+'[1]Model Inputs'!I63</f>
        <v>2218.6</v>
      </c>
    </row>
    <row r="48" spans="1:7">
      <c r="B48" s="10">
        <v>2010</v>
      </c>
      <c r="C48" s="6">
        <f>+'[1]Model Inputs'!E64</f>
        <v>386</v>
      </c>
      <c r="D48" s="15">
        <f>+'[1]Model Inputs'!F64</f>
        <v>6170</v>
      </c>
      <c r="E48" s="15">
        <f>+'[1]Model Inputs'!G64</f>
        <v>10155</v>
      </c>
      <c r="F48" s="15">
        <f>+'[1]Model Inputs'!H64</f>
        <v>308.27699999999999</v>
      </c>
      <c r="G48" s="15">
        <f>+'[1]Model Inputs'!I64</f>
        <v>2219.6999999999998</v>
      </c>
    </row>
    <row r="49" spans="1:7">
      <c r="B49" s="10">
        <v>2011</v>
      </c>
      <c r="C49" s="6">
        <f>+'[1]Model Inputs'!E65</f>
        <v>387</v>
      </c>
      <c r="D49" s="15">
        <f>+'[1]Model Inputs'!F65</f>
        <v>6177</v>
      </c>
      <c r="E49" s="15">
        <f>+'[1]Model Inputs'!G65</f>
        <v>10252</v>
      </c>
      <c r="F49" s="15">
        <f>+'[1]Model Inputs'!H65</f>
        <v>308.27699999999999</v>
      </c>
      <c r="G49" s="15">
        <f>+'[1]Model Inputs'!I65</f>
        <v>2219.6999999999998</v>
      </c>
    </row>
    <row r="51" spans="1:7">
      <c r="A51" s="22" t="s">
        <v>7</v>
      </c>
      <c r="B51" s="3" t="s">
        <v>25</v>
      </c>
    </row>
    <row r="53" spans="1:7">
      <c r="B53" s="4" t="s">
        <v>176</v>
      </c>
    </row>
    <row r="54" spans="1:7">
      <c r="B54" s="5"/>
      <c r="C54" s="7" t="s">
        <v>39</v>
      </c>
      <c r="D54" s="8" t="s">
        <v>40</v>
      </c>
      <c r="E54" s="8" t="s">
        <v>169</v>
      </c>
      <c r="F54" s="8" t="s">
        <v>41</v>
      </c>
      <c r="G54" s="8" t="s">
        <v>170</v>
      </c>
    </row>
    <row r="55" spans="1:7">
      <c r="B55" s="13">
        <v>2007</v>
      </c>
      <c r="C55" s="6">
        <f>+'[1]Model Inputs'!E66</f>
        <v>1055279</v>
      </c>
      <c r="D55" s="15">
        <f>+'[1]Model Inputs'!F66</f>
        <v>9564363</v>
      </c>
      <c r="E55" s="15">
        <f>+'[1]Model Inputs'!G66</f>
        <v>22597621</v>
      </c>
      <c r="F55" s="15">
        <f>+'[1]Model Inputs'!H66</f>
        <v>137116559</v>
      </c>
      <c r="G55" s="15">
        <f>+'[1]Model Inputs'!I66</f>
        <v>92679929</v>
      </c>
    </row>
    <row r="56" spans="1:7">
      <c r="B56" s="10">
        <v>2008</v>
      </c>
      <c r="C56" s="6">
        <f>+'[1]Model Inputs'!E67</f>
        <v>1034957</v>
      </c>
      <c r="D56" s="15">
        <f>+'[1]Model Inputs'!F67</f>
        <v>9204033</v>
      </c>
      <c r="E56" s="15">
        <f>+'[1]Model Inputs'!G67</f>
        <v>22117219</v>
      </c>
      <c r="F56" s="15">
        <f>+'[1]Model Inputs'!H67</f>
        <v>133152233</v>
      </c>
      <c r="G56" s="15">
        <f>+'[1]Model Inputs'!I67</f>
        <v>105248977</v>
      </c>
    </row>
    <row r="57" spans="1:7">
      <c r="B57" s="10">
        <v>2009</v>
      </c>
      <c r="C57" s="6">
        <f>+'[1]Model Inputs'!E68</f>
        <v>961994</v>
      </c>
      <c r="D57" s="15">
        <f>+'[1]Model Inputs'!F68</f>
        <v>9316465</v>
      </c>
      <c r="E57" s="15">
        <f>+'[1]Model Inputs'!G68</f>
        <v>21607463</v>
      </c>
      <c r="F57" s="15">
        <f>+'[1]Model Inputs'!H68</f>
        <v>134266062</v>
      </c>
      <c r="G57" s="15">
        <f>+'[1]Model Inputs'!I68</f>
        <v>92048260</v>
      </c>
    </row>
    <row r="58" spans="1:7">
      <c r="B58" s="10">
        <v>2010</v>
      </c>
      <c r="C58" s="6">
        <f>+'[1]Model Inputs'!E69</f>
        <v>1094541</v>
      </c>
      <c r="D58" s="15">
        <f>+'[1]Model Inputs'!F69</f>
        <v>9268755</v>
      </c>
      <c r="E58" s="15">
        <f>+'[1]Model Inputs'!G69</f>
        <v>21226186</v>
      </c>
      <c r="F58" s="15">
        <f>+'[1]Model Inputs'!H69</f>
        <v>128637477</v>
      </c>
      <c r="G58" s="15">
        <f>+'[1]Model Inputs'!I69</f>
        <v>94270089</v>
      </c>
    </row>
    <row r="59" spans="1:7">
      <c r="B59" s="10">
        <v>2011</v>
      </c>
      <c r="C59" s="6">
        <f>+'[1]Model Inputs'!E70</f>
        <v>1174868</v>
      </c>
      <c r="D59" s="15">
        <f>+'[1]Model Inputs'!F70</f>
        <v>8887622</v>
      </c>
      <c r="E59" s="15">
        <f>+'[1]Model Inputs'!G70</f>
        <v>21132754</v>
      </c>
      <c r="F59" s="15">
        <f>+'[1]Model Inputs'!H70</f>
        <v>113652355</v>
      </c>
      <c r="G59" s="15">
        <f>+'[1]Model Inputs'!I70</f>
        <v>94260725</v>
      </c>
    </row>
    <row r="61" spans="1:7">
      <c r="A61" s="22" t="s">
        <v>8</v>
      </c>
      <c r="B61" s="3" t="s">
        <v>26</v>
      </c>
    </row>
    <row r="63" spans="1:7">
      <c r="B63" s="4" t="s">
        <v>177</v>
      </c>
    </row>
    <row r="64" spans="1:7">
      <c r="B64" s="5"/>
      <c r="C64" s="7" t="s">
        <v>39</v>
      </c>
      <c r="D64" s="8" t="s">
        <v>40</v>
      </c>
      <c r="E64" s="8" t="s">
        <v>169</v>
      </c>
      <c r="F64" s="8" t="s">
        <v>41</v>
      </c>
      <c r="G64" s="8" t="s">
        <v>170</v>
      </c>
    </row>
    <row r="65" spans="1:7">
      <c r="B65" s="13">
        <v>2007</v>
      </c>
      <c r="C65" s="6">
        <f>+'[1]Model Inputs'!E71</f>
        <v>10326</v>
      </c>
      <c r="D65" s="15">
        <f>+'[1]Model Inputs'!F71</f>
        <v>103404</v>
      </c>
      <c r="E65" s="15">
        <f>+'[1]Model Inputs'!G71</f>
        <v>140872</v>
      </c>
      <c r="F65" s="15">
        <f>+'[1]Model Inputs'!H71</f>
        <v>13</v>
      </c>
      <c r="G65" s="15">
        <f>+'[1]Model Inputs'!I71</f>
        <v>16</v>
      </c>
    </row>
    <row r="66" spans="1:7">
      <c r="B66" s="10">
        <v>2008</v>
      </c>
      <c r="C66" s="6">
        <f>+'[1]Model Inputs'!E72</f>
        <v>10331</v>
      </c>
      <c r="D66" s="15">
        <f>+'[1]Model Inputs'!F72</f>
        <v>103602</v>
      </c>
      <c r="E66" s="15">
        <f>+'[1]Model Inputs'!G72</f>
        <v>145122</v>
      </c>
      <c r="F66" s="15">
        <f>+'[1]Model Inputs'!H72</f>
        <v>13</v>
      </c>
      <c r="G66" s="15">
        <f>+'[1]Model Inputs'!I72</f>
        <v>14</v>
      </c>
    </row>
    <row r="67" spans="1:7">
      <c r="B67" s="10">
        <v>2009</v>
      </c>
      <c r="C67" s="6">
        <f>+'[1]Model Inputs'!E73</f>
        <v>10287</v>
      </c>
      <c r="D67" s="15">
        <f>+'[1]Model Inputs'!F73</f>
        <v>102011</v>
      </c>
      <c r="E67" s="15">
        <f>+'[1]Model Inputs'!G73</f>
        <v>148357</v>
      </c>
      <c r="F67" s="15">
        <f>+'[1]Model Inputs'!H73</f>
        <v>12.5</v>
      </c>
      <c r="G67" s="15">
        <f>+'[1]Model Inputs'!I73</f>
        <v>14</v>
      </c>
    </row>
    <row r="68" spans="1:7">
      <c r="B68" s="10">
        <v>2010</v>
      </c>
      <c r="C68" s="6">
        <f>+'[1]Model Inputs'!E74</f>
        <v>10309</v>
      </c>
      <c r="D68" s="15">
        <f>+'[1]Model Inputs'!F74</f>
        <v>102346</v>
      </c>
      <c r="E68" s="15">
        <f>+'[1]Model Inputs'!G74</f>
        <v>150892</v>
      </c>
      <c r="F68" s="15">
        <f>+'[1]Model Inputs'!H74</f>
        <v>12</v>
      </c>
      <c r="G68" s="15">
        <f>+'[1]Model Inputs'!I74</f>
        <v>12</v>
      </c>
    </row>
    <row r="69" spans="1:7">
      <c r="B69" s="10">
        <v>2011</v>
      </c>
      <c r="C69" s="6">
        <f>+'[1]Model Inputs'!E75</f>
        <v>10353</v>
      </c>
      <c r="D69" s="15">
        <f>+'[1]Model Inputs'!F75</f>
        <v>102482</v>
      </c>
      <c r="E69" s="15">
        <f>+'[1]Model Inputs'!G75</f>
        <v>151104</v>
      </c>
      <c r="F69" s="15">
        <f>+'[1]Model Inputs'!H75</f>
        <v>12</v>
      </c>
      <c r="G69" s="15">
        <f>+'[1]Model Inputs'!I75</f>
        <v>11</v>
      </c>
    </row>
    <row r="71" spans="1:7">
      <c r="A71" s="22" t="s">
        <v>9</v>
      </c>
      <c r="B71" s="3" t="s">
        <v>27</v>
      </c>
    </row>
    <row r="73" spans="1:7">
      <c r="B73" s="1">
        <v>0.6</v>
      </c>
    </row>
    <row r="74" spans="1:7">
      <c r="B74" s="1"/>
    </row>
    <row r="75" spans="1:7">
      <c r="A75" s="22" t="s">
        <v>10</v>
      </c>
      <c r="B75" s="3" t="s">
        <v>28</v>
      </c>
    </row>
    <row r="76" spans="1:7">
      <c r="B76" s="1"/>
    </row>
    <row r="77" spans="1:7" ht="15.75">
      <c r="B77" s="47" t="s">
        <v>43</v>
      </c>
      <c r="C77" s="113"/>
    </row>
    <row r="78" spans="1:7">
      <c r="B78" s="8" t="s">
        <v>46</v>
      </c>
      <c r="C78" s="114" t="s">
        <v>42</v>
      </c>
    </row>
    <row r="79" spans="1:7">
      <c r="B79" s="11">
        <v>40451</v>
      </c>
      <c r="C79" s="124"/>
    </row>
    <row r="80" spans="1:7">
      <c r="B80" s="11">
        <v>40543</v>
      </c>
      <c r="C80" s="124"/>
    </row>
    <row r="81" spans="2:3">
      <c r="B81" s="11">
        <v>40633</v>
      </c>
      <c r="C81" s="124"/>
    </row>
    <row r="82" spans="2:3">
      <c r="B82" s="11">
        <v>40724</v>
      </c>
      <c r="C82" s="124"/>
    </row>
    <row r="83" spans="2:3">
      <c r="B83" s="11">
        <v>40816</v>
      </c>
      <c r="C83" s="124"/>
    </row>
    <row r="84" spans="2:3">
      <c r="B84" s="11">
        <v>40908</v>
      </c>
      <c r="C84" s="124"/>
    </row>
    <row r="85" spans="2:3">
      <c r="B85" s="11">
        <v>40999</v>
      </c>
      <c r="C85" s="124"/>
    </row>
    <row r="86" spans="2:3">
      <c r="B86" s="11">
        <v>41090</v>
      </c>
      <c r="C86" s="124"/>
    </row>
    <row r="87" spans="2:3">
      <c r="B87" s="11">
        <v>41182</v>
      </c>
      <c r="C87" s="124"/>
    </row>
    <row r="88" spans="2:3">
      <c r="B88" s="11">
        <v>41274</v>
      </c>
      <c r="C88" s="124"/>
    </row>
    <row r="89" spans="2:3">
      <c r="B89" s="11">
        <v>41364</v>
      </c>
      <c r="C89" s="124"/>
    </row>
    <row r="90" spans="2:3">
      <c r="B90" s="11">
        <v>41455</v>
      </c>
      <c r="C90" s="124"/>
    </row>
    <row r="91" spans="2:3">
      <c r="B91" s="11">
        <v>41547</v>
      </c>
      <c r="C91" s="124"/>
    </row>
    <row r="92" spans="2:3">
      <c r="B92" s="11">
        <v>41639</v>
      </c>
      <c r="C92" s="124"/>
    </row>
    <row r="93" spans="2:3">
      <c r="B93" s="11">
        <v>41729</v>
      </c>
      <c r="C93" s="124"/>
    </row>
    <row r="94" spans="2:3">
      <c r="B94" s="11">
        <v>41820</v>
      </c>
      <c r="C94" s="124"/>
    </row>
    <row r="95" spans="2:3">
      <c r="B95" s="11">
        <v>41912</v>
      </c>
      <c r="C95" s="124"/>
    </row>
    <row r="96" spans="2:3">
      <c r="B96" s="11">
        <v>42004</v>
      </c>
      <c r="C96" s="124"/>
    </row>
    <row r="97" spans="2:3">
      <c r="B97" s="11">
        <v>42094</v>
      </c>
      <c r="C97" s="124"/>
    </row>
    <row r="98" spans="2:3">
      <c r="B98" s="11">
        <v>42185</v>
      </c>
      <c r="C98" s="124"/>
    </row>
    <row r="99" spans="2:3">
      <c r="B99" s="11">
        <v>42277</v>
      </c>
      <c r="C99" s="124"/>
    </row>
    <row r="100" spans="2:3">
      <c r="B100" s="11">
        <v>42369</v>
      </c>
      <c r="C100" s="124"/>
    </row>
    <row r="101" spans="2:3">
      <c r="B101" s="11">
        <v>42460</v>
      </c>
      <c r="C101" s="124"/>
    </row>
    <row r="102" spans="2:3">
      <c r="B102" s="11">
        <v>42551</v>
      </c>
      <c r="C102" s="124"/>
    </row>
    <row r="103" spans="2:3">
      <c r="B103" s="11">
        <v>42643</v>
      </c>
      <c r="C103" s="124"/>
    </row>
    <row r="104" spans="2:3">
      <c r="B104" s="11">
        <v>42735</v>
      </c>
      <c r="C104" s="124"/>
    </row>
    <row r="105" spans="2:3">
      <c r="B105" s="11">
        <v>42825</v>
      </c>
      <c r="C105" s="124"/>
    </row>
    <row r="106" spans="2:3">
      <c r="B106" s="11">
        <v>42916</v>
      </c>
      <c r="C106" s="124"/>
    </row>
    <row r="107" spans="2:3">
      <c r="B107" s="11">
        <v>43008</v>
      </c>
      <c r="C107" s="124"/>
    </row>
    <row r="108" spans="2:3">
      <c r="B108" s="11">
        <v>43100</v>
      </c>
      <c r="C108" s="124"/>
    </row>
    <row r="109" spans="2:3">
      <c r="B109" s="11">
        <v>43190</v>
      </c>
      <c r="C109" s="124"/>
    </row>
    <row r="110" spans="2:3">
      <c r="B110" s="11">
        <v>43281</v>
      </c>
      <c r="C110" s="124"/>
    </row>
    <row r="111" spans="2:3">
      <c r="C111" s="113"/>
    </row>
    <row r="112" spans="2:3">
      <c r="C112" s="113"/>
    </row>
    <row r="113" spans="1:3">
      <c r="C113" s="113"/>
    </row>
    <row r="114" spans="1:3">
      <c r="A114" s="22" t="s">
        <v>11</v>
      </c>
      <c r="B114" s="3" t="s">
        <v>29</v>
      </c>
      <c r="C114" s="113"/>
    </row>
    <row r="115" spans="1:3">
      <c r="C115" s="113"/>
    </row>
    <row r="116" spans="1:3" ht="15.75">
      <c r="B116" s="48" t="s">
        <v>44</v>
      </c>
      <c r="C116" s="113"/>
    </row>
    <row r="117" spans="1:3">
      <c r="B117" s="8" t="s">
        <v>46</v>
      </c>
      <c r="C117" s="114" t="s">
        <v>42</v>
      </c>
    </row>
    <row r="118" spans="1:3">
      <c r="B118" s="14">
        <v>40451</v>
      </c>
      <c r="C118" s="124"/>
    </row>
    <row r="119" spans="1:3">
      <c r="B119" s="14">
        <v>40543</v>
      </c>
      <c r="C119" s="124"/>
    </row>
    <row r="120" spans="1:3">
      <c r="B120" s="14">
        <v>40633</v>
      </c>
      <c r="C120" s="124"/>
    </row>
    <row r="121" spans="1:3">
      <c r="B121" s="14">
        <v>40724</v>
      </c>
      <c r="C121" s="124"/>
    </row>
    <row r="122" spans="1:3">
      <c r="B122" s="14">
        <v>40816</v>
      </c>
      <c r="C122" s="124"/>
    </row>
    <row r="123" spans="1:3">
      <c r="B123" s="14">
        <v>40908</v>
      </c>
      <c r="C123" s="124"/>
    </row>
    <row r="124" spans="1:3">
      <c r="B124" s="14">
        <v>40999</v>
      </c>
      <c r="C124" s="124"/>
    </row>
    <row r="125" spans="1:3">
      <c r="B125" s="14">
        <v>41090</v>
      </c>
      <c r="C125" s="124"/>
    </row>
    <row r="126" spans="1:3">
      <c r="B126" s="14">
        <v>41182</v>
      </c>
      <c r="C126" s="124"/>
    </row>
    <row r="127" spans="1:3">
      <c r="B127" s="14">
        <v>41274</v>
      </c>
      <c r="C127" s="124"/>
    </row>
    <row r="128" spans="1:3">
      <c r="B128" s="14">
        <v>41364</v>
      </c>
      <c r="C128" s="124"/>
    </row>
    <row r="129" spans="2:3">
      <c r="B129" s="14">
        <v>41455</v>
      </c>
      <c r="C129" s="124"/>
    </row>
    <row r="130" spans="2:3">
      <c r="B130" s="14">
        <v>41547</v>
      </c>
      <c r="C130" s="124"/>
    </row>
    <row r="131" spans="2:3">
      <c r="B131" s="14">
        <v>41639</v>
      </c>
      <c r="C131" s="124"/>
    </row>
    <row r="132" spans="2:3">
      <c r="B132" s="14">
        <v>41729</v>
      </c>
      <c r="C132" s="124"/>
    </row>
    <row r="133" spans="2:3">
      <c r="B133" s="14">
        <v>41820</v>
      </c>
      <c r="C133" s="124"/>
    </row>
    <row r="134" spans="2:3">
      <c r="B134" s="14">
        <v>41912</v>
      </c>
      <c r="C134" s="124"/>
    </row>
    <row r="135" spans="2:3">
      <c r="B135" s="14">
        <v>42004</v>
      </c>
      <c r="C135" s="124"/>
    </row>
    <row r="136" spans="2:3">
      <c r="B136" s="14">
        <v>42094</v>
      </c>
      <c r="C136" s="124"/>
    </row>
    <row r="137" spans="2:3">
      <c r="B137" s="14">
        <v>42185</v>
      </c>
      <c r="C137" s="124"/>
    </row>
    <row r="138" spans="2:3">
      <c r="B138" s="14">
        <v>42277</v>
      </c>
      <c r="C138" s="124"/>
    </row>
    <row r="139" spans="2:3">
      <c r="B139" s="14">
        <v>42369</v>
      </c>
      <c r="C139" s="124"/>
    </row>
    <row r="140" spans="2:3">
      <c r="B140" s="14">
        <v>42460</v>
      </c>
      <c r="C140" s="124"/>
    </row>
    <row r="141" spans="2:3">
      <c r="B141" s="14">
        <v>42551</v>
      </c>
      <c r="C141" s="124"/>
    </row>
    <row r="142" spans="2:3">
      <c r="B142" s="14">
        <v>42643</v>
      </c>
      <c r="C142" s="124"/>
    </row>
    <row r="143" spans="2:3">
      <c r="B143" s="14">
        <v>42735</v>
      </c>
      <c r="C143" s="124"/>
    </row>
    <row r="144" spans="2:3">
      <c r="B144" s="14">
        <v>42825</v>
      </c>
      <c r="C144" s="124"/>
    </row>
    <row r="145" spans="1:4">
      <c r="B145" s="14">
        <v>42916</v>
      </c>
      <c r="C145" s="124"/>
    </row>
    <row r="146" spans="1:4">
      <c r="B146" s="14">
        <v>43008</v>
      </c>
      <c r="C146" s="124"/>
    </row>
    <row r="147" spans="1:4">
      <c r="B147" s="14">
        <v>43100</v>
      </c>
      <c r="C147" s="124"/>
    </row>
    <row r="148" spans="1:4">
      <c r="B148" s="14">
        <v>43190</v>
      </c>
      <c r="C148" s="124"/>
    </row>
    <row r="149" spans="1:4">
      <c r="B149" s="14">
        <v>43281</v>
      </c>
      <c r="C149" s="124"/>
    </row>
    <row r="152" spans="1:4">
      <c r="B152" s="2"/>
    </row>
    <row r="154" spans="1:4">
      <c r="A154" s="22" t="s">
        <v>12</v>
      </c>
      <c r="B154" s="3" t="s">
        <v>30</v>
      </c>
    </row>
    <row r="155" spans="1:4">
      <c r="A155" s="22" t="s">
        <v>13</v>
      </c>
      <c r="B155" s="3" t="s">
        <v>31</v>
      </c>
    </row>
    <row r="156" spans="1:4">
      <c r="A156" s="22" t="s">
        <v>14</v>
      </c>
      <c r="B156" s="3" t="s">
        <v>32</v>
      </c>
    </row>
    <row r="157" spans="1:4">
      <c r="A157" s="22" t="s">
        <v>15</v>
      </c>
      <c r="B157" s="3" t="s">
        <v>33</v>
      </c>
    </row>
    <row r="158" spans="1:4">
      <c r="D158" s="1"/>
    </row>
    <row r="159" spans="1:4">
      <c r="B159" s="16" t="s">
        <v>99</v>
      </c>
      <c r="C159" s="16" t="s">
        <v>45</v>
      </c>
      <c r="D159" s="1"/>
    </row>
    <row r="160" spans="1:4">
      <c r="B160" s="50">
        <v>1</v>
      </c>
      <c r="C160" s="17">
        <v>0.25</v>
      </c>
      <c r="D160" s="1"/>
    </row>
    <row r="161" spans="1:4">
      <c r="B161" s="50">
        <v>2</v>
      </c>
      <c r="C161" s="17">
        <v>0.25</v>
      </c>
      <c r="D161" s="1"/>
    </row>
    <row r="162" spans="1:4">
      <c r="B162" s="50">
        <v>3</v>
      </c>
      <c r="C162" s="17">
        <v>0.25</v>
      </c>
      <c r="D162" s="1"/>
    </row>
    <row r="163" spans="1:4">
      <c r="B163" s="50">
        <v>4</v>
      </c>
      <c r="C163" s="17">
        <v>0.25</v>
      </c>
      <c r="D163" s="1"/>
    </row>
    <row r="164" spans="1:4">
      <c r="D164" s="1"/>
    </row>
    <row r="166" spans="1:4">
      <c r="A166" s="22" t="s">
        <v>16</v>
      </c>
      <c r="B166" s="3" t="s">
        <v>34</v>
      </c>
    </row>
    <row r="167" spans="1:4">
      <c r="A167" s="22" t="s">
        <v>17</v>
      </c>
      <c r="B167" s="3" t="s">
        <v>35</v>
      </c>
    </row>
    <row r="168" spans="1:4">
      <c r="A168" s="22" t="s">
        <v>18</v>
      </c>
      <c r="B168" s="3" t="s">
        <v>36</v>
      </c>
    </row>
    <row r="169" spans="1:4">
      <c r="A169" s="22" t="s">
        <v>19</v>
      </c>
      <c r="B169" s="3" t="s">
        <v>37</v>
      </c>
    </row>
    <row r="171" spans="1:4">
      <c r="B171" s="16" t="s">
        <v>99</v>
      </c>
      <c r="C171" s="16" t="s">
        <v>45</v>
      </c>
    </row>
    <row r="172" spans="1:4">
      <c r="B172" s="49">
        <v>1</v>
      </c>
      <c r="C172" s="17">
        <v>0.25</v>
      </c>
    </row>
    <row r="173" spans="1:4">
      <c r="B173" s="49">
        <v>2</v>
      </c>
      <c r="C173" s="17">
        <v>0.25</v>
      </c>
    </row>
    <row r="174" spans="1:4">
      <c r="B174" s="49">
        <v>3</v>
      </c>
      <c r="C174" s="17">
        <v>0.25</v>
      </c>
    </row>
    <row r="175" spans="1:4">
      <c r="B175" s="49">
        <v>4</v>
      </c>
      <c r="C175" s="17">
        <v>0.25</v>
      </c>
    </row>
  </sheetData>
  <pageMargins left="0.70866141732283472" right="0.70866141732283472" top="0.74803149606299213" bottom="0.74803149606299213" header="0.31496062992125984" footer="0.31496062992125984"/>
  <pageSetup paperSize="8" scale="3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M262"/>
  <sheetViews>
    <sheetView tabSelected="1" zoomScale="80" zoomScaleNormal="80" workbookViewId="0">
      <selection activeCell="G11" sqref="G11"/>
    </sheetView>
  </sheetViews>
  <sheetFormatPr defaultRowHeight="15"/>
  <cols>
    <col min="1" max="1" width="15.140625" customWidth="1"/>
    <col min="2" max="8" width="17.7109375" customWidth="1"/>
    <col min="9" max="13" width="10.85546875" bestFit="1" customWidth="1"/>
  </cols>
  <sheetData>
    <row r="2" spans="1:8" ht="18.75">
      <c r="A2" s="45" t="s">
        <v>122</v>
      </c>
      <c r="B2" s="46"/>
      <c r="C2" s="46"/>
      <c r="D2" s="46"/>
      <c r="E2" s="46"/>
      <c r="F2" s="46"/>
      <c r="G2" s="46"/>
      <c r="H2" s="46"/>
    </row>
    <row r="5" spans="1:8">
      <c r="A5" s="22" t="s">
        <v>123</v>
      </c>
      <c r="B5" s="3" t="s">
        <v>158</v>
      </c>
    </row>
    <row r="6" spans="1:8">
      <c r="B6" s="10" t="s">
        <v>49</v>
      </c>
      <c r="C6" s="10" t="s">
        <v>112</v>
      </c>
    </row>
    <row r="7" spans="1:8">
      <c r="A7" s="10"/>
      <c r="B7" s="10"/>
    </row>
    <row r="8" spans="1:8">
      <c r="B8" s="10" t="str">
        <f>+'Capex Inputs'!A24</f>
        <v>IC3</v>
      </c>
      <c r="C8" t="str">
        <f>+'Capex Inputs'!B24</f>
        <v>Suppliers Forecast of Network Capex ($000)</v>
      </c>
    </row>
    <row r="9" spans="1:8">
      <c r="B9" s="5"/>
      <c r="C9" s="7" t="str">
        <f>+'Capex Inputs'!C26</f>
        <v xml:space="preserve">Gasnet </v>
      </c>
      <c r="D9" s="8" t="str">
        <f>+'Capex Inputs'!D26</f>
        <v>Powerco</v>
      </c>
      <c r="E9" s="8" t="str">
        <f>+'Capex Inputs'!E26</f>
        <v>Vector Dist</v>
      </c>
      <c r="F9" s="8" t="str">
        <f>+'Capex Inputs'!F26</f>
        <v>Maui</v>
      </c>
      <c r="G9" s="8" t="str">
        <f>+'Capex Inputs'!G26</f>
        <v>Vector Trans</v>
      </c>
    </row>
    <row r="10" spans="1:8">
      <c r="B10" s="10">
        <f>+'Capex Inputs'!B27</f>
        <v>2012</v>
      </c>
      <c r="C10" s="6">
        <f>+'Capex Inputs'!C27</f>
        <v>560</v>
      </c>
      <c r="D10" s="15">
        <f>+'Capex Inputs'!D27</f>
        <v>9909.5943309000013</v>
      </c>
      <c r="E10" s="136">
        <f>+'Capex Inputs'!E27</f>
        <v>18687</v>
      </c>
      <c r="F10" s="15">
        <f>+'Capex Inputs'!F27</f>
        <v>1966</v>
      </c>
      <c r="G10" s="136">
        <f>+'Capex Inputs'!G27</f>
        <v>14100</v>
      </c>
    </row>
    <row r="11" spans="1:8">
      <c r="B11" s="10">
        <f>+'Capex Inputs'!B28</f>
        <v>2013</v>
      </c>
      <c r="C11" s="6">
        <f>+'Capex Inputs'!C28</f>
        <v>606</v>
      </c>
      <c r="D11" s="15">
        <f>+'Capex Inputs'!D28</f>
        <v>9651.3120772688599</v>
      </c>
      <c r="E11" s="136">
        <f>+'Capex Inputs'!E28</f>
        <v>20704</v>
      </c>
      <c r="F11" s="15">
        <f>+'Capex Inputs'!F28</f>
        <v>4420</v>
      </c>
      <c r="G11" s="136">
        <f>+'Capex Inputs'!G28</f>
        <v>17808</v>
      </c>
    </row>
    <row r="12" spans="1:8">
      <c r="B12" s="10">
        <f>+'Capex Inputs'!B29</f>
        <v>2014</v>
      </c>
      <c r="C12" s="6">
        <f>+'Capex Inputs'!C29</f>
        <v>593</v>
      </c>
      <c r="D12" s="15">
        <f>+'Capex Inputs'!D29</f>
        <v>9785.0324777951391</v>
      </c>
      <c r="E12" s="136">
        <f>+'Capex Inputs'!E29</f>
        <v>24534</v>
      </c>
      <c r="F12" s="15">
        <f>+'Capex Inputs'!F29</f>
        <v>40060</v>
      </c>
      <c r="G12" s="136">
        <f>+'Capex Inputs'!G29</f>
        <v>35312</v>
      </c>
    </row>
    <row r="13" spans="1:8">
      <c r="B13" s="10">
        <f>+'Capex Inputs'!B30</f>
        <v>2015</v>
      </c>
      <c r="C13" s="6">
        <f>+'Capex Inputs'!C30</f>
        <v>608</v>
      </c>
      <c r="D13" s="15">
        <f>+'Capex Inputs'!D30</f>
        <v>10864.937265279001</v>
      </c>
      <c r="E13" s="136">
        <f>+'Capex Inputs'!E30</f>
        <v>15973</v>
      </c>
      <c r="F13" s="15">
        <f>+'Capex Inputs'!F30</f>
        <v>2185</v>
      </c>
      <c r="G13" s="136">
        <f>+'Capex Inputs'!G30</f>
        <v>16028</v>
      </c>
    </row>
    <row r="14" spans="1:8">
      <c r="B14" s="10">
        <f>+'Capex Inputs'!B31</f>
        <v>2016</v>
      </c>
      <c r="C14" s="6">
        <f>+'Capex Inputs'!C31</f>
        <v>619</v>
      </c>
      <c r="D14" s="15">
        <f>+'Capex Inputs'!D31</f>
        <v>10953.5738070922</v>
      </c>
      <c r="E14" s="136">
        <f>+'Capex Inputs'!E31</f>
        <v>12073</v>
      </c>
      <c r="F14" s="15">
        <f>+'Capex Inputs'!F31</f>
        <v>1980</v>
      </c>
      <c r="G14" s="136">
        <f>+'Capex Inputs'!G31</f>
        <v>13368</v>
      </c>
    </row>
    <row r="15" spans="1:8">
      <c r="B15" s="10">
        <f>+'Capex Inputs'!B32</f>
        <v>2017</v>
      </c>
      <c r="C15" s="6">
        <f>+'Capex Inputs'!C32</f>
        <v>617</v>
      </c>
      <c r="D15" s="15">
        <f>+'Capex Inputs'!D32</f>
        <v>11042.948392079799</v>
      </c>
      <c r="E15" s="136">
        <f>+'Capex Inputs'!E32</f>
        <v>12097</v>
      </c>
      <c r="F15" s="15">
        <f>+'Capex Inputs'!F32</f>
        <v>2835</v>
      </c>
      <c r="G15" s="136">
        <f>+'Capex Inputs'!G32</f>
        <v>13195</v>
      </c>
    </row>
    <row r="17" spans="1:7">
      <c r="B17" s="66" t="s">
        <v>101</v>
      </c>
      <c r="C17" s="77">
        <f>AVERAGE(C10:C15)</f>
        <v>600.5</v>
      </c>
      <c r="D17" s="77">
        <f t="shared" ref="D17:G17" si="0">AVERAGE(D10:D15)</f>
        <v>10367.899725069168</v>
      </c>
      <c r="E17" s="77">
        <f t="shared" si="0"/>
        <v>17344.666666666668</v>
      </c>
      <c r="F17" s="77">
        <f t="shared" si="0"/>
        <v>8907.6666666666661</v>
      </c>
      <c r="G17" s="77">
        <f t="shared" si="0"/>
        <v>18301.833333333332</v>
      </c>
    </row>
    <row r="20" spans="1:7">
      <c r="A20" s="22" t="s">
        <v>124</v>
      </c>
      <c r="B20" s="3" t="s">
        <v>125</v>
      </c>
    </row>
    <row r="21" spans="1:7">
      <c r="B21" s="10" t="s">
        <v>49</v>
      </c>
      <c r="C21" s="10" t="s">
        <v>113</v>
      </c>
    </row>
    <row r="23" spans="1:7">
      <c r="B23" s="10" t="str">
        <f>+'Capex Inputs'!A40</f>
        <v>IC5</v>
      </c>
      <c r="C23" t="str">
        <f>+'Capex Inputs'!B42</f>
        <v>Capital Goods Price Index (NZIER data)</v>
      </c>
    </row>
    <row r="24" spans="1:7" ht="45">
      <c r="B24" s="58" t="str">
        <f>+'Capex Inputs'!B43</f>
        <v>Quarter Ending</v>
      </c>
      <c r="C24" s="58" t="str">
        <f>+'Capex Inputs'!C43</f>
        <v>Index</v>
      </c>
      <c r="D24" s="59" t="s">
        <v>126</v>
      </c>
      <c r="E24" s="82"/>
      <c r="F24" s="69"/>
    </row>
    <row r="25" spans="1:7">
      <c r="B25" s="54">
        <f>+'Capex Inputs'!B44</f>
        <v>39355</v>
      </c>
      <c r="C25" s="125">
        <f>+'Capex Inputs'!C44</f>
        <v>0</v>
      </c>
      <c r="D25" s="78"/>
      <c r="E25" s="83"/>
      <c r="F25" s="19"/>
    </row>
    <row r="26" spans="1:7">
      <c r="B26" s="54">
        <f>+'Capex Inputs'!B45</f>
        <v>39447</v>
      </c>
      <c r="C26" s="125">
        <f>+'Capex Inputs'!C45</f>
        <v>0</v>
      </c>
      <c r="D26" s="78"/>
      <c r="E26" s="83"/>
      <c r="F26" s="19"/>
    </row>
    <row r="27" spans="1:7">
      <c r="B27" s="54">
        <f>+'Capex Inputs'!B46</f>
        <v>39538</v>
      </c>
      <c r="C27" s="125">
        <f>+'Capex Inputs'!C46</f>
        <v>0</v>
      </c>
      <c r="D27" s="78"/>
      <c r="E27" s="83"/>
      <c r="F27" s="19"/>
    </row>
    <row r="28" spans="1:7">
      <c r="B28" s="54">
        <f>+'Capex Inputs'!B47</f>
        <v>39629</v>
      </c>
      <c r="C28" s="125">
        <f>+'Capex Inputs'!C47</f>
        <v>0</v>
      </c>
      <c r="D28" s="78">
        <v>1249.75</v>
      </c>
      <c r="E28" s="83"/>
      <c r="F28" s="19"/>
    </row>
    <row r="29" spans="1:7">
      <c r="B29" s="54">
        <f>+'Capex Inputs'!B48</f>
        <v>39721</v>
      </c>
      <c r="C29" s="125">
        <f>+'Capex Inputs'!C48</f>
        <v>0</v>
      </c>
      <c r="D29" s="78">
        <v>1261.5</v>
      </c>
      <c r="E29" s="83"/>
      <c r="F29" s="19"/>
    </row>
    <row r="30" spans="1:7">
      <c r="B30" s="54">
        <f>+'Capex Inputs'!B49</f>
        <v>39813</v>
      </c>
      <c r="C30" s="125">
        <f>+'Capex Inputs'!C49</f>
        <v>0</v>
      </c>
      <c r="D30" s="78">
        <v>1274.25</v>
      </c>
      <c r="E30" s="83"/>
      <c r="F30" s="19"/>
    </row>
    <row r="31" spans="1:7">
      <c r="B31" s="54">
        <f>+'Capex Inputs'!B50</f>
        <v>39903</v>
      </c>
      <c r="C31" s="125">
        <f>+'Capex Inputs'!C50</f>
        <v>0</v>
      </c>
      <c r="D31" s="78">
        <v>1289.5</v>
      </c>
      <c r="E31" s="83"/>
      <c r="F31" s="19"/>
    </row>
    <row r="32" spans="1:7">
      <c r="B32" s="54">
        <f>+'Capex Inputs'!B51</f>
        <v>39994</v>
      </c>
      <c r="C32" s="125">
        <f>+'Capex Inputs'!C51</f>
        <v>0</v>
      </c>
      <c r="D32" s="78">
        <v>1302.5</v>
      </c>
      <c r="E32" s="83"/>
      <c r="F32" s="75"/>
    </row>
    <row r="33" spans="2:8">
      <c r="B33" s="54">
        <f>+'Capex Inputs'!B52</f>
        <v>40086</v>
      </c>
      <c r="C33" s="125">
        <f>+'Capex Inputs'!C52</f>
        <v>0</v>
      </c>
      <c r="D33" s="78">
        <v>1309.75</v>
      </c>
      <c r="E33" s="83"/>
      <c r="F33" s="75"/>
    </row>
    <row r="34" spans="2:8">
      <c r="B34" s="54">
        <f>+'Capex Inputs'!B53</f>
        <v>40178</v>
      </c>
      <c r="C34" s="125">
        <f>+'Capex Inputs'!C53</f>
        <v>0</v>
      </c>
      <c r="D34" s="78">
        <v>1312.75</v>
      </c>
      <c r="E34" s="83"/>
      <c r="F34" s="75"/>
    </row>
    <row r="35" spans="2:8">
      <c r="B35" s="54">
        <f>+'Capex Inputs'!B54</f>
        <v>40268</v>
      </c>
      <c r="C35" s="125">
        <f>+'Capex Inputs'!C54</f>
        <v>0</v>
      </c>
      <c r="D35" s="78">
        <v>1311.5</v>
      </c>
      <c r="E35" s="83"/>
      <c r="F35" s="75"/>
    </row>
    <row r="36" spans="2:8">
      <c r="B36" s="54">
        <f>+'Capex Inputs'!B55</f>
        <v>40359</v>
      </c>
      <c r="C36" s="125">
        <f>+'Capex Inputs'!C55</f>
        <v>0</v>
      </c>
      <c r="D36" s="78">
        <v>1309.5</v>
      </c>
      <c r="E36" s="83"/>
      <c r="F36" s="75"/>
    </row>
    <row r="37" spans="2:8">
      <c r="B37" s="54">
        <f>+'Capex Inputs'!B56</f>
        <v>40451</v>
      </c>
      <c r="C37" s="125">
        <f>+'Capex Inputs'!C56</f>
        <v>0</v>
      </c>
      <c r="D37" s="78">
        <v>1310</v>
      </c>
      <c r="E37" s="83"/>
      <c r="F37" s="75"/>
    </row>
    <row r="38" spans="2:8">
      <c r="B38" s="54">
        <f>+'Capex Inputs'!B57</f>
        <v>40543</v>
      </c>
      <c r="C38" s="125">
        <f>+'Capex Inputs'!C57</f>
        <v>0</v>
      </c>
      <c r="D38" s="78">
        <v>1309</v>
      </c>
      <c r="E38" s="83"/>
      <c r="F38" s="75"/>
    </row>
    <row r="39" spans="2:8">
      <c r="B39" s="54">
        <f>+'Capex Inputs'!B58</f>
        <v>40633</v>
      </c>
      <c r="C39" s="125">
        <f>+'Capex Inputs'!C58</f>
        <v>0</v>
      </c>
      <c r="D39" s="78">
        <v>1308.75</v>
      </c>
      <c r="E39" s="83"/>
      <c r="F39" s="75"/>
    </row>
    <row r="40" spans="2:8">
      <c r="B40" s="54">
        <f>+'Capex Inputs'!B59</f>
        <v>40724</v>
      </c>
      <c r="C40" s="125">
        <f>+'Capex Inputs'!C59</f>
        <v>0</v>
      </c>
      <c r="D40" s="78">
        <v>1310</v>
      </c>
      <c r="E40" s="83"/>
      <c r="F40" s="75"/>
    </row>
    <row r="41" spans="2:8">
      <c r="B41" s="54">
        <f>+'Capex Inputs'!B60</f>
        <v>40816</v>
      </c>
      <c r="C41" s="125">
        <f>+'Capex Inputs'!C60</f>
        <v>0</v>
      </c>
      <c r="D41" s="78">
        <v>1310</v>
      </c>
      <c r="E41" s="83"/>
      <c r="F41" s="75"/>
    </row>
    <row r="42" spans="2:8">
      <c r="B42" s="55">
        <f>+'Capex Inputs'!B61</f>
        <v>40908</v>
      </c>
      <c r="C42" s="126">
        <f>+'Capex Inputs'!C61</f>
        <v>0</v>
      </c>
      <c r="D42" s="79">
        <v>1313.5</v>
      </c>
      <c r="E42" s="83"/>
      <c r="F42" s="75"/>
    </row>
    <row r="44" spans="2:8">
      <c r="B44" t="s">
        <v>129</v>
      </c>
    </row>
    <row r="46" spans="2:8" ht="47.25" customHeight="1">
      <c r="B46" s="85" t="s">
        <v>117</v>
      </c>
      <c r="C46" s="84" t="s">
        <v>103</v>
      </c>
      <c r="D46" s="84" t="s">
        <v>127</v>
      </c>
      <c r="F46" s="85" t="s">
        <v>117</v>
      </c>
      <c r="G46" s="84" t="s">
        <v>103</v>
      </c>
      <c r="H46" s="84" t="s">
        <v>128</v>
      </c>
    </row>
    <row r="47" spans="2:8">
      <c r="B47" s="80">
        <v>39629</v>
      </c>
      <c r="C47" s="51">
        <f>VLOOKUP(B47,$B$25:$D$42,3,FALSE)</f>
        <v>1249.75</v>
      </c>
      <c r="D47" s="81">
        <f>+$C$50/C47</f>
        <v>1.0482096419283857</v>
      </c>
      <c r="F47" s="80">
        <v>39813</v>
      </c>
      <c r="G47" s="51">
        <f>VLOOKUP(F47,$B$25:$D$42,3,FALSE)</f>
        <v>1274.25</v>
      </c>
      <c r="H47" s="81">
        <f>+$G$50/G47</f>
        <v>1.0308024328036101</v>
      </c>
    </row>
    <row r="48" spans="2:8">
      <c r="B48" s="80">
        <v>39994</v>
      </c>
      <c r="C48" s="51">
        <f>VLOOKUP(B48,$B$25:$D$42,3,FALSE)</f>
        <v>1302.5</v>
      </c>
      <c r="D48" s="81">
        <f>+$C$50/C48</f>
        <v>1.0057581573896353</v>
      </c>
      <c r="F48" s="80">
        <v>40178</v>
      </c>
      <c r="G48" s="51">
        <f>VLOOKUP(F48,$B$25:$D$42,3,FALSE)</f>
        <v>1312.75</v>
      </c>
      <c r="H48" s="81">
        <f>+$G$50/G48</f>
        <v>1.0005713197486192</v>
      </c>
    </row>
    <row r="49" spans="1:8">
      <c r="B49" s="80">
        <v>40359</v>
      </c>
      <c r="C49" s="51">
        <f>VLOOKUP(B49,$B$25:$D$42,3,FALSE)</f>
        <v>1309.5</v>
      </c>
      <c r="D49" s="81">
        <f>+$C$50/C49</f>
        <v>1.0003818251240932</v>
      </c>
      <c r="F49" s="80">
        <v>40543</v>
      </c>
      <c r="G49" s="51">
        <f>VLOOKUP(F49,$B$25:$D$42,3,FALSE)</f>
        <v>1309</v>
      </c>
      <c r="H49" s="81">
        <f>+$G$50/G49</f>
        <v>1.0034377387318565</v>
      </c>
    </row>
    <row r="50" spans="1:8">
      <c r="B50" s="80">
        <v>40724</v>
      </c>
      <c r="C50" s="51">
        <f>VLOOKUP(B50,$B$25:$D$42,3,FALSE)</f>
        <v>1310</v>
      </c>
      <c r="D50" s="81">
        <f>+$C$50/C50</f>
        <v>1</v>
      </c>
      <c r="F50" s="80">
        <v>40908</v>
      </c>
      <c r="G50" s="51">
        <f>VLOOKUP(F50,$B$25:$D$42,3,FALSE)</f>
        <v>1313.5</v>
      </c>
      <c r="H50" s="81">
        <f>+$G$50/G50</f>
        <v>1</v>
      </c>
    </row>
    <row r="51" spans="1:8">
      <c r="B51" s="80"/>
    </row>
    <row r="52" spans="1:8">
      <c r="B52" s="80"/>
    </row>
    <row r="53" spans="1:8">
      <c r="A53" s="22" t="s">
        <v>132</v>
      </c>
      <c r="B53" s="3" t="s">
        <v>133</v>
      </c>
    </row>
    <row r="54" spans="1:8">
      <c r="A54" s="22"/>
      <c r="B54" s="10" t="s">
        <v>49</v>
      </c>
      <c r="C54" s="10" t="s">
        <v>134</v>
      </c>
    </row>
    <row r="55" spans="1:8">
      <c r="B55" s="80"/>
    </row>
    <row r="56" spans="1:8">
      <c r="B56" s="10" t="str">
        <f>+'Capex Inputs'!A6</f>
        <v>IC1</v>
      </c>
      <c r="C56" t="str">
        <f>+'Capex Inputs'!B6</f>
        <v>Disclosed Network Capex ($000)</v>
      </c>
    </row>
    <row r="57" spans="1:8">
      <c r="B57" s="5"/>
      <c r="C57" s="7" t="str">
        <f>+'Capex Inputs'!C8</f>
        <v xml:space="preserve">Gasnet </v>
      </c>
      <c r="D57" s="8" t="str">
        <f>+'Capex Inputs'!D8</f>
        <v>Powerco</v>
      </c>
      <c r="E57" s="8" t="str">
        <f>+'Capex Inputs'!E8</f>
        <v>Vector Dist</v>
      </c>
      <c r="F57" s="8" t="str">
        <f>+'Capex Inputs'!F8</f>
        <v>Maui</v>
      </c>
      <c r="G57" s="8" t="str">
        <f>+'Capex Inputs'!G8</f>
        <v>Vector Trans</v>
      </c>
    </row>
    <row r="58" spans="1:8">
      <c r="B58" s="10">
        <f>+'Capex Inputs'!B9</f>
        <v>2008</v>
      </c>
      <c r="C58" s="6">
        <f>+'Capex Inputs'!C9</f>
        <v>636.77099999999996</v>
      </c>
      <c r="D58" s="15">
        <f>+'Capex Inputs'!D9</f>
        <v>8516.4962759922309</v>
      </c>
      <c r="E58" s="15">
        <f>+'Capex Inputs'!E9</f>
        <v>16357.238820000002</v>
      </c>
      <c r="F58" s="15">
        <f>+'Capex Inputs'!F9</f>
        <v>701</v>
      </c>
      <c r="G58" s="15">
        <f>+'Capex Inputs'!G9</f>
        <v>5066.3067300000002</v>
      </c>
    </row>
    <row r="59" spans="1:8">
      <c r="B59" s="10">
        <f>+'Capex Inputs'!B10</f>
        <v>2009</v>
      </c>
      <c r="C59" s="6">
        <f>+'Capex Inputs'!C10</f>
        <v>400.17500000000001</v>
      </c>
      <c r="D59" s="15">
        <f>+'Capex Inputs'!D10</f>
        <v>8706.9021182849192</v>
      </c>
      <c r="E59" s="15">
        <f>+'Capex Inputs'!E10</f>
        <v>22825.832339700271</v>
      </c>
      <c r="F59" s="15">
        <f>+'Capex Inputs'!F10</f>
        <v>326</v>
      </c>
      <c r="G59" s="15">
        <f>+'Capex Inputs'!G10</f>
        <v>5670</v>
      </c>
    </row>
    <row r="60" spans="1:8">
      <c r="B60" s="10">
        <f>+'Capex Inputs'!B11</f>
        <v>2010</v>
      </c>
      <c r="C60" s="6">
        <f>+'Capex Inputs'!C11</f>
        <v>521</v>
      </c>
      <c r="D60" s="15">
        <f>+'Capex Inputs'!D11</f>
        <v>10233.565399999999</v>
      </c>
      <c r="E60" s="15">
        <f>+'Capex Inputs'!E11</f>
        <v>11298</v>
      </c>
      <c r="F60" s="15">
        <f>+'Capex Inputs'!F11</f>
        <v>896</v>
      </c>
      <c r="G60" s="15">
        <f>+'Capex Inputs'!G11</f>
        <v>12567</v>
      </c>
    </row>
    <row r="61" spans="1:8">
      <c r="B61" s="10">
        <f>+'Capex Inputs'!B12</f>
        <v>2011</v>
      </c>
      <c r="C61" s="6">
        <f>+'Capex Inputs'!C12</f>
        <v>561</v>
      </c>
      <c r="D61" s="15">
        <f>+'Capex Inputs'!D12</f>
        <v>6461.5612851668002</v>
      </c>
      <c r="E61" s="15">
        <f>+'Capex Inputs'!E12</f>
        <v>21373</v>
      </c>
      <c r="F61" s="15">
        <f>+'Capex Inputs'!F12</f>
        <v>39</v>
      </c>
      <c r="G61" s="15">
        <f>+'Capex Inputs'!G12</f>
        <v>7911</v>
      </c>
    </row>
    <row r="62" spans="1:8">
      <c r="B62" s="80"/>
      <c r="C62" s="80"/>
      <c r="D62" s="80"/>
      <c r="E62" s="80"/>
      <c r="F62" s="80"/>
      <c r="G62" s="80"/>
    </row>
    <row r="63" spans="1:8">
      <c r="B63" s="30" t="s">
        <v>133</v>
      </c>
      <c r="C63" s="80"/>
      <c r="D63" s="80"/>
      <c r="E63" s="80"/>
      <c r="F63" s="80"/>
      <c r="G63" s="80"/>
    </row>
    <row r="64" spans="1:8">
      <c r="B64" s="5"/>
      <c r="C64" s="7" t="s">
        <v>39</v>
      </c>
      <c r="D64" s="8" t="s">
        <v>40</v>
      </c>
      <c r="E64" s="8" t="s">
        <v>169</v>
      </c>
      <c r="F64" s="8" t="s">
        <v>41</v>
      </c>
      <c r="G64" s="8" t="s">
        <v>170</v>
      </c>
    </row>
    <row r="65" spans="1:8">
      <c r="B65" s="10">
        <v>2008</v>
      </c>
      <c r="C65" s="6">
        <f t="shared" ref="C65:E68" si="1">+C58*$D47</f>
        <v>667.46950190038001</v>
      </c>
      <c r="D65" s="15">
        <f t="shared" si="1"/>
        <v>8927.0735119422461</v>
      </c>
      <c r="E65" s="15">
        <f t="shared" si="1"/>
        <v>17145.815446449295</v>
      </c>
      <c r="F65" s="15">
        <f>+F58*$H47</f>
        <v>722.5925053953307</v>
      </c>
      <c r="G65" s="15">
        <f>+G58*$D47</f>
        <v>5310.5515633526711</v>
      </c>
    </row>
    <row r="66" spans="1:8">
      <c r="B66" s="10">
        <v>2009</v>
      </c>
      <c r="C66" s="6">
        <f t="shared" si="1"/>
        <v>402.47927063339728</v>
      </c>
      <c r="D66" s="15">
        <f t="shared" si="1"/>
        <v>8757.0378310581527</v>
      </c>
      <c r="E66" s="15">
        <f t="shared" si="1"/>
        <v>22957.267074861691</v>
      </c>
      <c r="F66" s="15">
        <f t="shared" ref="F66:F68" si="2">+F59*$H48</f>
        <v>326.18625023804987</v>
      </c>
      <c r="G66" s="15">
        <f>+G59*$D48</f>
        <v>5702.6487523992319</v>
      </c>
    </row>
    <row r="67" spans="1:8">
      <c r="B67" s="10">
        <v>2010</v>
      </c>
      <c r="C67" s="6">
        <f t="shared" si="1"/>
        <v>521.19893088965262</v>
      </c>
      <c r="D67" s="15">
        <f t="shared" si="1"/>
        <v>10237.472832378771</v>
      </c>
      <c r="E67" s="15">
        <f t="shared" si="1"/>
        <v>11302.313860252005</v>
      </c>
      <c r="F67" s="15">
        <f t="shared" si="2"/>
        <v>899.08021390374347</v>
      </c>
      <c r="G67" s="15">
        <f>+G60*$D49</f>
        <v>12571.79839633448</v>
      </c>
    </row>
    <row r="68" spans="1:8">
      <c r="B68" s="10">
        <v>2011</v>
      </c>
      <c r="C68" s="6">
        <f t="shared" si="1"/>
        <v>561</v>
      </c>
      <c r="D68" s="15">
        <f t="shared" si="1"/>
        <v>6461.5612851668002</v>
      </c>
      <c r="E68" s="15">
        <f t="shared" si="1"/>
        <v>21373</v>
      </c>
      <c r="F68" s="15">
        <f t="shared" si="2"/>
        <v>39</v>
      </c>
      <c r="G68" s="15">
        <f>+G61*$D50</f>
        <v>7911</v>
      </c>
    </row>
    <row r="69" spans="1:8">
      <c r="B69" s="80"/>
    </row>
    <row r="70" spans="1:8">
      <c r="B70" s="80"/>
    </row>
    <row r="71" spans="1:8">
      <c r="A71" s="22" t="s">
        <v>130</v>
      </c>
      <c r="B71" s="3" t="s">
        <v>131</v>
      </c>
    </row>
    <row r="72" spans="1:8">
      <c r="B72" s="10"/>
      <c r="C72" s="10"/>
    </row>
    <row r="73" spans="1:8">
      <c r="B73" s="5"/>
      <c r="C73" s="7" t="s">
        <v>39</v>
      </c>
      <c r="D73" s="8" t="s">
        <v>40</v>
      </c>
      <c r="E73" s="8" t="s">
        <v>169</v>
      </c>
      <c r="F73" s="8" t="s">
        <v>41</v>
      </c>
      <c r="G73" s="8" t="s">
        <v>170</v>
      </c>
    </row>
    <row r="74" spans="1:8">
      <c r="B74" s="10" t="s">
        <v>101</v>
      </c>
      <c r="C74" s="6">
        <f>AVERAGE(C65:C68)</f>
        <v>538.03692585585748</v>
      </c>
      <c r="D74" s="15">
        <f t="shared" ref="D74:G74" si="3">AVERAGE(D65:D68)</f>
        <v>8595.7863651364914</v>
      </c>
      <c r="E74" s="15">
        <f t="shared" si="3"/>
        <v>18194.599095390746</v>
      </c>
      <c r="F74" s="15">
        <f t="shared" si="3"/>
        <v>496.71474238428101</v>
      </c>
      <c r="G74" s="15">
        <f t="shared" si="3"/>
        <v>7873.9996780215952</v>
      </c>
    </row>
    <row r="78" spans="1:8" ht="18.75">
      <c r="A78" s="45" t="s">
        <v>135</v>
      </c>
      <c r="B78" s="46"/>
      <c r="C78" s="46"/>
      <c r="D78" s="46"/>
      <c r="E78" s="46"/>
      <c r="F78" s="46"/>
      <c r="G78" s="46"/>
      <c r="H78" s="46"/>
    </row>
    <row r="81" spans="1:7">
      <c r="A81" s="22" t="s">
        <v>119</v>
      </c>
      <c r="B81" s="3" t="s">
        <v>120</v>
      </c>
    </row>
    <row r="82" spans="1:7">
      <c r="B82" s="10" t="s">
        <v>49</v>
      </c>
      <c r="C82" s="10" t="s">
        <v>121</v>
      </c>
    </row>
    <row r="83" spans="1:7">
      <c r="A83" s="10"/>
    </row>
    <row r="84" spans="1:7">
      <c r="B84" s="32" t="str">
        <f>+'Capex Inputs'!A15</f>
        <v>IC2</v>
      </c>
      <c r="C84" s="80" t="str">
        <f>+'Capex Inputs'!B15</f>
        <v>Disclosed Non-network Capex ($000)</v>
      </c>
    </row>
    <row r="85" spans="1:7">
      <c r="B85" s="5"/>
      <c r="C85" s="7" t="str">
        <f>+'Capex Inputs'!C17</f>
        <v xml:space="preserve">Gasnet </v>
      </c>
      <c r="D85" s="8" t="str">
        <f>+'Capex Inputs'!D17</f>
        <v>Powerco</v>
      </c>
      <c r="E85" s="8" t="str">
        <f>+'Capex Inputs'!E17</f>
        <v>Vector Dist</v>
      </c>
      <c r="F85" s="8" t="str">
        <f>+'Capex Inputs'!F17</f>
        <v>Maui</v>
      </c>
      <c r="G85" s="8" t="str">
        <f>+'Capex Inputs'!G17</f>
        <v>Vector Trans</v>
      </c>
    </row>
    <row r="86" spans="1:7">
      <c r="B86" s="10">
        <f>+'Capex Inputs'!B18</f>
        <v>2008</v>
      </c>
      <c r="C86" s="6">
        <f>+'Capex Inputs'!C18</f>
        <v>107.678</v>
      </c>
      <c r="D86" s="15">
        <f>+'Capex Inputs'!D18</f>
        <v>1025</v>
      </c>
      <c r="E86" s="15">
        <f>+'Capex Inputs'!E18</f>
        <v>6069</v>
      </c>
      <c r="F86" s="15">
        <f>+'Capex Inputs'!F18</f>
        <v>0</v>
      </c>
      <c r="G86" s="15">
        <f>+'Capex Inputs'!G18</f>
        <v>6128</v>
      </c>
    </row>
    <row r="87" spans="1:7">
      <c r="B87" s="10">
        <f>+'Capex Inputs'!B19</f>
        <v>2009</v>
      </c>
      <c r="C87" s="6">
        <f>+'Capex Inputs'!C19</f>
        <v>53.556050000000006</v>
      </c>
      <c r="D87" s="15">
        <f>+'Capex Inputs'!D19</f>
        <v>1519</v>
      </c>
      <c r="E87" s="15">
        <f>+'Capex Inputs'!E19</f>
        <v>4351</v>
      </c>
      <c r="F87" s="15">
        <f>+'Capex Inputs'!F19</f>
        <v>0</v>
      </c>
      <c r="G87" s="15">
        <f>+'Capex Inputs'!G19</f>
        <v>5457</v>
      </c>
    </row>
    <row r="88" spans="1:7">
      <c r="B88" s="10">
        <f>+'Capex Inputs'!B20</f>
        <v>2010</v>
      </c>
      <c r="C88" s="6">
        <f>+'Capex Inputs'!C20</f>
        <v>49</v>
      </c>
      <c r="D88" s="15">
        <f>+'Capex Inputs'!D20</f>
        <v>818</v>
      </c>
      <c r="E88" s="15">
        <f>+'Capex Inputs'!E20</f>
        <v>1065</v>
      </c>
      <c r="F88" s="15">
        <f>+'Capex Inputs'!F20</f>
        <v>0</v>
      </c>
      <c r="G88" s="15">
        <f>+'Capex Inputs'!G20</f>
        <v>1943</v>
      </c>
    </row>
    <row r="89" spans="1:7">
      <c r="B89" s="10">
        <f>+'Capex Inputs'!B21</f>
        <v>2011</v>
      </c>
      <c r="C89" s="6">
        <f>+'Capex Inputs'!C21</f>
        <v>154</v>
      </c>
      <c r="D89" s="15">
        <f>+'Capex Inputs'!D21</f>
        <v>1314.0441449343366</v>
      </c>
      <c r="E89" s="15">
        <f>+'Capex Inputs'!E21</f>
        <v>1372</v>
      </c>
      <c r="F89" s="15">
        <f>+'Capex Inputs'!F21</f>
        <v>28</v>
      </c>
      <c r="G89" s="15">
        <f>+'Capex Inputs'!G21</f>
        <v>3610</v>
      </c>
    </row>
    <row r="91" spans="1:7">
      <c r="B91" t="s">
        <v>168</v>
      </c>
      <c r="C91" s="80"/>
      <c r="D91" s="80"/>
      <c r="E91" s="80"/>
      <c r="F91" s="80"/>
      <c r="G91" s="80"/>
    </row>
    <row r="92" spans="1:7">
      <c r="B92" s="5"/>
      <c r="C92" s="7" t="s">
        <v>39</v>
      </c>
      <c r="D92" s="8" t="s">
        <v>40</v>
      </c>
      <c r="E92" s="8" t="s">
        <v>169</v>
      </c>
      <c r="F92" s="8" t="s">
        <v>41</v>
      </c>
      <c r="G92" s="8" t="s">
        <v>170</v>
      </c>
    </row>
    <row r="93" spans="1:7">
      <c r="B93" s="10">
        <v>2008</v>
      </c>
      <c r="C93" s="6">
        <f t="shared" ref="C93:E96" si="4">+C86*$D47</f>
        <v>112.86911782356472</v>
      </c>
      <c r="D93" s="15">
        <f t="shared" si="4"/>
        <v>1074.4148829765954</v>
      </c>
      <c r="E93" s="15">
        <f t="shared" si="4"/>
        <v>6361.5843168633728</v>
      </c>
      <c r="F93" s="15">
        <f>+F86*$H47</f>
        <v>0</v>
      </c>
      <c r="G93" s="15">
        <f>+G86*$D47</f>
        <v>6423.428685737148</v>
      </c>
    </row>
    <row r="94" spans="1:7">
      <c r="B94" s="10">
        <v>2009</v>
      </c>
      <c r="C94" s="6">
        <f>+C87*$D48</f>
        <v>53.864434165067181</v>
      </c>
      <c r="D94" s="15">
        <f t="shared" si="4"/>
        <v>1527.7466410748559</v>
      </c>
      <c r="E94" s="15">
        <f t="shared" si="4"/>
        <v>4376.0537428023026</v>
      </c>
      <c r="F94" s="15">
        <f>+F87*$H48</f>
        <v>0</v>
      </c>
      <c r="G94" s="15">
        <f>+G87*$D48</f>
        <v>5488.4222648752393</v>
      </c>
    </row>
    <row r="95" spans="1:7">
      <c r="B95" s="10">
        <v>2010</v>
      </c>
      <c r="C95" s="6">
        <f t="shared" si="4"/>
        <v>49.018709431080566</v>
      </c>
      <c r="D95" s="15">
        <f t="shared" si="4"/>
        <v>818.31233295150832</v>
      </c>
      <c r="E95" s="15">
        <f t="shared" si="4"/>
        <v>1065.4066437571594</v>
      </c>
      <c r="F95" s="15">
        <f>+F88*$H49</f>
        <v>0</v>
      </c>
      <c r="G95" s="15">
        <f>+G88*$D49</f>
        <v>1943.7418862161132</v>
      </c>
    </row>
    <row r="96" spans="1:7">
      <c r="B96" s="10">
        <v>2011</v>
      </c>
      <c r="C96" s="6">
        <f t="shared" si="4"/>
        <v>154</v>
      </c>
      <c r="D96" s="15">
        <f t="shared" si="4"/>
        <v>1314.0441449343366</v>
      </c>
      <c r="E96" s="15">
        <f t="shared" si="4"/>
        <v>1372</v>
      </c>
      <c r="F96" s="15">
        <f>+F89*$H50</f>
        <v>28</v>
      </c>
      <c r="G96" s="15">
        <f>+G89*$D50</f>
        <v>3610</v>
      </c>
    </row>
    <row r="97" spans="1:8">
      <c r="B97" s="80"/>
    </row>
    <row r="98" spans="1:8">
      <c r="B98" s="80"/>
    </row>
    <row r="99" spans="1:8">
      <c r="A99" s="22" t="s">
        <v>136</v>
      </c>
      <c r="B99" s="3" t="s">
        <v>131</v>
      </c>
    </row>
    <row r="100" spans="1:8">
      <c r="B100" s="10"/>
      <c r="C100" s="10"/>
    </row>
    <row r="101" spans="1:8">
      <c r="B101" s="5"/>
      <c r="C101" s="7" t="s">
        <v>39</v>
      </c>
      <c r="D101" s="8" t="s">
        <v>40</v>
      </c>
      <c r="E101" s="8" t="s">
        <v>169</v>
      </c>
      <c r="F101" s="8" t="s">
        <v>41</v>
      </c>
      <c r="G101" s="8" t="s">
        <v>170</v>
      </c>
    </row>
    <row r="102" spans="1:8">
      <c r="B102" s="10" t="s">
        <v>101</v>
      </c>
      <c r="C102" s="6">
        <f>AVERAGE(C93:C96)</f>
        <v>92.438065354928113</v>
      </c>
      <c r="D102" s="15">
        <f t="shared" ref="D102:G102" si="5">AVERAGE(D93:D96)</f>
        <v>1183.6295004843241</v>
      </c>
      <c r="E102" s="15">
        <f t="shared" si="5"/>
        <v>3293.7611758557086</v>
      </c>
      <c r="F102" s="15">
        <f t="shared" si="5"/>
        <v>7</v>
      </c>
      <c r="G102" s="15">
        <f t="shared" si="5"/>
        <v>4366.3982092071255</v>
      </c>
    </row>
    <row r="106" spans="1:8" ht="18.75">
      <c r="A106" s="45" t="s">
        <v>149</v>
      </c>
      <c r="B106" s="46"/>
      <c r="C106" s="46"/>
      <c r="D106" s="46"/>
      <c r="E106" s="46"/>
      <c r="F106" s="46"/>
      <c r="G106" s="46"/>
      <c r="H106" s="46"/>
    </row>
    <row r="109" spans="1:8">
      <c r="A109" s="3" t="s">
        <v>150</v>
      </c>
      <c r="B109" s="3" t="s">
        <v>154</v>
      </c>
    </row>
    <row r="110" spans="1:8">
      <c r="A110" s="3"/>
      <c r="B110" s="10" t="s">
        <v>146</v>
      </c>
      <c r="C110" s="10" t="s">
        <v>113</v>
      </c>
    </row>
    <row r="111" spans="1:8">
      <c r="A111" s="3"/>
      <c r="B111" s="3"/>
    </row>
    <row r="112" spans="1:8">
      <c r="A112" s="3"/>
      <c r="B112" s="30" t="str">
        <f>+'Capex Inputs'!B37</f>
        <v>Network Capex threshold</v>
      </c>
      <c r="C112" s="3"/>
      <c r="D112" s="87">
        <f>+'Capex Inputs'!D37</f>
        <v>1.2</v>
      </c>
    </row>
    <row r="113" spans="1:10">
      <c r="A113" s="3"/>
      <c r="B113" s="3"/>
    </row>
    <row r="114" spans="1:10">
      <c r="A114" s="3"/>
      <c r="B114" s="3"/>
    </row>
    <row r="115" spans="1:10">
      <c r="A115" s="3" t="s">
        <v>151</v>
      </c>
      <c r="B115" s="3" t="s">
        <v>155</v>
      </c>
    </row>
    <row r="116" spans="1:10">
      <c r="A116" s="3"/>
      <c r="B116" s="10" t="s">
        <v>49</v>
      </c>
      <c r="C116" s="10" t="s">
        <v>159</v>
      </c>
    </row>
    <row r="117" spans="1:10">
      <c r="A117" s="3"/>
      <c r="B117" s="3"/>
    </row>
    <row r="118" spans="1:10">
      <c r="A118" s="3"/>
      <c r="B118" s="32" t="str">
        <f>+A5</f>
        <v>CTC1</v>
      </c>
      <c r="C118" s="30" t="str">
        <f>+B5</f>
        <v>Annual average of the suppliers forecast of constant price network capex</v>
      </c>
    </row>
    <row r="119" spans="1:10">
      <c r="A119" s="3"/>
      <c r="B119" s="5"/>
      <c r="C119" s="7" t="s">
        <v>39</v>
      </c>
      <c r="D119" s="8" t="s">
        <v>40</v>
      </c>
      <c r="E119" s="8" t="s">
        <v>169</v>
      </c>
      <c r="F119" s="8" t="s">
        <v>41</v>
      </c>
      <c r="G119" s="8" t="s">
        <v>170</v>
      </c>
    </row>
    <row r="120" spans="1:10">
      <c r="A120" s="3"/>
      <c r="B120" s="90" t="str">
        <f t="shared" ref="B120:G120" si="6">+B17</f>
        <v>Average</v>
      </c>
      <c r="C120" s="89">
        <f t="shared" si="6"/>
        <v>600.5</v>
      </c>
      <c r="D120" s="88">
        <f t="shared" si="6"/>
        <v>10367.899725069168</v>
      </c>
      <c r="E120" s="138">
        <f t="shared" si="6"/>
        <v>17344.666666666668</v>
      </c>
      <c r="F120" s="88">
        <f t="shared" si="6"/>
        <v>8907.6666666666661</v>
      </c>
      <c r="G120" s="138">
        <f t="shared" si="6"/>
        <v>18301.833333333332</v>
      </c>
    </row>
    <row r="121" spans="1:10">
      <c r="A121" s="3"/>
      <c r="B121" s="3"/>
    </row>
    <row r="122" spans="1:10">
      <c r="A122" s="3"/>
      <c r="B122" s="32" t="str">
        <f>+A71</f>
        <v>CTC3</v>
      </c>
      <c r="C122" s="30" t="str">
        <f>+B71</f>
        <v>Suppliers historic average network capex</v>
      </c>
    </row>
    <row r="123" spans="1:10">
      <c r="A123" s="3"/>
      <c r="B123" s="5"/>
      <c r="C123" s="7" t="s">
        <v>39</v>
      </c>
      <c r="D123" s="8" t="s">
        <v>40</v>
      </c>
      <c r="E123" s="8" t="s">
        <v>169</v>
      </c>
      <c r="F123" s="8" t="s">
        <v>41</v>
      </c>
      <c r="G123" s="8" t="s">
        <v>170</v>
      </c>
    </row>
    <row r="124" spans="1:10">
      <c r="A124" s="3"/>
      <c r="B124" s="90" t="str">
        <f>+B74</f>
        <v>Average</v>
      </c>
      <c r="C124" s="89">
        <f t="shared" ref="C124:G124" si="7">+C74</f>
        <v>538.03692585585748</v>
      </c>
      <c r="D124" s="88">
        <f>+D74</f>
        <v>8595.7863651364914</v>
      </c>
      <c r="E124" s="88">
        <f t="shared" si="7"/>
        <v>18194.599095390746</v>
      </c>
      <c r="F124" s="88">
        <f t="shared" si="7"/>
        <v>496.71474238428101</v>
      </c>
      <c r="G124" s="88">
        <f t="shared" si="7"/>
        <v>7873.9996780215952</v>
      </c>
      <c r="J124" s="138"/>
    </row>
    <row r="125" spans="1:10">
      <c r="A125" s="3"/>
      <c r="B125" s="3"/>
    </row>
    <row r="126" spans="1:10">
      <c r="A126" s="3"/>
      <c r="B126" s="30" t="str">
        <f>+B115</f>
        <v>Supplier's forecast relative to historic levels</v>
      </c>
    </row>
    <row r="127" spans="1:10">
      <c r="A127" s="3"/>
      <c r="B127" s="5"/>
      <c r="C127" s="7" t="s">
        <v>39</v>
      </c>
      <c r="D127" s="8" t="s">
        <v>40</v>
      </c>
      <c r="E127" s="8" t="s">
        <v>169</v>
      </c>
      <c r="F127" s="8" t="s">
        <v>41</v>
      </c>
      <c r="G127" s="8" t="s">
        <v>170</v>
      </c>
    </row>
    <row r="128" spans="1:10">
      <c r="A128" s="3"/>
      <c r="B128" s="49" t="s">
        <v>160</v>
      </c>
      <c r="C128" s="91">
        <f>+C120/C124</f>
        <v>1.1160944001097737</v>
      </c>
      <c r="D128" s="87">
        <f t="shared" ref="D128:F128" si="8">+D120/D124</f>
        <v>1.2061607030067851</v>
      </c>
      <c r="E128" s="137">
        <f t="shared" si="8"/>
        <v>0.95328655364880277</v>
      </c>
      <c r="F128" s="137">
        <f t="shared" si="8"/>
        <v>17.933163456975254</v>
      </c>
      <c r="G128" s="137">
        <f>+G120/G124</f>
        <v>2.3243375770535732</v>
      </c>
    </row>
    <row r="129" spans="1:7">
      <c r="A129" s="3"/>
      <c r="B129" s="3"/>
    </row>
    <row r="131" spans="1:7">
      <c r="A131" s="3" t="s">
        <v>152</v>
      </c>
      <c r="B131" s="3" t="s">
        <v>156</v>
      </c>
    </row>
    <row r="132" spans="1:7">
      <c r="A132" s="3"/>
      <c r="B132" s="10" t="s">
        <v>49</v>
      </c>
      <c r="C132" s="10" t="s">
        <v>161</v>
      </c>
    </row>
    <row r="133" spans="1:7">
      <c r="A133" s="3"/>
      <c r="B133" s="3"/>
    </row>
    <row r="134" spans="1:7">
      <c r="A134" s="3"/>
      <c r="B134" s="26" t="s">
        <v>162</v>
      </c>
      <c r="C134" s="26"/>
      <c r="D134" s="26"/>
      <c r="E134" s="26"/>
      <c r="F134" s="26"/>
      <c r="G134" s="26"/>
    </row>
    <row r="135" spans="1:7">
      <c r="A135" s="3"/>
      <c r="B135" s="95"/>
      <c r="C135" s="7" t="s">
        <v>39</v>
      </c>
      <c r="D135" s="8" t="s">
        <v>40</v>
      </c>
      <c r="E135" s="8" t="s">
        <v>169</v>
      </c>
      <c r="F135" s="8" t="s">
        <v>41</v>
      </c>
      <c r="G135" s="8" t="s">
        <v>170</v>
      </c>
    </row>
    <row r="136" spans="1:7">
      <c r="A136" s="3"/>
      <c r="B136" s="26"/>
      <c r="C136" s="96">
        <f>+$D$112/C128</f>
        <v>1.0751778701532537</v>
      </c>
      <c r="D136" s="97">
        <f>+$D$112/D128</f>
        <v>0.99489230332954193</v>
      </c>
      <c r="E136" s="137">
        <f>+$D$112/E128</f>
        <v>1.2588030277012467</v>
      </c>
      <c r="F136" s="137">
        <f>+$D$112/F128</f>
        <v>6.6915132005516284E-2</v>
      </c>
      <c r="G136" s="137">
        <f>+$D$112/G128</f>
        <v>0.51627612608714513</v>
      </c>
    </row>
    <row r="137" spans="1:7">
      <c r="A137" s="3"/>
      <c r="B137" s="26"/>
      <c r="C137" s="26"/>
      <c r="D137" s="26"/>
      <c r="E137" s="26"/>
      <c r="F137" s="26"/>
      <c r="G137" s="26"/>
    </row>
    <row r="138" spans="1:7">
      <c r="A138" s="3"/>
      <c r="B138" s="26" t="s">
        <v>163</v>
      </c>
      <c r="C138" s="26"/>
      <c r="D138" s="26"/>
      <c r="E138" s="26"/>
      <c r="F138" s="26"/>
      <c r="G138" s="26"/>
    </row>
    <row r="139" spans="1:7">
      <c r="A139" s="3"/>
      <c r="B139" s="95"/>
      <c r="C139" s="7" t="s">
        <v>39</v>
      </c>
      <c r="D139" s="8" t="s">
        <v>40</v>
      </c>
      <c r="E139" s="8" t="s">
        <v>169</v>
      </c>
      <c r="F139" s="8" t="s">
        <v>41</v>
      </c>
      <c r="G139" s="8" t="s">
        <v>170</v>
      </c>
    </row>
    <row r="140" spans="1:7">
      <c r="A140" s="3"/>
      <c r="B140" s="26"/>
      <c r="C140" s="96">
        <f>MIN(C136,1)</f>
        <v>1</v>
      </c>
      <c r="D140" s="97">
        <f>MIN(D136,1)</f>
        <v>0.99489230332954193</v>
      </c>
      <c r="E140" s="139">
        <f>MIN(E136,1)</f>
        <v>1</v>
      </c>
      <c r="F140" s="139">
        <f>MIN(F136,1)</f>
        <v>6.6915132005516284E-2</v>
      </c>
      <c r="G140" s="139">
        <f>MIN(G136,1)</f>
        <v>0.51627612608714513</v>
      </c>
    </row>
    <row r="141" spans="1:7">
      <c r="A141" s="3"/>
      <c r="B141" s="3"/>
    </row>
    <row r="142" spans="1:7">
      <c r="A142" s="3"/>
      <c r="B142" s="3"/>
    </row>
    <row r="143" spans="1:7">
      <c r="A143" s="3" t="s">
        <v>153</v>
      </c>
      <c r="B143" s="3" t="s">
        <v>157</v>
      </c>
    </row>
    <row r="144" spans="1:7">
      <c r="A144" s="3"/>
      <c r="B144" s="10" t="s">
        <v>49</v>
      </c>
      <c r="C144" s="10" t="s">
        <v>166</v>
      </c>
    </row>
    <row r="145" spans="1:7">
      <c r="A145" s="3"/>
      <c r="B145" s="3"/>
    </row>
    <row r="146" spans="1:7">
      <c r="A146" s="3"/>
      <c r="B146" s="32" t="str">
        <f>+'Capex Inputs'!A24</f>
        <v>IC3</v>
      </c>
      <c r="C146" s="34" t="str">
        <f>+'Capex Inputs'!B24</f>
        <v>Suppliers Forecast of Network Capex ($000)</v>
      </c>
      <c r="D146" s="3"/>
    </row>
    <row r="147" spans="1:7">
      <c r="A147" s="3"/>
      <c r="B147" s="5"/>
      <c r="C147" s="7" t="str">
        <f>+'Capex Inputs'!C26</f>
        <v xml:space="preserve">Gasnet </v>
      </c>
      <c r="D147" s="8" t="str">
        <f>+'Capex Inputs'!D26</f>
        <v>Powerco</v>
      </c>
      <c r="E147" s="8" t="str">
        <f>+'Capex Inputs'!E26</f>
        <v>Vector Dist</v>
      </c>
      <c r="F147" s="8" t="str">
        <f>+'Capex Inputs'!F26</f>
        <v>Maui</v>
      </c>
      <c r="G147" s="8" t="str">
        <f>+'Capex Inputs'!G26</f>
        <v>Vector Trans</v>
      </c>
    </row>
    <row r="148" spans="1:7">
      <c r="A148" s="3"/>
      <c r="B148" s="10">
        <f>+'Capex Inputs'!B27</f>
        <v>2012</v>
      </c>
      <c r="C148" s="6">
        <f>+'Capex Inputs'!C27</f>
        <v>560</v>
      </c>
      <c r="D148" s="15">
        <f>+'Capex Inputs'!D27</f>
        <v>9909.5943309000013</v>
      </c>
      <c r="E148" s="136">
        <f>+'Capex Inputs'!E27</f>
        <v>18687</v>
      </c>
      <c r="F148" s="15">
        <f>+'Capex Inputs'!F27</f>
        <v>1966</v>
      </c>
      <c r="G148" s="136">
        <f>+'Capex Inputs'!G27</f>
        <v>14100</v>
      </c>
    </row>
    <row r="149" spans="1:7">
      <c r="A149" s="3"/>
      <c r="B149" s="10">
        <f>+'Capex Inputs'!B28</f>
        <v>2013</v>
      </c>
      <c r="C149" s="6">
        <f>+'Capex Inputs'!C28</f>
        <v>606</v>
      </c>
      <c r="D149" s="15">
        <f>+'Capex Inputs'!D28</f>
        <v>9651.3120772688599</v>
      </c>
      <c r="E149" s="136">
        <f>+'Capex Inputs'!E28</f>
        <v>20704</v>
      </c>
      <c r="F149" s="15">
        <f>+'Capex Inputs'!F28</f>
        <v>4420</v>
      </c>
      <c r="G149" s="136">
        <f>+'Capex Inputs'!G28</f>
        <v>17808</v>
      </c>
    </row>
    <row r="150" spans="1:7">
      <c r="A150" s="3"/>
      <c r="B150" s="10">
        <f>+'Capex Inputs'!B29</f>
        <v>2014</v>
      </c>
      <c r="C150" s="6">
        <f>+'Capex Inputs'!C29</f>
        <v>593</v>
      </c>
      <c r="D150" s="15">
        <f>+'Capex Inputs'!D29</f>
        <v>9785.0324777951391</v>
      </c>
      <c r="E150" s="136">
        <f>+'Capex Inputs'!E29</f>
        <v>24534</v>
      </c>
      <c r="F150" s="15">
        <f>+'Capex Inputs'!F29</f>
        <v>40060</v>
      </c>
      <c r="G150" s="136">
        <f>+'Capex Inputs'!G29</f>
        <v>35312</v>
      </c>
    </row>
    <row r="151" spans="1:7">
      <c r="A151" s="3"/>
      <c r="B151" s="10">
        <f>+'Capex Inputs'!B30</f>
        <v>2015</v>
      </c>
      <c r="C151" s="6">
        <f>+'Capex Inputs'!C30</f>
        <v>608</v>
      </c>
      <c r="D151" s="15">
        <f>+'Capex Inputs'!D30</f>
        <v>10864.937265279001</v>
      </c>
      <c r="E151" s="136">
        <f>+'Capex Inputs'!E30</f>
        <v>15973</v>
      </c>
      <c r="F151" s="15">
        <f>+'Capex Inputs'!F30</f>
        <v>2185</v>
      </c>
      <c r="G151" s="136">
        <f>+'Capex Inputs'!G30</f>
        <v>16028</v>
      </c>
    </row>
    <row r="152" spans="1:7">
      <c r="A152" s="3"/>
      <c r="B152" s="10">
        <f>+'Capex Inputs'!B31</f>
        <v>2016</v>
      </c>
      <c r="C152" s="6">
        <f>+'Capex Inputs'!C31</f>
        <v>619</v>
      </c>
      <c r="D152" s="15">
        <f>+'Capex Inputs'!D31</f>
        <v>10953.5738070922</v>
      </c>
      <c r="E152" s="136">
        <f>+'Capex Inputs'!E31</f>
        <v>12073</v>
      </c>
      <c r="F152" s="15">
        <f>+'Capex Inputs'!F31</f>
        <v>1980</v>
      </c>
      <c r="G152" s="136">
        <f>+'Capex Inputs'!G31</f>
        <v>13368</v>
      </c>
    </row>
    <row r="153" spans="1:7">
      <c r="A153" s="3"/>
      <c r="B153" s="8">
        <f>+'Capex Inputs'!B32</f>
        <v>2017</v>
      </c>
      <c r="C153" s="6">
        <f>+'Capex Inputs'!C32</f>
        <v>617</v>
      </c>
      <c r="D153" s="15">
        <f>+'Capex Inputs'!D32</f>
        <v>11042.948392079799</v>
      </c>
      <c r="E153" s="136">
        <f>+'Capex Inputs'!E32</f>
        <v>12097</v>
      </c>
      <c r="F153" s="15">
        <f>+'Capex Inputs'!F32</f>
        <v>2835</v>
      </c>
      <c r="G153" s="136">
        <f>+'Capex Inputs'!G32</f>
        <v>13195</v>
      </c>
    </row>
    <row r="154" spans="1:7">
      <c r="A154" s="3"/>
      <c r="B154" s="92">
        <v>2018</v>
      </c>
      <c r="C154" s="93">
        <f>+C153</f>
        <v>617</v>
      </c>
      <c r="D154" s="94">
        <f t="shared" ref="D154:G154" si="9">+D153</f>
        <v>11042.948392079799</v>
      </c>
      <c r="E154" s="94">
        <f t="shared" si="9"/>
        <v>12097</v>
      </c>
      <c r="F154" s="94"/>
      <c r="G154" s="94">
        <f t="shared" si="9"/>
        <v>13195</v>
      </c>
    </row>
    <row r="155" spans="1:7">
      <c r="A155" s="3"/>
      <c r="B155" s="3"/>
    </row>
    <row r="156" spans="1:7">
      <c r="A156" s="3"/>
      <c r="B156" s="3"/>
    </row>
    <row r="157" spans="1:7">
      <c r="A157" s="3"/>
      <c r="B157" s="30" t="str">
        <f>+B143</f>
        <v>Scaled forecast of network capex (constant prices)</v>
      </c>
    </row>
    <row r="158" spans="1:7">
      <c r="A158" s="3"/>
      <c r="B158" s="5"/>
      <c r="C158" s="7" t="s">
        <v>39</v>
      </c>
      <c r="D158" s="8" t="s">
        <v>40</v>
      </c>
      <c r="E158" s="8" t="s">
        <v>169</v>
      </c>
      <c r="F158" s="8" t="s">
        <v>41</v>
      </c>
      <c r="G158" s="8" t="s">
        <v>170</v>
      </c>
    </row>
    <row r="159" spans="1:7">
      <c r="A159" s="3"/>
      <c r="B159" s="10">
        <v>2012</v>
      </c>
      <c r="C159" s="6">
        <f>+C148*C$140</f>
        <v>560</v>
      </c>
      <c r="D159" s="15">
        <f t="shared" ref="D159:G159" si="10">+D148*D$140</f>
        <v>9858.979128930474</v>
      </c>
      <c r="E159" s="136">
        <f t="shared" si="10"/>
        <v>18687</v>
      </c>
      <c r="F159" s="15">
        <f t="shared" si="10"/>
        <v>131.55514952284503</v>
      </c>
      <c r="G159" s="136">
        <f t="shared" si="10"/>
        <v>7279.4933778287459</v>
      </c>
    </row>
    <row r="160" spans="1:7">
      <c r="A160" s="3"/>
      <c r="B160" s="10">
        <v>2013</v>
      </c>
      <c r="C160" s="6">
        <f t="shared" ref="C160:G165" si="11">+C149*C$140</f>
        <v>606</v>
      </c>
      <c r="D160" s="15">
        <f t="shared" si="11"/>
        <v>9602.0161027062422</v>
      </c>
      <c r="E160" s="136">
        <f t="shared" si="11"/>
        <v>20704</v>
      </c>
      <c r="F160" s="15">
        <f t="shared" si="11"/>
        <v>295.76488346438197</v>
      </c>
      <c r="G160" s="136">
        <f t="shared" si="11"/>
        <v>9193.8452533598811</v>
      </c>
    </row>
    <row r="161" spans="1:8">
      <c r="B161" s="10">
        <v>2014</v>
      </c>
      <c r="C161" s="6">
        <f t="shared" si="11"/>
        <v>593</v>
      </c>
      <c r="D161" s="15">
        <f>+D150*D$140</f>
        <v>9735.0534999879801</v>
      </c>
      <c r="E161" s="136">
        <f t="shared" si="11"/>
        <v>24534</v>
      </c>
      <c r="F161" s="15">
        <f>+F150*F$140</f>
        <v>2680.6201881409825</v>
      </c>
      <c r="G161" s="136">
        <f t="shared" si="11"/>
        <v>18230.742564389267</v>
      </c>
    </row>
    <row r="162" spans="1:8">
      <c r="B162" s="10">
        <v>2015</v>
      </c>
      <c r="C162" s="6">
        <f>+C151*C$140</f>
        <v>608</v>
      </c>
      <c r="D162" s="15">
        <f>+D151*D$140</f>
        <v>10809.442461384398</v>
      </c>
      <c r="E162" s="136">
        <f t="shared" si="11"/>
        <v>15973</v>
      </c>
      <c r="F162" s="15">
        <f t="shared" si="11"/>
        <v>146.20956343205307</v>
      </c>
      <c r="G162" s="136">
        <f t="shared" si="11"/>
        <v>8274.8737489247615</v>
      </c>
    </row>
    <row r="163" spans="1:8">
      <c r="B163" s="10">
        <v>2016</v>
      </c>
      <c r="C163" s="6">
        <f t="shared" si="11"/>
        <v>619</v>
      </c>
      <c r="D163" s="15">
        <f t="shared" si="11"/>
        <v>10897.626274628099</v>
      </c>
      <c r="E163" s="136">
        <f t="shared" si="11"/>
        <v>12073</v>
      </c>
      <c r="F163" s="15">
        <f t="shared" si="11"/>
        <v>132.49196137092224</v>
      </c>
      <c r="G163" s="136">
        <f t="shared" si="11"/>
        <v>6901.5792535329565</v>
      </c>
    </row>
    <row r="164" spans="1:8">
      <c r="B164" s="10">
        <v>2017</v>
      </c>
      <c r="C164" s="6">
        <f t="shared" si="11"/>
        <v>617</v>
      </c>
      <c r="D164" s="15">
        <f t="shared" si="11"/>
        <v>10986.544361345534</v>
      </c>
      <c r="E164" s="136">
        <f t="shared" si="11"/>
        <v>12097</v>
      </c>
      <c r="F164" s="15">
        <f>+F153*F$140</f>
        <v>189.70439923563868</v>
      </c>
      <c r="G164" s="136">
        <f t="shared" si="11"/>
        <v>6812.2634837198802</v>
      </c>
    </row>
    <row r="165" spans="1:8">
      <c r="B165" s="10">
        <v>2018</v>
      </c>
      <c r="C165" s="6">
        <f t="shared" si="11"/>
        <v>617</v>
      </c>
      <c r="D165" s="15">
        <f t="shared" si="11"/>
        <v>10986.544361345534</v>
      </c>
      <c r="E165" s="136">
        <f t="shared" si="11"/>
        <v>12097</v>
      </c>
      <c r="F165" s="15"/>
      <c r="G165" s="136">
        <f t="shared" si="11"/>
        <v>6812.2634837198802</v>
      </c>
    </row>
    <row r="169" spans="1:8" ht="18.75">
      <c r="A169" s="45" t="s">
        <v>137</v>
      </c>
      <c r="B169" s="46"/>
      <c r="C169" s="46"/>
      <c r="D169" s="46"/>
      <c r="E169" s="46"/>
      <c r="F169" s="46"/>
      <c r="G169" s="46"/>
      <c r="H169" s="46"/>
    </row>
    <row r="172" spans="1:8">
      <c r="A172" s="3" t="s">
        <v>141</v>
      </c>
      <c r="B172" s="3" t="s">
        <v>145</v>
      </c>
    </row>
    <row r="173" spans="1:8">
      <c r="B173" s="10" t="s">
        <v>146</v>
      </c>
      <c r="C173" s="10" t="s">
        <v>114</v>
      </c>
    </row>
    <row r="175" spans="1:8">
      <c r="B175" s="10" t="s">
        <v>114</v>
      </c>
      <c r="C175" t="s">
        <v>118</v>
      </c>
    </row>
    <row r="176" spans="1:8" ht="45">
      <c r="B176" s="58" t="s">
        <v>46</v>
      </c>
      <c r="C176" s="58" t="s">
        <v>42</v>
      </c>
      <c r="D176" s="59" t="s">
        <v>126</v>
      </c>
    </row>
    <row r="177" spans="2:4">
      <c r="B177" s="53">
        <f>+'Capex Inputs'!B56</f>
        <v>40451</v>
      </c>
      <c r="C177" s="127">
        <f>+'Capex Inputs'!C56</f>
        <v>0</v>
      </c>
      <c r="D177" s="112"/>
    </row>
    <row r="178" spans="2:4">
      <c r="B178" s="54">
        <f>+'Capex Inputs'!B57</f>
        <v>40543</v>
      </c>
      <c r="C178" s="128">
        <f>+'Capex Inputs'!C57</f>
        <v>0</v>
      </c>
      <c r="D178" s="78"/>
    </row>
    <row r="179" spans="2:4">
      <c r="B179" s="54">
        <f>+'Capex Inputs'!B58</f>
        <v>40633</v>
      </c>
      <c r="C179" s="128">
        <f>+'Capex Inputs'!C58</f>
        <v>0</v>
      </c>
      <c r="D179" s="78"/>
    </row>
    <row r="180" spans="2:4">
      <c r="B180" s="54">
        <f>+'Capex Inputs'!B59</f>
        <v>40724</v>
      </c>
      <c r="C180" s="128">
        <f>+'Capex Inputs'!C59</f>
        <v>0</v>
      </c>
      <c r="D180" s="78">
        <v>1310</v>
      </c>
    </row>
    <row r="181" spans="2:4">
      <c r="B181" s="54">
        <f>+'Capex Inputs'!B60</f>
        <v>40816</v>
      </c>
      <c r="C181" s="128">
        <f>+'Capex Inputs'!C60</f>
        <v>0</v>
      </c>
      <c r="D181" s="78">
        <v>1310</v>
      </c>
    </row>
    <row r="182" spans="2:4">
      <c r="B182" s="54">
        <f>+'Capex Inputs'!B61</f>
        <v>40908</v>
      </c>
      <c r="C182" s="128">
        <f>+'Capex Inputs'!C61</f>
        <v>0</v>
      </c>
      <c r="D182" s="78">
        <v>1313.5</v>
      </c>
    </row>
    <row r="183" spans="2:4">
      <c r="B183" s="54">
        <f>+'Capex Inputs'!B62</f>
        <v>40999</v>
      </c>
      <c r="C183" s="128">
        <f>+'Capex Inputs'!C62</f>
        <v>0</v>
      </c>
      <c r="D183" s="78">
        <v>1316.5</v>
      </c>
    </row>
    <row r="184" spans="2:4">
      <c r="B184" s="54">
        <f>+'Capex Inputs'!B63</f>
        <v>41090</v>
      </c>
      <c r="C184" s="128">
        <f>+'Capex Inputs'!C63</f>
        <v>0</v>
      </c>
      <c r="D184" s="78">
        <v>1319.254950007323</v>
      </c>
    </row>
    <row r="185" spans="2:4">
      <c r="B185" s="54">
        <f>+'Capex Inputs'!B64</f>
        <v>41182</v>
      </c>
      <c r="C185" s="128">
        <f>+'Capex Inputs'!C64</f>
        <v>0</v>
      </c>
      <c r="D185" s="78">
        <v>1322.3951329187582</v>
      </c>
    </row>
    <row r="186" spans="2:4">
      <c r="B186" s="54">
        <f>+'Capex Inputs'!B65</f>
        <v>41274</v>
      </c>
      <c r="C186" s="128">
        <f>+'Capex Inputs'!C65</f>
        <v>0</v>
      </c>
      <c r="D186" s="78">
        <v>1325.8136616430802</v>
      </c>
    </row>
    <row r="187" spans="2:4">
      <c r="B187" s="54">
        <f>+'Capex Inputs'!B66</f>
        <v>41364</v>
      </c>
      <c r="C187" s="128">
        <f>+'Capex Inputs'!C66</f>
        <v>0</v>
      </c>
      <c r="D187" s="78">
        <v>1330.0081394015679</v>
      </c>
    </row>
    <row r="188" spans="2:4">
      <c r="B188" s="54">
        <f>+'Capex Inputs'!B67</f>
        <v>41455</v>
      </c>
      <c r="C188" s="128">
        <f>+'Capex Inputs'!C67</f>
        <v>0</v>
      </c>
      <c r="D188" s="78">
        <v>1334.7046450463251</v>
      </c>
    </row>
    <row r="189" spans="2:4">
      <c r="B189" s="54">
        <f>+'Capex Inputs'!B68</f>
        <v>41547</v>
      </c>
      <c r="C189" s="128">
        <f>+'Capex Inputs'!C68</f>
        <v>0</v>
      </c>
      <c r="D189" s="78">
        <v>1339.7863581521224</v>
      </c>
    </row>
    <row r="190" spans="2:4">
      <c r="B190" s="54">
        <f>+'Capex Inputs'!B69</f>
        <v>41639</v>
      </c>
      <c r="C190" s="128">
        <f>+'Capex Inputs'!C69</f>
        <v>0</v>
      </c>
      <c r="D190" s="78">
        <v>1345.3860400390042</v>
      </c>
    </row>
    <row r="191" spans="2:4">
      <c r="B191" s="54">
        <f>+'Capex Inputs'!B70</f>
        <v>41729</v>
      </c>
      <c r="C191" s="128">
        <f>+'Capex Inputs'!C70</f>
        <v>0</v>
      </c>
      <c r="D191" s="78">
        <v>1351.5507026820687</v>
      </c>
    </row>
    <row r="192" spans="2:4">
      <c r="B192" s="54">
        <f>+'Capex Inputs'!B71</f>
        <v>41820</v>
      </c>
      <c r="C192" s="128">
        <f>+'Capex Inputs'!C71</f>
        <v>0</v>
      </c>
      <c r="D192" s="78">
        <v>1358.2834526172026</v>
      </c>
    </row>
    <row r="193" spans="2:4">
      <c r="B193" s="54">
        <f>+'Capex Inputs'!B72</f>
        <v>41912</v>
      </c>
      <c r="C193" s="128">
        <f>+'Capex Inputs'!C72</f>
        <v>0</v>
      </c>
      <c r="D193" s="78">
        <v>1365.359248060108</v>
      </c>
    </row>
    <row r="194" spans="2:4">
      <c r="B194" s="54">
        <f>+'Capex Inputs'!B73</f>
        <v>42004</v>
      </c>
      <c r="C194" s="128">
        <f>+'Capex Inputs'!C73</f>
        <v>0</v>
      </c>
      <c r="D194" s="78">
        <v>1372.640349817455</v>
      </c>
    </row>
    <row r="195" spans="2:4">
      <c r="B195" s="54">
        <f>+'Capex Inputs'!B74</f>
        <v>42094</v>
      </c>
      <c r="C195" s="128">
        <f>+'Capex Inputs'!C74</f>
        <v>0</v>
      </c>
      <c r="D195" s="78">
        <v>1380.1374044676586</v>
      </c>
    </row>
    <row r="196" spans="2:4">
      <c r="B196" s="54">
        <f>+'Capex Inputs'!B75</f>
        <v>42185</v>
      </c>
      <c r="C196" s="128">
        <f>+'Capex Inputs'!C75</f>
        <v>0</v>
      </c>
      <c r="D196" s="78">
        <v>1387.9010976467748</v>
      </c>
    </row>
    <row r="197" spans="2:4">
      <c r="B197" s="54">
        <f>+'Capex Inputs'!B76</f>
        <v>42277</v>
      </c>
      <c r="C197" s="128">
        <f>+'Capex Inputs'!C76</f>
        <v>0</v>
      </c>
      <c r="D197" s="78">
        <v>1395.9583149264549</v>
      </c>
    </row>
    <row r="198" spans="2:4">
      <c r="B198" s="54">
        <f>+'Capex Inputs'!B77</f>
        <v>42369</v>
      </c>
      <c r="C198" s="128">
        <f>+'Capex Inputs'!C77</f>
        <v>0</v>
      </c>
      <c r="D198" s="78">
        <v>1404.3862060600575</v>
      </c>
    </row>
    <row r="199" spans="2:4">
      <c r="B199" s="54">
        <f>+'Capex Inputs'!B78</f>
        <v>42460</v>
      </c>
      <c r="C199" s="128">
        <f>+'Capex Inputs'!C78</f>
        <v>0</v>
      </c>
      <c r="D199" s="78">
        <v>1413.1037413890242</v>
      </c>
    </row>
    <row r="200" spans="2:4">
      <c r="B200" s="54">
        <f>+'Capex Inputs'!B79</f>
        <v>42551</v>
      </c>
      <c r="C200" s="128">
        <f>+'Capex Inputs'!C79</f>
        <v>0</v>
      </c>
      <c r="D200" s="78">
        <v>1420.8357187276533</v>
      </c>
    </row>
    <row r="201" spans="2:4">
      <c r="B201" s="54">
        <f>+'Capex Inputs'!B80</f>
        <v>42643</v>
      </c>
      <c r="C201" s="128">
        <f>+'Capex Inputs'!C80</f>
        <v>0</v>
      </c>
      <c r="D201" s="78">
        <v>1429.0265007687626</v>
      </c>
    </row>
    <row r="202" spans="2:4">
      <c r="B202" s="54">
        <f>+'Capex Inputs'!B81</f>
        <v>42735</v>
      </c>
      <c r="C202" s="128">
        <f>+'Capex Inputs'!C81</f>
        <v>0</v>
      </c>
      <c r="D202" s="78">
        <v>1436.4705220423075</v>
      </c>
    </row>
    <row r="203" spans="2:4">
      <c r="B203" s="54">
        <f>+'Capex Inputs'!B82</f>
        <v>42825</v>
      </c>
      <c r="C203" s="128">
        <f>+'Capex Inputs'!C82</f>
        <v>0</v>
      </c>
      <c r="D203" s="78">
        <v>1443.953320380303</v>
      </c>
    </row>
    <row r="204" spans="2:4">
      <c r="B204" s="54">
        <f>+'Capex Inputs'!B83</f>
        <v>42916</v>
      </c>
      <c r="C204" s="128">
        <f>+'Capex Inputs'!C83</f>
        <v>0</v>
      </c>
      <c r="D204" s="78">
        <v>1451.475097778507</v>
      </c>
    </row>
    <row r="205" spans="2:4">
      <c r="B205" s="54">
        <f>+'Capex Inputs'!B84</f>
        <v>43008</v>
      </c>
      <c r="C205" s="128">
        <f>+'Capex Inputs'!C84</f>
        <v>0</v>
      </c>
      <c r="D205" s="78">
        <v>1459.0360572849065</v>
      </c>
    </row>
    <row r="206" spans="2:4">
      <c r="B206" s="54">
        <f>+'Capex Inputs'!B85</f>
        <v>43100</v>
      </c>
      <c r="C206" s="128">
        <f>+'Capex Inputs'!C85</f>
        <v>0</v>
      </c>
      <c r="D206" s="78">
        <v>1466.6364030051964</v>
      </c>
    </row>
    <row r="207" spans="2:4">
      <c r="B207" s="54">
        <f>+'Capex Inputs'!B86</f>
        <v>43190</v>
      </c>
      <c r="C207" s="128">
        <f>+'Capex Inputs'!C86</f>
        <v>0</v>
      </c>
      <c r="D207" s="78">
        <v>1474.2763401082893</v>
      </c>
    </row>
    <row r="208" spans="2:4">
      <c r="B208" s="55">
        <f>+'Capex Inputs'!B87</f>
        <v>43281</v>
      </c>
      <c r="C208" s="129">
        <f>+'Capex Inputs'!C87</f>
        <v>0</v>
      </c>
      <c r="D208" s="79">
        <v>1481.9560748318559</v>
      </c>
    </row>
    <row r="212" spans="2:8">
      <c r="B212" t="s">
        <v>147</v>
      </c>
    </row>
    <row r="214" spans="2:8" ht="45">
      <c r="B214" s="85" t="s">
        <v>117</v>
      </c>
      <c r="C214" s="84" t="s">
        <v>103</v>
      </c>
      <c r="D214" s="84" t="s">
        <v>127</v>
      </c>
      <c r="F214" s="85" t="s">
        <v>117</v>
      </c>
      <c r="G214" s="84" t="s">
        <v>103</v>
      </c>
      <c r="H214" s="84" t="s">
        <v>128</v>
      </c>
    </row>
    <row r="215" spans="2:8">
      <c r="B215" s="80">
        <v>40724</v>
      </c>
      <c r="C215" s="51">
        <f>VLOOKUP(B215,$B$177:$D$208,3,FALSE)</f>
        <v>1310</v>
      </c>
      <c r="D215" s="81">
        <f>+C215/$C$215</f>
        <v>1</v>
      </c>
      <c r="F215" s="80">
        <v>40908</v>
      </c>
      <c r="G215" s="51">
        <f>VLOOKUP(F215,$B$177:$D$208,3,FALSE)</f>
        <v>1313.5</v>
      </c>
      <c r="H215" s="81">
        <f t="shared" ref="H215:H221" si="12">+G215/$G$215</f>
        <v>1</v>
      </c>
    </row>
    <row r="216" spans="2:8">
      <c r="B216" s="80">
        <v>41090</v>
      </c>
      <c r="C216" s="51">
        <f t="shared" ref="C216:C222" si="13">VLOOKUP(B216,$B$177:$D$208,3,FALSE)</f>
        <v>1319.254950007323</v>
      </c>
      <c r="D216" s="81">
        <f>+C216/$C$215</f>
        <v>1.0070648473338344</v>
      </c>
      <c r="F216" s="80">
        <v>41274</v>
      </c>
      <c r="G216" s="51">
        <f t="shared" ref="G216:G221" si="14">VLOOKUP(F216,$B$177:$D$208,3,FALSE)</f>
        <v>1325.8136616430802</v>
      </c>
      <c r="H216" s="81">
        <f t="shared" si="12"/>
        <v>1.0093746948177238</v>
      </c>
    </row>
    <row r="217" spans="2:8">
      <c r="B217" s="80">
        <v>41455</v>
      </c>
      <c r="C217" s="51">
        <f t="shared" si="13"/>
        <v>1334.7046450463251</v>
      </c>
      <c r="D217" s="81">
        <f>+C217/$C$215</f>
        <v>1.0188585076689505</v>
      </c>
      <c r="F217" s="80">
        <v>41639</v>
      </c>
      <c r="G217" s="51">
        <f t="shared" si="14"/>
        <v>1345.3860400390042</v>
      </c>
      <c r="H217" s="81">
        <f t="shared" si="12"/>
        <v>1.0242756300258882</v>
      </c>
    </row>
    <row r="218" spans="2:8">
      <c r="B218" s="80">
        <v>41820</v>
      </c>
      <c r="C218" s="51">
        <f t="shared" si="13"/>
        <v>1358.2834526172026</v>
      </c>
      <c r="D218" s="81">
        <f t="shared" ref="D218:D222" si="15">+C218/$C$215</f>
        <v>1.0368575974177119</v>
      </c>
      <c r="F218" s="80">
        <v>42004</v>
      </c>
      <c r="G218" s="51">
        <f t="shared" si="14"/>
        <v>1372.640349817455</v>
      </c>
      <c r="H218" s="81">
        <f t="shared" si="12"/>
        <v>1.0450250093775828</v>
      </c>
    </row>
    <row r="219" spans="2:8">
      <c r="B219" s="80">
        <v>42185</v>
      </c>
      <c r="C219" s="51">
        <f t="shared" si="13"/>
        <v>1387.9010976467748</v>
      </c>
      <c r="D219" s="81">
        <f t="shared" si="15"/>
        <v>1.0594664867532633</v>
      </c>
      <c r="F219" s="80">
        <v>42369</v>
      </c>
      <c r="G219" s="51">
        <f t="shared" si="14"/>
        <v>1404.3862060600575</v>
      </c>
      <c r="H219" s="81">
        <f t="shared" si="12"/>
        <v>1.0691939140160316</v>
      </c>
    </row>
    <row r="220" spans="2:8">
      <c r="B220" s="80">
        <v>42551</v>
      </c>
      <c r="C220" s="51">
        <f t="shared" si="13"/>
        <v>1420.8357187276533</v>
      </c>
      <c r="D220" s="81">
        <f t="shared" si="15"/>
        <v>1.0846074188760713</v>
      </c>
      <c r="F220" s="80">
        <v>42735</v>
      </c>
      <c r="G220" s="51">
        <f t="shared" si="14"/>
        <v>1436.4705220423075</v>
      </c>
      <c r="H220" s="81">
        <f t="shared" si="12"/>
        <v>1.0936204964159173</v>
      </c>
    </row>
    <row r="221" spans="2:8">
      <c r="B221" s="80">
        <v>42916</v>
      </c>
      <c r="C221" s="51">
        <f>VLOOKUP(B221,$B$177:$D$208,3,FALSE)</f>
        <v>1451.475097778507</v>
      </c>
      <c r="D221" s="81">
        <f t="shared" si="15"/>
        <v>1.1079962578461886</v>
      </c>
      <c r="F221" s="80">
        <v>43100</v>
      </c>
      <c r="G221" s="51">
        <f t="shared" si="14"/>
        <v>1466.6364030051964</v>
      </c>
      <c r="H221" s="81">
        <f t="shared" si="12"/>
        <v>1.1165865268406521</v>
      </c>
    </row>
    <row r="222" spans="2:8">
      <c r="B222" s="80">
        <v>43281</v>
      </c>
      <c r="C222" s="51">
        <f t="shared" si="13"/>
        <v>1481.9560748318559</v>
      </c>
      <c r="D222" s="81">
        <f t="shared" si="15"/>
        <v>1.1312641792609586</v>
      </c>
      <c r="F222" s="80"/>
      <c r="G222" s="51"/>
      <c r="H222" s="81"/>
    </row>
    <row r="223" spans="2:8">
      <c r="B223" s="80"/>
      <c r="C223" s="51"/>
    </row>
    <row r="224" spans="2:8">
      <c r="B224" s="80"/>
      <c r="C224" s="51"/>
    </row>
    <row r="225" spans="1:13">
      <c r="A225" s="3" t="s">
        <v>140</v>
      </c>
      <c r="B225" s="3" t="s">
        <v>144</v>
      </c>
    </row>
    <row r="226" spans="1:13">
      <c r="A226" s="3"/>
      <c r="B226" s="10" t="s">
        <v>49</v>
      </c>
      <c r="C226" s="10" t="s">
        <v>148</v>
      </c>
    </row>
    <row r="227" spans="1:13">
      <c r="B227" s="80"/>
      <c r="C227" s="51"/>
    </row>
    <row r="228" spans="1:13">
      <c r="B228" s="86"/>
      <c r="C228" s="7" t="s">
        <v>39</v>
      </c>
      <c r="D228" s="8" t="s">
        <v>40</v>
      </c>
      <c r="E228" s="8" t="s">
        <v>169</v>
      </c>
      <c r="F228" s="8" t="s">
        <v>41</v>
      </c>
      <c r="G228" s="8" t="s">
        <v>170</v>
      </c>
    </row>
    <row r="229" spans="1:13">
      <c r="B229" s="10">
        <v>2012</v>
      </c>
      <c r="C229" s="117">
        <f>C$102*$D216</f>
        <v>93.091126174495685</v>
      </c>
      <c r="D229" s="118">
        <f>D$102*$D216</f>
        <v>1191.9916622050685</v>
      </c>
      <c r="E229" s="118">
        <f t="shared" ref="E229:G229" si="16">E$102*$D216</f>
        <v>3317.0310957172401</v>
      </c>
      <c r="F229" s="118">
        <f>F$102*$H216</f>
        <v>7.0656228637240668</v>
      </c>
      <c r="G229" s="118">
        <f t="shared" si="16"/>
        <v>4397.2461459539018</v>
      </c>
      <c r="I229" s="23"/>
      <c r="J229" s="23"/>
      <c r="K229" s="23"/>
      <c r="L229" s="23"/>
      <c r="M229" s="23"/>
    </row>
    <row r="230" spans="1:13">
      <c r="B230" s="10">
        <v>2013</v>
      </c>
      <c r="C230" s="117">
        <f t="shared" ref="C230:D235" si="17">C$102*$D217</f>
        <v>94.181309319326971</v>
      </c>
      <c r="D230" s="118">
        <f t="shared" si="17"/>
        <v>1205.9509864964039</v>
      </c>
      <c r="E230" s="118">
        <f t="shared" ref="E230:G230" si="18">E$102*$D217</f>
        <v>3355.8765962502748</v>
      </c>
      <c r="F230" s="118">
        <f t="shared" ref="F230:F233" si="19">F$102*$H217</f>
        <v>7.1699294101812168</v>
      </c>
      <c r="G230" s="118">
        <f t="shared" si="18"/>
        <v>4448.7419633211493</v>
      </c>
      <c r="I230" s="23"/>
      <c r="J230" s="23"/>
      <c r="K230" s="23"/>
      <c r="L230" s="23"/>
      <c r="M230" s="23"/>
    </row>
    <row r="231" spans="1:13">
      <c r="B231" s="10">
        <v>2014</v>
      </c>
      <c r="C231" s="117">
        <f t="shared" si="17"/>
        <v>95.845110353852192</v>
      </c>
      <c r="D231" s="118">
        <f t="shared" si="17"/>
        <v>1227.2552401049027</v>
      </c>
      <c r="E231" s="118">
        <f t="shared" ref="E231:G231" si="20">E$102*$D218</f>
        <v>3415.1612992654877</v>
      </c>
      <c r="F231" s="118">
        <f t="shared" si="19"/>
        <v>7.3151750656430794</v>
      </c>
      <c r="G231" s="118">
        <f t="shared" si="20"/>
        <v>4527.3331565674998</v>
      </c>
      <c r="I231" s="23"/>
      <c r="J231" s="23"/>
      <c r="K231" s="23"/>
      <c r="L231" s="23"/>
      <c r="M231" s="23"/>
    </row>
    <row r="232" spans="1:13">
      <c r="B232" s="10">
        <v>2015</v>
      </c>
      <c r="C232" s="117">
        <f t="shared" si="17"/>
        <v>97.935032343854232</v>
      </c>
      <c r="D232" s="118">
        <f t="shared" si="17"/>
        <v>1254.0157884956468</v>
      </c>
      <c r="E232" s="118">
        <f t="shared" ref="E232:G232" si="21">E$102*$D219</f>
        <v>3489.629581188145</v>
      </c>
      <c r="F232" s="118">
        <f t="shared" si="19"/>
        <v>7.4843573981122216</v>
      </c>
      <c r="G232" s="118">
        <f t="shared" si="21"/>
        <v>4626.0525704744132</v>
      </c>
      <c r="I232" s="23"/>
      <c r="J232" s="23"/>
      <c r="K232" s="23"/>
      <c r="L232" s="23"/>
      <c r="M232" s="23"/>
    </row>
    <row r="233" spans="1:13">
      <c r="B233" s="10">
        <v>2016</v>
      </c>
      <c r="C233" s="117">
        <f t="shared" si="17"/>
        <v>100.25901147050617</v>
      </c>
      <c r="D233" s="118">
        <f>D$102*$D220</f>
        <v>1283.7733374258764</v>
      </c>
      <c r="E233" s="118">
        <f t="shared" ref="E233:G233" si="22">E$102*$D220</f>
        <v>3572.4378073390735</v>
      </c>
      <c r="F233" s="118">
        <f t="shared" si="19"/>
        <v>7.6553434749114206</v>
      </c>
      <c r="G233" s="118">
        <f t="shared" si="22"/>
        <v>4735.82789147324</v>
      </c>
      <c r="I233" s="23"/>
      <c r="J233" s="23"/>
      <c r="K233" s="23"/>
      <c r="L233" s="23"/>
      <c r="M233" s="23"/>
    </row>
    <row r="234" spans="1:13">
      <c r="B234" s="10">
        <v>2017</v>
      </c>
      <c r="C234" s="117">
        <f t="shared" si="17"/>
        <v>102.42103049580176</v>
      </c>
      <c r="D234" s="118">
        <f t="shared" si="17"/>
        <v>1311.4570572129846</v>
      </c>
      <c r="E234" s="118">
        <f t="shared" ref="E234" si="23">E$102*$D221</f>
        <v>3649.475057087187</v>
      </c>
      <c r="F234" s="118">
        <f>F$102*$H221</f>
        <v>7.8161056878845647</v>
      </c>
      <c r="G234" s="118">
        <f>G$102*$D221</f>
        <v>4837.952876067794</v>
      </c>
      <c r="I234" s="23"/>
      <c r="J234" s="23"/>
      <c r="K234" s="23"/>
      <c r="L234" s="23"/>
      <c r="M234" s="23"/>
    </row>
    <row r="235" spans="1:13">
      <c r="B235" s="10">
        <v>2018</v>
      </c>
      <c r="C235" s="117">
        <f t="shared" si="17"/>
        <v>104.5718721362136</v>
      </c>
      <c r="D235" s="118">
        <f t="shared" si="17"/>
        <v>1338.9976554144573</v>
      </c>
      <c r="E235" s="118">
        <f t="shared" ref="E235:G235" si="24">E$102*$D222</f>
        <v>3726.1140332860182</v>
      </c>
      <c r="F235" s="118"/>
      <c r="G235" s="118">
        <f t="shared" si="24"/>
        <v>4939.5498864652182</v>
      </c>
      <c r="I235" s="23"/>
      <c r="J235" s="23"/>
      <c r="K235" s="23"/>
      <c r="L235" s="23"/>
      <c r="M235" s="23"/>
    </row>
    <row r="236" spans="1:13">
      <c r="B236" s="10"/>
      <c r="C236" s="119"/>
      <c r="D236" s="26"/>
      <c r="E236" s="26"/>
      <c r="F236" s="26"/>
      <c r="G236" s="26"/>
    </row>
    <row r="237" spans="1:13">
      <c r="B237" s="11"/>
      <c r="C237" s="119"/>
      <c r="D237" s="26"/>
      <c r="E237" s="26"/>
      <c r="F237" s="26"/>
      <c r="G237" s="26"/>
    </row>
    <row r="238" spans="1:13">
      <c r="A238" s="3" t="s">
        <v>139</v>
      </c>
      <c r="B238" s="3" t="s">
        <v>143</v>
      </c>
      <c r="C238" s="119"/>
      <c r="D238" s="26"/>
      <c r="E238" s="26"/>
      <c r="F238" s="26"/>
      <c r="G238" s="26"/>
    </row>
    <row r="239" spans="1:13">
      <c r="B239" s="10" t="s">
        <v>49</v>
      </c>
      <c r="C239" s="16" t="s">
        <v>167</v>
      </c>
      <c r="D239" s="26"/>
      <c r="E239" s="26"/>
      <c r="F239" s="26"/>
      <c r="G239" s="26"/>
    </row>
    <row r="240" spans="1:13">
      <c r="B240" s="11"/>
      <c r="C240" s="119"/>
      <c r="D240" s="26"/>
      <c r="E240" s="26"/>
      <c r="F240" s="26"/>
      <c r="G240" s="26"/>
    </row>
    <row r="241" spans="1:13">
      <c r="B241" s="86"/>
      <c r="C241" s="120" t="s">
        <v>39</v>
      </c>
      <c r="D241" s="68" t="s">
        <v>40</v>
      </c>
      <c r="E241" s="68" t="s">
        <v>169</v>
      </c>
      <c r="F241" s="68" t="s">
        <v>41</v>
      </c>
      <c r="G241" s="68" t="s">
        <v>170</v>
      </c>
    </row>
    <row r="242" spans="1:13">
      <c r="B242" s="10">
        <v>2012</v>
      </c>
      <c r="C242" s="117">
        <f>C159*$D216</f>
        <v>563.95631450694725</v>
      </c>
      <c r="D242" s="118">
        <f t="shared" ref="D242:G242" si="25">D159*$D216</f>
        <v>9928.6313113438282</v>
      </c>
      <c r="E242" s="140">
        <f t="shared" si="25"/>
        <v>18819.020802127365</v>
      </c>
      <c r="F242" s="118">
        <f>F159*$H216</f>
        <v>132.78843890132171</v>
      </c>
      <c r="G242" s="140">
        <f t="shared" si="25"/>
        <v>7330.921887210764</v>
      </c>
      <c r="I242" s="23"/>
      <c r="J242" s="23"/>
      <c r="K242" s="23"/>
      <c r="L242" s="23"/>
      <c r="M242" s="23"/>
    </row>
    <row r="243" spans="1:13">
      <c r="B243" s="10">
        <v>2013</v>
      </c>
      <c r="C243" s="117">
        <f t="shared" ref="C243:G248" si="26">C160*$D217</f>
        <v>617.42825564738393</v>
      </c>
      <c r="D243" s="118">
        <f t="shared" si="26"/>
        <v>9783.0957970165146</v>
      </c>
      <c r="E243" s="140">
        <f t="shared" si="26"/>
        <v>21094.446542777951</v>
      </c>
      <c r="F243" s="118">
        <f t="shared" ref="F243:F247" si="27">F160*$H217</f>
        <v>302.94476235001321</v>
      </c>
      <c r="G243" s="140">
        <f t="shared" si="26"/>
        <v>9367.2274545775126</v>
      </c>
      <c r="I243" s="23"/>
      <c r="J243" s="23"/>
      <c r="K243" s="23"/>
      <c r="L243" s="23"/>
      <c r="M243" s="23"/>
    </row>
    <row r="244" spans="1:13">
      <c r="B244" s="10">
        <v>2014</v>
      </c>
      <c r="C244" s="117">
        <f t="shared" si="26"/>
        <v>614.85655526870312</v>
      </c>
      <c r="D244" s="118">
        <f t="shared" si="26"/>
        <v>10093.864182730424</v>
      </c>
      <c r="E244" s="140">
        <f t="shared" si="26"/>
        <v>25438.264295046145</v>
      </c>
      <c r="F244" s="118">
        <f t="shared" si="27"/>
        <v>2801.3151372497678</v>
      </c>
      <c r="G244" s="140">
        <f t="shared" si="26"/>
        <v>18902.683934453471</v>
      </c>
      <c r="I244" s="23"/>
      <c r="J244" s="23"/>
      <c r="K244" s="23"/>
      <c r="L244" s="23"/>
      <c r="M244" s="23"/>
    </row>
    <row r="245" spans="1:13">
      <c r="B245" s="10">
        <v>2015</v>
      </c>
      <c r="C245" s="117">
        <f t="shared" si="26"/>
        <v>644.15562394598408</v>
      </c>
      <c r="D245" s="118">
        <f t="shared" si="26"/>
        <v>11452.242028324476</v>
      </c>
      <c r="E245" s="140">
        <f t="shared" si="26"/>
        <v>16922.858192909873</v>
      </c>
      <c r="F245" s="118">
        <f t="shared" si="27"/>
        <v>156.32637539249208</v>
      </c>
      <c r="G245" s="140">
        <f t="shared" si="26"/>
        <v>8766.9514191001217</v>
      </c>
      <c r="I245" s="23"/>
      <c r="J245" s="23"/>
      <c r="K245" s="23"/>
      <c r="L245" s="23"/>
      <c r="M245" s="23"/>
    </row>
    <row r="246" spans="1:13">
      <c r="B246" s="10">
        <v>2016</v>
      </c>
      <c r="C246" s="117">
        <f t="shared" si="26"/>
        <v>671.37199228428813</v>
      </c>
      <c r="D246" s="118">
        <f t="shared" si="26"/>
        <v>11819.64630560044</v>
      </c>
      <c r="E246" s="140">
        <f t="shared" si="26"/>
        <v>13094.465368090809</v>
      </c>
      <c r="F246" s="118">
        <f t="shared" si="27"/>
        <v>144.89592456558651</v>
      </c>
      <c r="G246" s="140">
        <f t="shared" si="26"/>
        <v>7485.5040603430225</v>
      </c>
      <c r="I246" s="23"/>
      <c r="J246" s="23"/>
      <c r="K246" s="23"/>
      <c r="L246" s="23"/>
      <c r="M246" s="23"/>
    </row>
    <row r="247" spans="1:13">
      <c r="B247" s="10">
        <v>2017</v>
      </c>
      <c r="C247" s="117">
        <f t="shared" si="26"/>
        <v>683.6336910910984</v>
      </c>
      <c r="D247" s="118">
        <f t="shared" si="26"/>
        <v>12173.050039031996</v>
      </c>
      <c r="E247" s="140">
        <f t="shared" si="26"/>
        <v>13403.430731165343</v>
      </c>
      <c r="F247" s="118">
        <f t="shared" si="27"/>
        <v>211.82137626891424</v>
      </c>
      <c r="G247" s="140">
        <f t="shared" si="26"/>
        <v>7547.9624474238672</v>
      </c>
      <c r="I247" s="23"/>
      <c r="J247" s="23"/>
      <c r="K247" s="23"/>
      <c r="L247" s="23"/>
      <c r="M247" s="23"/>
    </row>
    <row r="248" spans="1:13">
      <c r="B248" s="10">
        <v>2018</v>
      </c>
      <c r="C248" s="117">
        <f t="shared" si="26"/>
        <v>697.98999860401148</v>
      </c>
      <c r="D248" s="118">
        <f t="shared" si="26"/>
        <v>12428.684089851668</v>
      </c>
      <c r="E248" s="140">
        <f t="shared" si="26"/>
        <v>13684.902776519815</v>
      </c>
      <c r="F248" s="118"/>
      <c r="G248" s="140">
        <f t="shared" si="26"/>
        <v>7706.4696588197685</v>
      </c>
      <c r="I248" s="23"/>
      <c r="J248" s="23"/>
      <c r="K248" s="23"/>
      <c r="L248" s="23"/>
      <c r="M248" s="23"/>
    </row>
    <row r="249" spans="1:13">
      <c r="B249" s="10"/>
      <c r="C249" s="15"/>
      <c r="D249" s="15"/>
      <c r="E249" s="140"/>
      <c r="F249" s="15"/>
      <c r="G249" s="15"/>
    </row>
    <row r="250" spans="1:13">
      <c r="B250" s="10"/>
      <c r="C250" s="15"/>
      <c r="D250" s="15"/>
      <c r="E250" s="15"/>
      <c r="F250" s="15"/>
      <c r="G250" s="15"/>
      <c r="I250" s="100"/>
      <c r="J250" s="100"/>
      <c r="K250" s="100"/>
      <c r="L250" s="100"/>
      <c r="M250" s="100"/>
    </row>
    <row r="251" spans="1:13">
      <c r="A251" s="3" t="s">
        <v>138</v>
      </c>
      <c r="B251" s="3" t="s">
        <v>142</v>
      </c>
      <c r="I251" s="100"/>
      <c r="J251" s="100"/>
      <c r="K251" s="100"/>
      <c r="L251" s="100"/>
      <c r="M251" s="100"/>
    </row>
    <row r="252" spans="1:13">
      <c r="B252" s="10" t="s">
        <v>49</v>
      </c>
      <c r="C252" s="10" t="s">
        <v>164</v>
      </c>
      <c r="I252" s="100"/>
      <c r="J252" s="100"/>
      <c r="K252" s="100"/>
      <c r="L252" s="100"/>
      <c r="M252" s="100"/>
    </row>
    <row r="253" spans="1:13">
      <c r="C253" s="4"/>
      <c r="D253" s="4"/>
      <c r="E253" s="4"/>
      <c r="F253" s="4"/>
      <c r="G253" s="4"/>
      <c r="H253" s="4"/>
      <c r="I253" s="100"/>
      <c r="J253" s="100"/>
      <c r="K253" s="100"/>
      <c r="L253" s="100"/>
      <c r="M253" s="100"/>
    </row>
    <row r="254" spans="1:13">
      <c r="A254" s="3"/>
      <c r="B254" s="30" t="s">
        <v>142</v>
      </c>
      <c r="C254" s="4"/>
      <c r="D254" s="4"/>
      <c r="E254" s="4"/>
      <c r="F254" s="4"/>
      <c r="G254" s="4"/>
      <c r="H254" s="4"/>
      <c r="I254" s="100"/>
      <c r="J254" s="100"/>
      <c r="K254" s="100"/>
      <c r="L254" s="100"/>
      <c r="M254" s="100"/>
    </row>
    <row r="255" spans="1:13">
      <c r="A255" s="3"/>
      <c r="B255" s="86"/>
      <c r="C255" s="7" t="s">
        <v>39</v>
      </c>
      <c r="D255" s="8" t="s">
        <v>40</v>
      </c>
      <c r="E255" s="8" t="s">
        <v>169</v>
      </c>
      <c r="F255" s="8" t="s">
        <v>41</v>
      </c>
      <c r="G255" s="8" t="s">
        <v>170</v>
      </c>
      <c r="H255" s="4"/>
      <c r="I255" s="100"/>
      <c r="J255" s="100"/>
      <c r="K255" s="100"/>
      <c r="L255" s="100"/>
      <c r="M255" s="100"/>
    </row>
    <row r="256" spans="1:13">
      <c r="B256" s="10">
        <v>2012</v>
      </c>
      <c r="C256" s="6">
        <f>+C229+C242</f>
        <v>657.04744068144294</v>
      </c>
      <c r="D256" s="15">
        <f t="shared" ref="D256:G256" si="28">+D229+D242</f>
        <v>11120.622973548896</v>
      </c>
      <c r="E256" s="136">
        <f t="shared" si="28"/>
        <v>22136.051897844605</v>
      </c>
      <c r="F256" s="15">
        <f t="shared" si="28"/>
        <v>139.85406176504577</v>
      </c>
      <c r="G256" s="136">
        <f t="shared" si="28"/>
        <v>11728.168033164666</v>
      </c>
      <c r="H256" s="4"/>
      <c r="I256" s="100"/>
      <c r="J256" s="100"/>
      <c r="K256" s="100"/>
      <c r="L256" s="100"/>
      <c r="M256" s="100"/>
    </row>
    <row r="257" spans="2:8">
      <c r="B257" s="10">
        <v>2013</v>
      </c>
      <c r="C257" s="6">
        <f t="shared" ref="C257:G262" si="29">+C230+C243</f>
        <v>711.60956496671088</v>
      </c>
      <c r="D257" s="15">
        <f t="shared" si="29"/>
        <v>10989.046783512918</v>
      </c>
      <c r="E257" s="136">
        <f t="shared" si="29"/>
        <v>24450.323139028224</v>
      </c>
      <c r="F257" s="15">
        <f t="shared" si="29"/>
        <v>310.11469176019443</v>
      </c>
      <c r="G257" s="136">
        <f t="shared" si="29"/>
        <v>13815.969417898661</v>
      </c>
      <c r="H257" s="4"/>
    </row>
    <row r="258" spans="2:8">
      <c r="B258" s="10">
        <v>2014</v>
      </c>
      <c r="C258" s="6">
        <f>+C231+C244</f>
        <v>710.70166562255531</v>
      </c>
      <c r="D258" s="15">
        <f t="shared" si="29"/>
        <v>11321.119422835327</v>
      </c>
      <c r="E258" s="136">
        <f t="shared" si="29"/>
        <v>28853.425594311633</v>
      </c>
      <c r="F258" s="15">
        <f t="shared" si="29"/>
        <v>2808.6303123154107</v>
      </c>
      <c r="G258" s="136">
        <f t="shared" si="29"/>
        <v>23430.017091020971</v>
      </c>
      <c r="H258" s="4"/>
    </row>
    <row r="259" spans="2:8">
      <c r="B259" s="10">
        <v>2015</v>
      </c>
      <c r="C259" s="6">
        <f t="shared" si="29"/>
        <v>742.09065628983831</v>
      </c>
      <c r="D259" s="15">
        <f t="shared" si="29"/>
        <v>12706.257816820122</v>
      </c>
      <c r="E259" s="136">
        <f t="shared" si="29"/>
        <v>20412.487774098019</v>
      </c>
      <c r="F259" s="15">
        <f t="shared" si="29"/>
        <v>163.81073279060431</v>
      </c>
      <c r="G259" s="136">
        <f t="shared" si="29"/>
        <v>13393.003989574536</v>
      </c>
    </row>
    <row r="260" spans="2:8">
      <c r="B260" s="10">
        <v>2016</v>
      </c>
      <c r="C260" s="6">
        <f t="shared" si="29"/>
        <v>771.63100375479428</v>
      </c>
      <c r="D260" s="15">
        <f t="shared" si="29"/>
        <v>13103.419643026316</v>
      </c>
      <c r="E260" s="136">
        <f t="shared" si="29"/>
        <v>16666.903175429881</v>
      </c>
      <c r="F260" s="15">
        <f t="shared" si="29"/>
        <v>152.55126804049794</v>
      </c>
      <c r="G260" s="136">
        <f t="shared" si="29"/>
        <v>12221.331951816263</v>
      </c>
    </row>
    <row r="261" spans="2:8">
      <c r="B261" s="10">
        <v>2017</v>
      </c>
      <c r="C261" s="6">
        <f t="shared" si="29"/>
        <v>786.0547215869002</v>
      </c>
      <c r="D261" s="15">
        <f t="shared" si="29"/>
        <v>13484.507096244981</v>
      </c>
      <c r="E261" s="136">
        <f t="shared" si="29"/>
        <v>17052.90578825253</v>
      </c>
      <c r="F261" s="15">
        <f t="shared" si="29"/>
        <v>219.63748195679881</v>
      </c>
      <c r="G261" s="136">
        <f t="shared" si="29"/>
        <v>12385.915323491661</v>
      </c>
    </row>
    <row r="262" spans="2:8">
      <c r="B262" s="10">
        <v>2018</v>
      </c>
      <c r="C262" s="6">
        <f t="shared" si="29"/>
        <v>802.56187074022512</v>
      </c>
      <c r="D262" s="15">
        <f t="shared" si="29"/>
        <v>13767.681745266125</v>
      </c>
      <c r="E262" s="136">
        <f t="shared" si="29"/>
        <v>17411.016809805835</v>
      </c>
      <c r="F262" s="15"/>
      <c r="G262" s="136">
        <f t="shared" si="29"/>
        <v>12646.019545284988</v>
      </c>
    </row>
  </sheetData>
  <printOptions headings="1"/>
  <pageMargins left="0.70866141732283472" right="0.70866141732283472" top="0.74803149606299213" bottom="0.74803149606299213" header="0.31496062992125984" footer="0.31496062992125984"/>
  <pageSetup paperSize="8" scale="54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3:G89"/>
  <sheetViews>
    <sheetView topLeftCell="A76" zoomScale="80" zoomScaleNormal="80" workbookViewId="0">
      <selection activeCell="M30" sqref="M30"/>
    </sheetView>
  </sheetViews>
  <sheetFormatPr defaultRowHeight="15"/>
  <cols>
    <col min="1" max="1" width="15" customWidth="1"/>
    <col min="2" max="7" width="15.7109375" customWidth="1"/>
  </cols>
  <sheetData>
    <row r="3" spans="1:7" ht="18.75">
      <c r="A3" s="45" t="s">
        <v>109</v>
      </c>
      <c r="B3" s="46"/>
      <c r="C3" s="46"/>
      <c r="D3" s="46"/>
      <c r="E3" s="46"/>
      <c r="F3" s="46"/>
      <c r="G3" s="46"/>
    </row>
    <row r="6" spans="1:7">
      <c r="A6" s="22" t="s">
        <v>110</v>
      </c>
      <c r="B6" s="3" t="s">
        <v>173</v>
      </c>
    </row>
    <row r="8" spans="1:7">
      <c r="B8" s="5"/>
      <c r="C8" s="7" t="s">
        <v>39</v>
      </c>
      <c r="D8" s="8" t="s">
        <v>40</v>
      </c>
      <c r="E8" s="8" t="s">
        <v>169</v>
      </c>
      <c r="F8" s="8" t="s">
        <v>41</v>
      </c>
      <c r="G8" s="8" t="s">
        <v>170</v>
      </c>
    </row>
    <row r="9" spans="1:7">
      <c r="A9" s="22"/>
      <c r="B9" s="10">
        <v>2008</v>
      </c>
      <c r="C9" s="6">
        <f>+'[1]Model Inputs'!E41</f>
        <v>636.77099999999996</v>
      </c>
      <c r="D9" s="15">
        <f>+'[1]Model Inputs'!F41</f>
        <v>8516.4962759922309</v>
      </c>
      <c r="E9" s="15">
        <f>+'[1]Model Inputs'!G41</f>
        <v>16357.238820000002</v>
      </c>
      <c r="F9" s="15">
        <f>+'[1]Model Inputs'!H41</f>
        <v>701</v>
      </c>
      <c r="G9" s="15">
        <f>+'[1]Model Inputs'!I41</f>
        <v>5066.3067300000002</v>
      </c>
    </row>
    <row r="10" spans="1:7">
      <c r="A10" s="22"/>
      <c r="B10" s="10">
        <v>2009</v>
      </c>
      <c r="C10" s="6">
        <f>+'[1]Model Inputs'!E42</f>
        <v>400.17500000000001</v>
      </c>
      <c r="D10" s="15">
        <f>+'[1]Model Inputs'!F42</f>
        <v>8706.9021182849192</v>
      </c>
      <c r="E10" s="15">
        <f>+'[1]Model Inputs'!G42</f>
        <v>22825.832339700271</v>
      </c>
      <c r="F10" s="15">
        <f>+'[1]Model Inputs'!H42</f>
        <v>326</v>
      </c>
      <c r="G10" s="15">
        <f>+'[1]Model Inputs'!I42</f>
        <v>5670</v>
      </c>
    </row>
    <row r="11" spans="1:7">
      <c r="B11" s="10">
        <v>2010</v>
      </c>
      <c r="C11" s="6">
        <f>+'[1]Model Inputs'!E43</f>
        <v>521</v>
      </c>
      <c r="D11" s="15">
        <f>+'[1]Model Inputs'!F43</f>
        <v>10233.565399999999</v>
      </c>
      <c r="E11" s="15">
        <f>+'[1]Model Inputs'!G43</f>
        <v>11298</v>
      </c>
      <c r="F11" s="15">
        <f>+'[1]Model Inputs'!H43</f>
        <v>896</v>
      </c>
      <c r="G11" s="15">
        <f>+'[1]Model Inputs'!I43</f>
        <v>12567</v>
      </c>
    </row>
    <row r="12" spans="1:7">
      <c r="B12" s="10">
        <v>2011</v>
      </c>
      <c r="C12" s="6">
        <f>+'[1]Model Inputs'!E44</f>
        <v>561</v>
      </c>
      <c r="D12" s="15">
        <f>+'[1]Model Inputs'!F44</f>
        <v>6461.5612851668002</v>
      </c>
      <c r="E12" s="15">
        <f>+'[1]Model Inputs'!G44</f>
        <v>21373</v>
      </c>
      <c r="F12" s="15">
        <f>+'[1]Model Inputs'!H44</f>
        <v>39</v>
      </c>
      <c r="G12" s="15">
        <f>+'[1]Model Inputs'!I44</f>
        <v>7911</v>
      </c>
    </row>
    <row r="15" spans="1:7">
      <c r="A15" s="22" t="s">
        <v>111</v>
      </c>
      <c r="B15" s="3" t="s">
        <v>172</v>
      </c>
    </row>
    <row r="17" spans="1:7">
      <c r="B17" s="5"/>
      <c r="C17" s="7" t="s">
        <v>39</v>
      </c>
      <c r="D17" s="8" t="s">
        <v>40</v>
      </c>
      <c r="E17" s="8" t="s">
        <v>169</v>
      </c>
      <c r="F17" s="8" t="s">
        <v>41</v>
      </c>
      <c r="G17" s="8" t="s">
        <v>170</v>
      </c>
    </row>
    <row r="18" spans="1:7">
      <c r="B18" s="10">
        <v>2008</v>
      </c>
      <c r="C18" s="6">
        <f>+'[1]Model Inputs'!E37</f>
        <v>107.678</v>
      </c>
      <c r="D18" s="15">
        <f>+'[1]Model Inputs'!F37</f>
        <v>1025</v>
      </c>
      <c r="E18" s="15">
        <f>+'[1]Model Inputs'!G37</f>
        <v>6069</v>
      </c>
      <c r="F18" s="15">
        <f>+'[1]Model Inputs'!H37</f>
        <v>0</v>
      </c>
      <c r="G18" s="15">
        <f>+'[1]Model Inputs'!I37</f>
        <v>6128</v>
      </c>
    </row>
    <row r="19" spans="1:7">
      <c r="B19" s="10">
        <v>2009</v>
      </c>
      <c r="C19" s="6">
        <f>+'[1]Model Inputs'!E38</f>
        <v>53.556050000000006</v>
      </c>
      <c r="D19" s="15">
        <f>+'[1]Model Inputs'!F38</f>
        <v>1519</v>
      </c>
      <c r="E19" s="15">
        <f>+'[1]Model Inputs'!G38</f>
        <v>4351</v>
      </c>
      <c r="F19" s="15">
        <f>+'[1]Model Inputs'!H38</f>
        <v>0</v>
      </c>
      <c r="G19" s="15">
        <f>+'[1]Model Inputs'!I38</f>
        <v>5457</v>
      </c>
    </row>
    <row r="20" spans="1:7">
      <c r="B20" s="10">
        <v>2010</v>
      </c>
      <c r="C20" s="6">
        <f>+'[1]Model Inputs'!E39</f>
        <v>49</v>
      </c>
      <c r="D20" s="15">
        <f>+'[1]Model Inputs'!F39</f>
        <v>818</v>
      </c>
      <c r="E20" s="15">
        <f>+'[1]Model Inputs'!G39</f>
        <v>1065</v>
      </c>
      <c r="F20" s="15">
        <f>+'[1]Model Inputs'!H39</f>
        <v>0</v>
      </c>
      <c r="G20" s="15">
        <f>+'[1]Model Inputs'!I39</f>
        <v>1943</v>
      </c>
    </row>
    <row r="21" spans="1:7">
      <c r="B21" s="10">
        <v>2011</v>
      </c>
      <c r="C21" s="6">
        <f>+'[1]Model Inputs'!E40</f>
        <v>154</v>
      </c>
      <c r="D21" s="15">
        <f>+'[1]Model Inputs'!F40</f>
        <v>1314.0441449343366</v>
      </c>
      <c r="E21" s="15">
        <f>+'[1]Model Inputs'!G40</f>
        <v>1372</v>
      </c>
      <c r="F21" s="15">
        <f>+'[1]Model Inputs'!H40</f>
        <v>28</v>
      </c>
      <c r="G21" s="15">
        <f>+'[1]Model Inputs'!I40</f>
        <v>3610</v>
      </c>
    </row>
    <row r="24" spans="1:7">
      <c r="A24" s="22" t="s">
        <v>112</v>
      </c>
      <c r="B24" s="3" t="s">
        <v>171</v>
      </c>
    </row>
    <row r="25" spans="1:7">
      <c r="A25" s="22"/>
      <c r="B25" s="3"/>
    </row>
    <row r="26" spans="1:7">
      <c r="A26" s="22"/>
      <c r="B26" s="5"/>
      <c r="C26" s="7" t="s">
        <v>39</v>
      </c>
      <c r="D26" s="8" t="s">
        <v>40</v>
      </c>
      <c r="E26" s="8" t="s">
        <v>169</v>
      </c>
      <c r="F26" s="8" t="s">
        <v>41</v>
      </c>
      <c r="G26" s="8" t="s">
        <v>170</v>
      </c>
    </row>
    <row r="27" spans="1:7">
      <c r="A27" s="22"/>
      <c r="B27" s="10">
        <v>2012</v>
      </c>
      <c r="C27" s="122">
        <f>+'[1]Model Inputs'!E46</f>
        <v>560</v>
      </c>
      <c r="D27" s="115">
        <f>+'[1]Model Inputs'!F46</f>
        <v>9909.5943309000013</v>
      </c>
      <c r="E27" s="135">
        <v>18687</v>
      </c>
      <c r="F27" s="115">
        <f>+'[1]Model Inputs'!H46</f>
        <v>1966</v>
      </c>
      <c r="G27" s="136">
        <v>14100</v>
      </c>
    </row>
    <row r="28" spans="1:7">
      <c r="A28" s="22"/>
      <c r="B28" s="10">
        <v>2013</v>
      </c>
      <c r="C28" s="122">
        <f>+'[1]Model Inputs'!E47</f>
        <v>606</v>
      </c>
      <c r="D28" s="115">
        <f>+'[1]Model Inputs'!F47</f>
        <v>9651.3120772688599</v>
      </c>
      <c r="E28" s="135">
        <v>20704</v>
      </c>
      <c r="F28" s="115">
        <f>+'[1]Model Inputs'!H47</f>
        <v>4420</v>
      </c>
      <c r="G28" s="136">
        <v>17808</v>
      </c>
    </row>
    <row r="29" spans="1:7">
      <c r="A29" s="22"/>
      <c r="B29" s="10">
        <v>2014</v>
      </c>
      <c r="C29" s="122">
        <f>+'[1]Model Inputs'!E48</f>
        <v>593</v>
      </c>
      <c r="D29" s="115">
        <f>+'[1]Model Inputs'!F48</f>
        <v>9785.0324777951391</v>
      </c>
      <c r="E29" s="135">
        <v>24534</v>
      </c>
      <c r="F29" s="115">
        <f>+'[1]Model Inputs'!H48</f>
        <v>40060</v>
      </c>
      <c r="G29" s="136">
        <v>35312</v>
      </c>
    </row>
    <row r="30" spans="1:7">
      <c r="A30" s="22"/>
      <c r="B30" s="10">
        <v>2015</v>
      </c>
      <c r="C30" s="122">
        <f>+'[1]Model Inputs'!E49</f>
        <v>608</v>
      </c>
      <c r="D30" s="115">
        <f>+'[1]Model Inputs'!F49</f>
        <v>10864.937265279001</v>
      </c>
      <c r="E30" s="135">
        <v>15973</v>
      </c>
      <c r="F30" s="115">
        <f>+'[1]Model Inputs'!H49</f>
        <v>2185</v>
      </c>
      <c r="G30" s="136">
        <v>16028</v>
      </c>
    </row>
    <row r="31" spans="1:7">
      <c r="A31" s="22"/>
      <c r="B31" s="10">
        <v>2016</v>
      </c>
      <c r="C31" s="122">
        <f>+'[1]Model Inputs'!E50</f>
        <v>619</v>
      </c>
      <c r="D31" s="115">
        <f>+'[1]Model Inputs'!F50</f>
        <v>10953.5738070922</v>
      </c>
      <c r="E31" s="135">
        <v>12073</v>
      </c>
      <c r="F31" s="115">
        <f>+'[1]Model Inputs'!H50</f>
        <v>1980</v>
      </c>
      <c r="G31" s="136">
        <v>13368</v>
      </c>
    </row>
    <row r="32" spans="1:7">
      <c r="A32" s="22"/>
      <c r="B32" s="10">
        <v>2017</v>
      </c>
      <c r="C32" s="122">
        <f>+'[1]Model Inputs'!E51</f>
        <v>617</v>
      </c>
      <c r="D32" s="115">
        <f>+'[1]Model Inputs'!F51</f>
        <v>11042.948392079799</v>
      </c>
      <c r="E32" s="135">
        <v>12097</v>
      </c>
      <c r="F32" s="115">
        <f>+'[1]Model Inputs'!H51</f>
        <v>2835</v>
      </c>
      <c r="G32" s="136">
        <v>13195</v>
      </c>
    </row>
    <row r="33" spans="1:7">
      <c r="A33" s="22"/>
      <c r="B33" s="3"/>
    </row>
    <row r="34" spans="1:7">
      <c r="A34" s="22"/>
      <c r="B34" s="3"/>
    </row>
    <row r="35" spans="1:7">
      <c r="A35" s="22" t="s">
        <v>113</v>
      </c>
      <c r="B35" s="3" t="s">
        <v>115</v>
      </c>
    </row>
    <row r="36" spans="1:7">
      <c r="A36" s="22"/>
      <c r="B36" s="3"/>
    </row>
    <row r="37" spans="1:7">
      <c r="A37" s="22"/>
      <c r="B37" s="30" t="s">
        <v>115</v>
      </c>
      <c r="D37" s="1">
        <v>1.2</v>
      </c>
    </row>
    <row r="38" spans="1:7">
      <c r="A38" s="22"/>
      <c r="B38" s="3"/>
    </row>
    <row r="39" spans="1:7">
      <c r="A39" s="22"/>
      <c r="B39" s="3"/>
    </row>
    <row r="40" spans="1:7">
      <c r="A40" s="22" t="s">
        <v>114</v>
      </c>
      <c r="B40" s="3" t="s">
        <v>116</v>
      </c>
    </row>
    <row r="42" spans="1:7" ht="15.75">
      <c r="B42" t="s">
        <v>118</v>
      </c>
      <c r="F42" s="47"/>
    </row>
    <row r="43" spans="1:7">
      <c r="B43" s="8" t="s">
        <v>46</v>
      </c>
      <c r="C43" s="8" t="s">
        <v>42</v>
      </c>
      <c r="F43" s="13"/>
      <c r="G43" s="10"/>
    </row>
    <row r="44" spans="1:7">
      <c r="B44" s="11">
        <v>39355</v>
      </c>
      <c r="C44" s="123"/>
      <c r="D44" s="21"/>
      <c r="E44" s="21"/>
      <c r="F44" s="21"/>
      <c r="G44" s="10"/>
    </row>
    <row r="45" spans="1:7">
      <c r="B45" s="11">
        <v>39447</v>
      </c>
      <c r="C45" s="123"/>
      <c r="D45" s="21"/>
      <c r="E45" s="21"/>
      <c r="F45" s="21"/>
      <c r="G45" s="10"/>
    </row>
    <row r="46" spans="1:7">
      <c r="B46" s="11">
        <v>39538</v>
      </c>
      <c r="C46" s="123"/>
      <c r="D46" s="21"/>
      <c r="E46" s="21"/>
      <c r="F46" s="21"/>
      <c r="G46" s="10"/>
    </row>
    <row r="47" spans="1:7">
      <c r="B47" s="11">
        <v>39629</v>
      </c>
      <c r="C47" s="123"/>
      <c r="D47" s="21"/>
      <c r="E47" s="21"/>
      <c r="F47" s="21"/>
      <c r="G47" s="10"/>
    </row>
    <row r="48" spans="1:7">
      <c r="B48" s="11">
        <v>39721</v>
      </c>
      <c r="C48" s="123"/>
      <c r="D48" s="21"/>
      <c r="E48" s="21"/>
      <c r="F48" s="21"/>
      <c r="G48" s="10"/>
    </row>
    <row r="49" spans="2:7">
      <c r="B49" s="11">
        <v>39813</v>
      </c>
      <c r="C49" s="123"/>
      <c r="D49" s="21"/>
      <c r="E49" s="21"/>
      <c r="F49" s="21"/>
      <c r="G49" s="10"/>
    </row>
    <row r="50" spans="2:7">
      <c r="B50" s="11">
        <v>39903</v>
      </c>
      <c r="C50" s="123"/>
      <c r="D50" s="21"/>
      <c r="E50" s="21"/>
      <c r="F50" s="21"/>
      <c r="G50" s="10"/>
    </row>
    <row r="51" spans="2:7">
      <c r="B51" s="11">
        <v>39994</v>
      </c>
      <c r="C51" s="123"/>
      <c r="D51" s="21"/>
      <c r="E51" s="21"/>
      <c r="F51" s="21"/>
      <c r="G51" s="10"/>
    </row>
    <row r="52" spans="2:7">
      <c r="B52" s="11">
        <v>40086</v>
      </c>
      <c r="C52" s="123"/>
      <c r="D52" s="21"/>
      <c r="E52" s="21"/>
      <c r="F52" s="21"/>
      <c r="G52" s="10"/>
    </row>
    <row r="53" spans="2:7">
      <c r="B53" s="11">
        <v>40178</v>
      </c>
      <c r="C53" s="123"/>
      <c r="D53" s="21"/>
      <c r="E53" s="21"/>
      <c r="F53" s="21"/>
      <c r="G53" s="10"/>
    </row>
    <row r="54" spans="2:7">
      <c r="B54" s="11">
        <v>40268</v>
      </c>
      <c r="C54" s="123"/>
      <c r="D54" s="21"/>
      <c r="E54" s="21"/>
      <c r="F54" s="21"/>
      <c r="G54" s="10"/>
    </row>
    <row r="55" spans="2:7">
      <c r="B55" s="11">
        <v>40359</v>
      </c>
      <c r="C55" s="123"/>
      <c r="D55" s="21"/>
      <c r="E55" s="21"/>
      <c r="F55" s="21"/>
      <c r="G55" s="10"/>
    </row>
    <row r="56" spans="2:7">
      <c r="B56" s="11">
        <v>40451</v>
      </c>
      <c r="C56" s="123"/>
      <c r="D56" s="21"/>
      <c r="E56" s="21"/>
      <c r="F56" s="21"/>
      <c r="G56" s="10"/>
    </row>
    <row r="57" spans="2:7">
      <c r="B57" s="11">
        <v>40543</v>
      </c>
      <c r="C57" s="123"/>
      <c r="D57" s="21"/>
      <c r="E57" s="21"/>
      <c r="F57" s="21"/>
      <c r="G57" s="10"/>
    </row>
    <row r="58" spans="2:7">
      <c r="B58" s="11">
        <v>40633</v>
      </c>
      <c r="C58" s="123"/>
      <c r="D58" s="21"/>
      <c r="E58" s="21"/>
      <c r="F58" s="21"/>
      <c r="G58" s="10"/>
    </row>
    <row r="59" spans="2:7">
      <c r="B59" s="11">
        <v>40724</v>
      </c>
      <c r="C59" s="123"/>
      <c r="D59" s="21"/>
      <c r="E59" s="21"/>
      <c r="F59" s="21"/>
    </row>
    <row r="60" spans="2:7">
      <c r="B60" s="11">
        <v>40816</v>
      </c>
      <c r="C60" s="123"/>
      <c r="D60" s="21"/>
      <c r="E60" s="21"/>
      <c r="F60" s="21"/>
    </row>
    <row r="61" spans="2:7">
      <c r="B61" s="11">
        <v>40908</v>
      </c>
      <c r="C61" s="123"/>
      <c r="D61" s="21"/>
      <c r="E61" s="21"/>
      <c r="F61" s="21"/>
    </row>
    <row r="62" spans="2:7">
      <c r="B62" s="11">
        <v>40999</v>
      </c>
      <c r="C62" s="123"/>
      <c r="D62" s="21"/>
      <c r="E62" s="21"/>
      <c r="F62" s="21"/>
    </row>
    <row r="63" spans="2:7">
      <c r="B63" s="11">
        <v>41090</v>
      </c>
      <c r="C63" s="123"/>
      <c r="D63" s="21"/>
      <c r="E63" s="21"/>
      <c r="F63" s="21"/>
    </row>
    <row r="64" spans="2:7">
      <c r="B64" s="11">
        <v>41182</v>
      </c>
      <c r="C64" s="123"/>
      <c r="D64" s="21"/>
      <c r="E64" s="21"/>
      <c r="F64" s="21"/>
    </row>
    <row r="65" spans="2:6">
      <c r="B65" s="11">
        <v>41274</v>
      </c>
      <c r="C65" s="123"/>
      <c r="D65" s="21"/>
      <c r="E65" s="21"/>
      <c r="F65" s="21"/>
    </row>
    <row r="66" spans="2:6">
      <c r="B66" s="11">
        <v>41364</v>
      </c>
      <c r="C66" s="123"/>
      <c r="D66" s="21"/>
      <c r="E66" s="21"/>
      <c r="F66" s="21"/>
    </row>
    <row r="67" spans="2:6">
      <c r="B67" s="11">
        <v>41455</v>
      </c>
      <c r="C67" s="123"/>
      <c r="D67" s="21"/>
      <c r="E67" s="21"/>
      <c r="F67" s="21"/>
    </row>
    <row r="68" spans="2:6">
      <c r="B68" s="11">
        <v>41547</v>
      </c>
      <c r="C68" s="123"/>
      <c r="D68" s="21"/>
      <c r="E68" s="21"/>
      <c r="F68" s="21"/>
    </row>
    <row r="69" spans="2:6">
      <c r="B69" s="11">
        <v>41639</v>
      </c>
      <c r="C69" s="123"/>
      <c r="D69" s="21"/>
      <c r="E69" s="21"/>
      <c r="F69" s="21"/>
    </row>
    <row r="70" spans="2:6">
      <c r="B70" s="11">
        <v>41729</v>
      </c>
      <c r="C70" s="123"/>
      <c r="D70" s="21"/>
    </row>
    <row r="71" spans="2:6">
      <c r="B71" s="11">
        <v>41820</v>
      </c>
      <c r="C71" s="123"/>
      <c r="D71" s="21"/>
    </row>
    <row r="72" spans="2:6">
      <c r="B72" s="11">
        <v>41912</v>
      </c>
      <c r="C72" s="123"/>
      <c r="D72" s="21"/>
    </row>
    <row r="73" spans="2:6">
      <c r="B73" s="11">
        <v>42004</v>
      </c>
      <c r="C73" s="123"/>
      <c r="D73" s="21"/>
    </row>
    <row r="74" spans="2:6">
      <c r="B74" s="11">
        <v>42094</v>
      </c>
      <c r="C74" s="123"/>
      <c r="D74" s="21"/>
    </row>
    <row r="75" spans="2:6">
      <c r="B75" s="11">
        <v>42185</v>
      </c>
      <c r="C75" s="123"/>
      <c r="D75" s="21"/>
    </row>
    <row r="76" spans="2:6">
      <c r="B76" s="11">
        <v>42277</v>
      </c>
      <c r="C76" s="123"/>
      <c r="D76" s="21"/>
    </row>
    <row r="77" spans="2:6">
      <c r="B77" s="11">
        <v>42369</v>
      </c>
      <c r="C77" s="123"/>
      <c r="D77" s="21"/>
    </row>
    <row r="78" spans="2:6">
      <c r="B78" s="11">
        <v>42460</v>
      </c>
      <c r="C78" s="123"/>
      <c r="D78" s="21"/>
    </row>
    <row r="79" spans="2:6">
      <c r="B79" s="11">
        <v>42551</v>
      </c>
      <c r="C79" s="123"/>
      <c r="D79" s="21"/>
    </row>
    <row r="80" spans="2:6">
      <c r="B80" s="11">
        <v>42643</v>
      </c>
      <c r="C80" s="123"/>
      <c r="D80" s="21"/>
    </row>
    <row r="81" spans="2:4">
      <c r="B81" s="11">
        <v>42735</v>
      </c>
      <c r="C81" s="123"/>
      <c r="D81" s="21"/>
    </row>
    <row r="82" spans="2:4">
      <c r="B82" s="11">
        <v>42825</v>
      </c>
      <c r="C82" s="123"/>
      <c r="D82" s="21"/>
    </row>
    <row r="83" spans="2:4">
      <c r="B83" s="11">
        <v>42916</v>
      </c>
      <c r="C83" s="123"/>
      <c r="D83" s="21"/>
    </row>
    <row r="84" spans="2:4">
      <c r="B84" s="11">
        <v>43008</v>
      </c>
      <c r="C84" s="123"/>
      <c r="D84" s="21"/>
    </row>
    <row r="85" spans="2:4">
      <c r="B85" s="11">
        <v>43100</v>
      </c>
      <c r="C85" s="123"/>
      <c r="D85" s="21"/>
    </row>
    <row r="86" spans="2:4">
      <c r="B86" s="11">
        <v>43190</v>
      </c>
      <c r="C86" s="123"/>
      <c r="D86" s="21"/>
    </row>
    <row r="87" spans="2:4">
      <c r="B87" s="11">
        <v>43281</v>
      </c>
      <c r="C87" s="123"/>
      <c r="D87" s="21"/>
    </row>
    <row r="88" spans="2:4">
      <c r="D88" s="21"/>
    </row>
    <row r="89" spans="2:4">
      <c r="D89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Output</vt:lpstr>
      <vt:lpstr>Opex</vt:lpstr>
      <vt:lpstr>Opex Inputs</vt:lpstr>
      <vt:lpstr>Capex</vt:lpstr>
      <vt:lpstr>Capex Inputs</vt:lpstr>
    </vt:vector>
  </TitlesOfParts>
  <Company>Commerce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Young</dc:creator>
  <cp:lastModifiedBy>Paul Ware</cp:lastModifiedBy>
  <cp:lastPrinted>2012-10-03T19:57:53Z</cp:lastPrinted>
  <dcterms:created xsi:type="dcterms:W3CDTF">2012-09-24T22:24:00Z</dcterms:created>
  <dcterms:modified xsi:type="dcterms:W3CDTF">2012-10-23T08:33:46Z</dcterms:modified>
</cp:coreProperties>
</file>