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codeName="ThisWorkbook"/>
  <xr:revisionPtr revIDLastSave="0" documentId="13_ncr:1_{65A7560F-605E-4CC0-BEA1-E78AC84BB6B2}" xr6:coauthVersionLast="43" xr6:coauthVersionMax="43" xr10:uidLastSave="{00000000-0000-0000-0000-000000000000}"/>
  <bookViews>
    <workbookView xWindow="-120" yWindow="-120" windowWidth="29040" windowHeight="15840" firstSheet="1" activeTab="1" xr2:uid="{00000000-000D-0000-FFFF-FFFF00000000}"/>
  </bookViews>
  <sheets>
    <sheet name="CoverSheet" sheetId="18" r:id="rId1"/>
    <sheet name="Table of Contents" sheetId="19" r:id="rId2"/>
    <sheet name="Description" sheetId="10" r:id="rId3"/>
    <sheet name="Equivalence calculations" sheetId="12" r:id="rId4"/>
    <sheet name="IRIS Capex incentives" sheetId="13" r:id="rId5"/>
    <sheet name="IRIS Opex incentives" sheetId="14" r:id="rId6"/>
    <sheet name="IRIS Opex permanent saving" sheetId="15" r:id="rId7"/>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"6S1JHEHENLE191V518WIWCLK"</definedName>
    <definedName name="_xlnm.Print_Area" localSheetId="0">CoverSheet!$A$1:$D$18</definedName>
    <definedName name="_xlnm.Print_Area" localSheetId="3">'Equivalence calculations'!$A$1:$BH$127</definedName>
    <definedName name="_xlnm.Print_Area" localSheetId="4">'IRIS Capex incentives'!$A$1:$N$49</definedName>
    <definedName name="_xlnm.Print_Area" localSheetId="5">'IRIS Opex incentives'!$A$1:$O$33</definedName>
    <definedName name="_xlnm.Print_Area" localSheetId="6">'IRIS Opex permanent saving'!$A$1:$X$127</definedName>
    <definedName name="_xlnm.Print_Area" localSheetId="1">'Table of Contents'!$A$1:$D$22</definedName>
    <definedName name="RiskAfterRecalcMacro" hidden="1">""</definedName>
    <definedName name="RiskAfterSimMacro" hidden="1">""</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Z_2F530BD0_D284_4ADF_AC7F_C1C966DD4D52_.wvu.PrintArea" localSheetId="0" hidden="1">CoverSheet!$A$1:$D$18</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14" l="1"/>
  <c r="G6" i="14"/>
  <c r="F6" i="14"/>
  <c r="E6" i="14"/>
  <c r="I6" i="14"/>
  <c r="K53" i="12" l="1"/>
  <c r="M78" i="12" l="1"/>
  <c r="E78" i="12"/>
  <c r="F78" i="12"/>
  <c r="G78" i="12"/>
  <c r="H78" i="12"/>
  <c r="I78" i="12"/>
  <c r="J78" i="12"/>
  <c r="L78" i="12"/>
  <c r="N78" i="12"/>
  <c r="O78" i="12"/>
  <c r="Q78" i="12"/>
  <c r="R78" i="12"/>
  <c r="S78" i="12"/>
  <c r="T78" i="12"/>
  <c r="D78" i="12"/>
  <c r="B78" i="12"/>
  <c r="X40" i="12" l="1"/>
  <c r="A40" i="12"/>
  <c r="M16" i="15"/>
  <c r="L16" i="15"/>
  <c r="A124" i="12"/>
  <c r="A123" i="12"/>
  <c r="Q39" i="12"/>
  <c r="R39" i="12"/>
  <c r="S39" i="12"/>
  <c r="T39" i="12"/>
  <c r="U39" i="12"/>
  <c r="X71" i="12"/>
  <c r="B77" i="12"/>
  <c r="B79" i="12"/>
  <c r="B76" i="12"/>
  <c r="H12" i="14" l="1"/>
  <c r="I16" i="15"/>
  <c r="J16" i="15"/>
  <c r="J111" i="15" s="1"/>
  <c r="K16" i="15"/>
  <c r="K111" i="15" s="1"/>
  <c r="K113" i="15" s="1"/>
  <c r="H13" i="14"/>
  <c r="I13" i="14"/>
  <c r="C9" i="14"/>
  <c r="C25" i="14" s="1"/>
  <c r="D13" i="13"/>
  <c r="E13" i="13"/>
  <c r="F13" i="13"/>
  <c r="G13" i="13"/>
  <c r="H13" i="13"/>
  <c r="B12" i="13"/>
  <c r="B11" i="13"/>
  <c r="B38" i="13" s="1"/>
  <c r="X112" i="15"/>
  <c r="W112" i="15"/>
  <c r="V112" i="15"/>
  <c r="U112" i="15"/>
  <c r="T112" i="15"/>
  <c r="S112" i="15"/>
  <c r="R112" i="15"/>
  <c r="Q112" i="15"/>
  <c r="P112" i="15"/>
  <c r="O112" i="15"/>
  <c r="N112" i="15"/>
  <c r="M112" i="15"/>
  <c r="L112" i="15"/>
  <c r="K112" i="15"/>
  <c r="J112" i="15"/>
  <c r="I112" i="15"/>
  <c r="X111" i="15"/>
  <c r="X113" i="15" s="1"/>
  <c r="W111" i="15"/>
  <c r="W113" i="15" s="1"/>
  <c r="V111" i="15"/>
  <c r="V113" i="15" s="1"/>
  <c r="U111" i="15"/>
  <c r="U113" i="15" s="1"/>
  <c r="T111" i="15"/>
  <c r="T113" i="15" s="1"/>
  <c r="S111" i="15"/>
  <c r="S113" i="15" s="1"/>
  <c r="R111" i="15"/>
  <c r="R113" i="15" s="1"/>
  <c r="Q111" i="15"/>
  <c r="Q113" i="15" s="1"/>
  <c r="P111" i="15"/>
  <c r="P113" i="15" s="1"/>
  <c r="O111" i="15"/>
  <c r="O113" i="15" s="1"/>
  <c r="N111" i="15"/>
  <c r="N113" i="15" s="1"/>
  <c r="M108" i="15"/>
  <c r="L108" i="15"/>
  <c r="K108" i="15"/>
  <c r="J108" i="15"/>
  <c r="I108" i="15"/>
  <c r="X65" i="15"/>
  <c r="W65" i="15"/>
  <c r="R65" i="15"/>
  <c r="S77" i="15" s="1"/>
  <c r="T77" i="15" s="1"/>
  <c r="U77" i="15" s="1"/>
  <c r="V77" i="15" s="1"/>
  <c r="W77" i="15" s="1"/>
  <c r="W81" i="15" s="1"/>
  <c r="W108" i="15" s="1"/>
  <c r="M65" i="15"/>
  <c r="N72" i="15" s="1"/>
  <c r="O72" i="15" s="1"/>
  <c r="P72" i="15" s="1"/>
  <c r="Q72" i="15" s="1"/>
  <c r="R72" i="15" s="1"/>
  <c r="R81" i="15" s="1"/>
  <c r="R108" i="15" s="1"/>
  <c r="M45" i="15"/>
  <c r="M48" i="15" s="1"/>
  <c r="M41" i="15"/>
  <c r="L41" i="15"/>
  <c r="L45" i="15" s="1"/>
  <c r="L48" i="15" s="1"/>
  <c r="K41" i="15"/>
  <c r="K45" i="15" s="1"/>
  <c r="K48" i="15" s="1"/>
  <c r="J41" i="15"/>
  <c r="J45" i="15" s="1"/>
  <c r="J48" i="15" s="1"/>
  <c r="I41" i="15"/>
  <c r="I45" i="15" s="1"/>
  <c r="I48" i="15" s="1"/>
  <c r="M32" i="15"/>
  <c r="M36" i="15" s="1"/>
  <c r="M39" i="15" s="1"/>
  <c r="L32" i="15"/>
  <c r="L36" i="15" s="1"/>
  <c r="L39" i="15" s="1"/>
  <c r="K32" i="15"/>
  <c r="J32" i="15"/>
  <c r="J36" i="15" s="1"/>
  <c r="J39" i="15" s="1"/>
  <c r="J117" i="15" s="1"/>
  <c r="I32" i="15"/>
  <c r="I36" i="15" s="1"/>
  <c r="I39" i="15" s="1"/>
  <c r="M29" i="15"/>
  <c r="M30" i="15" s="1"/>
  <c r="L29" i="15"/>
  <c r="L30" i="15" s="1"/>
  <c r="K29" i="15"/>
  <c r="K30" i="15" s="1"/>
  <c r="J29" i="15"/>
  <c r="J30" i="15" s="1"/>
  <c r="I29" i="15"/>
  <c r="I30" i="15" s="1"/>
  <c r="I27" i="15"/>
  <c r="K26" i="15"/>
  <c r="K27" i="15" s="1"/>
  <c r="J26" i="15"/>
  <c r="J27" i="15" s="1"/>
  <c r="J25" i="15"/>
  <c r="K25" i="15" s="1"/>
  <c r="L25" i="15" s="1"/>
  <c r="M25" i="15" s="1"/>
  <c r="N25" i="15" s="1"/>
  <c r="O25" i="15" s="1"/>
  <c r="P25" i="15" s="1"/>
  <c r="Q25" i="15" s="1"/>
  <c r="R25" i="15" s="1"/>
  <c r="S25" i="15" s="1"/>
  <c r="T25" i="15" s="1"/>
  <c r="U25" i="15" s="1"/>
  <c r="V25" i="15" s="1"/>
  <c r="W25" i="15" s="1"/>
  <c r="X25" i="15" s="1"/>
  <c r="N20" i="14"/>
  <c r="G13" i="14"/>
  <c r="F13" i="14"/>
  <c r="E13" i="14"/>
  <c r="I12" i="14"/>
  <c r="G12" i="14"/>
  <c r="F12" i="14"/>
  <c r="E12" i="14"/>
  <c r="E16" i="14" s="1"/>
  <c r="B26" i="13"/>
  <c r="F22" i="13"/>
  <c r="E22" i="13"/>
  <c r="D22" i="13"/>
  <c r="H21" i="13"/>
  <c r="G21" i="13"/>
  <c r="F21" i="13"/>
  <c r="E21" i="13"/>
  <c r="D21" i="13"/>
  <c r="G20" i="13"/>
  <c r="G31" i="13" s="1"/>
  <c r="R55" i="12"/>
  <c r="S55" i="12"/>
  <c r="T55" i="12"/>
  <c r="U55" i="12"/>
  <c r="G17" i="14" l="1"/>
  <c r="L26" i="15"/>
  <c r="L27" i="15" s="1"/>
  <c r="I117" i="15"/>
  <c r="M117" i="15"/>
  <c r="J113" i="15"/>
  <c r="M111" i="15"/>
  <c r="M113" i="15" s="1"/>
  <c r="L111" i="15"/>
  <c r="L113" i="15" s="1"/>
  <c r="J44" i="15"/>
  <c r="I111" i="15"/>
  <c r="K44" i="15"/>
  <c r="I44" i="15"/>
  <c r="I50" i="15" s="1"/>
  <c r="H17" i="14"/>
  <c r="M20" i="14" s="1"/>
  <c r="C21" i="14"/>
  <c r="C23" i="14" s="1"/>
  <c r="N27" i="14" s="1"/>
  <c r="N28" i="14" s="1"/>
  <c r="C13" i="14"/>
  <c r="J35" i="15"/>
  <c r="M26" i="15"/>
  <c r="K36" i="15"/>
  <c r="K39" i="15" s="1"/>
  <c r="K117" i="15" s="1"/>
  <c r="K35" i="15"/>
  <c r="M35" i="15"/>
  <c r="L117" i="15"/>
  <c r="I35" i="15"/>
  <c r="L35" i="15"/>
  <c r="F17" i="14"/>
  <c r="C12" i="14"/>
  <c r="D31" i="13"/>
  <c r="D33" i="13" s="1"/>
  <c r="D34" i="13" s="1"/>
  <c r="D20" i="13"/>
  <c r="H20" i="13"/>
  <c r="H31" i="13" s="1"/>
  <c r="E20" i="13"/>
  <c r="E32" i="13" s="1"/>
  <c r="B21" i="13"/>
  <c r="F20" i="13"/>
  <c r="F32" i="13" s="1"/>
  <c r="D32" i="13"/>
  <c r="I113" i="15" l="1"/>
  <c r="I116" i="15"/>
  <c r="I118" i="15" s="1"/>
  <c r="I53" i="15"/>
  <c r="I65" i="15" s="1"/>
  <c r="J68" i="15" s="1"/>
  <c r="K68" i="15" s="1"/>
  <c r="L68" i="15" s="1"/>
  <c r="M68" i="15" s="1"/>
  <c r="N68" i="15" s="1"/>
  <c r="J116" i="15"/>
  <c r="J118" i="15" s="1"/>
  <c r="M44" i="15"/>
  <c r="M116" i="15" s="1"/>
  <c r="M118" i="15" s="1"/>
  <c r="J54" i="15"/>
  <c r="J65" i="15" s="1"/>
  <c r="K69" i="15" s="1"/>
  <c r="L69" i="15" s="1"/>
  <c r="M69" i="15" s="1"/>
  <c r="N69" i="15" s="1"/>
  <c r="O69" i="15" s="1"/>
  <c r="K20" i="14"/>
  <c r="L20" i="14"/>
  <c r="K54" i="15"/>
  <c r="K65" i="15" s="1"/>
  <c r="L70" i="15" s="1"/>
  <c r="M70" i="15" s="1"/>
  <c r="N70" i="15" s="1"/>
  <c r="O70" i="15" s="1"/>
  <c r="P70" i="15" s="1"/>
  <c r="L44" i="15"/>
  <c r="L116" i="15" s="1"/>
  <c r="L118" i="15" s="1"/>
  <c r="K116" i="15"/>
  <c r="K118" i="15" s="1"/>
  <c r="K50" i="15"/>
  <c r="L27" i="14"/>
  <c r="L28" i="14" s="1"/>
  <c r="J50" i="15"/>
  <c r="K27" i="14"/>
  <c r="M27" i="14"/>
  <c r="M28" i="14" s="1"/>
  <c r="N33" i="15"/>
  <c r="M27" i="15"/>
  <c r="N26" i="15"/>
  <c r="J20" i="14"/>
  <c r="J28" i="14" s="1"/>
  <c r="F31" i="13"/>
  <c r="F33" i="13" s="1"/>
  <c r="F34" i="13" s="1"/>
  <c r="E31" i="13"/>
  <c r="E33" i="13" s="1"/>
  <c r="E34" i="13" s="1"/>
  <c r="L50" i="15" l="1"/>
  <c r="M50" i="15"/>
  <c r="K28" i="14"/>
  <c r="B32" i="14" s="1"/>
  <c r="O84" i="15"/>
  <c r="Q44" i="15"/>
  <c r="R44" i="15"/>
  <c r="P44" i="15"/>
  <c r="N42" i="15"/>
  <c r="N44" i="15"/>
  <c r="L54" i="15"/>
  <c r="L65" i="15" s="1"/>
  <c r="M71" i="15" s="1"/>
  <c r="N71" i="15" s="1"/>
  <c r="O44" i="15"/>
  <c r="N27" i="15"/>
  <c r="O26" i="15"/>
  <c r="P33" i="15"/>
  <c r="R33" i="15"/>
  <c r="N37" i="15"/>
  <c r="N39" i="15" s="1"/>
  <c r="N35" i="15"/>
  <c r="Q33" i="15"/>
  <c r="O33" i="15"/>
  <c r="N116" i="15" l="1"/>
  <c r="N53" i="15"/>
  <c r="N65" i="15" s="1"/>
  <c r="O73" i="15" s="1"/>
  <c r="P73" i="15" s="1"/>
  <c r="Q73" i="15" s="1"/>
  <c r="R73" i="15" s="1"/>
  <c r="S73" i="15" s="1"/>
  <c r="N46" i="15"/>
  <c r="N48" i="15" s="1"/>
  <c r="O42" i="15"/>
  <c r="N50" i="15"/>
  <c r="R42" i="15"/>
  <c r="P42" i="15"/>
  <c r="Q42" i="15"/>
  <c r="O71" i="15"/>
  <c r="N81" i="15"/>
  <c r="N108" i="15" s="1"/>
  <c r="W44" i="15"/>
  <c r="V44" i="15"/>
  <c r="T44" i="15"/>
  <c r="S44" i="15"/>
  <c r="U44" i="15"/>
  <c r="S43" i="15"/>
  <c r="P26" i="15"/>
  <c r="O27" i="15"/>
  <c r="Q37" i="15"/>
  <c r="Q39" i="15" s="1"/>
  <c r="Q35" i="15"/>
  <c r="P37" i="15"/>
  <c r="P39" i="15" s="1"/>
  <c r="P35" i="15"/>
  <c r="P116" i="15" s="1"/>
  <c r="O37" i="15"/>
  <c r="O39" i="15" s="1"/>
  <c r="O35" i="15"/>
  <c r="O116" i="15" s="1"/>
  <c r="R35" i="15"/>
  <c r="R116" i="15" s="1"/>
  <c r="R37" i="15"/>
  <c r="R39" i="15" s="1"/>
  <c r="N117" i="15" l="1"/>
  <c r="N118" i="15" s="1"/>
  <c r="V43" i="15"/>
  <c r="S47" i="15"/>
  <c r="S48" i="15" s="1"/>
  <c r="S53" i="15"/>
  <c r="S65" i="15" s="1"/>
  <c r="T78" i="15" s="1"/>
  <c r="U78" i="15" s="1"/>
  <c r="V78" i="15" s="1"/>
  <c r="W78" i="15" s="1"/>
  <c r="X78" i="15" s="1"/>
  <c r="T43" i="15"/>
  <c r="S50" i="15"/>
  <c r="U43" i="15"/>
  <c r="W43" i="15"/>
  <c r="Q46" i="15"/>
  <c r="Q48" i="15" s="1"/>
  <c r="Q50" i="15"/>
  <c r="Q54" i="15"/>
  <c r="Q65" i="15" s="1"/>
  <c r="R76" i="15" s="1"/>
  <c r="S76" i="15" s="1"/>
  <c r="T76" i="15" s="1"/>
  <c r="U76" i="15" s="1"/>
  <c r="V76" i="15" s="1"/>
  <c r="V81" i="15" s="1"/>
  <c r="V108" i="15" s="1"/>
  <c r="O46" i="15"/>
  <c r="O48" i="15" s="1"/>
  <c r="O50" i="15"/>
  <c r="O54" i="15"/>
  <c r="O65" i="15" s="1"/>
  <c r="P74" i="15" s="1"/>
  <c r="Q74" i="15" s="1"/>
  <c r="R74" i="15" s="1"/>
  <c r="S74" i="15" s="1"/>
  <c r="X44" i="15"/>
  <c r="X43" i="15"/>
  <c r="P71" i="15"/>
  <c r="O81" i="15"/>
  <c r="O108" i="15" s="1"/>
  <c r="P46" i="15"/>
  <c r="P48" i="15" s="1"/>
  <c r="P50" i="15"/>
  <c r="P54" i="15"/>
  <c r="P65" i="15" s="1"/>
  <c r="Q75" i="15" s="1"/>
  <c r="R75" i="15" s="1"/>
  <c r="S75" i="15" s="1"/>
  <c r="T75" i="15" s="1"/>
  <c r="U75" i="15" s="1"/>
  <c r="R46" i="15"/>
  <c r="R48" i="15" s="1"/>
  <c r="R117" i="15" s="1"/>
  <c r="R118" i="15" s="1"/>
  <c r="R50" i="15"/>
  <c r="T84" i="15"/>
  <c r="Q26" i="15"/>
  <c r="P27" i="15"/>
  <c r="Q116" i="15"/>
  <c r="S34" i="15"/>
  <c r="U81" i="15" l="1"/>
  <c r="U108" i="15" s="1"/>
  <c r="O117" i="15"/>
  <c r="O118" i="15" s="1"/>
  <c r="T47" i="15"/>
  <c r="T48" i="15" s="1"/>
  <c r="T50" i="15"/>
  <c r="T54" i="15"/>
  <c r="T65" i="15" s="1"/>
  <c r="U79" i="15" s="1"/>
  <c r="V79" i="15" s="1"/>
  <c r="W79" i="15" s="1"/>
  <c r="X79" i="15" s="1"/>
  <c r="X47" i="15"/>
  <c r="X48" i="15" s="1"/>
  <c r="X50" i="15"/>
  <c r="W47" i="15"/>
  <c r="W48" i="15" s="1"/>
  <c r="W50" i="15"/>
  <c r="T74" i="15"/>
  <c r="T81" i="15" s="1"/>
  <c r="T108" i="15" s="1"/>
  <c r="S81" i="15"/>
  <c r="S108" i="15" s="1"/>
  <c r="U47" i="15"/>
  <c r="U48" i="15" s="1"/>
  <c r="U54" i="15"/>
  <c r="U65" i="15" s="1"/>
  <c r="V80" i="15" s="1"/>
  <c r="W80" i="15" s="1"/>
  <c r="X80" i="15" s="1"/>
  <c r="X81" i="15" s="1"/>
  <c r="X108" i="15" s="1"/>
  <c r="U50" i="15"/>
  <c r="Q71" i="15"/>
  <c r="Q81" i="15" s="1"/>
  <c r="Q108" i="15" s="1"/>
  <c r="Q117" i="15" s="1"/>
  <c r="Q118" i="15" s="1"/>
  <c r="P81" i="15"/>
  <c r="P108" i="15" s="1"/>
  <c r="P117" i="15" s="1"/>
  <c r="P118" i="15" s="1"/>
  <c r="V47" i="15"/>
  <c r="V48" i="15" s="1"/>
  <c r="V54" i="15"/>
  <c r="V65" i="15" s="1"/>
  <c r="V50" i="15"/>
  <c r="R26" i="15"/>
  <c r="Q27" i="15"/>
  <c r="T34" i="15"/>
  <c r="S38" i="15"/>
  <c r="S39" i="15" s="1"/>
  <c r="S117" i="15" s="1"/>
  <c r="S35" i="15"/>
  <c r="S116" i="15" s="1"/>
  <c r="W34" i="15"/>
  <c r="V34" i="15"/>
  <c r="U34" i="15"/>
  <c r="S118" i="15" l="1"/>
  <c r="W38" i="15"/>
  <c r="W39" i="15" s="1"/>
  <c r="W117" i="15" s="1"/>
  <c r="W35" i="15"/>
  <c r="W116" i="15" s="1"/>
  <c r="U38" i="15"/>
  <c r="U39" i="15" s="1"/>
  <c r="U117" i="15" s="1"/>
  <c r="U35" i="15"/>
  <c r="U116" i="15" s="1"/>
  <c r="V38" i="15"/>
  <c r="V39" i="15" s="1"/>
  <c r="V117" i="15" s="1"/>
  <c r="V35" i="15"/>
  <c r="T38" i="15"/>
  <c r="T39" i="15" s="1"/>
  <c r="T117" i="15" s="1"/>
  <c r="T35" i="15"/>
  <c r="T116" i="15" s="1"/>
  <c r="R27" i="15"/>
  <c r="S26" i="15"/>
  <c r="C54" i="12"/>
  <c r="D55" i="12" s="1"/>
  <c r="E55" i="12" s="1"/>
  <c r="F55" i="12" s="1"/>
  <c r="G55" i="12" s="1"/>
  <c r="H55" i="12" s="1"/>
  <c r="I55" i="12" s="1"/>
  <c r="J55" i="12" s="1"/>
  <c r="A55" i="12"/>
  <c r="T118" i="15" l="1"/>
  <c r="U118" i="15"/>
  <c r="T26" i="15"/>
  <c r="S27" i="15"/>
  <c r="X34" i="15"/>
  <c r="V116" i="15"/>
  <c r="V118" i="15" s="1"/>
  <c r="W118" i="15"/>
  <c r="X38" i="15" l="1"/>
  <c r="X39" i="15" s="1"/>
  <c r="X117" i="15" s="1"/>
  <c r="X35" i="15"/>
  <c r="X116" i="15" s="1"/>
  <c r="T27" i="15"/>
  <c r="U26" i="15"/>
  <c r="X118" i="15" l="1"/>
  <c r="V26" i="15"/>
  <c r="U27" i="15"/>
  <c r="V27" i="15" l="1"/>
  <c r="W26" i="15"/>
  <c r="X26" i="15" l="1"/>
  <c r="X27" i="15" s="1"/>
  <c r="W27" i="15"/>
  <c r="I125" i="15" s="1"/>
  <c r="I123" i="15" l="1"/>
  <c r="I122" i="15"/>
  <c r="I124" i="15"/>
  <c r="I126" i="15" s="1"/>
  <c r="I20" i="15" s="1"/>
  <c r="E53" i="12" l="1"/>
  <c r="F53" i="12"/>
  <c r="G53" i="12"/>
  <c r="H53" i="12"/>
  <c r="I53" i="12"/>
  <c r="J53" i="12"/>
  <c r="L53" i="12"/>
  <c r="M53" i="12"/>
  <c r="N53" i="12"/>
  <c r="O53" i="12"/>
  <c r="P53" i="12"/>
  <c r="Q53" i="12"/>
  <c r="R53" i="12"/>
  <c r="S53" i="12"/>
  <c r="T53" i="12"/>
  <c r="U53" i="12"/>
  <c r="D53" i="12"/>
  <c r="A85" i="12"/>
  <c r="A84" i="12" l="1"/>
  <c r="O37" i="12"/>
  <c r="O38" i="12" s="1"/>
  <c r="P37" i="12"/>
  <c r="P38" i="12" s="1"/>
  <c r="P39" i="12" s="1"/>
  <c r="Q37" i="12"/>
  <c r="Q38" i="12" s="1"/>
  <c r="R37" i="12"/>
  <c r="R38" i="12" s="1"/>
  <c r="S37" i="12"/>
  <c r="S38" i="12" s="1"/>
  <c r="T37" i="12"/>
  <c r="T38" i="12" s="1"/>
  <c r="U37" i="12"/>
  <c r="U38" i="12" s="1"/>
  <c r="O39" i="12" l="1"/>
  <c r="D46" i="12"/>
  <c r="E46" i="12" l="1"/>
  <c r="B71" i="12"/>
  <c r="F46" i="12" l="1"/>
  <c r="E37" i="12"/>
  <c r="F37" i="12"/>
  <c r="G37" i="12"/>
  <c r="H37" i="12"/>
  <c r="I37" i="12"/>
  <c r="J37" i="12"/>
  <c r="K37" i="12"/>
  <c r="L37" i="12"/>
  <c r="M37" i="12"/>
  <c r="N37" i="12"/>
  <c r="D37" i="12"/>
  <c r="C42" i="12" l="1"/>
  <c r="C124" i="12" s="1"/>
  <c r="G46" i="12"/>
  <c r="D38" i="12"/>
  <c r="H38" i="12"/>
  <c r="K38" i="12"/>
  <c r="G38" i="12"/>
  <c r="N38" i="12"/>
  <c r="N39" i="12" s="1"/>
  <c r="J38" i="12"/>
  <c r="F38" i="12"/>
  <c r="L38" i="12"/>
  <c r="M38" i="12"/>
  <c r="M39" i="12" s="1"/>
  <c r="I38" i="12"/>
  <c r="E38" i="12"/>
  <c r="D39" i="12" l="1"/>
  <c r="C40" i="12"/>
  <c r="E39" i="12"/>
  <c r="L39" i="12"/>
  <c r="G39" i="12"/>
  <c r="F39" i="12"/>
  <c r="K39" i="12"/>
  <c r="I39" i="12"/>
  <c r="J39" i="12"/>
  <c r="H39" i="12"/>
  <c r="G6" i="13"/>
  <c r="G22" i="13" s="1"/>
  <c r="G32" i="13" s="1"/>
  <c r="G33" i="13" s="1"/>
  <c r="G34" i="13" s="1"/>
  <c r="H46" i="12"/>
  <c r="H6" i="13" l="1"/>
  <c r="H22" i="13" s="1"/>
  <c r="B22" i="13" s="1"/>
  <c r="I46" i="12"/>
  <c r="D47" i="12"/>
  <c r="H32" i="13" l="1"/>
  <c r="H33" i="13" s="1"/>
  <c r="H34" i="13" s="1"/>
  <c r="B34" i="13" s="1"/>
  <c r="D56" i="12"/>
  <c r="D70" i="12" s="1"/>
  <c r="J46" i="12"/>
  <c r="D48" i="12"/>
  <c r="D49" i="12" s="1"/>
  <c r="E47" i="12" s="1"/>
  <c r="D71" i="12" l="1"/>
  <c r="D72" i="12" s="1"/>
  <c r="D57" i="12"/>
  <c r="D58" i="12" s="1"/>
  <c r="D76" i="12"/>
  <c r="D84" i="12"/>
  <c r="K43" i="13"/>
  <c r="L43" i="13"/>
  <c r="J43" i="13"/>
  <c r="M43" i="13"/>
  <c r="K46" i="12"/>
  <c r="K55" i="12" s="1"/>
  <c r="L55" i="12" s="1"/>
  <c r="M55" i="12" s="1"/>
  <c r="N55" i="12" s="1"/>
  <c r="O55" i="12" s="1"/>
  <c r="E48" i="12"/>
  <c r="E49" i="12" s="1"/>
  <c r="F47" i="12" s="1"/>
  <c r="D85" i="12" l="1"/>
  <c r="D86" i="12" s="1"/>
  <c r="D90" i="12"/>
  <c r="D62" i="12"/>
  <c r="D96" i="12" s="1"/>
  <c r="D74" i="12"/>
  <c r="D77" i="12" s="1"/>
  <c r="E56" i="12"/>
  <c r="E70" i="12" s="1"/>
  <c r="L46" i="12"/>
  <c r="M46" i="12" s="1"/>
  <c r="N46" i="12" s="1"/>
  <c r="O46" i="12" s="1"/>
  <c r="P46" i="12" s="1"/>
  <c r="P55" i="12" s="1"/>
  <c r="Q55" i="12" s="1"/>
  <c r="F48" i="12"/>
  <c r="F49" i="12" s="1"/>
  <c r="G47" i="12" s="1"/>
  <c r="D79" i="12" l="1"/>
  <c r="E71" i="12"/>
  <c r="E72" i="12" s="1"/>
  <c r="F70" i="12" s="1"/>
  <c r="F71" i="12" s="1"/>
  <c r="E57" i="12"/>
  <c r="E58" i="12" s="1"/>
  <c r="F56" i="12" s="1"/>
  <c r="E84" i="12"/>
  <c r="E76" i="12"/>
  <c r="D89" i="12"/>
  <c r="D94" i="12" s="1"/>
  <c r="D95" i="12"/>
  <c r="Q46" i="12"/>
  <c r="R46" i="12" s="1"/>
  <c r="S46" i="12" s="1"/>
  <c r="T46" i="12" s="1"/>
  <c r="U46" i="12" s="1"/>
  <c r="G48" i="12"/>
  <c r="G49" i="12" s="1"/>
  <c r="H47" i="12" s="1"/>
  <c r="H48" i="12" s="1"/>
  <c r="E85" i="12" l="1"/>
  <c r="E86" i="12" s="1"/>
  <c r="D91" i="12"/>
  <c r="D92" i="12" s="1"/>
  <c r="E62" i="12"/>
  <c r="E96" i="12" s="1"/>
  <c r="E90" i="12"/>
  <c r="E74" i="12"/>
  <c r="E77" i="12" s="1"/>
  <c r="F84" i="12"/>
  <c r="F76" i="12"/>
  <c r="F57" i="12"/>
  <c r="H49" i="12"/>
  <c r="I47" i="12" s="1"/>
  <c r="I48" i="12" s="1"/>
  <c r="F85" i="12" l="1"/>
  <c r="F86" i="12" s="1"/>
  <c r="E79" i="12"/>
  <c r="E89" i="12"/>
  <c r="E94" i="12" s="1"/>
  <c r="E95" i="12"/>
  <c r="F90" i="12"/>
  <c r="F62" i="12"/>
  <c r="F102" i="12" s="1"/>
  <c r="F103" i="12" s="1"/>
  <c r="F58" i="12"/>
  <c r="G56" i="12" s="1"/>
  <c r="F111" i="12"/>
  <c r="F74" i="12"/>
  <c r="F77" i="12" s="1"/>
  <c r="I49" i="12"/>
  <c r="J47" i="12" s="1"/>
  <c r="J48" i="12" s="1"/>
  <c r="F95" i="12" l="1"/>
  <c r="F110" i="12"/>
  <c r="F79" i="12"/>
  <c r="E91" i="12"/>
  <c r="E92" i="12" s="1"/>
  <c r="F96" i="12"/>
  <c r="F113" i="12"/>
  <c r="G57" i="12"/>
  <c r="G62" i="12" s="1"/>
  <c r="G84" i="12"/>
  <c r="F72" i="12"/>
  <c r="G70" i="12" s="1"/>
  <c r="G71" i="12" s="1"/>
  <c r="F112" i="12"/>
  <c r="F89" i="12"/>
  <c r="F94" i="12" s="1"/>
  <c r="J49" i="12"/>
  <c r="K47" i="12" s="1"/>
  <c r="K56" i="12" s="1"/>
  <c r="B16" i="13" l="1"/>
  <c r="G74" i="12"/>
  <c r="F115" i="12"/>
  <c r="F117" i="12" s="1"/>
  <c r="F91" i="12"/>
  <c r="G90" i="12"/>
  <c r="G111" i="12"/>
  <c r="K57" i="12"/>
  <c r="K62" i="12" s="1"/>
  <c r="K84" i="12"/>
  <c r="G76" i="12"/>
  <c r="K48" i="12"/>
  <c r="K49" i="12" s="1"/>
  <c r="L47" i="12" s="1"/>
  <c r="L48" i="12" s="1"/>
  <c r="L49" i="12" s="1"/>
  <c r="M47" i="12" s="1"/>
  <c r="M48" i="12" s="1"/>
  <c r="G58" i="12"/>
  <c r="H56" i="12" s="1"/>
  <c r="F118" i="12" l="1"/>
  <c r="G85" i="12"/>
  <c r="G86" i="12" s="1"/>
  <c r="G72" i="12"/>
  <c r="H70" i="12" s="1"/>
  <c r="H71" i="12" s="1"/>
  <c r="G102" i="12"/>
  <c r="G103" i="12" s="1"/>
  <c r="G96" i="12"/>
  <c r="G113" i="12"/>
  <c r="K90" i="12"/>
  <c r="K111" i="12"/>
  <c r="H57" i="12"/>
  <c r="H62" i="12" s="1"/>
  <c r="H84" i="12"/>
  <c r="F92" i="12"/>
  <c r="G77" i="12"/>
  <c r="G79" i="12" s="1"/>
  <c r="M49" i="12"/>
  <c r="N47" i="12" s="1"/>
  <c r="F99" i="12" l="1"/>
  <c r="G89" i="12"/>
  <c r="G110" i="12"/>
  <c r="G112" i="12"/>
  <c r="G95" i="12"/>
  <c r="B27" i="13"/>
  <c r="B28" i="13" s="1"/>
  <c r="B29" i="13" s="1"/>
  <c r="L42" i="13" s="1"/>
  <c r="G94" i="12"/>
  <c r="H111" i="12"/>
  <c r="H90" i="12"/>
  <c r="N48" i="12"/>
  <c r="N49" i="12" s="1"/>
  <c r="O47" i="12" s="1"/>
  <c r="H58" i="12"/>
  <c r="I56" i="12" s="1"/>
  <c r="G115" i="12" l="1"/>
  <c r="G117" i="12" s="1"/>
  <c r="H72" i="12"/>
  <c r="I70" i="12" s="1"/>
  <c r="I71" i="12" s="1"/>
  <c r="H74" i="12"/>
  <c r="H77" i="12" s="1"/>
  <c r="J42" i="13"/>
  <c r="M42" i="13"/>
  <c r="K42" i="13"/>
  <c r="B36" i="13"/>
  <c r="L40" i="13" s="1"/>
  <c r="H102" i="12"/>
  <c r="H103" i="12" s="1"/>
  <c r="H96" i="12"/>
  <c r="H113" i="12"/>
  <c r="G91" i="12"/>
  <c r="G92" i="12" s="1"/>
  <c r="I57" i="12"/>
  <c r="I62" i="12" s="1"/>
  <c r="I84" i="12"/>
  <c r="O48" i="12"/>
  <c r="O49" i="12" s="1"/>
  <c r="P47" i="12" s="1"/>
  <c r="H76" i="12"/>
  <c r="G99" i="12" l="1"/>
  <c r="G118" i="12"/>
  <c r="H85" i="12"/>
  <c r="H86" i="12" s="1"/>
  <c r="H79" i="12"/>
  <c r="I76" i="12" s="1"/>
  <c r="J40" i="13"/>
  <c r="M40" i="13"/>
  <c r="K40" i="13"/>
  <c r="I111" i="12"/>
  <c r="I90" i="12"/>
  <c r="P48" i="12"/>
  <c r="P49" i="12" s="1"/>
  <c r="Q47" i="12" s="1"/>
  <c r="H112" i="12" l="1"/>
  <c r="H110" i="12"/>
  <c r="H95" i="12"/>
  <c r="H89" i="12"/>
  <c r="H94" i="12" s="1"/>
  <c r="I85" i="12"/>
  <c r="I86" i="12" s="1"/>
  <c r="I112" i="12" s="1"/>
  <c r="I74" i="12"/>
  <c r="B47" i="13"/>
  <c r="Q48" i="12"/>
  <c r="Q49" i="12" s="1"/>
  <c r="R47" i="12" s="1"/>
  <c r="I58" i="12"/>
  <c r="J56" i="12" s="1"/>
  <c r="H115" i="12" l="1"/>
  <c r="H117" i="12" s="1"/>
  <c r="I89" i="12"/>
  <c r="I94" i="12" s="1"/>
  <c r="I110" i="12"/>
  <c r="H91" i="12"/>
  <c r="H92" i="12" s="1"/>
  <c r="I95" i="12"/>
  <c r="I72" i="12"/>
  <c r="J70" i="12" s="1"/>
  <c r="J71" i="12" s="1"/>
  <c r="I102" i="12"/>
  <c r="I103" i="12" s="1"/>
  <c r="I96" i="12"/>
  <c r="I113" i="12"/>
  <c r="J57" i="12"/>
  <c r="J62" i="12" s="1"/>
  <c r="J84" i="12"/>
  <c r="R48" i="12"/>
  <c r="R49" i="12" s="1"/>
  <c r="S47" i="12" s="1"/>
  <c r="I77" i="12"/>
  <c r="I79" i="12" s="1"/>
  <c r="H99" i="12" l="1"/>
  <c r="H118" i="12"/>
  <c r="J72" i="12"/>
  <c r="K70" i="12" s="1"/>
  <c r="I91" i="12"/>
  <c r="I92" i="12" s="1"/>
  <c r="J90" i="12"/>
  <c r="J111" i="12"/>
  <c r="S48" i="12"/>
  <c r="S49" i="12" s="1"/>
  <c r="T47" i="12" s="1"/>
  <c r="I115" i="12"/>
  <c r="I117" i="12" s="1"/>
  <c r="I118" i="12" s="1"/>
  <c r="J58" i="12"/>
  <c r="K78" i="12" s="1"/>
  <c r="I99" i="12" l="1"/>
  <c r="K71" i="12"/>
  <c r="K72" i="12" s="1"/>
  <c r="L70" i="12" s="1"/>
  <c r="L71" i="12" s="1"/>
  <c r="J74" i="12"/>
  <c r="J77" i="12" s="1"/>
  <c r="J102" i="12"/>
  <c r="J103" i="12" s="1"/>
  <c r="J96" i="12"/>
  <c r="J113" i="12"/>
  <c r="T48" i="12"/>
  <c r="T49" i="12" s="1"/>
  <c r="U47" i="12" s="1"/>
  <c r="J76" i="12"/>
  <c r="J85" i="12" l="1"/>
  <c r="J86" i="12" s="1"/>
  <c r="J79" i="12"/>
  <c r="K76" i="12" s="1"/>
  <c r="L72" i="12"/>
  <c r="M70" i="12" s="1"/>
  <c r="M71" i="12" s="1"/>
  <c r="U48" i="12"/>
  <c r="U49" i="12" s="1"/>
  <c r="K74" i="12"/>
  <c r="K77" i="12" s="1"/>
  <c r="K58" i="12"/>
  <c r="L56" i="12" s="1"/>
  <c r="J89" i="12" l="1"/>
  <c r="J94" i="12" s="1"/>
  <c r="J110" i="12"/>
  <c r="J112" i="12"/>
  <c r="J95" i="12"/>
  <c r="J91" i="12" s="1"/>
  <c r="J92" i="12" s="1"/>
  <c r="K85" i="12"/>
  <c r="K86" i="12" s="1"/>
  <c r="K79" i="12"/>
  <c r="M72" i="12"/>
  <c r="K102" i="12"/>
  <c r="K103" i="12" s="1"/>
  <c r="K96" i="12"/>
  <c r="K113" i="12"/>
  <c r="L57" i="12"/>
  <c r="L62" i="12" s="1"/>
  <c r="L84" i="12"/>
  <c r="J99" i="12" l="1"/>
  <c r="J115" i="12"/>
  <c r="J117" i="12" s="1"/>
  <c r="J118" i="12" s="1"/>
  <c r="K89" i="12"/>
  <c r="K94" i="12" s="1"/>
  <c r="K110" i="12"/>
  <c r="K95" i="12"/>
  <c r="K112" i="12"/>
  <c r="N70" i="12"/>
  <c r="N71" i="12" s="1"/>
  <c r="L111" i="12"/>
  <c r="L90" i="12"/>
  <c r="L74" i="12"/>
  <c r="L58" i="12"/>
  <c r="M56" i="12" s="1"/>
  <c r="L76" i="12"/>
  <c r="K91" i="12" l="1"/>
  <c r="K92" i="12" s="1"/>
  <c r="K115" i="12"/>
  <c r="K117" i="12" s="1"/>
  <c r="L85" i="12"/>
  <c r="L86" i="12" s="1"/>
  <c r="L95" i="12" s="1"/>
  <c r="N72" i="12"/>
  <c r="O70" i="12" s="1"/>
  <c r="O71" i="12" s="1"/>
  <c r="L102" i="12"/>
  <c r="L103" i="12" s="1"/>
  <c r="L96" i="12"/>
  <c r="L113" i="12"/>
  <c r="M57" i="12"/>
  <c r="M62" i="12" s="1"/>
  <c r="M84" i="12"/>
  <c r="L77" i="12"/>
  <c r="L79" i="12" s="1"/>
  <c r="K99" i="12" l="1"/>
  <c r="K118" i="12"/>
  <c r="L112" i="12"/>
  <c r="L110" i="12"/>
  <c r="L89" i="12"/>
  <c r="L94" i="12" s="1"/>
  <c r="O72" i="12"/>
  <c r="P70" i="12" s="1"/>
  <c r="P71" i="12" s="1"/>
  <c r="M111" i="12"/>
  <c r="M90" i="12"/>
  <c r="M74" i="12"/>
  <c r="M77" i="12" s="1"/>
  <c r="M58" i="12"/>
  <c r="N56" i="12" s="1"/>
  <c r="L115" i="12" l="1"/>
  <c r="L117" i="12" s="1"/>
  <c r="M102" i="12"/>
  <c r="M103" i="12" s="1"/>
  <c r="M96" i="12"/>
  <c r="M113" i="12"/>
  <c r="L91" i="12"/>
  <c r="L92" i="12" s="1"/>
  <c r="N57" i="12"/>
  <c r="N62" i="12" s="1"/>
  <c r="N84" i="12"/>
  <c r="P72" i="12"/>
  <c r="Q70" i="12" s="1"/>
  <c r="Q71" i="12" s="1"/>
  <c r="M76" i="12"/>
  <c r="M79" i="12" s="1"/>
  <c r="N76" i="12" s="1"/>
  <c r="N85" i="12" s="1"/>
  <c r="L99" i="12" l="1"/>
  <c r="L118" i="12"/>
  <c r="N86" i="12"/>
  <c r="N110" i="12" s="1"/>
  <c r="M85" i="12"/>
  <c r="M86" i="12" s="1"/>
  <c r="N90" i="12"/>
  <c r="N111" i="12"/>
  <c r="N74" i="12"/>
  <c r="M89" i="12" l="1"/>
  <c r="M94" i="12" s="1"/>
  <c r="M110" i="12"/>
  <c r="M112" i="12"/>
  <c r="M95" i="12"/>
  <c r="M91" i="12" s="1"/>
  <c r="M92" i="12" s="1"/>
  <c r="N112" i="12"/>
  <c r="Q72" i="12"/>
  <c r="R70" i="12" s="1"/>
  <c r="R71" i="12" s="1"/>
  <c r="N58" i="12"/>
  <c r="O56" i="12" s="1"/>
  <c r="O84" i="12" s="1"/>
  <c r="N77" i="12"/>
  <c r="N79" i="12" s="1"/>
  <c r="M99" i="12" l="1"/>
  <c r="M115" i="12"/>
  <c r="M117" i="12" s="1"/>
  <c r="M118" i="12" s="1"/>
  <c r="N95" i="12"/>
  <c r="N89" i="12"/>
  <c r="N94" i="12" s="1"/>
  <c r="N102" i="12"/>
  <c r="N103" i="12" s="1"/>
  <c r="N96" i="12"/>
  <c r="N113" i="12"/>
  <c r="O57" i="12"/>
  <c r="O62" i="12" s="1"/>
  <c r="R72" i="12" l="1"/>
  <c r="N115" i="12"/>
  <c r="N117" i="12" s="1"/>
  <c r="N91" i="12"/>
  <c r="N92" i="12" s="1"/>
  <c r="O58" i="12"/>
  <c r="O90" i="12"/>
  <c r="O111" i="12"/>
  <c r="O76" i="12"/>
  <c r="O74" i="12"/>
  <c r="O77" i="12" s="1"/>
  <c r="N99" i="12" l="1"/>
  <c r="N118" i="12"/>
  <c r="P56" i="12"/>
  <c r="P78" i="12" s="1"/>
  <c r="O85" i="12"/>
  <c r="O86" i="12" s="1"/>
  <c r="O79" i="12"/>
  <c r="P76" i="12" s="1"/>
  <c r="S70" i="12"/>
  <c r="S71" i="12" s="1"/>
  <c r="O102" i="12"/>
  <c r="O103" i="12" s="1"/>
  <c r="O96" i="12"/>
  <c r="O113" i="12"/>
  <c r="O95" i="12" l="1"/>
  <c r="O110" i="12"/>
  <c r="P57" i="12"/>
  <c r="P62" i="12" s="1"/>
  <c r="P84" i="12"/>
  <c r="O89" i="12"/>
  <c r="O94" i="12" s="1"/>
  <c r="O91" i="12" s="1"/>
  <c r="O92" i="12" s="1"/>
  <c r="O112" i="12"/>
  <c r="P85" i="12"/>
  <c r="S72" i="12"/>
  <c r="T70" i="12" s="1"/>
  <c r="T71" i="12" s="1"/>
  <c r="O99" i="12" l="1"/>
  <c r="O115" i="12"/>
  <c r="O117" i="12" s="1"/>
  <c r="O118" i="12" s="1"/>
  <c r="P74" i="12"/>
  <c r="P77" i="12" s="1"/>
  <c r="P79" i="12" s="1"/>
  <c r="Q76" i="12" s="1"/>
  <c r="P90" i="12"/>
  <c r="P111" i="12"/>
  <c r="P86" i="12"/>
  <c r="P89" i="12" s="1"/>
  <c r="P94" i="12" s="1"/>
  <c r="P58" i="12"/>
  <c r="Q56" i="12" s="1"/>
  <c r="Q84" i="12" s="1"/>
  <c r="P102" i="12"/>
  <c r="P103" i="12" s="1"/>
  <c r="P96" i="12"/>
  <c r="P113" i="12"/>
  <c r="T72" i="12"/>
  <c r="U70" i="12" s="1"/>
  <c r="U71" i="12" s="1"/>
  <c r="P112" i="12" l="1"/>
  <c r="P110" i="12"/>
  <c r="P95" i="12"/>
  <c r="P91" i="12" s="1"/>
  <c r="P92" i="12" s="1"/>
  <c r="Q57" i="12"/>
  <c r="Q90" i="12" s="1"/>
  <c r="Q85" i="12"/>
  <c r="Q86" i="12" s="1"/>
  <c r="P99" i="12" l="1"/>
  <c r="Q58" i="12"/>
  <c r="R56" i="12" s="1"/>
  <c r="R84" i="12" s="1"/>
  <c r="P115" i="12"/>
  <c r="P117" i="12" s="1"/>
  <c r="P118" i="12" s="1"/>
  <c r="Q112" i="12"/>
  <c r="Q111" i="12"/>
  <c r="Q74" i="12"/>
  <c r="Q77" i="12" s="1"/>
  <c r="Q79" i="12" s="1"/>
  <c r="R76" i="12" s="1"/>
  <c r="R85" i="12" s="1"/>
  <c r="Q62" i="12"/>
  <c r="Q96" i="12" s="1"/>
  <c r="Q95" i="12"/>
  <c r="Q89" i="12"/>
  <c r="Q94" i="12" s="1"/>
  <c r="Q102" i="12"/>
  <c r="Q103" i="12" s="1"/>
  <c r="Q113" i="12"/>
  <c r="U72" i="12"/>
  <c r="Q110" i="12" l="1"/>
  <c r="R57" i="12"/>
  <c r="R58" i="12" s="1"/>
  <c r="S56" i="12" s="1"/>
  <c r="S57" i="12" s="1"/>
  <c r="S62" i="12" s="1"/>
  <c r="R86" i="12"/>
  <c r="R95" i="12" s="1"/>
  <c r="Q115" i="12"/>
  <c r="Q117" i="12" s="1"/>
  <c r="Q91" i="12"/>
  <c r="Q92" i="12" s="1"/>
  <c r="Q99" i="12" s="1"/>
  <c r="R111" i="12"/>
  <c r="R90" i="12"/>
  <c r="R62" i="12"/>
  <c r="R102" i="12" s="1"/>
  <c r="R103" i="12" s="1"/>
  <c r="S84" i="12" l="1"/>
  <c r="R110" i="12"/>
  <c r="R89" i="12"/>
  <c r="R94" i="12" s="1"/>
  <c r="R74" i="12"/>
  <c r="R77" i="12" s="1"/>
  <c r="R79" i="12" s="1"/>
  <c r="R112" i="12"/>
  <c r="Q118" i="12"/>
  <c r="S111" i="12"/>
  <c r="S58" i="12"/>
  <c r="T56" i="12" s="1"/>
  <c r="T57" i="12" s="1"/>
  <c r="T62" i="12" s="1"/>
  <c r="S74" i="12"/>
  <c r="S77" i="12" s="1"/>
  <c r="S90" i="12"/>
  <c r="R96" i="12"/>
  <c r="R113" i="12"/>
  <c r="S102" i="12"/>
  <c r="S103" i="12" s="1"/>
  <c r="S96" i="12"/>
  <c r="S113" i="12"/>
  <c r="T84" i="12" l="1"/>
  <c r="R91" i="12"/>
  <c r="R92" i="12" s="1"/>
  <c r="R99" i="12" s="1"/>
  <c r="S76" i="12"/>
  <c r="S79" i="12" s="1"/>
  <c r="R115" i="12"/>
  <c r="R117" i="12" s="1"/>
  <c r="T111" i="12"/>
  <c r="T90" i="12"/>
  <c r="T58" i="12"/>
  <c r="T74" i="12"/>
  <c r="T77" i="12" s="1"/>
  <c r="R118" i="12" l="1"/>
  <c r="U56" i="12"/>
  <c r="U78" i="12" s="1"/>
  <c r="S85" i="12"/>
  <c r="S86" i="12" s="1"/>
  <c r="S110" i="12" s="1"/>
  <c r="T102" i="12"/>
  <c r="T103" i="12" s="1"/>
  <c r="T96" i="12"/>
  <c r="T113" i="12"/>
  <c r="U84" i="12" l="1"/>
  <c r="U57" i="12"/>
  <c r="U62" i="12" s="1"/>
  <c r="T76" i="12"/>
  <c r="T79" i="12" s="1"/>
  <c r="S89" i="12"/>
  <c r="S95" i="12"/>
  <c r="S112" i="12"/>
  <c r="U74" i="12" l="1"/>
  <c r="U77" i="12" s="1"/>
  <c r="C59" i="12"/>
  <c r="C60" i="12" s="1"/>
  <c r="U58" i="12"/>
  <c r="U111" i="12"/>
  <c r="U90" i="12"/>
  <c r="S94" i="12"/>
  <c r="S91" i="12" s="1"/>
  <c r="S92" i="12" s="1"/>
  <c r="S99" i="12" s="1"/>
  <c r="T85" i="12"/>
  <c r="T86" i="12" s="1"/>
  <c r="T110" i="12" s="1"/>
  <c r="U76" i="12"/>
  <c r="S115" i="12"/>
  <c r="S117" i="12" s="1"/>
  <c r="U102" i="12"/>
  <c r="U103" i="12" s="1"/>
  <c r="C104" i="12" s="1"/>
  <c r="U96" i="12"/>
  <c r="U113" i="12"/>
  <c r="S118" i="12" l="1"/>
  <c r="U85" i="12"/>
  <c r="U86" i="12" s="1"/>
  <c r="U79" i="12"/>
  <c r="T89" i="12"/>
  <c r="T94" i="12" s="1"/>
  <c r="T112" i="12"/>
  <c r="T95" i="12"/>
  <c r="U89" i="12" l="1"/>
  <c r="U94" i="12" s="1"/>
  <c r="U110" i="12"/>
  <c r="U95" i="12"/>
  <c r="U112" i="12"/>
  <c r="T115" i="12"/>
  <c r="T117" i="12" s="1"/>
  <c r="T91" i="12"/>
  <c r="T92" i="12" s="1"/>
  <c r="T118" i="12" l="1"/>
  <c r="U91" i="12"/>
  <c r="U92" i="12" s="1"/>
  <c r="U99" i="12" s="1"/>
  <c r="U115" i="12"/>
  <c r="U117" i="12" s="1"/>
  <c r="T99" i="12"/>
  <c r="C100" i="12" l="1"/>
  <c r="U118" i="12"/>
  <c r="C123" i="12" l="1"/>
  <c r="C12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W33" authorId="0" shapeId="0" xr:uid="{D9813C19-E93B-47B8-9F82-8332A2E27419}">
      <text>
        <r>
          <rPr>
            <sz val="9"/>
            <color indexed="81"/>
            <rFont val="Tahoma"/>
            <family val="2"/>
          </rPr>
          <t xml:space="preserve">- IFRS 16: See https://www.xrb.govt.nz/accounting-standards/for-profit-entities/nz-ifrs-16/
- EDB Ims: Commerce Commission, "Electricity Distribution Services Input Methodologies Determination 2012" (31 January 2019), see https://comcom.govt.nz/__data/assets/pdf_file/0017/60542/Electricity-distribution-services-input-methodologies-determination-2012-consolidated-January-2019-31-January-2019.pdf
</t>
        </r>
      </text>
    </comment>
    <comment ref="D53" authorId="0" shapeId="0" xr:uid="{17C159CE-EAA4-4CC0-85DF-C2B498DD7D0C}">
      <text>
        <r>
          <rPr>
            <sz val="9"/>
            <color indexed="81"/>
            <rFont val="Tahoma"/>
            <family val="2"/>
          </rPr>
          <t>See note 1</t>
        </r>
      </text>
    </comment>
    <comment ref="E53" authorId="0" shapeId="0" xr:uid="{1794FDDE-0E0C-4FF6-BDDF-7E8493D72999}">
      <text>
        <r>
          <rPr>
            <sz val="9"/>
            <color indexed="81"/>
            <rFont val="Tahoma"/>
            <family val="2"/>
          </rPr>
          <t>See note 2</t>
        </r>
      </text>
    </comment>
    <comment ref="K53" authorId="0" shapeId="0" xr:uid="{9999BE79-6D89-4AEB-A379-11696DB52F60}">
      <text>
        <r>
          <rPr>
            <sz val="9"/>
            <color indexed="81"/>
            <rFont val="Tahoma"/>
            <family val="2"/>
          </rPr>
          <t>See note 3</t>
        </r>
      </text>
    </comment>
    <comment ref="D57" authorId="0" shapeId="0" xr:uid="{DFBFAFC7-17CD-4440-B741-6253E3A55E6F}">
      <text>
        <r>
          <rPr>
            <sz val="9"/>
            <color indexed="81"/>
            <rFont val="Tahoma"/>
            <family val="2"/>
          </rPr>
          <t>See note 4</t>
        </r>
      </text>
    </comment>
    <comment ref="A78" authorId="0" shapeId="0" xr:uid="{7CE30F7B-3E02-4EDD-B733-7FDE7604DBC5}">
      <text>
        <r>
          <rPr>
            <sz val="9"/>
            <color indexed="81"/>
            <rFont val="Tahoma"/>
            <family val="2"/>
          </rPr>
          <t>See note 5</t>
        </r>
      </text>
    </comment>
    <comment ref="K92" authorId="0" shapeId="0" xr:uid="{D3974DD9-342C-4467-A9B3-2AE88AD0D249}">
      <text>
        <r>
          <rPr>
            <sz val="9"/>
            <color indexed="81"/>
            <rFont val="Tahoma"/>
            <family val="2"/>
          </rPr>
          <t>See note 6</t>
        </r>
      </text>
    </comment>
    <comment ref="C104" authorId="0" shapeId="0" xr:uid="{AD43A824-BC90-4A1D-AE65-2853C86BF7B8}">
      <text>
        <r>
          <rPr>
            <sz val="9"/>
            <color indexed="81"/>
            <rFont val="Tahoma"/>
            <family val="2"/>
          </rPr>
          <t>See note 7</t>
        </r>
      </text>
    </comment>
    <comment ref="C125" authorId="0" shapeId="0" xr:uid="{20E63D53-EA6D-4EAE-8B6F-8D15593F6790}">
      <text>
        <r>
          <rPr>
            <sz val="9"/>
            <color indexed="81"/>
            <rFont val="Tahoma"/>
            <family val="2"/>
          </rPr>
          <t>See note 8</t>
        </r>
      </text>
    </comment>
  </commentList>
</comments>
</file>

<file path=xl/sharedStrings.xml><?xml version="1.0" encoding="utf-8"?>
<sst xmlns="http://schemas.openxmlformats.org/spreadsheetml/2006/main" count="434" uniqueCount="362">
  <si>
    <t>Description</t>
  </si>
  <si>
    <t>Inputs</t>
  </si>
  <si>
    <t>Calculations</t>
  </si>
  <si>
    <t>Electricity Distribution Business</t>
  </si>
  <si>
    <t>Notes</t>
  </si>
  <si>
    <t>Leverage</t>
  </si>
  <si>
    <t>Notional interest cost of debt</t>
  </si>
  <si>
    <t>Depreciation</t>
  </si>
  <si>
    <t>Permanent difference</t>
  </si>
  <si>
    <t>Notional deductible interest</t>
  </si>
  <si>
    <t>Tax allowance on capital</t>
  </si>
  <si>
    <t>Closing deferred tax balance</t>
  </si>
  <si>
    <t>Value</t>
  </si>
  <si>
    <t>Diminishing value rate for tax asset modelling</t>
  </si>
  <si>
    <t>Present value of lease payments</t>
  </si>
  <si>
    <t>Current regulatory period</t>
  </si>
  <si>
    <t>Tax rate</t>
  </si>
  <si>
    <t>Depreciation temporary differences</t>
  </si>
  <si>
    <t>Tax depreciation</t>
  </si>
  <si>
    <t>Degree of equivalence</t>
  </si>
  <si>
    <t>Opening deferred tax balance</t>
  </si>
  <si>
    <t>Tax effect of depreciation temporary differences</t>
  </si>
  <si>
    <t>Opening regulatory tax asset value</t>
  </si>
  <si>
    <t>Closing regulatory tax asset value</t>
  </si>
  <si>
    <t>Total regulatory tax allowance</t>
  </si>
  <si>
    <t>Subtotal</t>
  </si>
  <si>
    <t>Notional deductible interest adjustment</t>
  </si>
  <si>
    <t>Present value of remaining lease payments</t>
  </si>
  <si>
    <t>Value of asset in GAAP accounts</t>
  </si>
  <si>
    <t>Value of regulatory tax asset</t>
  </si>
  <si>
    <t>WACC applying from next regulatory period</t>
  </si>
  <si>
    <t>Start dates of regulatory periods</t>
  </si>
  <si>
    <t>These calculations show the GAAP accounting of the ROU asset over time based on straight-line depreciation</t>
  </si>
  <si>
    <t>Regulated return on capital (after tax)</t>
  </si>
  <si>
    <t>Component of regulatory tax allowance:</t>
  </si>
  <si>
    <t>Checks</t>
  </si>
  <si>
    <t>BBAR before tax</t>
  </si>
  <si>
    <t>IFRS 16 para 24-27</t>
  </si>
  <si>
    <t>IM cl 2.3.3</t>
  </si>
  <si>
    <t>IM cl 5.3.2(2)</t>
  </si>
  <si>
    <t>IFRS 16 para 29-31</t>
  </si>
  <si>
    <t>Corporate tax rate</t>
  </si>
  <si>
    <t>From draft DPP decision published on 28 May 2019. Based on Cost of Capital determination NZCC 7, 2019. To be updated for final decision.</t>
  </si>
  <si>
    <t>Annual lease payment ($)</t>
  </si>
  <si>
    <t>IM cl 4.2.2(3), 2.2.8</t>
  </si>
  <si>
    <t>The remaining asset life for existing assets is determined from ID disclosures in the base year. For additional assets, the starting asset life is 45 years in the forecast year of commissioning. The remaining life is calculated for all other years.</t>
  </si>
  <si>
    <t>The opening RAB value for existing assets is determined from ID disclosures in the base year. The opening RAB value for additional assets is the forecast value of commissioned assets in the year of commissioning. For subsequent years during the regulatory period the opening RAB value is the closing RAB value from the previous year.</t>
  </si>
  <si>
    <t>Closing RAB value is the opening value less depreciation (for existing or additional assets and assuming no revaluations or disposals)</t>
  </si>
  <si>
    <t>This calculates the total depreciation recognised under the IMs across the life of the asset</t>
  </si>
  <si>
    <t>This identifies any difference between the initial asset value and the total depreciation</t>
  </si>
  <si>
    <t>IM cl 4.3.5(1)</t>
  </si>
  <si>
    <t>IM cl 4.3.4(2)</t>
  </si>
  <si>
    <t>Outputs</t>
  </si>
  <si>
    <t>Ref IM cl 4.4.2(1)</t>
  </si>
  <si>
    <t>Regulatory investment value</t>
  </si>
  <si>
    <t>Determining the initial value of the right of use asset</t>
  </si>
  <si>
    <t>DPP3</t>
  </si>
  <si>
    <t>DPP4</t>
  </si>
  <si>
    <t>Base year for setting DPP3 price path</t>
  </si>
  <si>
    <t>DPP5</t>
  </si>
  <si>
    <t>DPP6</t>
  </si>
  <si>
    <t>DPP5 assumed to start in YE 31 March 2031</t>
  </si>
  <si>
    <t>DPP6 assumed to start in YE 31 March 2036</t>
  </si>
  <si>
    <t>Closing RAB value</t>
  </si>
  <si>
    <t>IM cl 4.2.1(2)(b)</t>
  </si>
  <si>
    <t>IM cl 2.3.9(2)(b)</t>
  </si>
  <si>
    <t>IM cl 4.3.4(1)(b)</t>
  </si>
  <si>
    <t>We note there is no DPP IM for allowable revenue. We have therefore used the generic formula for allowable revenue in Part 5 of the Ims</t>
  </si>
  <si>
    <t>IM cl 4.3.1(1)</t>
  </si>
  <si>
    <t>Base year: IM cl 4.2.1(2), 2.2.4(1)(b), 2.2.4(2) Subsequent years: 2.2.4(2)(d)</t>
  </si>
  <si>
    <t>ref row 49</t>
  </si>
  <si>
    <t>ref row 54</t>
  </si>
  <si>
    <t>Average asset life for additional assets</t>
  </si>
  <si>
    <t>Ref IM cl 4.2.2(3)(b)</t>
  </si>
  <si>
    <t>Starting asset life</t>
  </si>
  <si>
    <t>Asset value within the RAB</t>
  </si>
  <si>
    <t>Illustrative model</t>
  </si>
  <si>
    <t>Capitalisation of operating leases</t>
  </si>
  <si>
    <t>Comparison between present value of operating expenditure and present value of revenue on right of use asset</t>
  </si>
  <si>
    <t>IM cl 5.3.2 subject to 4.3.1</t>
  </si>
  <si>
    <t>IM cl 5.3.2 subject to 4.3.2</t>
  </si>
  <si>
    <t>IM cl 5.3.2 subject to 4.3.3</t>
  </si>
  <si>
    <t>User inputs</t>
  </si>
  <si>
    <t>Choose from drop down lists</t>
  </si>
  <si>
    <t>Input values</t>
  </si>
  <si>
    <t>Fixed inputs</t>
  </si>
  <si>
    <t>Start of DPP4</t>
  </si>
  <si>
    <t>Start of DPP5</t>
  </si>
  <si>
    <t>Start of DPP6</t>
  </si>
  <si>
    <t>DPP4 assumed to start in the YE 31 March 2026.</t>
  </si>
  <si>
    <t>Does a notional tax asset exist for the right of use asset?</t>
  </si>
  <si>
    <t>Does the DPP account for permanent differences?</t>
  </si>
  <si>
    <t>What asset life do we apply to the right of use asset?</t>
  </si>
  <si>
    <t>Aggregate RAB average remaining asset life</t>
  </si>
  <si>
    <t>Aggregate RAB average remaining asset life  ||  Current IMs</t>
  </si>
  <si>
    <t>Life specified in ID disclosures   ||  Amended IMs</t>
  </si>
  <si>
    <t>No   ||  Current IMs</t>
  </si>
  <si>
    <t>Yes   ||  Amended IMs</t>
  </si>
  <si>
    <r>
      <t xml:space="preserve">User input </t>
    </r>
    <r>
      <rPr>
        <i/>
        <sz val="10"/>
        <rFont val="Calibri"/>
        <family val="2"/>
        <scheme val="minor"/>
      </rPr>
      <t>- This is the annual payment under the lease</t>
    </r>
  </si>
  <si>
    <r>
      <t xml:space="preserve">User input </t>
    </r>
    <r>
      <rPr>
        <i/>
        <sz val="10"/>
        <rFont val="Calibri"/>
        <family val="2"/>
        <scheme val="minor"/>
      </rPr>
      <t>- This is the remaining life of the aggregate RAB for an individual EDB</t>
    </r>
  </si>
  <si>
    <t>GAAP treatment of right of use asset</t>
  </si>
  <si>
    <t>Drop down list ranges:</t>
  </si>
  <si>
    <t>Tax effect of permanent differences that are unaccounted for</t>
  </si>
  <si>
    <t>Check = zero</t>
  </si>
  <si>
    <t>IM cl 5.3.2 subject to 4.3.0</t>
  </si>
  <si>
    <t>Background</t>
  </si>
  <si>
    <t>Purpose of this model</t>
  </si>
  <si>
    <t>Notes and material assumptions</t>
  </si>
  <si>
    <t>Capex allowance — RCP2</t>
  </si>
  <si>
    <t>Actual assets commissioned</t>
  </si>
  <si>
    <t>Forecast assets commissioned (AMP 2019)</t>
  </si>
  <si>
    <t>WACC — RCP2</t>
  </si>
  <si>
    <t>WACC — Draft RCP3</t>
  </si>
  <si>
    <t>Retention factor — RCP2</t>
  </si>
  <si>
    <t>Cost of debt — Draft RCP3</t>
  </si>
  <si>
    <t>Asset lifetime — assumption</t>
  </si>
  <si>
    <t>Asset lifetime of newly commissioned assets</t>
  </si>
  <si>
    <t>BBAR with forecast assets commissioned</t>
  </si>
  <si>
    <t>BBAR with actual/revised assets commissioned (PV 1 April 2015)</t>
  </si>
  <si>
    <t>Model inputs</t>
  </si>
  <si>
    <t>Total</t>
  </si>
  <si>
    <t xml:space="preserve"> </t>
  </si>
  <si>
    <t>Actual / revised forecast assets commissioned</t>
  </si>
  <si>
    <t>Using the determination for capex:</t>
  </si>
  <si>
    <t>BBAR with forecast assets commissioned (PV 1 April 2015)</t>
  </si>
  <si>
    <t>Difference (PV 1 April 2015)</t>
  </si>
  <si>
    <t>Capex wash-up — clause 3.3.11 (BBAR difference, PV 1 April 2020)</t>
  </si>
  <si>
    <t>PV of forecast assets commissioned</t>
  </si>
  <si>
    <t>PV of actual assets commissioned</t>
  </si>
  <si>
    <t>PV of differences in assets commissioned</t>
  </si>
  <si>
    <t>Retention adjustment — clause 3.3.12</t>
  </si>
  <si>
    <t>(Capex wash-up + Retention adjustment)</t>
  </si>
  <si>
    <t>Number of disclosure years minus 1 (l-1)</t>
  </si>
  <si>
    <t>Cost of debt plus 1 (1+r)</t>
  </si>
  <si>
    <t>Disclosure years passed plus 0.5 (y+0.5)</t>
  </si>
  <si>
    <t>Capex incentive amount — clause 3.3.10</t>
  </si>
  <si>
    <t>Due to capex wash-up</t>
  </si>
  <si>
    <t>Due to retention adjustment</t>
  </si>
  <si>
    <t>Opex allowance — RCP2</t>
  </si>
  <si>
    <t>Actual opex</t>
  </si>
  <si>
    <t>Forecast opex (DPP3 model)</t>
  </si>
  <si>
    <t>Actual / revised forecast opex</t>
  </si>
  <si>
    <t>Using the determination for opex:</t>
  </si>
  <si>
    <t>Amount carried forward (Year 1) — clause 3.3.3 (2)</t>
  </si>
  <si>
    <t>Amount carried forward (Years 2-4) — clause 3.3.3 (3)</t>
  </si>
  <si>
    <t>Amount carried forward (Year 5) — clause 3.3.3 (4)</t>
  </si>
  <si>
    <t>Total amounts carried forward — clause 3.3.3 (7)</t>
  </si>
  <si>
    <t>Base year adjustment term — clause 3.3.5</t>
  </si>
  <si>
    <t>Roll-over adjustment term — clause 3.3.6</t>
  </si>
  <si>
    <t>Adjustment to the opex incentive — clause 3.3.4</t>
  </si>
  <si>
    <t>Adjustment to the opex incentive — clause 3.3.2 (2)(b)</t>
  </si>
  <si>
    <t>Opex incentive amount — clause 3.3.2</t>
  </si>
  <si>
    <t>Sharing factors for operating expenditure under an electricity industry default price-quality path with IRIS and simplifying assumptions</t>
  </si>
  <si>
    <t>Assumptions</t>
  </si>
  <si>
    <t xml:space="preserve">The revenue allowance in the first regulatory period is based on forecast opex.  </t>
  </si>
  <si>
    <t>Key:</t>
  </si>
  <si>
    <t>The revenue allowance in subsequent regulatory periods is based on actual expenditure in the fourth year of the previous DPP period (ie Current and Projected Prices (CAPP)).</t>
  </si>
  <si>
    <t>SPA</t>
  </si>
  <si>
    <t>Actual opex in year 6 is held constant for years 7 onwards.</t>
  </si>
  <si>
    <t>Roll-over</t>
  </si>
  <si>
    <t>CPP</t>
  </si>
  <si>
    <t>Present value figures are stated as at the beginning of the first regulatory period rather then as the year that an efficiency is achieved</t>
  </si>
  <si>
    <t>Forecast opex (3.3.3(8)) regulatory period 1</t>
  </si>
  <si>
    <t>Permanent savings</t>
  </si>
  <si>
    <t>Temporary savings</t>
  </si>
  <si>
    <t>Weighted Average Cost of Capital (WACC)</t>
  </si>
  <si>
    <r>
      <t>Relative year for discounting</t>
    </r>
    <r>
      <rPr>
        <sz val="8"/>
        <color theme="1"/>
        <rFont val="Calibri"/>
        <family val="2"/>
        <scheme val="minor"/>
      </rPr>
      <t/>
    </r>
  </si>
  <si>
    <t>Discount factor</t>
  </si>
  <si>
    <t>Forecast</t>
  </si>
  <si>
    <t>Forecast opex in 1st regulatory period</t>
  </si>
  <si>
    <t>1st period</t>
  </si>
  <si>
    <t>Revenue allowed in 1st regulatory period based on forecast opex</t>
  </si>
  <si>
    <t>No Saving</t>
  </si>
  <si>
    <t>Forecast opex in 1st regulatory period (no saving)</t>
  </si>
  <si>
    <t>Forecast opex in 2nd regulatory period (no saving)</t>
  </si>
  <si>
    <t>Forecast opex in subsequent regulatory periods (no saving)</t>
  </si>
  <si>
    <t>Actual opex (no saving)</t>
  </si>
  <si>
    <t>Revenue allowed in 1st regulatory period (no saving)</t>
  </si>
  <si>
    <t>Revenue allowed in 2nd regulatory period (no saving)</t>
  </si>
  <si>
    <t>Revenue allowed in subsequent regulatory periods (no saving)</t>
  </si>
  <si>
    <t>Revenue allowed based on forecast opex (no saving)</t>
  </si>
  <si>
    <t>With Saving</t>
  </si>
  <si>
    <t>Forecast opex in 1st regulatory period (with saving)</t>
  </si>
  <si>
    <t>Forecast opex in 2nd regulatory period (with saving)</t>
  </si>
  <si>
    <t>Forecast opex in subsequent regulatory periods (with saving)</t>
  </si>
  <si>
    <t>Actual opex (with saving)</t>
  </si>
  <si>
    <t>Revenue allowed in 1st regulatory period (with saving)</t>
  </si>
  <si>
    <t>Revenue allowed in 2nd regulatory period (with saving)</t>
  </si>
  <si>
    <t>Revenue allowed in subsequent regulatory periods (with saving)</t>
  </si>
  <si>
    <t>Revenue allowed based on forecast opex (with saving)</t>
  </si>
  <si>
    <t>Incremental change</t>
  </si>
  <si>
    <t>Carry forward terms</t>
  </si>
  <si>
    <t>Amount carried forward in the first disclosure year (cl 3.3.3(2))</t>
  </si>
  <si>
    <t>Amount carried forward in all but the first or last disclosure years (cl 3.3.3(3))</t>
  </si>
  <si>
    <t>Amount carried forward in the last disclosure year (cl 3.3.3(4))</t>
  </si>
  <si>
    <t>Equivalent adjustment terms carried forward</t>
  </si>
  <si>
    <t>Equivalent of base year adjustment term</t>
  </si>
  <si>
    <t>Equivalent of base line adjustment term</t>
  </si>
  <si>
    <t>Equivalent of one-year adjustment term 2 (1)</t>
  </si>
  <si>
    <t>Equivalent of one-year adjustment term 3</t>
  </si>
  <si>
    <t>Equivalent of one-year adjustment term 6</t>
  </si>
  <si>
    <t>Equivalent of one-year adjustment term 7</t>
  </si>
  <si>
    <t>Equivalent of one-year adjustment term 8</t>
  </si>
  <si>
    <t>Equivalent of one-year adjustment term 9 (1)</t>
  </si>
  <si>
    <t>Annual incremental changes</t>
  </si>
  <si>
    <r>
      <t xml:space="preserve">Amounts carried forward </t>
    </r>
    <r>
      <rPr>
        <b/>
        <sz val="10"/>
        <color theme="1"/>
        <rFont val="Calibri"/>
        <family val="2"/>
      </rPr>
      <t>(cl 3.3.3(1))</t>
    </r>
  </si>
  <si>
    <t>Amount carried forward from year 1</t>
  </si>
  <si>
    <t>Amount carried forward from year 2</t>
  </si>
  <si>
    <t>Amount carried forward from year 3</t>
  </si>
  <si>
    <t>Amount carried forward from year 4</t>
  </si>
  <si>
    <t>Amount carried forward from year 5</t>
  </si>
  <si>
    <t>Amount carried forward from year 6</t>
  </si>
  <si>
    <t>Amount carried forward from year 7</t>
  </si>
  <si>
    <t>Amount carried forward from year 8</t>
  </si>
  <si>
    <t>Amount carried forward from year 9</t>
  </si>
  <si>
    <t>Amount carried forward from year 10</t>
  </si>
  <si>
    <t>Amount carried forward from year 11</t>
  </si>
  <si>
    <t>Amount carried forward from year 12</t>
  </si>
  <si>
    <t>Amount carried forward from year 13</t>
  </si>
  <si>
    <t>Amounts carried forward to opex incentive amount (cl 3.3.2(2)(a))</t>
  </si>
  <si>
    <t>Adjustment to the opex incentive (cl 3.3.2(2)(b))</t>
  </si>
  <si>
    <t>Base year adjustment term (cl 3.3.5)</t>
  </si>
  <si>
    <t>Baseline adjustment term (cl 3.3.7)</t>
  </si>
  <si>
    <t>Rollover adjustment term (cl 3.3.6)</t>
  </si>
  <si>
    <t>One-year adjustment term 1 (cl 3.3.8)</t>
  </si>
  <si>
    <t>One-year adjustment term 4 (cl 3.3.9)</t>
  </si>
  <si>
    <t>One-year adjustment term 5 (cl 3.3.9)</t>
  </si>
  <si>
    <t>One-year adjustment term 2 (cl 3.3.8)</t>
  </si>
  <si>
    <t>One-year adjustment term 3 (cl 3.3.8)</t>
  </si>
  <si>
    <t>One-year adjustment term 6 (cl 3.3.9)</t>
  </si>
  <si>
    <t>One-year adjustment term 7  (cl 3.3.9)</t>
  </si>
  <si>
    <t>One-year adjustment term 8  (cl 3.3.9)</t>
  </si>
  <si>
    <t>One-year adjustment term 9 (cl 3.3.9)</t>
  </si>
  <si>
    <t>Equivalent adjustment terms</t>
  </si>
  <si>
    <t>Equivalent of roll over adjustment term</t>
  </si>
  <si>
    <t>Equivalent of one-year adjustment term 1</t>
  </si>
  <si>
    <t>Equivalent of one-year adjustment term 4</t>
  </si>
  <si>
    <t>Equivalent of one-year adjustment term 5</t>
  </si>
  <si>
    <t>Equivalent of one-year adjustment term 2 (2)</t>
  </si>
  <si>
    <t>Equivalent of one-year adjustment term 9 (2)</t>
  </si>
  <si>
    <t>Equivalent of one-year adjustment term 9 (3)</t>
  </si>
  <si>
    <t>Equivalent of one-year adjustment term 6 (2)</t>
  </si>
  <si>
    <t>Equivalent of one-year adjustment term 7 (2)</t>
  </si>
  <si>
    <t xml:space="preserve">Opex incentive amount (cl 3.3.2(2)) </t>
  </si>
  <si>
    <t>Calculation of total savings</t>
  </si>
  <si>
    <t>Savings from permanent efficiencies</t>
  </si>
  <si>
    <t>Savings from temporary efficiencies</t>
  </si>
  <si>
    <t>Total savings</t>
  </si>
  <si>
    <t>Effects</t>
  </si>
  <si>
    <t>Saving in opex</t>
  </si>
  <si>
    <t>Benefit for consumers (lower prices)</t>
  </si>
  <si>
    <t>Current regualtory period</t>
  </si>
  <si>
    <t xml:space="preserve">The price path for DPP3 will be based on ID disclosures for YE 31 March 2019. </t>
  </si>
  <si>
    <t>Operating lease payments (end of year)</t>
  </si>
  <si>
    <t>Value of remaining lease payments (beginning of year)</t>
  </si>
  <si>
    <t>Operating lease payments per year for remaining lease life</t>
  </si>
  <si>
    <r>
      <t xml:space="preserve">Choose from drop down - </t>
    </r>
    <r>
      <rPr>
        <i/>
        <sz val="10"/>
        <rFont val="Calibri"/>
        <family val="2"/>
        <scheme val="minor"/>
      </rPr>
      <t>An IM change would be required for a notional tax asset to apply for right of use assets, as they do not have adjusted tax values</t>
    </r>
  </si>
  <si>
    <t>What is the disclosure year of first capitalisation (year-ending 31 March)</t>
  </si>
  <si>
    <t>Remaining life of operating lease</t>
  </si>
  <si>
    <t>EDB incremental cost of debt</t>
  </si>
  <si>
    <t>Illustrative treatment of right of use asset under DPP</t>
  </si>
  <si>
    <t>IM cl 4.3.5(2)(b), 2.3.8(3)</t>
  </si>
  <si>
    <t>IM cl 4.3.5(3)(c )</t>
  </si>
  <si>
    <t>Depreciation not recovered</t>
  </si>
  <si>
    <r>
      <t xml:space="preserve">User input </t>
    </r>
    <r>
      <rPr>
        <i/>
        <sz val="10"/>
        <rFont val="Calibri"/>
        <family val="2"/>
        <scheme val="minor"/>
      </rPr>
      <t>- This is based on tax rules, and would vary based on the life of the asset</t>
    </r>
    <r>
      <rPr>
        <b/>
        <i/>
        <sz val="10"/>
        <rFont val="Calibri"/>
        <family val="2"/>
        <scheme val="minor"/>
      </rPr>
      <t xml:space="preserve">. </t>
    </r>
    <r>
      <rPr>
        <i/>
        <sz val="10"/>
        <rFont val="Calibri"/>
        <family val="2"/>
        <scheme val="minor"/>
      </rPr>
      <t>Ref IM cl 4.3.5(3)(b)</t>
    </r>
  </si>
  <si>
    <t>Used for the calculation in ref IM cl 4.3.3. Rate from draft DPP decision published on 28 May 2019. Based on Cost of Capital determination NZCC 7, 2019. To be updated for final decision.</t>
  </si>
  <si>
    <t>Depreciation of right of use asset</t>
  </si>
  <si>
    <t>Opening GAAP value of right of use asset</t>
  </si>
  <si>
    <t>Closing GAAP value of right of use asset</t>
  </si>
  <si>
    <t>Total depreciation of right of use asset</t>
  </si>
  <si>
    <t>Years or remaining asset life as at 1 April</t>
  </si>
  <si>
    <t>A Right of use asset that enters the RAB in the ID 2019 disclosures will not affect the RAB weighted average remaining asset life, because it is not in the Opening RAB and so is not in Total Depreciation. We have modelled depreciation using an example RAB weighted average remaining asset life.</t>
  </si>
  <si>
    <t>Right of use assets capitalised in DY 2020 are Additional Assets and are ascribed an asset life of 45 years.</t>
  </si>
  <si>
    <t>Note 1:</t>
  </si>
  <si>
    <t>Note 2:</t>
  </si>
  <si>
    <t>Note 3:</t>
  </si>
  <si>
    <t>Note 4:</t>
  </si>
  <si>
    <t>Note 5:</t>
  </si>
  <si>
    <t>The closing regulatory tax asset value is the opening value less tax depreciation.</t>
  </si>
  <si>
    <t>Tax effect of temporary differences.</t>
  </si>
  <si>
    <t>Closing deferred tax balance = opening + tax effect of temporary differences.</t>
  </si>
  <si>
    <t>The total asset value adjusted for the deferred tax asset/liability.</t>
  </si>
  <si>
    <t>We have calculated the individual components of the tax allowance in the BBAR formula to make the calculations clearer.</t>
  </si>
  <si>
    <t>These calculations are just a check on the tax allowance.</t>
  </si>
  <si>
    <t>This calculates the tax owed on the profit earned.</t>
  </si>
  <si>
    <t>This should equal zero.</t>
  </si>
  <si>
    <t>This is the difference between the allowable revenue on the right of use asset and what we would've provided for under an opex treatment over future regulatory periods.</t>
  </si>
  <si>
    <t>This is the degree of equivalence of the allowable revenue provided for a right of use asset versus an equivalent opex treatment.</t>
  </si>
  <si>
    <t>There is no depreciation for an asset in the year it is commissioned.</t>
  </si>
  <si>
    <t>Inputs in red can be varied by the user.  Inputs in tan text should remain fixed. See the 'notes' alongside for further explanations.</t>
  </si>
  <si>
    <t>Note 6:</t>
  </si>
  <si>
    <t>Note 7:</t>
  </si>
  <si>
    <t>The degree of equivalence between treating an operating lease as operating expenditure and as a right of use asset is the key output of this model.</t>
  </si>
  <si>
    <t>A figure over 100% suggests EDBs would receive a greater return for a right of use asset than the equivalent operating expenditure.</t>
  </si>
  <si>
    <t>Note 8:</t>
  </si>
  <si>
    <t>Base year: IM cl 4.2.2(2)(a)(i), Subsequent years: IM cl 4.2.2(2)(a)(ii), 4.2.2(2)(b)</t>
  </si>
  <si>
    <t>IM cl 4.3.5(2) * corporate tax rate, 2.3.8(3)</t>
  </si>
  <si>
    <t>Opening RAB value</t>
  </si>
  <si>
    <t>Present value of revenue from right of use asset at start of next regulatory period (2021) using WACC</t>
  </si>
  <si>
    <t>Refs</t>
  </si>
  <si>
    <t>Present value of remaining lease payments at start of next regulatory period (2021) using WACC</t>
  </si>
  <si>
    <t>Source of value/life of asset</t>
  </si>
  <si>
    <t>These calculations are for IRIS calculation purposes only</t>
  </si>
  <si>
    <t>Right of use assets under the DPP IMs</t>
  </si>
  <si>
    <t>Capex incentive calculation</t>
  </si>
  <si>
    <t>Opex incentive calculation</t>
  </si>
  <si>
    <t>Opex permanent saving calculation</t>
  </si>
  <si>
    <t>This worksheet shows the calculation of the capex washup that would result under IRIS from capitalising the hypothetical operating lease in the 'Equivalence calculations' tab (i.e. introducing new capital expenditure)</t>
  </si>
  <si>
    <t>This worksheet shows the incentive effect of reducing operating expenditure by the value of the hypothetical operating lease in the 'Equivalence Calculations' tab under the IRIS</t>
  </si>
  <si>
    <t xml:space="preserve">
This worksheet shows the calculation of the permanent saving from the reduction in operating expenditure.</t>
  </si>
  <si>
    <t>Further notes</t>
  </si>
  <si>
    <t>Structure and instructions</t>
  </si>
  <si>
    <t xml:space="preserve">This is the NPV of the remaining operating lease payments from the start of the next regulatory period, using WACC. </t>
  </si>
  <si>
    <t>Temporary difference adjustment</t>
  </si>
  <si>
    <t>Annual present value of tax effect of permanent differences that are unaccounted for, using WACC</t>
  </si>
  <si>
    <t>Total present value of tax effect of permanent differences that are unaccounted for, using WACC</t>
  </si>
  <si>
    <r>
      <rPr>
        <b/>
        <i/>
        <sz val="10"/>
        <rFont val="Calibri"/>
        <family val="2"/>
        <scheme val="minor"/>
      </rPr>
      <t xml:space="preserve">Choose from drop down </t>
    </r>
    <r>
      <rPr>
        <i/>
        <sz val="10"/>
        <rFont val="Calibri"/>
        <family val="4"/>
        <scheme val="minor"/>
      </rPr>
      <t>- An IM change could allow for specific recognition of the GAAP life of right of use assets within the DPP</t>
    </r>
    <r>
      <rPr>
        <i/>
        <sz val="10"/>
        <rFont val="Calibri"/>
        <family val="2"/>
        <scheme val="minor"/>
      </rPr>
      <t>. Note leases that are first capitalised in 2020 will attract the 45 year default life for new assets for DPP3, since it will not be captured in the DPP3 base year.</t>
    </r>
  </si>
  <si>
    <t xml:space="preserve">                 </t>
  </si>
  <si>
    <r>
      <t xml:space="preserve">Choose from drop down - </t>
    </r>
    <r>
      <rPr>
        <i/>
        <sz val="10"/>
        <rFont val="Calibri"/>
        <family val="2"/>
        <scheme val="minor"/>
      </rPr>
      <t>An IM change would be required to account for permanent differences within a DPP. They are specified at 2.3.1(3) for ID but not at 4.3.1(3) for DPP</t>
    </r>
    <r>
      <rPr>
        <b/>
        <i/>
        <sz val="10"/>
        <rFont val="Calibri"/>
        <family val="2"/>
        <scheme val="minor"/>
      </rPr>
      <t xml:space="preserve"> </t>
    </r>
  </si>
  <si>
    <r>
      <t xml:space="preserve">User input </t>
    </r>
    <r>
      <rPr>
        <i/>
        <sz val="10"/>
        <rFont val="Calibri"/>
        <family val="2"/>
        <scheme val="minor"/>
      </rPr>
      <t>- This is the term of the lease recognised under IFRS 16</t>
    </r>
  </si>
  <si>
    <r>
      <t xml:space="preserve">User input </t>
    </r>
    <r>
      <rPr>
        <i/>
        <sz val="10"/>
        <rFont val="Calibri"/>
        <family val="2"/>
        <scheme val="minor"/>
      </rPr>
      <t>- This is an EDB's incremental cost of debt used under IFRS 16 to discount future lease payments</t>
    </r>
  </si>
  <si>
    <t>These calculations illustrate the differences that arise from treating operating leases as operating expenditure, compared to treating them as right of use assets consistent with NZ IFRS 16. The calculations operate on the basis of existing IMs, but the 'User Inputs' above allow users to observe how changes under amended IMs might affect the equivalence of the outcomes.</t>
  </si>
  <si>
    <t>Disclosure Year ending 31 March</t>
  </si>
  <si>
    <t>Permanent difference not recognised in taxable income but available as a tax deduction under tax rules</t>
  </si>
  <si>
    <t>Regulatory taxable income</t>
  </si>
  <si>
    <t>IM cl 4.3.1(3)</t>
  </si>
  <si>
    <t>Regulatory Tax Allowance</t>
  </si>
  <si>
    <t>The closing ID value of the right of use asset in the base year of the next regulatory period will be rolled forward as the starting value for the following regulatory period. We have modelled this as picking up the GAAP value (as represented in ID) in the first year of the regulatory period. In practice, the right of use asset would contribute to the aggregate RAB value and weighted average remaining asset life.</t>
  </si>
  <si>
    <t>Right of use assets are to be valued based on the present value of remaining lease payments discounted by the EDB's incremental cost of debt</t>
  </si>
  <si>
    <t>Remaining life of right of use asset per GAAP accounts</t>
  </si>
  <si>
    <t xml:space="preserve">Depreciation based on RAB value / remaining asset life. There is no depreciation adjustment in the base year to account for the reset and roll-forward of asset values from ID, when the ID life differs from the previously assigned life for DPP purposes. </t>
  </si>
  <si>
    <t>Permanent differences for ID purposes are specified at 2.3.1(3) but they are not recognised at 4.3.1(3) for DPP purposes.</t>
  </si>
  <si>
    <t>The opening regulatory tax asset value in the base year is equal to the regulatory asset value for the base year, and for later disclosure years from the closing value of the preceding year.</t>
  </si>
  <si>
    <t xml:space="preserve">Depreciation temporary difference = depreciation - tax depreciation. Note that temporary differences should, by definition, sum to zero over the asset life. </t>
  </si>
  <si>
    <t xml:space="preserve">Under the IMs the opening deferred tax balance = nil for the starting year. For the purposes of this model, we have adopted the GAAP treatment which is to calculate the opening value as the tax effect of the difference between the regulatory asset and regulatory tax asset. IM treatment consistent with the GAAP treatment would be achieved by the creation of a notional regulatory tax asset of the same starting value as the regulatory asset.. </t>
  </si>
  <si>
    <t>We have assumed the deferred tax balance is adjusted when the asset value is reset from ID.</t>
  </si>
  <si>
    <t>Annual present value of allowable revenue</t>
  </si>
  <si>
    <t xml:space="preserve">This is the NPV of the allowable revenue on the right of use asset from the start of the next regulatory period, using WACC. </t>
  </si>
  <si>
    <t>The BBAR revenue is discounted at WACC for comparison with the present value of remaining operating lease payments discounted at WACC.</t>
  </si>
  <si>
    <t>There may be step changes in allowable revenue at the start of regulatory periods when the asset value from ID is rolled forward to set the starting asset value for DPP purposes</t>
  </si>
  <si>
    <r>
      <t xml:space="preserve">We have made several simplifying assumptions in this model:
</t>
    </r>
    <r>
      <rPr>
        <sz val="11"/>
        <color theme="1"/>
        <rFont val="Calibri"/>
        <family val="2"/>
        <scheme val="minor"/>
      </rPr>
      <t xml:space="preserve">- The Equivalence and IRIS worksheets should be considered independent calculations. We have not included IRIS recoverable costs in the calculation of regulatory income.
- The IRIS calculations apply to EDBs that have been, and will continue on a DPP only (i.e. they will not apply to EDBs on a CPP)
- Multiple right of use assets will enter the aggregate RAB, but we have modelled them as a single, stand-alone asset or group of assets with a common useful life and discount rate.
- Asset CPI revaluations are not modelled
- Intra-year timing of payments is ignored (these are denoted by 'TF' within formulas in the IMs), with all payments occurring at year-end. 
- All years have a year-end of 31 March
- We have assumed that the operating lease does not involve any lease prepayments or direct costs 
</t>
    </r>
    <r>
      <rPr>
        <b/>
        <sz val="11"/>
        <color theme="1"/>
        <rFont val="Calibri"/>
        <family val="2"/>
        <scheme val="minor"/>
      </rPr>
      <t xml:space="preserve">
The IMs for calculating the default price path (DPP) for electricity distribution businesses make simplifying assumptions that cause further differences between the GAAP 'right of use asset' treatment and the regulatory treatment. Some of these assumptions become apparent when looking at a single asset on its own. In particular:
</t>
    </r>
    <r>
      <rPr>
        <sz val="11"/>
        <color theme="1"/>
        <rFont val="Calibri"/>
        <family val="2"/>
        <scheme val="minor"/>
      </rPr>
      <t>- The DPP IM assigns an asset life of 45 years to all assets commissioned between the DPP base year and the end of the DPP regulatory period. This is likely to be higher than the life of a typical operating lease, resulting in under-recovery of depreciation. 
- The DPP IM uses aggregate RAB value and weighted average remaining life of RAB assets to calculate Total Depreciation.  It relies on unders and overs of depreciation of individual assets to approximate depreciation on aggregate assets over time. 
- The DPP IM does not consider permanent differences between income/expenses recognised for tax purposes, and income/expenses recognised for regulatory purposes.
- The ID and DPP IMs do not depreciate assets in the year of commissioning. 
- The DPP IM uses aggregate tax asset values and average DV life to calculate tax depreciation.</t>
    </r>
  </si>
  <si>
    <t>Total capex incentive amount (NPV at 2021 using WACC)</t>
  </si>
  <si>
    <t>Total opex incentive amount (NPV at 2021 using WACC)</t>
  </si>
  <si>
    <t>Net Present Value of permanent savings (NPV at 2015 using WACC)</t>
  </si>
  <si>
    <t>Net Present Value of temporary savings (NPV at 2015 using WACC)</t>
  </si>
  <si>
    <t>Net Present Value of total savings (NPV at 2015 using WACC)</t>
  </si>
  <si>
    <r>
      <rPr>
        <b/>
        <sz val="11"/>
        <color theme="1"/>
        <rFont val="Calibri"/>
        <family val="2"/>
        <scheme val="minor"/>
      </rPr>
      <t xml:space="preserve"> - The model consists of four calculation sheets:</t>
    </r>
    <r>
      <rPr>
        <sz val="11"/>
        <color theme="1"/>
        <rFont val="Calibri"/>
        <family val="2"/>
        <scheme val="minor"/>
      </rPr>
      <t xml:space="preserve">
     ●  the 'Equivalence calculations' worksheet steps through the calculations of how a right of use asset would be treated under the DPP IMs, compared to continuing to treat a lease as operating expenditure
     ●  the 'IRIS Capex incentives' worksheet shows the calculation of the capex washup that would result under IRIS from capitalising the hypothetical operating lease in the 'Equivalence calculations' tab (i.e. introducing new capital expenditure)
     ●  the 'IRIS Opex incentives' worksheet shows the incentive effect of reducing operating expenditure by the value of the hypothetical operating lease in the 'Equivalence Calculations' tab under the IRIS
     ●  the 'IRIS Opex permanent saving' worksheet shows the calculation of the permanent saving from the reduction in operating expenditure.
</t>
    </r>
    <r>
      <rPr>
        <b/>
        <sz val="11"/>
        <color theme="1"/>
        <rFont val="Calibri"/>
        <family val="2"/>
        <scheme val="minor"/>
      </rPr>
      <t xml:space="preserve">- The 'Equivalence calculations' worksheet takes in user inputs:
</t>
    </r>
    <r>
      <rPr>
        <sz val="11"/>
        <color theme="1"/>
        <rFont val="Calibri"/>
        <family val="2"/>
        <scheme val="minor"/>
      </rPr>
      <t xml:space="preserve">     ●  These are highlighted in red font in the 'Equivalence calculations' tab
     ●  The first four user inputs are selected from drop-down lists
     ●  Further instructions around these inputs are provided next to the relevant input cells
</t>
    </r>
    <r>
      <rPr>
        <b/>
        <sz val="11"/>
        <color theme="1"/>
        <rFont val="Calibri"/>
        <family val="2"/>
        <scheme val="minor"/>
      </rPr>
      <t xml:space="preserve">- The IRIS worksheets include some inputs that are not utilised in the specific calculations undertaken here, but have been left in to preserve consistency with the published IRIS model.
- Please note that differences in the NPV period between the incentive and permanent savings calculations mean the outputs between these worksheets are not directly comparable. </t>
    </r>
  </si>
  <si>
    <t>Published 3 July 2019 v1</t>
  </si>
  <si>
    <t xml:space="preserve">This cell highlights the potential for EDBs to receive a tax allowance that is different to their tax costs based on tax rules. </t>
  </si>
  <si>
    <t>EDB sharing factor (output from cell I123 below)</t>
  </si>
  <si>
    <t>Benefit to EDB (higher cash flow)</t>
  </si>
  <si>
    <t>Net Present Value of savings to the EDB (NPV at 2015 using WACC)</t>
  </si>
  <si>
    <t>Sharing factor for the EDB</t>
  </si>
  <si>
    <t>Table of Contents</t>
  </si>
  <si>
    <t>Sheet Name</t>
  </si>
  <si>
    <t>Link</t>
  </si>
  <si>
    <t>Equivalence calculations</t>
  </si>
  <si>
    <t>IRIS Capex incentives</t>
  </si>
  <si>
    <t>IRIS Opex incentives</t>
  </si>
  <si>
    <t>IRIS Opex permanent saving</t>
  </si>
  <si>
    <r>
      <rPr>
        <i/>
        <sz val="11"/>
        <color theme="1"/>
        <rFont val="Calibri"/>
        <family val="2"/>
        <scheme val="minor"/>
      </rPr>
      <t>This model has been prepared and published for illustrative purposes only.</t>
    </r>
    <r>
      <rPr>
        <b/>
        <sz val="11"/>
        <color theme="1"/>
        <rFont val="Calibri"/>
        <family val="2"/>
        <scheme val="minor"/>
      </rPr>
      <t xml:space="preserve">
</t>
    </r>
    <r>
      <rPr>
        <sz val="11"/>
        <color theme="1"/>
        <rFont val="Calibri"/>
        <family val="2"/>
        <scheme val="minor"/>
      </rPr>
      <t>The model is intended to be used as a tool to illustrate the effect of the introduction of right of use assets on allowable revenue using the existing DPP IMs, with switches to allow the comparison with values under possible IM changes. A key output of the model is to calculate the degree of equivalence between the present value of remaining operating lease payments at the start of DPP3 and the implied allowable revenue from the value of right of use assets capitalised on adoption of NZ IFRS 16. We hope this will assist interested parties to evaluate the effects of adopting the capitalisation treatment under NZ IFRS 16 for regulatory purposes using different IM assumption scenarios, and to be able to provide feedback in submissions on possible IM changes. The assumptions are set out below and inputs may be adjusted in the Equivalence Calculations sheet according to the particular circumstances of each EDB.
This model assumes a hypothetical operating lease, or sum of leases capitalised as at the same date. It is not intended to replicate the DPP Financial Model, through which we calculate a regulated EDB's price path in accordance with the DPP IMs as they exist. 
Treating operating leases as right of use assets instead of operating expenditure has impacts under the Incremental Rolling Incentive Scheme (IRIS). On 21 June 2019 we published a model for calculating IRIS recoverable costs as part of our project to set the default price path for EDBs for 2021-2025 (see https://comcom.govt.nz/__data/assets/excel_doc/0028/155836/Calculations-of-IRIS-recoverable-costs-for-DPP3-EDB-DPP3-draft-21-June-2019.xlsx). This model utilises extracts from that model to estimate these IRIS impacts.</t>
    </r>
  </si>
  <si>
    <r>
      <t xml:space="preserve">In 2016, a new financial reporting standard, New Zealand Equivalent to International Financial Reporting Standard 16 Leases (NZ IFRS 16) was issued by the New Zealand Accounting Standards Board. It comes into effect for annual reporting periods beginning on or after 1 January 2019 — though some businesses adopted the standard earlier. The standard fundamentally changes the accounting treatment of operating leases for lessees by requiring the capitalisation of operating lease expenditure, and treating them as 'right of use' assets.  The new accounting treatment of operating leases affects the businesses we regulate in ways that we could not have anticipated when we set the current input methodologies.  This gives rise to the potential for unintended outcomes. 
</t>
    </r>
    <r>
      <rPr>
        <b/>
        <sz val="11"/>
        <color theme="1"/>
        <rFont val="Calibri"/>
        <family val="2"/>
        <scheme val="minor"/>
      </rPr>
      <t>This model complements the discussion in our "Treatment of operating leases: Issues Paper" (6 June 2019)</t>
    </r>
    <r>
      <rPr>
        <sz val="11"/>
        <color theme="1"/>
        <rFont val="Calibri"/>
        <family val="2"/>
        <scheme val="minor"/>
      </rPr>
      <t xml:space="preserve">. (see https://comcom.govt.nz/__data/assets/pdf_file/0017/152108/Treatment-of-operating-leases-Issues-paper-6-June-2019.pdf). 
The main issues identified in that paper are:
     ● Suppliers may receive a tax allowance that is different to their tax costs based on tax rules 
     ● Suppliers may benefit from a difference in the weighted average cost of capital (WACC) used to calculate returns on right of use assets and their incremental cost of debt used to discount forecast operating lease cashflows in creating the right of use assets. This, however, may be largely negated by tax effects.
     ● There could be spikes in allowable revenue that could be difficult for suppliers to manage, as the depreciated value of the right of use assets within the regulated asset base are reset to the GAAP depreciated values at future price-quality path resets. 
     ● The initial capitalisation of operating leases will create a one-off benefit for regulated suppliers under IRIS. 
     ● Regulated suppliers could obtain IRIS benefits on the basis of provisional outcomes.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</si>
</sst>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_)"/>
    <numFmt numFmtId="171" formatCode="_(* #,##0.0_);_(* \(#,##0.0\);_(* &quot;–&quot;???_);_(* @_)"/>
    <numFmt numFmtId="172" formatCode="_(* #,##0.00_);_(* \(#,##0.00\);_(* &quot;–&quot;???_);_(* @_)"/>
    <numFmt numFmtId="173" formatCode="_(* #,##0.0000_);_(* \(#,##0.0000\);_(* &quot;–&quot;??_);_(* @_)"/>
    <numFmt numFmtId="174" formatCode="[$-1409]d\ mmm\ yy;@"/>
    <numFmt numFmtId="175" formatCode="_(* #,##0%_);_(* \(#,##0%\);_(* &quot;–&quot;???_);_(* @_)"/>
    <numFmt numFmtId="176" formatCode="_(* #,##0.0%_);_(* \(#,##0.0%\);_(* &quot;–&quot;??_);_(* @_)"/>
    <numFmt numFmtId="177" formatCode="_(* #,##0.00%_);_(* \(#,##0.00%\);_(* &quot;–&quot;???_);_(* @_)"/>
    <numFmt numFmtId="178" formatCode="_(* #,##0.000%_);_(* \(#,##0.000%\);_(* &quot;–&quot;???_);_(* @_)"/>
    <numFmt numFmtId="179" formatCode="_(* #,##0%_);_(* \(#,##0%\);_(* &quot;–&quot;??_);_(* @_)"/>
    <numFmt numFmtId="180" formatCode="_(* 0_);_(* \(0\);_(* &quot;–&quot;??_);_(@_)"/>
    <numFmt numFmtId="181" formatCode="_(* #,##0_);_(* \(#,##0\);_(* &quot;–&quot;???_);_(* @_)"/>
    <numFmt numFmtId="182" formatCode="_(* #,##0.0000%_);_(* \(#,##0.0000%\);_(* &quot;–&quot;???_);_(* @_)"/>
    <numFmt numFmtId="183" formatCode="_(* #,##0.000_);_(* \(#,##0.000\);_(* &quot;–&quot;???_);_(* @_)"/>
    <numFmt numFmtId="184" formatCode="_(* #,##0_);_(* \(#,##0\);_(* &quot;-&quot;??_);_(@_)"/>
    <numFmt numFmtId="185" formatCode="_-* #,##0_-;\-* #,##0_-;_-* &quot;-&quot;??_-;_-@_-"/>
    <numFmt numFmtId="186" formatCode="0.0000"/>
    <numFmt numFmtId="187" formatCode="#,##0;[Red]\-#,##0;\-"/>
    <numFmt numFmtId="188" formatCode="#,##0;[Red]\-#,##0;&quot;-&quot;"/>
    <numFmt numFmtId="189" formatCode="&quot;Y&quot;0"/>
    <numFmt numFmtId="190" formatCode="#,##0.00;[Red]\-#,##0.00;&quot;-&quot;"/>
    <numFmt numFmtId="191" formatCode="_-&quot;$&quot;* #,##0.0_-;\-&quot;$&quot;* #,##0.0_-;_-&quot;$&quot;*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sz val="11"/>
      <color theme="2"/>
      <name val="Calibri"/>
      <family val="2"/>
      <scheme val="minor"/>
    </font>
    <font>
      <b/>
      <sz val="10"/>
      <name val="Calibri"/>
      <family val="4"/>
      <scheme val="minor"/>
    </font>
    <font>
      <sz val="11"/>
      <color theme="9"/>
      <name val="Calibri"/>
      <family val="2"/>
      <scheme val="minor"/>
    </font>
    <font>
      <b/>
      <sz val="20"/>
      <color theme="2"/>
      <name val="Calibri"/>
      <family val="2"/>
      <scheme val="minor"/>
    </font>
    <font>
      <sz val="11"/>
      <name val="Calibri"/>
      <family val="2"/>
    </font>
    <font>
      <sz val="11"/>
      <color theme="1"/>
      <name val="Calibri"/>
      <family val="2"/>
    </font>
    <font>
      <i/>
      <sz val="10"/>
      <name val="Calibri"/>
      <family val="4"/>
      <scheme val="minor"/>
    </font>
    <font>
      <b/>
      <sz val="10"/>
      <color theme="1"/>
      <name val="Calibri"/>
      <family val="2"/>
      <scheme val="minor"/>
    </font>
    <font>
      <u/>
      <sz val="10"/>
      <color theme="10"/>
      <name val="Calibri"/>
      <family val="2"/>
      <scheme val="minor"/>
    </font>
    <font>
      <u/>
      <sz val="10"/>
      <color theme="11"/>
      <name val="Calibri"/>
      <family val="2"/>
      <scheme val="minor"/>
    </font>
    <font>
      <i/>
      <sz val="11"/>
      <color theme="1"/>
      <name val="Calibri"/>
      <family val="2"/>
      <scheme val="minor"/>
    </font>
    <font>
      <b/>
      <i/>
      <sz val="10"/>
      <name val="Calibri"/>
      <family val="2"/>
      <scheme val="minor"/>
    </font>
    <font>
      <i/>
      <sz val="10"/>
      <name val="Calibri"/>
      <family val="2"/>
      <scheme val="minor"/>
    </font>
    <font>
      <sz val="9"/>
      <color indexed="81"/>
      <name val="Tahoma"/>
      <family val="2"/>
    </font>
    <font>
      <sz val="11"/>
      <color theme="0" tint="-0.249977111117893"/>
      <name val="Calibri"/>
      <family val="2"/>
      <scheme val="minor"/>
    </font>
    <font>
      <b/>
      <i/>
      <sz val="10"/>
      <color theme="1"/>
      <name val="Calibri"/>
      <family val="2"/>
      <scheme val="minor"/>
    </font>
    <font>
      <b/>
      <sz val="18"/>
      <color theme="1"/>
      <name val="Calibri"/>
      <family val="2"/>
      <scheme val="minor"/>
    </font>
    <font>
      <sz val="8"/>
      <color theme="1"/>
      <name val="Calibri"/>
      <family val="2"/>
      <scheme val="minor"/>
    </font>
    <font>
      <sz val="10"/>
      <name val="Calibri"/>
      <family val="2"/>
      <scheme val="minor"/>
    </font>
    <font>
      <b/>
      <sz val="12"/>
      <name val="Calibri"/>
      <family val="2"/>
      <scheme val="minor"/>
    </font>
    <font>
      <sz val="18"/>
      <color theme="1"/>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b/>
      <sz val="10"/>
      <color theme="1"/>
      <name val="Calibri"/>
      <family val="2"/>
    </font>
    <font>
      <i/>
      <sz val="11"/>
      <color theme="0" tint="-0.499984740745262"/>
      <name val="Calibri"/>
      <family val="2"/>
      <scheme val="minor"/>
    </font>
    <font>
      <sz val="11"/>
      <color theme="0" tint="-0.499984740745262"/>
      <name val="Calibri"/>
      <family val="2"/>
      <scheme val="minor"/>
    </font>
    <font>
      <i/>
      <sz val="9"/>
      <color theme="0" tint="-0.14999847407452621"/>
      <name val="Calibri"/>
      <family val="2"/>
      <scheme val="minor"/>
    </font>
    <font>
      <b/>
      <sz val="9"/>
      <color theme="0"/>
      <name val="Calibri"/>
      <family val="2"/>
      <scheme val="minor"/>
    </font>
    <font>
      <sz val="9"/>
      <color theme="0"/>
      <name val="Calibri"/>
      <family val="2"/>
      <scheme val="minor"/>
    </font>
    <font>
      <sz val="9"/>
      <color theme="0" tint="-0.499984740745262"/>
      <name val="Calibri"/>
      <family val="2"/>
      <scheme val="minor"/>
    </font>
    <font>
      <b/>
      <sz val="12"/>
      <color theme="1"/>
      <name val="Calibri"/>
      <family val="2"/>
      <scheme val="minor"/>
    </font>
    <font>
      <u/>
      <sz val="10"/>
      <color theme="10"/>
      <name val="Calibri"/>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1"/>
        <bgColor indexed="64"/>
      </patternFill>
    </fill>
    <fill>
      <patternFill patternType="solid">
        <fgColor theme="2"/>
        <bgColor indexed="64"/>
      </patternFill>
    </fill>
    <fill>
      <patternFill patternType="solid">
        <fgColor theme="2" tint="0.79998168889431442"/>
        <bgColor indexed="64"/>
      </patternFill>
    </fill>
    <fill>
      <patternFill patternType="solid">
        <fgColor theme="5" tint="0.39997558519241921"/>
        <bgColor indexed="64"/>
      </patternFill>
    </fill>
  </fills>
  <borders count="5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7"/>
      </top>
      <bottom style="thin">
        <color theme="7"/>
      </bottom>
      <diagonal/>
    </border>
    <border>
      <left/>
      <right style="thin">
        <color theme="7"/>
      </right>
      <top style="thin">
        <color theme="7"/>
      </top>
      <bottom style="thin">
        <color theme="7"/>
      </bottom>
      <diagonal/>
    </border>
    <border>
      <left/>
      <right style="dotted">
        <color theme="0" tint="-0.14996795556505021"/>
      </right>
      <top style="thin">
        <color theme="7"/>
      </top>
      <bottom style="thin">
        <color theme="7"/>
      </bottom>
      <diagonal/>
    </border>
    <border>
      <left/>
      <right style="dotted">
        <color theme="0" tint="-0.14996795556505021"/>
      </right>
      <top/>
      <bottom/>
      <diagonal/>
    </border>
    <border>
      <left/>
      <right style="hair">
        <color theme="0" tint="-0.14996795556505021"/>
      </right>
      <top style="thin">
        <color theme="7"/>
      </top>
      <bottom style="thin">
        <color theme="7"/>
      </bottom>
      <diagonal/>
    </border>
    <border>
      <left/>
      <right/>
      <top/>
      <bottom style="thin">
        <color theme="7"/>
      </bottom>
      <diagonal/>
    </border>
    <border>
      <left/>
      <right style="dotted">
        <color theme="0" tint="-0.14996795556505021"/>
      </right>
      <top/>
      <bottom style="thin">
        <color theme="7"/>
      </bottom>
      <diagonal/>
    </border>
    <border>
      <left/>
      <right/>
      <top style="thin">
        <color theme="7" tint="-0.24994659260841701"/>
      </top>
      <bottom style="thin">
        <color theme="7"/>
      </bottom>
      <diagonal/>
    </border>
    <border>
      <left/>
      <right style="dotted">
        <color theme="0" tint="-0.14996795556505021"/>
      </right>
      <top style="thin">
        <color theme="7" tint="-0.24994659260841701"/>
      </top>
      <bottom style="thin">
        <color theme="7"/>
      </bottom>
      <diagonal/>
    </border>
    <border>
      <left/>
      <right/>
      <top style="thin">
        <color theme="7"/>
      </top>
      <bottom style="thin">
        <color theme="7" tint="-0.24994659260841701"/>
      </bottom>
      <diagonal/>
    </border>
    <border>
      <left/>
      <right style="dotted">
        <color theme="0" tint="-0.14996795556505021"/>
      </right>
      <top style="thin">
        <color theme="7"/>
      </top>
      <bottom style="thin">
        <color theme="7" tint="-0.2499465926084170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auto="1"/>
      </right>
      <top/>
      <bottom/>
      <diagonal/>
    </border>
    <border>
      <left style="dotted">
        <color indexed="64"/>
      </left>
      <right/>
      <top/>
      <bottom/>
      <diagonal/>
    </border>
    <border>
      <left/>
      <right/>
      <top style="thin">
        <color theme="0" tint="-0.499984740745262"/>
      </top>
      <bottom style="thin">
        <color theme="0" tint="-0.499984740745262"/>
      </bottom>
      <diagonal/>
    </border>
    <border>
      <left/>
      <right style="dotted">
        <color indexed="64"/>
      </right>
      <top style="thin">
        <color theme="0" tint="-0.499984740745262"/>
      </top>
      <bottom style="thin">
        <color theme="0" tint="-0.499984740745262"/>
      </bottom>
      <diagonal/>
    </border>
    <border>
      <left style="dotted">
        <color indexed="64"/>
      </left>
      <right/>
      <top style="thin">
        <color theme="0" tint="-0.499984740745262"/>
      </top>
      <bottom style="thin">
        <color theme="0" tint="-0.499984740745262"/>
      </bottom>
      <diagonal/>
    </border>
    <border>
      <left style="dotted">
        <color indexed="64"/>
      </left>
      <right/>
      <top/>
      <bottom style="thin">
        <color theme="0" tint="-0.499984740745262"/>
      </bottom>
      <diagonal/>
    </border>
    <border>
      <left/>
      <right/>
      <top/>
      <bottom style="thin">
        <color theme="0" tint="-0.499984740745262"/>
      </bottom>
      <diagonal/>
    </border>
    <border>
      <left/>
      <right style="dotted">
        <color auto="1"/>
      </right>
      <top/>
      <bottom style="thin">
        <color theme="0" tint="-0.499984740745262"/>
      </bottom>
      <diagonal/>
    </border>
    <border>
      <left/>
      <right/>
      <top style="hair">
        <color auto="1"/>
      </top>
      <bottom/>
      <diagonal/>
    </border>
    <border>
      <left/>
      <right style="dotted">
        <color indexed="64"/>
      </right>
      <top style="hair">
        <color indexed="64"/>
      </top>
      <bottom/>
      <diagonal/>
    </border>
    <border>
      <left style="dotted">
        <color indexed="64"/>
      </left>
      <right/>
      <top style="hair">
        <color indexed="64"/>
      </top>
      <bottom/>
      <diagonal/>
    </border>
    <border>
      <left/>
      <right/>
      <top/>
      <bottom style="hair">
        <color auto="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bottom/>
      <diagonal/>
    </border>
    <border>
      <left/>
      <right style="medium">
        <color indexed="8"/>
      </right>
      <top/>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s>
  <cellStyleXfs count="70">
    <xf numFmtId="0" fontId="0" fillId="0" borderId="0"/>
    <xf numFmtId="169" fontId="1" fillId="0" borderId="0" applyFont="0" applyFill="0" applyBorder="0" applyAlignment="0" applyProtection="0"/>
    <xf numFmtId="181" fontId="13"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49" fontId="20" fillId="0" borderId="0" applyFill="0" applyAlignment="0"/>
    <xf numFmtId="49" fontId="14" fillId="0" borderId="0" applyFill="0" applyAlignment="0"/>
    <xf numFmtId="49" fontId="15" fillId="0" borderId="0" applyFill="0" applyAlignment="0"/>
    <xf numFmtId="49" fontId="16"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34" borderId="14" applyNumberFormat="0" applyFill="0" applyAlignment="0">
      <protection locked="0"/>
    </xf>
    <xf numFmtId="0" fontId="1" fillId="36" borderId="14"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3"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80" fontId="21" fillId="0" borderId="0" applyFont="0" applyFill="0" applyBorder="0" applyAlignment="0" applyProtection="0">
      <alignment horizontal="left"/>
      <protection locked="0"/>
    </xf>
    <xf numFmtId="167" fontId="1" fillId="36" borderId="15" applyNumberFormat="0" applyFont="0" applyFill="0" applyAlignment="0" applyProtection="0"/>
    <xf numFmtId="178" fontId="13" fillId="32" borderId="0" applyFont="0" applyBorder="0"/>
    <xf numFmtId="177" fontId="21" fillId="0" borderId="0" applyFont="0" applyFill="0" applyBorder="0" applyAlignment="0" applyProtection="0">
      <protection locked="0"/>
    </xf>
    <xf numFmtId="176" fontId="13" fillId="0" borderId="0" applyFont="0" applyFill="0" applyBorder="0" applyAlignment="0" applyProtection="0">
      <alignment horizontal="center" vertical="top" wrapText="1"/>
    </xf>
    <xf numFmtId="175" fontId="19" fillId="34" borderId="14" applyNumberFormat="0" applyFill="0" applyAlignment="0"/>
    <xf numFmtId="0" fontId="18" fillId="35" borderId="14" applyNumberFormat="0" applyFill="0">
      <alignment horizontal="centerContinuous" wrapText="1"/>
    </xf>
    <xf numFmtId="174" fontId="21" fillId="0" borderId="0" applyFont="0" applyFill="0" applyBorder="0" applyAlignment="0" applyProtection="0">
      <alignment wrapText="1"/>
    </xf>
    <xf numFmtId="173" fontId="21" fillId="0" borderId="0" applyFont="0" applyFill="0" applyBorder="0" applyAlignment="0" applyProtection="0"/>
    <xf numFmtId="172" fontId="21" fillId="0" borderId="0" applyFont="0" applyFill="0" applyBorder="0" applyAlignment="0" applyProtection="0">
      <protection locked="0"/>
    </xf>
    <xf numFmtId="170" fontId="22" fillId="0" borderId="0" applyFont="0" applyFill="0" applyBorder="0" applyAlignment="0" applyProtection="0">
      <alignment horizontal="left"/>
      <protection locked="0"/>
    </xf>
    <xf numFmtId="171" fontId="21" fillId="0" borderId="0" applyFont="0" applyFill="0" applyBorder="0" applyAlignment="0" applyProtection="0">
      <protection locked="0"/>
    </xf>
    <xf numFmtId="0" fontId="25" fillId="0" borderId="0" applyNumberFormat="0" applyFill="0" applyBorder="0" applyAlignment="0" applyProtection="0">
      <alignment vertical="top"/>
      <protection locked="0"/>
    </xf>
    <xf numFmtId="9" fontId="1" fillId="0" borderId="0" applyFont="0" applyFill="0" applyBorder="0" applyAlignment="0" applyProtection="0"/>
    <xf numFmtId="179" fontId="1" fillId="0" borderId="0" applyFont="0" applyFill="0" applyBorder="0" applyAlignment="0" applyProtection="0"/>
    <xf numFmtId="0" fontId="26" fillId="0" borderId="0" applyNumberFormat="0" applyFill="0" applyBorder="0" applyAlignment="0" applyProtection="0"/>
    <xf numFmtId="182" fontId="1" fillId="32" borderId="0" applyFont="0" applyBorder="0"/>
    <xf numFmtId="183" fontId="1" fillId="0" borderId="0" applyFont="0" applyFill="0" applyBorder="0" applyAlignment="0" applyProtection="0"/>
    <xf numFmtId="0" fontId="1" fillId="35" borderId="14" applyNumberFormat="0" applyFont="0" applyBorder="0" applyAlignment="0" applyProtection="0"/>
    <xf numFmtId="175" fontId="19" fillId="34" borderId="14" applyNumberFormat="0" applyAlignment="0"/>
    <xf numFmtId="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alignment vertical="top"/>
      <protection locked="0"/>
    </xf>
  </cellStyleXfs>
  <cellXfs count="366">
    <xf numFmtId="0" fontId="0" fillId="0" borderId="0" xfId="0"/>
    <xf numFmtId="0" fontId="0" fillId="0" borderId="0" xfId="0"/>
    <xf numFmtId="0" fontId="0" fillId="0" borderId="0" xfId="0" applyBorder="1"/>
    <xf numFmtId="0" fontId="12" fillId="32" borderId="0" xfId="0" applyFont="1" applyFill="1" applyBorder="1"/>
    <xf numFmtId="0" fontId="0" fillId="0" borderId="11" xfId="0" applyFill="1" applyBorder="1"/>
    <xf numFmtId="0" fontId="0" fillId="0" borderId="12" xfId="0" applyFill="1" applyBorder="1"/>
    <xf numFmtId="49" fontId="20" fillId="0" borderId="0" xfId="5"/>
    <xf numFmtId="49" fontId="14" fillId="0" borderId="0" xfId="6" applyFill="1" applyBorder="1" applyAlignment="1">
      <alignment horizontal="left" indent="1"/>
    </xf>
    <xf numFmtId="49" fontId="20" fillId="0" borderId="0" xfId="5" applyBorder="1"/>
    <xf numFmtId="170" fontId="1" fillId="0" borderId="14" xfId="14" applyNumberFormat="1" applyFill="1" applyAlignment="1"/>
    <xf numFmtId="180" fontId="1" fillId="0" borderId="14" xfId="14" applyNumberFormat="1" applyFill="1" applyAlignment="1"/>
    <xf numFmtId="0" fontId="0" fillId="0" borderId="0" xfId="0" applyFill="1" applyBorder="1"/>
    <xf numFmtId="0" fontId="25" fillId="0" borderId="14" xfId="58" applyFill="1" applyBorder="1" applyAlignment="1" applyProtection="1"/>
    <xf numFmtId="0" fontId="18" fillId="0" borderId="14" xfId="52" applyFill="1">
      <alignment horizontal="centerContinuous" wrapText="1"/>
    </xf>
    <xf numFmtId="0" fontId="1" fillId="0" borderId="14" xfId="14" applyFill="1"/>
    <xf numFmtId="180" fontId="18" fillId="0" borderId="14" xfId="46" applyFont="1" applyFill="1" applyBorder="1" applyAlignment="1" applyProtection="1">
      <alignment horizontal="centerContinuous" wrapText="1"/>
    </xf>
    <xf numFmtId="181" fontId="1" fillId="0" borderId="14" xfId="14" applyNumberFormat="1" applyFill="1"/>
    <xf numFmtId="49" fontId="16" fillId="0" borderId="0" xfId="8" applyFill="1">
      <alignment horizontal="left"/>
    </xf>
    <xf numFmtId="0" fontId="0" fillId="0" borderId="14" xfId="14" applyFont="1" applyFill="1"/>
    <xf numFmtId="10" fontId="17" fillId="0" borderId="14" xfId="13" applyNumberFormat="1" applyFill="1">
      <protection locked="0"/>
    </xf>
    <xf numFmtId="181" fontId="17" fillId="0" borderId="14" xfId="13" applyNumberFormat="1" applyFill="1">
      <protection locked="0"/>
    </xf>
    <xf numFmtId="0" fontId="17" fillId="0" borderId="14" xfId="13" applyNumberFormat="1" applyFill="1">
      <protection locked="0"/>
    </xf>
    <xf numFmtId="181" fontId="1" fillId="0" borderId="14" xfId="14" applyNumberFormat="1" applyFill="1" applyAlignment="1">
      <alignment horizontal="right" wrapText="1"/>
    </xf>
    <xf numFmtId="181" fontId="1" fillId="0" borderId="14" xfId="57" applyNumberFormat="1" applyFont="1" applyFill="1" applyBorder="1" applyAlignment="1" applyProtection="1">
      <alignment horizontal="centerContinuous" wrapText="1"/>
    </xf>
    <xf numFmtId="181" fontId="1" fillId="0" borderId="14" xfId="57" applyNumberFormat="1" applyFont="1" applyFill="1" applyBorder="1" applyProtection="1"/>
    <xf numFmtId="180" fontId="18" fillId="0" borderId="14" xfId="52" applyNumberFormat="1" applyFill="1">
      <alignment horizontal="centerContinuous" wrapText="1"/>
    </xf>
    <xf numFmtId="179" fontId="17" fillId="0" borderId="14" xfId="60" applyFont="1" applyFill="1" applyBorder="1" applyProtection="1">
      <protection locked="0"/>
    </xf>
    <xf numFmtId="0" fontId="11" fillId="0" borderId="0" xfId="14" applyFont="1" applyFill="1" applyBorder="1"/>
    <xf numFmtId="49" fontId="0" fillId="0" borderId="14" xfId="14" applyNumberFormat="1" applyFont="1" applyFill="1" applyAlignment="1">
      <alignment horizontal="left"/>
    </xf>
    <xf numFmtId="177" fontId="1" fillId="0" borderId="14" xfId="49" applyFont="1" applyFill="1" applyBorder="1" applyAlignment="1" applyProtection="1"/>
    <xf numFmtId="181" fontId="1" fillId="0" borderId="0" xfId="57" applyNumberFormat="1" applyFont="1" applyFill="1" applyBorder="1" applyAlignment="1" applyProtection="1">
      <alignment horizontal="centerContinuous" wrapText="1"/>
    </xf>
    <xf numFmtId="181" fontId="1" fillId="0" borderId="14" xfId="57" applyNumberFormat="1" applyFont="1" applyFill="1" applyBorder="1" applyAlignment="1" applyProtection="1"/>
    <xf numFmtId="0" fontId="27" fillId="0" borderId="14" xfId="14" applyFont="1" applyFill="1"/>
    <xf numFmtId="0" fontId="13" fillId="0" borderId="14" xfId="14" applyFont="1" applyFill="1"/>
    <xf numFmtId="0" fontId="1" fillId="35" borderId="14" xfId="64"/>
    <xf numFmtId="181" fontId="1" fillId="35" borderId="14" xfId="64" applyNumberFormat="1"/>
    <xf numFmtId="181" fontId="1" fillId="0" borderId="15" xfId="47" applyNumberFormat="1" applyFont="1" applyFill="1" applyAlignment="1" applyProtection="1">
      <alignment horizontal="centerContinuous" wrapText="1"/>
    </xf>
    <xf numFmtId="49" fontId="23" fillId="0" borderId="0" xfId="20">
      <alignment horizontal="left" indent="1"/>
    </xf>
    <xf numFmtId="49" fontId="23" fillId="0" borderId="0" xfId="20" applyFill="1">
      <alignment horizontal="left" indent="1"/>
    </xf>
    <xf numFmtId="0" fontId="19" fillId="0" borderId="14" xfId="51" applyNumberFormat="1" applyFill="1"/>
    <xf numFmtId="179" fontId="19" fillId="0" borderId="14" xfId="51" applyNumberFormat="1" applyFill="1"/>
    <xf numFmtId="181" fontId="1" fillId="0" borderId="0" xfId="57" applyNumberFormat="1" applyFont="1" applyFill="1" applyBorder="1" applyProtection="1"/>
    <xf numFmtId="181" fontId="13" fillId="0" borderId="14" xfId="57" applyNumberFormat="1" applyFont="1" applyFill="1" applyBorder="1" applyAlignment="1" applyProtection="1">
      <alignment horizontal="centerContinuous" wrapText="1"/>
    </xf>
    <xf numFmtId="0" fontId="18" fillId="0" borderId="16" xfId="47" applyNumberFormat="1" applyFont="1" applyFill="1" applyBorder="1" applyAlignment="1">
      <alignment horizontal="centerContinuous" wrapText="1"/>
    </xf>
    <xf numFmtId="180" fontId="18" fillId="0" borderId="16" xfId="46" applyFont="1" applyFill="1" applyBorder="1" applyAlignment="1" applyProtection="1">
      <alignment horizontal="centerContinuous" wrapText="1"/>
    </xf>
    <xf numFmtId="180" fontId="18" fillId="0" borderId="16" xfId="52" applyNumberFormat="1" applyFill="1" applyBorder="1">
      <alignment horizontal="centerContinuous" wrapText="1"/>
    </xf>
    <xf numFmtId="181" fontId="1" fillId="0" borderId="16" xfId="57" applyNumberFormat="1" applyFont="1" applyFill="1" applyBorder="1" applyAlignment="1" applyProtection="1">
      <alignment horizontal="centerContinuous" wrapText="1"/>
    </xf>
    <xf numFmtId="0" fontId="0" fillId="0" borderId="17" xfId="0" applyBorder="1"/>
    <xf numFmtId="181" fontId="1" fillId="0" borderId="17" xfId="57" applyNumberFormat="1" applyFont="1" applyFill="1" applyBorder="1" applyProtection="1"/>
    <xf numFmtId="181" fontId="1" fillId="0" borderId="17" xfId="57" applyNumberFormat="1" applyFont="1" applyFill="1" applyBorder="1" applyAlignment="1" applyProtection="1">
      <alignment horizontal="centerContinuous" wrapText="1"/>
    </xf>
    <xf numFmtId="181" fontId="1" fillId="35" borderId="16" xfId="64" applyNumberFormat="1" applyBorder="1"/>
    <xf numFmtId="181" fontId="27" fillId="0" borderId="14" xfId="57" applyNumberFormat="1" applyFont="1" applyFill="1" applyBorder="1" applyAlignment="1" applyProtection="1">
      <alignment horizontal="centerContinuous" wrapText="1"/>
    </xf>
    <xf numFmtId="0" fontId="1" fillId="0" borderId="19" xfId="14" applyFill="1" applyBorder="1"/>
    <xf numFmtId="181" fontId="1" fillId="0" borderId="19" xfId="57" applyNumberFormat="1" applyFont="1" applyFill="1" applyBorder="1" applyAlignment="1" applyProtection="1">
      <alignment horizontal="centerContinuous" wrapText="1"/>
    </xf>
    <xf numFmtId="181" fontId="1" fillId="0" borderId="20" xfId="57" applyNumberFormat="1" applyFont="1" applyFill="1" applyBorder="1" applyProtection="1"/>
    <xf numFmtId="181" fontId="1" fillId="0" borderId="19" xfId="57" applyNumberFormat="1" applyFont="1" applyFill="1" applyBorder="1" applyProtection="1"/>
    <xf numFmtId="49" fontId="27" fillId="0" borderId="21" xfId="14" applyNumberFormat="1" applyFont="1" applyFill="1" applyBorder="1" applyAlignment="1">
      <alignment horizontal="right"/>
    </xf>
    <xf numFmtId="0" fontId="27" fillId="0" borderId="21" xfId="14" applyFont="1" applyFill="1" applyBorder="1"/>
    <xf numFmtId="181" fontId="27" fillId="0" borderId="21" xfId="57" applyNumberFormat="1" applyFont="1" applyFill="1" applyBorder="1" applyAlignment="1" applyProtection="1">
      <alignment horizontal="centerContinuous" wrapText="1"/>
    </xf>
    <xf numFmtId="0" fontId="27" fillId="0" borderId="14" xfId="14" applyFont="1" applyFill="1" applyBorder="1"/>
    <xf numFmtId="0" fontId="27" fillId="0" borderId="23" xfId="14" applyFont="1" applyFill="1" applyBorder="1"/>
    <xf numFmtId="181" fontId="27" fillId="0" borderId="23" xfId="57" applyNumberFormat="1" applyFont="1" applyFill="1" applyBorder="1" applyAlignment="1" applyProtection="1">
      <alignment horizontal="centerContinuous" wrapText="1"/>
    </xf>
    <xf numFmtId="0" fontId="1" fillId="0" borderId="0" xfId="14" applyFont="1" applyFill="1" applyBorder="1"/>
    <xf numFmtId="0" fontId="1" fillId="0" borderId="0" xfId="14" applyFill="1" applyBorder="1"/>
    <xf numFmtId="181" fontId="1" fillId="0" borderId="0" xfId="14" applyNumberFormat="1" applyFill="1" applyBorder="1"/>
    <xf numFmtId="0" fontId="2" fillId="0" borderId="14" xfId="14" applyFont="1" applyFill="1"/>
    <xf numFmtId="181" fontId="2" fillId="0" borderId="14" xfId="57" applyNumberFormat="1" applyFont="1" applyFill="1" applyBorder="1" applyAlignment="1" applyProtection="1">
      <alignment horizontal="centerContinuous" wrapText="1"/>
    </xf>
    <xf numFmtId="49" fontId="14" fillId="0" borderId="0" xfId="6" applyFill="1" applyAlignment="1">
      <alignment horizontal="left"/>
    </xf>
    <xf numFmtId="49" fontId="14" fillId="0" borderId="0" xfId="6"/>
    <xf numFmtId="181" fontId="2" fillId="0" borderId="0" xfId="57" applyNumberFormat="1" applyFont="1" applyFill="1" applyBorder="1" applyAlignment="1" applyProtection="1">
      <alignment horizontal="centerContinuous" wrapText="1"/>
    </xf>
    <xf numFmtId="0" fontId="1" fillId="38" borderId="14" xfId="14" applyFill="1"/>
    <xf numFmtId="181" fontId="1" fillId="38" borderId="14" xfId="14" applyNumberFormat="1" applyFill="1"/>
    <xf numFmtId="181" fontId="1" fillId="38" borderId="16" xfId="14" applyNumberFormat="1" applyFill="1" applyBorder="1"/>
    <xf numFmtId="181" fontId="1" fillId="38" borderId="18" xfId="14" applyNumberFormat="1" applyFill="1" applyBorder="1"/>
    <xf numFmtId="0" fontId="0" fillId="38" borderId="14" xfId="14" applyFont="1" applyFill="1"/>
    <xf numFmtId="49" fontId="0" fillId="38" borderId="14" xfId="14" applyNumberFormat="1" applyFont="1" applyFill="1"/>
    <xf numFmtId="181" fontId="1" fillId="38" borderId="16" xfId="57" applyNumberFormat="1" applyFont="1" applyFill="1" applyBorder="1" applyProtection="1"/>
    <xf numFmtId="181" fontId="1" fillId="38" borderId="14" xfId="57" applyNumberFormat="1" applyFont="1" applyFill="1" applyBorder="1" applyProtection="1"/>
    <xf numFmtId="10" fontId="19" fillId="0" borderId="14" xfId="51" applyNumberFormat="1" applyFill="1"/>
    <xf numFmtId="0" fontId="0" fillId="0" borderId="0" xfId="0" applyFill="1"/>
    <xf numFmtId="169" fontId="0" fillId="0" borderId="17" xfId="0" applyNumberFormat="1" applyFill="1" applyBorder="1"/>
    <xf numFmtId="169" fontId="0" fillId="0" borderId="0" xfId="0" applyNumberFormat="1" applyFill="1"/>
    <xf numFmtId="184" fontId="0" fillId="0" borderId="0" xfId="0" applyNumberFormat="1" applyFill="1"/>
    <xf numFmtId="185" fontId="2" fillId="0" borderId="0" xfId="57" applyNumberFormat="1" applyFont="1" applyFill="1" applyBorder="1" applyAlignment="1" applyProtection="1">
      <alignment horizontal="left" wrapText="1"/>
    </xf>
    <xf numFmtId="181" fontId="13" fillId="0" borderId="14" xfId="57" applyNumberFormat="1" applyFont="1" applyFill="1" applyBorder="1" applyProtection="1"/>
    <xf numFmtId="0" fontId="17" fillId="35" borderId="14" xfId="64" applyFont="1" applyAlignment="1" applyProtection="1">
      <alignment horizontal="right"/>
      <protection locked="0"/>
    </xf>
    <xf numFmtId="177" fontId="19" fillId="0" borderId="14" xfId="51" applyNumberFormat="1" applyFill="1" applyAlignment="1">
      <alignment horizontal="right"/>
    </xf>
    <xf numFmtId="0" fontId="23" fillId="0" borderId="0" xfId="20" applyNumberFormat="1">
      <alignment horizontal="left" indent="1"/>
    </xf>
    <xf numFmtId="49" fontId="28" fillId="0" borderId="0" xfId="20" applyFont="1">
      <alignment horizontal="left" indent="1"/>
    </xf>
    <xf numFmtId="49" fontId="29" fillId="0" borderId="0" xfId="20" applyFont="1">
      <alignment horizontal="left" indent="1"/>
    </xf>
    <xf numFmtId="49" fontId="20" fillId="0" borderId="0" xfId="5" applyFill="1"/>
    <xf numFmtId="49" fontId="23" fillId="0" borderId="0" xfId="20" applyAlignment="1">
      <alignment horizontal="left" vertical="center" indent="1"/>
    </xf>
    <xf numFmtId="49" fontId="23" fillId="0" borderId="0" xfId="20" applyFill="1" applyAlignment="1">
      <alignment horizontal="left" vertical="top" indent="1"/>
    </xf>
    <xf numFmtId="0" fontId="18" fillId="0" borderId="0" xfId="47" applyNumberFormat="1" applyFont="1" applyFill="1" applyBorder="1" applyAlignment="1">
      <alignment horizontal="centerContinuous" wrapText="1"/>
    </xf>
    <xf numFmtId="0" fontId="18" fillId="0" borderId="14" xfId="52" applyFill="1" applyBorder="1">
      <alignment horizontal="centerContinuous" wrapText="1"/>
    </xf>
    <xf numFmtId="49" fontId="23" fillId="0" borderId="17" xfId="20" applyBorder="1">
      <alignment horizontal="left" indent="1"/>
    </xf>
    <xf numFmtId="181" fontId="1" fillId="37" borderId="16" xfId="14" applyNumberFormat="1" applyFill="1" applyBorder="1" applyAlignment="1">
      <alignment horizontal="centerContinuous" wrapText="1"/>
    </xf>
    <xf numFmtId="181" fontId="2" fillId="0" borderId="17" xfId="57" applyNumberFormat="1" applyFont="1" applyFill="1" applyBorder="1" applyAlignment="1" applyProtection="1">
      <alignment horizontal="centerContinuous" wrapText="1"/>
    </xf>
    <xf numFmtId="181" fontId="1" fillId="0" borderId="16" xfId="14" applyNumberFormat="1" applyFill="1" applyBorder="1"/>
    <xf numFmtId="181" fontId="13" fillId="0" borderId="16" xfId="57" applyNumberFormat="1" applyFont="1" applyFill="1" applyBorder="1" applyAlignment="1" applyProtection="1">
      <alignment horizontal="centerContinuous" wrapText="1"/>
    </xf>
    <xf numFmtId="181" fontId="13" fillId="0" borderId="16" xfId="57" applyNumberFormat="1" applyFont="1" applyFill="1" applyBorder="1" applyProtection="1"/>
    <xf numFmtId="0" fontId="18" fillId="0" borderId="16" xfId="52" applyFill="1" applyBorder="1">
      <alignment horizontal="centerContinuous" wrapText="1"/>
    </xf>
    <xf numFmtId="171" fontId="19" fillId="0" borderId="14" xfId="57" applyFont="1" applyFill="1" applyBorder="1" applyProtection="1"/>
    <xf numFmtId="181" fontId="19" fillId="0" borderId="14" xfId="57" applyNumberFormat="1" applyFont="1" applyFill="1" applyBorder="1" applyProtection="1"/>
    <xf numFmtId="0" fontId="0" fillId="0" borderId="14" xfId="14" applyNumberFormat="1" applyFont="1" applyFill="1"/>
    <xf numFmtId="0" fontId="17" fillId="35" borderId="14" xfId="64" applyNumberFormat="1" applyFont="1" applyProtection="1">
      <protection locked="0"/>
    </xf>
    <xf numFmtId="0" fontId="27" fillId="0" borderId="0" xfId="0" applyFont="1"/>
    <xf numFmtId="49" fontId="29" fillId="0" borderId="0" xfId="20" applyFont="1" applyFill="1">
      <alignment horizontal="left" indent="1"/>
    </xf>
    <xf numFmtId="0" fontId="31" fillId="0" borderId="0" xfId="0" applyFont="1"/>
    <xf numFmtId="0" fontId="31" fillId="0" borderId="0" xfId="0" applyFont="1" applyAlignment="1">
      <alignment horizontal="right"/>
    </xf>
    <xf numFmtId="0" fontId="31" fillId="0" borderId="25" xfId="0" applyFont="1" applyBorder="1" applyAlignment="1"/>
    <xf numFmtId="0" fontId="31" fillId="0" borderId="25" xfId="14" applyFont="1" applyFill="1" applyBorder="1" applyAlignment="1"/>
    <xf numFmtId="0" fontId="0" fillId="0" borderId="17" xfId="0" applyFill="1" applyBorder="1"/>
    <xf numFmtId="0" fontId="17" fillId="0" borderId="14" xfId="64" applyFont="1" applyFill="1" applyAlignment="1" applyProtection="1">
      <alignment horizontal="right"/>
      <protection locked="0"/>
    </xf>
    <xf numFmtId="0" fontId="17" fillId="0" borderId="14" xfId="64" applyNumberFormat="1" applyFont="1" applyFill="1" applyProtection="1">
      <protection locked="0"/>
    </xf>
    <xf numFmtId="0" fontId="0" fillId="35" borderId="14" xfId="64" applyFont="1"/>
    <xf numFmtId="175" fontId="1" fillId="0" borderId="14" xfId="49" applyNumberFormat="1" applyFont="1" applyFill="1" applyBorder="1" applyAlignment="1" applyProtection="1"/>
    <xf numFmtId="0" fontId="0" fillId="0" borderId="0" xfId="0" applyAlignment="1"/>
    <xf numFmtId="49" fontId="15" fillId="0" borderId="0" xfId="7" applyFill="1" applyAlignment="1">
      <alignment horizontal="left" wrapText="1"/>
    </xf>
    <xf numFmtId="0" fontId="18" fillId="0" borderId="19" xfId="52" applyFill="1" applyBorder="1">
      <alignment horizontal="centerContinuous" wrapText="1"/>
    </xf>
    <xf numFmtId="0" fontId="1" fillId="0" borderId="14" xfId="14" applyNumberFormat="1" applyFill="1" applyAlignment="1">
      <alignment horizontal="left" wrapText="1" indent="2"/>
    </xf>
    <xf numFmtId="0" fontId="17" fillId="0" borderId="14" xfId="13" applyFill="1">
      <protection locked="0"/>
    </xf>
    <xf numFmtId="181" fontId="17" fillId="0" borderId="14" xfId="2" applyFont="1" applyFill="1" applyBorder="1" applyProtection="1">
      <protection locked="0"/>
    </xf>
    <xf numFmtId="177" fontId="17" fillId="0" borderId="14" xfId="49" applyFont="1" applyFill="1" applyBorder="1">
      <protection locked="0"/>
    </xf>
    <xf numFmtId="0" fontId="0" fillId="0" borderId="14" xfId="14" applyNumberFormat="1" applyFont="1" applyFill="1" applyAlignment="1">
      <alignment horizontal="left" wrapText="1" indent="2"/>
    </xf>
    <xf numFmtId="0" fontId="0" fillId="0" borderId="0" xfId="0" applyBorder="1" applyAlignment="1"/>
    <xf numFmtId="0" fontId="35" fillId="0" borderId="14" xfId="52" applyNumberFormat="1" applyFont="1" applyFill="1" applyAlignment="1">
      <alignment horizontal="left" wrapText="1" indent="2"/>
    </xf>
    <xf numFmtId="0" fontId="31" fillId="0" borderId="0" xfId="0" applyFont="1" applyFill="1"/>
    <xf numFmtId="172" fontId="19" fillId="0" borderId="14" xfId="55" applyFont="1" applyFill="1" applyBorder="1" applyProtection="1"/>
    <xf numFmtId="181" fontId="19" fillId="0" borderId="14" xfId="65" applyNumberFormat="1" applyFill="1" applyAlignment="1"/>
    <xf numFmtId="0" fontId="19" fillId="0" borderId="14" xfId="65" applyNumberFormat="1" applyFill="1" applyAlignment="1"/>
    <xf numFmtId="181" fontId="19" fillId="0" borderId="14" xfId="2" applyFont="1" applyFill="1" applyBorder="1"/>
    <xf numFmtId="0" fontId="0" fillId="0" borderId="0" xfId="0" applyAlignment="1">
      <alignment horizontal="left" indent="1"/>
    </xf>
    <xf numFmtId="0" fontId="0" fillId="0" borderId="0" xfId="0" applyFill="1" applyAlignment="1"/>
    <xf numFmtId="170" fontId="36" fillId="0" borderId="14" xfId="7" applyNumberFormat="1" applyFont="1" applyFill="1" applyBorder="1" applyAlignment="1">
      <alignment horizontal="left"/>
    </xf>
    <xf numFmtId="0" fontId="2" fillId="0" borderId="0" xfId="0" applyFont="1" applyFill="1" applyAlignment="1">
      <alignment horizontal="left" indent="1"/>
    </xf>
    <xf numFmtId="2" fontId="2" fillId="0" borderId="0" xfId="0" applyNumberFormat="1" applyFont="1" applyFill="1" applyBorder="1"/>
    <xf numFmtId="169" fontId="0" fillId="0" borderId="0" xfId="0" applyNumberFormat="1"/>
    <xf numFmtId="173" fontId="19" fillId="0" borderId="14" xfId="54" applyFont="1" applyFill="1" applyBorder="1"/>
    <xf numFmtId="186" fontId="0" fillId="0" borderId="0" xfId="0" applyNumberFormat="1" applyAlignment="1"/>
    <xf numFmtId="171" fontId="1" fillId="0" borderId="14" xfId="14" applyNumberFormat="1" applyFill="1"/>
    <xf numFmtId="0" fontId="18" fillId="0" borderId="14" xfId="52" applyFill="1" applyAlignment="1">
      <alignment horizontal="left" wrapText="1"/>
    </xf>
    <xf numFmtId="0" fontId="1" fillId="0" borderId="14" xfId="14" applyFill="1" applyAlignment="1">
      <alignment horizontal="center"/>
    </xf>
    <xf numFmtId="0" fontId="1" fillId="0" borderId="14" xfId="14" applyFill="1" applyAlignment="1">
      <alignment horizontal="left" indent="1"/>
    </xf>
    <xf numFmtId="0" fontId="1" fillId="0" borderId="14" xfId="14" applyNumberFormat="1" applyFill="1" applyAlignment="1">
      <alignment horizontal="left" wrapText="1" indent="3"/>
    </xf>
    <xf numFmtId="0" fontId="33" fillId="32" borderId="0" xfId="0" quotePrefix="1" applyFont="1" applyFill="1"/>
    <xf numFmtId="0" fontId="33" fillId="32" borderId="0" xfId="0" applyFont="1" applyFill="1"/>
    <xf numFmtId="0" fontId="37" fillId="32" borderId="0" xfId="0" applyFont="1" applyFill="1"/>
    <xf numFmtId="0" fontId="12" fillId="32" borderId="0" xfId="0" applyFont="1" applyFill="1"/>
    <xf numFmtId="187" fontId="12" fillId="40" borderId="0" xfId="0" applyNumberFormat="1" applyFont="1" applyFill="1" applyBorder="1"/>
    <xf numFmtId="187" fontId="12" fillId="41" borderId="0" xfId="0" applyNumberFormat="1" applyFont="1" applyFill="1" applyBorder="1"/>
    <xf numFmtId="187" fontId="24" fillId="42" borderId="0" xfId="0" applyNumberFormat="1" applyFont="1" applyFill="1" applyBorder="1"/>
    <xf numFmtId="0" fontId="0" fillId="32" borderId="0" xfId="0" applyFont="1" applyFill="1"/>
    <xf numFmtId="0" fontId="9" fillId="32" borderId="0" xfId="0" applyFont="1" applyFill="1"/>
    <xf numFmtId="0" fontId="38" fillId="32" borderId="0" xfId="0" applyFont="1" applyFill="1"/>
    <xf numFmtId="0" fontId="39" fillId="32" borderId="0" xfId="0" applyFont="1" applyFill="1"/>
    <xf numFmtId="189" fontId="24" fillId="32" borderId="0" xfId="0" applyNumberFormat="1" applyFont="1" applyFill="1" applyBorder="1" applyAlignment="1">
      <alignment horizontal="center"/>
    </xf>
    <xf numFmtId="0" fontId="12" fillId="32" borderId="0" xfId="0" applyFont="1" applyFill="1" applyAlignment="1">
      <alignment horizontal="left" indent="1"/>
    </xf>
    <xf numFmtId="188" fontId="12" fillId="43" borderId="26" xfId="0" applyNumberFormat="1" applyFont="1" applyFill="1" applyBorder="1"/>
    <xf numFmtId="10" fontId="12" fillId="43" borderId="26" xfId="66" applyNumberFormat="1" applyFont="1" applyFill="1" applyBorder="1"/>
    <xf numFmtId="188" fontId="12" fillId="32" borderId="0" xfId="0" applyNumberFormat="1" applyFont="1" applyFill="1" applyAlignment="1">
      <alignment horizontal="left" indent="1"/>
    </xf>
    <xf numFmtId="10" fontId="38" fillId="44" borderId="26" xfId="66" applyNumberFormat="1" applyFont="1" applyFill="1" applyBorder="1"/>
    <xf numFmtId="0" fontId="12" fillId="32" borderId="0" xfId="0" applyFont="1" applyFill="1" applyBorder="1" applyAlignment="1">
      <alignment horizontal="left" indent="1"/>
    </xf>
    <xf numFmtId="9" fontId="24" fillId="32" borderId="0" xfId="66" applyFont="1" applyFill="1" applyBorder="1"/>
    <xf numFmtId="188" fontId="12" fillId="32" borderId="0" xfId="0" applyNumberFormat="1" applyFont="1" applyFill="1"/>
    <xf numFmtId="188" fontId="12" fillId="32" borderId="0" xfId="0" applyNumberFormat="1" applyFont="1" applyFill="1" applyBorder="1"/>
    <xf numFmtId="0" fontId="12" fillId="32" borderId="0" xfId="0" applyFont="1" applyFill="1" applyAlignment="1">
      <alignment horizontal="center"/>
    </xf>
    <xf numFmtId="189" fontId="12" fillId="32" borderId="27" xfId="0" applyNumberFormat="1" applyFont="1" applyFill="1" applyBorder="1" applyAlignment="1">
      <alignment horizontal="center"/>
    </xf>
    <xf numFmtId="189" fontId="12" fillId="32" borderId="28" xfId="0" applyNumberFormat="1" applyFont="1" applyFill="1" applyBorder="1" applyAlignment="1">
      <alignment horizontal="center"/>
    </xf>
    <xf numFmtId="189" fontId="12" fillId="32" borderId="29" xfId="0" applyNumberFormat="1" applyFont="1" applyFill="1" applyBorder="1" applyAlignment="1">
      <alignment horizontal="center"/>
    </xf>
    <xf numFmtId="0" fontId="40" fillId="32" borderId="0" xfId="0" applyFont="1" applyFill="1" applyBorder="1" applyAlignment="1">
      <alignment horizontal="left" indent="1"/>
    </xf>
    <xf numFmtId="1" fontId="40" fillId="32" borderId="12" xfId="0" applyNumberFormat="1" applyFont="1" applyFill="1" applyBorder="1" applyAlignment="1"/>
    <xf numFmtId="1" fontId="40" fillId="32" borderId="30" xfId="0" applyNumberFormat="1" applyFont="1" applyFill="1" applyBorder="1" applyAlignment="1"/>
    <xf numFmtId="1" fontId="40" fillId="32" borderId="31" xfId="0" applyNumberFormat="1" applyFont="1" applyFill="1" applyBorder="1" applyAlignment="1"/>
    <xf numFmtId="190" fontId="40" fillId="32" borderId="0" xfId="0" applyNumberFormat="1" applyFont="1" applyFill="1" applyBorder="1" applyAlignment="1"/>
    <xf numFmtId="190" fontId="40" fillId="32" borderId="32" xfId="0" applyNumberFormat="1" applyFont="1" applyFill="1" applyBorder="1" applyAlignment="1"/>
    <xf numFmtId="190" fontId="40" fillId="32" borderId="33" xfId="0" applyNumberFormat="1" applyFont="1" applyFill="1" applyBorder="1" applyAlignment="1"/>
    <xf numFmtId="190" fontId="12" fillId="32" borderId="0" xfId="0" applyNumberFormat="1" applyFont="1" applyFill="1" applyBorder="1" applyAlignment="1">
      <alignment horizontal="center"/>
    </xf>
    <xf numFmtId="190" fontId="12" fillId="32" borderId="32" xfId="0" applyNumberFormat="1" applyFont="1" applyFill="1" applyBorder="1" applyAlignment="1">
      <alignment horizontal="center"/>
    </xf>
    <xf numFmtId="190" fontId="12" fillId="32" borderId="33" xfId="0" applyNumberFormat="1" applyFont="1" applyFill="1" applyBorder="1" applyAlignment="1">
      <alignment horizontal="center"/>
    </xf>
    <xf numFmtId="190" fontId="12" fillId="32" borderId="0" xfId="0" applyNumberFormat="1" applyFont="1" applyFill="1" applyBorder="1"/>
    <xf numFmtId="187" fontId="24" fillId="32" borderId="0" xfId="0" applyNumberFormat="1" applyFont="1" applyFill="1" applyBorder="1" applyAlignment="1">
      <alignment horizontal="left"/>
    </xf>
    <xf numFmtId="187" fontId="24" fillId="32" borderId="0" xfId="0" applyNumberFormat="1" applyFont="1" applyFill="1" applyBorder="1" applyAlignment="1">
      <alignment horizontal="left" indent="1"/>
    </xf>
    <xf numFmtId="187" fontId="24" fillId="32" borderId="0" xfId="0" applyNumberFormat="1" applyFont="1" applyFill="1" applyBorder="1"/>
    <xf numFmtId="187" fontId="24" fillId="32" borderId="32" xfId="0" applyNumberFormat="1" applyFont="1" applyFill="1" applyBorder="1"/>
    <xf numFmtId="187" fontId="24" fillId="32" borderId="33" xfId="0" applyNumberFormat="1" applyFont="1" applyFill="1" applyBorder="1" applyAlignment="1">
      <alignment horizontal="center"/>
    </xf>
    <xf numFmtId="187" fontId="24" fillId="32" borderId="0" xfId="0" applyNumberFormat="1" applyFont="1" applyFill="1" applyBorder="1" applyAlignment="1">
      <alignment horizontal="center"/>
    </xf>
    <xf numFmtId="187" fontId="24" fillId="32" borderId="32" xfId="0" applyNumberFormat="1" applyFont="1" applyFill="1" applyBorder="1" applyAlignment="1">
      <alignment horizontal="center"/>
    </xf>
    <xf numFmtId="187" fontId="24" fillId="32" borderId="34" xfId="0" applyNumberFormat="1" applyFont="1" applyFill="1" applyBorder="1" applyAlignment="1">
      <alignment horizontal="left"/>
    </xf>
    <xf numFmtId="187" fontId="24" fillId="32" borderId="34" xfId="0" applyNumberFormat="1" applyFont="1" applyFill="1" applyBorder="1" applyAlignment="1">
      <alignment horizontal="left" indent="1"/>
    </xf>
    <xf numFmtId="187" fontId="24" fillId="32" borderId="34" xfId="0" applyNumberFormat="1" applyFont="1" applyFill="1" applyBorder="1"/>
    <xf numFmtId="187" fontId="24" fillId="32" borderId="35" xfId="0" applyNumberFormat="1" applyFont="1" applyFill="1" applyBorder="1"/>
    <xf numFmtId="187" fontId="24" fillId="32" borderId="36" xfId="0" applyNumberFormat="1" applyFont="1" applyFill="1" applyBorder="1" applyAlignment="1">
      <alignment horizontal="center"/>
    </xf>
    <xf numFmtId="187" fontId="24" fillId="32" borderId="34" xfId="0" applyNumberFormat="1" applyFont="1" applyFill="1" applyBorder="1" applyAlignment="1">
      <alignment horizontal="center"/>
    </xf>
    <xf numFmtId="187" fontId="24" fillId="32" borderId="35" xfId="0" applyNumberFormat="1" applyFont="1" applyFill="1" applyBorder="1" applyAlignment="1">
      <alignment horizontal="center"/>
    </xf>
    <xf numFmtId="187" fontId="12" fillId="32" borderId="0" xfId="0" applyNumberFormat="1" applyFont="1" applyFill="1" applyBorder="1" applyAlignment="1">
      <alignment horizontal="left"/>
    </xf>
    <xf numFmtId="187" fontId="12" fillId="32" borderId="0" xfId="0" applyNumberFormat="1" applyFont="1" applyFill="1" applyBorder="1" applyAlignment="1">
      <alignment horizontal="left" indent="1"/>
    </xf>
    <xf numFmtId="187" fontId="12" fillId="32" borderId="0" xfId="0" applyNumberFormat="1" applyFont="1" applyFill="1" applyBorder="1"/>
    <xf numFmtId="187" fontId="12" fillId="32" borderId="32" xfId="0" applyNumberFormat="1" applyFont="1" applyFill="1" applyBorder="1"/>
    <xf numFmtId="187" fontId="12" fillId="32" borderId="33" xfId="0" applyNumberFormat="1" applyFont="1" applyFill="1" applyBorder="1"/>
    <xf numFmtId="187" fontId="12" fillId="32" borderId="0" xfId="0" applyNumberFormat="1" applyFont="1" applyFill="1" applyAlignment="1">
      <alignment horizontal="left"/>
    </xf>
    <xf numFmtId="187" fontId="12" fillId="40" borderId="33" xfId="0" applyNumberFormat="1" applyFont="1" applyFill="1" applyBorder="1"/>
    <xf numFmtId="187" fontId="12" fillId="32" borderId="34" xfId="0" applyNumberFormat="1" applyFont="1" applyFill="1" applyBorder="1" applyAlignment="1">
      <alignment horizontal="left"/>
    </xf>
    <xf numFmtId="187" fontId="12" fillId="32" borderId="34" xfId="0" applyNumberFormat="1" applyFont="1" applyFill="1" applyBorder="1" applyAlignment="1">
      <alignment horizontal="left" indent="1"/>
    </xf>
    <xf numFmtId="187" fontId="12" fillId="32" borderId="34" xfId="0" applyNumberFormat="1" applyFont="1" applyFill="1" applyBorder="1"/>
    <xf numFmtId="187" fontId="12" fillId="32" borderId="35" xfId="0" applyNumberFormat="1" applyFont="1" applyFill="1" applyBorder="1"/>
    <xf numFmtId="187" fontId="12" fillId="32" borderId="36" xfId="0" applyNumberFormat="1" applyFont="1" applyFill="1" applyBorder="1"/>
    <xf numFmtId="187" fontId="24" fillId="32" borderId="0" xfId="0" applyNumberFormat="1" applyFont="1" applyFill="1" applyAlignment="1">
      <alignment horizontal="left"/>
    </xf>
    <xf numFmtId="187" fontId="24" fillId="32" borderId="33" xfId="0" applyNumberFormat="1" applyFont="1" applyFill="1" applyBorder="1" applyAlignment="1">
      <alignment horizontal="right"/>
    </xf>
    <xf numFmtId="187" fontId="24" fillId="32" borderId="0" xfId="0" applyNumberFormat="1" applyFont="1" applyFill="1" applyBorder="1" applyAlignment="1">
      <alignment horizontal="right"/>
    </xf>
    <xf numFmtId="187" fontId="24" fillId="32" borderId="32" xfId="0" applyNumberFormat="1" applyFont="1" applyFill="1" applyBorder="1" applyAlignment="1">
      <alignment horizontal="right"/>
    </xf>
    <xf numFmtId="187" fontId="24" fillId="40" borderId="33" xfId="0" applyNumberFormat="1" applyFont="1" applyFill="1" applyBorder="1"/>
    <xf numFmtId="187" fontId="24" fillId="32" borderId="33" xfId="0" applyNumberFormat="1" applyFont="1" applyFill="1" applyBorder="1"/>
    <xf numFmtId="187" fontId="24" fillId="40" borderId="0" xfId="0" applyNumberFormat="1" applyFont="1" applyFill="1" applyBorder="1"/>
    <xf numFmtId="187" fontId="24" fillId="32" borderId="37" xfId="0" applyNumberFormat="1" applyFont="1" applyFill="1" applyBorder="1" applyAlignment="1">
      <alignment horizontal="right"/>
    </xf>
    <xf numFmtId="187" fontId="24" fillId="32" borderId="38" xfId="0" applyNumberFormat="1" applyFont="1" applyFill="1" applyBorder="1" applyAlignment="1">
      <alignment horizontal="right"/>
    </xf>
    <xf numFmtId="187" fontId="24" fillId="32" borderId="39" xfId="0" applyNumberFormat="1" applyFont="1" applyFill="1" applyBorder="1" applyAlignment="1">
      <alignment horizontal="right"/>
    </xf>
    <xf numFmtId="187" fontId="24" fillId="32" borderId="36" xfId="0" applyNumberFormat="1" applyFont="1" applyFill="1" applyBorder="1"/>
    <xf numFmtId="187" fontId="12" fillId="32" borderId="0" xfId="0" applyNumberFormat="1" applyFont="1" applyFill="1" applyBorder="1" applyAlignment="1">
      <alignment horizontal="left" indent="2"/>
    </xf>
    <xf numFmtId="187" fontId="32" fillId="32" borderId="0" xfId="0" applyNumberFormat="1" applyFont="1" applyFill="1" applyBorder="1" applyAlignment="1">
      <alignment horizontal="left" indent="1"/>
    </xf>
    <xf numFmtId="187" fontId="32" fillId="32" borderId="0" xfId="0" applyNumberFormat="1" applyFont="1" applyFill="1" applyBorder="1" applyAlignment="1">
      <alignment horizontal="right"/>
    </xf>
    <xf numFmtId="187" fontId="32" fillId="32" borderId="32" xfId="0" applyNumberFormat="1" applyFont="1" applyFill="1" applyBorder="1" applyAlignment="1">
      <alignment horizontal="right"/>
    </xf>
    <xf numFmtId="187" fontId="32" fillId="32" borderId="33" xfId="0" applyNumberFormat="1" applyFont="1" applyFill="1" applyBorder="1" applyAlignment="1">
      <alignment horizontal="right"/>
    </xf>
    <xf numFmtId="187" fontId="32" fillId="32" borderId="0" xfId="0" applyNumberFormat="1" applyFont="1" applyFill="1" applyBorder="1"/>
    <xf numFmtId="187" fontId="32" fillId="32" borderId="32" xfId="0" applyNumberFormat="1" applyFont="1" applyFill="1" applyBorder="1"/>
    <xf numFmtId="187" fontId="32" fillId="45" borderId="0" xfId="0" applyNumberFormat="1" applyFont="1" applyFill="1" applyBorder="1"/>
    <xf numFmtId="187" fontId="32" fillId="45" borderId="32" xfId="0" applyNumberFormat="1" applyFont="1" applyFill="1" applyBorder="1"/>
    <xf numFmtId="187" fontId="32" fillId="45" borderId="33" xfId="0" applyNumberFormat="1" applyFont="1" applyFill="1" applyBorder="1" applyAlignment="1">
      <alignment horizontal="right"/>
    </xf>
    <xf numFmtId="187" fontId="32" fillId="45" borderId="0" xfId="0" applyNumberFormat="1" applyFont="1" applyFill="1" applyBorder="1" applyAlignment="1">
      <alignment horizontal="right"/>
    </xf>
    <xf numFmtId="187" fontId="32" fillId="32" borderId="12" xfId="0" applyNumberFormat="1" applyFont="1" applyFill="1" applyBorder="1"/>
    <xf numFmtId="187" fontId="32" fillId="32" borderId="30" xfId="0" applyNumberFormat="1" applyFont="1" applyFill="1" applyBorder="1"/>
    <xf numFmtId="187" fontId="32" fillId="32" borderId="31" xfId="0" applyNumberFormat="1" applyFont="1" applyFill="1" applyBorder="1"/>
    <xf numFmtId="187" fontId="32" fillId="32" borderId="33" xfId="0" applyNumberFormat="1" applyFont="1" applyFill="1" applyBorder="1"/>
    <xf numFmtId="187" fontId="12" fillId="32" borderId="40" xfId="0" applyNumberFormat="1" applyFont="1" applyFill="1" applyBorder="1" applyAlignment="1">
      <alignment horizontal="left" indent="2"/>
    </xf>
    <xf numFmtId="187" fontId="32" fillId="32" borderId="40" xfId="0" applyNumberFormat="1" applyFont="1" applyFill="1" applyBorder="1" applyAlignment="1">
      <alignment horizontal="left" indent="1"/>
    </xf>
    <xf numFmtId="187" fontId="32" fillId="32" borderId="40" xfId="0" applyNumberFormat="1" applyFont="1" applyFill="1" applyBorder="1"/>
    <xf numFmtId="187" fontId="32" fillId="32" borderId="41" xfId="0" applyNumberFormat="1" applyFont="1" applyFill="1" applyBorder="1"/>
    <xf numFmtId="187" fontId="32" fillId="32" borderId="42" xfId="0" applyNumberFormat="1" applyFont="1" applyFill="1" applyBorder="1"/>
    <xf numFmtId="187" fontId="12" fillId="32" borderId="43" xfId="0" applyNumberFormat="1" applyFont="1" applyFill="1" applyBorder="1" applyAlignment="1">
      <alignment horizontal="left" indent="2"/>
    </xf>
    <xf numFmtId="187" fontId="32" fillId="32" borderId="43" xfId="0" applyNumberFormat="1" applyFont="1" applyFill="1" applyBorder="1" applyAlignment="1">
      <alignment horizontal="left" indent="1"/>
    </xf>
    <xf numFmtId="187" fontId="24" fillId="32" borderId="0" xfId="0" applyNumberFormat="1" applyFont="1" applyFill="1" applyBorder="1" applyAlignment="1">
      <alignment horizontal="left" indent="2"/>
    </xf>
    <xf numFmtId="187" fontId="24" fillId="45" borderId="0" xfId="0" applyNumberFormat="1" applyFont="1" applyFill="1" applyBorder="1"/>
    <xf numFmtId="187" fontId="24" fillId="45" borderId="32" xfId="0" applyNumberFormat="1" applyFont="1" applyFill="1" applyBorder="1"/>
    <xf numFmtId="187" fontId="24" fillId="45" borderId="33" xfId="0" applyNumberFormat="1" applyFont="1" applyFill="1" applyBorder="1"/>
    <xf numFmtId="187" fontId="24" fillId="32" borderId="28" xfId="0" applyNumberFormat="1" applyFont="1" applyFill="1" applyBorder="1" applyAlignment="1">
      <alignment horizontal="left"/>
    </xf>
    <xf numFmtId="187" fontId="24" fillId="32" borderId="28" xfId="0" applyNumberFormat="1" applyFont="1" applyFill="1" applyBorder="1" applyAlignment="1">
      <alignment horizontal="left" indent="1"/>
    </xf>
    <xf numFmtId="187" fontId="24" fillId="32" borderId="28" xfId="0" applyNumberFormat="1" applyFont="1" applyFill="1" applyBorder="1"/>
    <xf numFmtId="187" fontId="24" fillId="32" borderId="44" xfId="0" applyNumberFormat="1" applyFont="1" applyFill="1" applyBorder="1"/>
    <xf numFmtId="187" fontId="24" fillId="32" borderId="45" xfId="0" applyNumberFormat="1" applyFont="1" applyFill="1" applyBorder="1"/>
    <xf numFmtId="187" fontId="12" fillId="32" borderId="33" xfId="0" applyNumberFormat="1" applyFont="1" applyFill="1" applyBorder="1" applyAlignment="1">
      <alignment horizontal="right"/>
    </xf>
    <xf numFmtId="187" fontId="12" fillId="32" borderId="0" xfId="0" applyNumberFormat="1" applyFont="1" applyFill="1" applyBorder="1" applyAlignment="1">
      <alignment horizontal="right"/>
    </xf>
    <xf numFmtId="187" fontId="12" fillId="32" borderId="32" xfId="0" applyNumberFormat="1" applyFont="1" applyFill="1" applyBorder="1" applyAlignment="1">
      <alignment horizontal="right"/>
    </xf>
    <xf numFmtId="187" fontId="12" fillId="32" borderId="0" xfId="0" applyNumberFormat="1" applyFont="1" applyFill="1"/>
    <xf numFmtId="187" fontId="12" fillId="32" borderId="0" xfId="67" applyNumberFormat="1" applyFont="1" applyFill="1" applyBorder="1"/>
    <xf numFmtId="187" fontId="12" fillId="32" borderId="32" xfId="67" applyNumberFormat="1" applyFont="1" applyFill="1" applyBorder="1"/>
    <xf numFmtId="187" fontId="12" fillId="32" borderId="33" xfId="67" applyNumberFormat="1" applyFont="1" applyFill="1" applyBorder="1" applyAlignment="1">
      <alignment horizontal="right"/>
    </xf>
    <xf numFmtId="187" fontId="12" fillId="32" borderId="0" xfId="67" applyNumberFormat="1" applyFont="1" applyFill="1" applyBorder="1" applyAlignment="1">
      <alignment horizontal="right"/>
    </xf>
    <xf numFmtId="187" fontId="12" fillId="32" borderId="32" xfId="67" applyNumberFormat="1" applyFont="1" applyFill="1" applyBorder="1" applyAlignment="1">
      <alignment horizontal="right"/>
    </xf>
    <xf numFmtId="187" fontId="12" fillId="32" borderId="7" xfId="67" applyNumberFormat="1" applyFont="1" applyFill="1" applyBorder="1"/>
    <xf numFmtId="187" fontId="12" fillId="32" borderId="46" xfId="67" applyNumberFormat="1" applyFont="1" applyFill="1" applyBorder="1"/>
    <xf numFmtId="187" fontId="12" fillId="32" borderId="47" xfId="67" applyNumberFormat="1" applyFont="1" applyFill="1" applyBorder="1" applyAlignment="1">
      <alignment horizontal="right"/>
    </xf>
    <xf numFmtId="187" fontId="12" fillId="32" borderId="7" xfId="67" applyNumberFormat="1" applyFont="1" applyFill="1" applyBorder="1" applyAlignment="1">
      <alignment horizontal="right"/>
    </xf>
    <xf numFmtId="187" fontId="12" fillId="32" borderId="46" xfId="67" applyNumberFormat="1" applyFont="1" applyFill="1" applyBorder="1" applyAlignment="1">
      <alignment horizontal="right"/>
    </xf>
    <xf numFmtId="191" fontId="12" fillId="32" borderId="0" xfId="68" applyNumberFormat="1" applyFont="1" applyFill="1" applyBorder="1"/>
    <xf numFmtId="188" fontId="12" fillId="32" borderId="0" xfId="0" applyNumberFormat="1" applyFont="1" applyFill="1" applyBorder="1" applyAlignment="1">
      <alignment horizontal="right"/>
    </xf>
    <xf numFmtId="49" fontId="20" fillId="39" borderId="0" xfId="5" applyFill="1"/>
    <xf numFmtId="181" fontId="17" fillId="0" borderId="14" xfId="57" applyNumberFormat="1" applyFont="1" applyFill="1" applyBorder="1">
      <protection locked="0"/>
    </xf>
    <xf numFmtId="0" fontId="23" fillId="0" borderId="0" xfId="20" applyNumberFormat="1" applyFill="1">
      <alignment horizontal="left" indent="1"/>
    </xf>
    <xf numFmtId="49" fontId="23" fillId="0" borderId="0" xfId="20" applyAlignment="1">
      <alignment horizontal="right" indent="1"/>
    </xf>
    <xf numFmtId="49" fontId="23" fillId="0" borderId="0" xfId="20" applyFill="1" applyAlignment="1">
      <alignment horizontal="right" indent="1"/>
    </xf>
    <xf numFmtId="49" fontId="23" fillId="0" borderId="0" xfId="20" applyFill="1" applyProtection="1">
      <alignment horizontal="left" indent="1"/>
    </xf>
    <xf numFmtId="164" fontId="0" fillId="0" borderId="0" xfId="0" applyNumberFormat="1"/>
    <xf numFmtId="184" fontId="0" fillId="0" borderId="0" xfId="67" applyNumberFormat="1" applyFont="1"/>
    <xf numFmtId="181" fontId="42" fillId="37" borderId="14" xfId="57" applyNumberFormat="1" applyFont="1" applyFill="1" applyBorder="1" applyAlignment="1" applyProtection="1">
      <alignment horizontal="centerContinuous" wrapText="1"/>
    </xf>
    <xf numFmtId="181" fontId="43" fillId="37" borderId="14" xfId="57" applyNumberFormat="1" applyFont="1" applyFill="1" applyBorder="1" applyAlignment="1" applyProtection="1">
      <alignment horizontal="centerContinuous" wrapText="1"/>
    </xf>
    <xf numFmtId="181" fontId="43" fillId="37" borderId="16" xfId="57" applyNumberFormat="1" applyFont="1" applyFill="1" applyBorder="1" applyAlignment="1" applyProtection="1">
      <alignment horizontal="centerContinuous" wrapText="1"/>
    </xf>
    <xf numFmtId="181" fontId="43" fillId="37" borderId="16" xfId="57" applyNumberFormat="1" applyFont="1" applyFill="1" applyBorder="1" applyProtection="1"/>
    <xf numFmtId="49" fontId="44" fillId="0" borderId="17" xfId="20" applyFont="1" applyBorder="1">
      <alignment horizontal="left" indent="1"/>
    </xf>
    <xf numFmtId="49" fontId="20" fillId="46" borderId="0" xfId="5" applyFill="1"/>
    <xf numFmtId="0" fontId="0" fillId="46" borderId="0" xfId="0" applyFill="1"/>
    <xf numFmtId="170" fontId="36" fillId="0" borderId="0" xfId="7" applyNumberFormat="1" applyFont="1" applyFill="1" applyBorder="1" applyAlignment="1">
      <alignment horizontal="left"/>
    </xf>
    <xf numFmtId="0" fontId="1" fillId="32" borderId="14" xfId="14" applyFill="1" applyAlignment="1">
      <alignment horizontal="left" indent="1"/>
    </xf>
    <xf numFmtId="49" fontId="20" fillId="47" borderId="0" xfId="5" applyFill="1"/>
    <xf numFmtId="0" fontId="38" fillId="47" borderId="0" xfId="0" applyFont="1" applyFill="1" applyBorder="1"/>
    <xf numFmtId="0" fontId="39" fillId="47" borderId="0" xfId="0" applyFont="1" applyFill="1" applyBorder="1"/>
    <xf numFmtId="0" fontId="39" fillId="47" borderId="0" xfId="0" applyFont="1" applyFill="1"/>
    <xf numFmtId="0" fontId="12" fillId="47" borderId="0" xfId="0" applyFont="1" applyFill="1"/>
    <xf numFmtId="0" fontId="0" fillId="47" borderId="0" xfId="0" applyFill="1"/>
    <xf numFmtId="49" fontId="20" fillId="47" borderId="0" xfId="5" applyFill="1" applyAlignment="1">
      <alignment horizontal="left" wrapText="1"/>
    </xf>
    <xf numFmtId="0" fontId="18" fillId="47" borderId="14" xfId="52" applyFill="1">
      <alignment horizontal="centerContinuous" wrapText="1"/>
    </xf>
    <xf numFmtId="0" fontId="18" fillId="47" borderId="19" xfId="52" applyFill="1" applyBorder="1">
      <alignment horizontal="centerContinuous" wrapText="1"/>
    </xf>
    <xf numFmtId="0" fontId="0" fillId="47" borderId="0" xfId="0" applyFont="1" applyFill="1"/>
    <xf numFmtId="0" fontId="2" fillId="47" borderId="0" xfId="0" applyFont="1" applyFill="1"/>
    <xf numFmtId="0" fontId="1" fillId="32" borderId="14" xfId="14" applyFill="1" applyAlignment="1">
      <alignment horizontal="left" vertical="center" indent="1"/>
    </xf>
    <xf numFmtId="181" fontId="1" fillId="32" borderId="14" xfId="57" applyNumberFormat="1" applyFont="1" applyFill="1" applyBorder="1" applyAlignment="1" applyProtection="1">
      <alignment vertical="center"/>
    </xf>
    <xf numFmtId="181" fontId="1" fillId="0" borderId="14" xfId="57" applyNumberFormat="1" applyFont="1" applyFill="1" applyBorder="1" applyAlignment="1" applyProtection="1">
      <alignment vertical="center"/>
    </xf>
    <xf numFmtId="179" fontId="1" fillId="0" borderId="14" xfId="60" applyFont="1" applyFill="1" applyBorder="1" applyAlignment="1">
      <alignment horizontal="center" vertical="center"/>
    </xf>
    <xf numFmtId="180" fontId="18" fillId="0" borderId="14" xfId="52" applyNumberFormat="1" applyFill="1" applyBorder="1">
      <alignment horizontal="centerContinuous" wrapText="1"/>
    </xf>
    <xf numFmtId="165" fontId="0" fillId="0" borderId="0" xfId="0" applyNumberFormat="1" applyBorder="1"/>
    <xf numFmtId="181" fontId="42" fillId="37" borderId="16" xfId="57" applyNumberFormat="1" applyFont="1" applyFill="1" applyBorder="1" applyAlignment="1" applyProtection="1">
      <alignment horizontal="centerContinuous" wrapText="1"/>
    </xf>
    <xf numFmtId="49" fontId="23" fillId="0" borderId="0" xfId="20" applyBorder="1">
      <alignment horizontal="left" indent="1"/>
    </xf>
    <xf numFmtId="49" fontId="44" fillId="0" borderId="0" xfId="20" applyFont="1" applyBorder="1">
      <alignment horizontal="left" indent="1"/>
    </xf>
    <xf numFmtId="181" fontId="1" fillId="37" borderId="14" xfId="14" applyNumberFormat="1" applyFill="1" applyBorder="1" applyAlignment="1">
      <alignment horizontal="centerContinuous" wrapText="1"/>
    </xf>
    <xf numFmtId="181" fontId="1" fillId="38" borderId="14" xfId="14" applyNumberFormat="1" applyFill="1" applyBorder="1"/>
    <xf numFmtId="181" fontId="1" fillId="35" borderId="14" xfId="64" applyNumberFormat="1" applyBorder="1"/>
    <xf numFmtId="181" fontId="0" fillId="0" borderId="0" xfId="0" applyNumberFormat="1" applyBorder="1"/>
    <xf numFmtId="181" fontId="27" fillId="0" borderId="16" xfId="57" applyNumberFormat="1" applyFont="1" applyFill="1" applyBorder="1" applyAlignment="1" applyProtection="1">
      <alignment horizontal="centerContinuous" wrapText="1"/>
    </xf>
    <xf numFmtId="181" fontId="1" fillId="0" borderId="16" xfId="57" applyNumberFormat="1" applyFont="1" applyFill="1" applyBorder="1" applyAlignment="1" applyProtection="1"/>
    <xf numFmtId="181" fontId="2" fillId="0" borderId="16" xfId="57" applyNumberFormat="1" applyFont="1" applyFill="1" applyBorder="1" applyAlignment="1" applyProtection="1">
      <alignment horizontal="centerContinuous" wrapText="1"/>
    </xf>
    <xf numFmtId="181" fontId="1" fillId="0" borderId="17" xfId="14" applyNumberFormat="1" applyFill="1" applyBorder="1"/>
    <xf numFmtId="181" fontId="27" fillId="0" borderId="22" xfId="57" applyNumberFormat="1" applyFont="1" applyFill="1" applyBorder="1" applyAlignment="1" applyProtection="1">
      <alignment horizontal="centerContinuous" wrapText="1"/>
    </xf>
    <xf numFmtId="181" fontId="27" fillId="0" borderId="24" xfId="57" applyNumberFormat="1" applyFont="1" applyFill="1" applyBorder="1" applyAlignment="1" applyProtection="1">
      <alignment horizontal="centerContinuous" wrapText="1"/>
    </xf>
    <xf numFmtId="181" fontId="46" fillId="37" borderId="14" xfId="57" applyNumberFormat="1" applyFont="1" applyFill="1" applyBorder="1" applyProtection="1"/>
    <xf numFmtId="181" fontId="46" fillId="37" borderId="16" xfId="57" applyNumberFormat="1" applyFont="1" applyFill="1" applyBorder="1" applyProtection="1"/>
    <xf numFmtId="181" fontId="46" fillId="37" borderId="14" xfId="14" applyNumberFormat="1" applyFont="1" applyFill="1" applyBorder="1"/>
    <xf numFmtId="181" fontId="46" fillId="37" borderId="16" xfId="14" applyNumberFormat="1" applyFont="1" applyFill="1" applyBorder="1"/>
    <xf numFmtId="181" fontId="47" fillId="0" borderId="17" xfId="57" applyNumberFormat="1" applyFont="1" applyFill="1" applyBorder="1" applyAlignment="1" applyProtection="1">
      <alignment horizontal="centerContinuous" wrapText="1"/>
    </xf>
    <xf numFmtId="0" fontId="47" fillId="0" borderId="17" xfId="0" applyFont="1" applyBorder="1"/>
    <xf numFmtId="181" fontId="43" fillId="37" borderId="14" xfId="14" applyNumberFormat="1" applyFont="1" applyFill="1" applyBorder="1"/>
    <xf numFmtId="181" fontId="43" fillId="0" borderId="0" xfId="57" applyNumberFormat="1" applyFont="1" applyFill="1" applyBorder="1" applyAlignment="1" applyProtection="1">
      <alignment horizontal="centerContinuous" wrapText="1"/>
    </xf>
    <xf numFmtId="0" fontId="43" fillId="0" borderId="0" xfId="0" applyFont="1" applyBorder="1"/>
    <xf numFmtId="181" fontId="43" fillId="37" borderId="16" xfId="14" applyNumberFormat="1" applyFont="1" applyFill="1" applyBorder="1"/>
    <xf numFmtId="181" fontId="0" fillId="0" borderId="0" xfId="0" applyNumberFormat="1"/>
    <xf numFmtId="181" fontId="0" fillId="0" borderId="0" xfId="57" applyNumberFormat="1" applyFont="1" applyProtection="1"/>
    <xf numFmtId="181" fontId="0" fillId="0" borderId="17" xfId="57" applyNumberFormat="1" applyFont="1" applyBorder="1" applyProtection="1"/>
    <xf numFmtId="181" fontId="23" fillId="0" borderId="0" xfId="57" applyNumberFormat="1" applyFont="1" applyAlignment="1" applyProtection="1">
      <alignment horizontal="left" indent="1"/>
    </xf>
    <xf numFmtId="181" fontId="23" fillId="0" borderId="17" xfId="57" applyNumberFormat="1" applyFont="1" applyBorder="1" applyAlignment="1" applyProtection="1">
      <alignment horizontal="left" indent="1"/>
    </xf>
    <xf numFmtId="181" fontId="1" fillId="0" borderId="16" xfId="57" applyNumberFormat="1" applyFont="1" applyFill="1" applyBorder="1" applyProtection="1"/>
    <xf numFmtId="0" fontId="0" fillId="32" borderId="14" xfId="14" applyFont="1" applyFill="1" applyAlignment="1">
      <alignment horizontal="left" vertical="center" indent="1"/>
    </xf>
    <xf numFmtId="0" fontId="0" fillId="0" borderId="13" xfId="0" applyFill="1" applyBorder="1"/>
    <xf numFmtId="0" fontId="0" fillId="0" borderId="10" xfId="0" applyFill="1" applyBorder="1"/>
    <xf numFmtId="0" fontId="0" fillId="0" borderId="9" xfId="0" applyFill="1" applyBorder="1"/>
    <xf numFmtId="49" fontId="20" fillId="0" borderId="10" xfId="5" applyFill="1" applyBorder="1" applyAlignment="1">
      <alignment horizontal="centerContinuous"/>
    </xf>
    <xf numFmtId="0" fontId="0" fillId="0" borderId="0" xfId="0" applyFill="1" applyBorder="1" applyAlignment="1">
      <alignment horizontal="centerContinuous"/>
    </xf>
    <xf numFmtId="0" fontId="0" fillId="0" borderId="9" xfId="0" applyFill="1" applyBorder="1" applyAlignment="1">
      <alignment horizontal="centerContinuous"/>
    </xf>
    <xf numFmtId="15" fontId="24" fillId="0" borderId="10" xfId="0" applyNumberFormat="1" applyFont="1" applyFill="1" applyBorder="1" applyAlignment="1">
      <alignment horizontal="centerContinuous"/>
    </xf>
    <xf numFmtId="49" fontId="20" fillId="0" borderId="13" xfId="5" applyBorder="1"/>
    <xf numFmtId="0" fontId="0" fillId="0" borderId="12" xfId="0" applyBorder="1"/>
    <xf numFmtId="0" fontId="0" fillId="0" borderId="10" xfId="0" applyBorder="1"/>
    <xf numFmtId="0" fontId="48" fillId="35" borderId="48" xfId="0" applyFont="1" applyFill="1" applyBorder="1"/>
    <xf numFmtId="0" fontId="48" fillId="35" borderId="49" xfId="0" applyFont="1" applyFill="1" applyBorder="1"/>
    <xf numFmtId="49" fontId="0" fillId="34" borderId="50" xfId="0" applyNumberFormat="1" applyFill="1" applyBorder="1"/>
    <xf numFmtId="49" fontId="0" fillId="36" borderId="50" xfId="0" applyNumberFormat="1" applyFill="1" applyBorder="1"/>
    <xf numFmtId="0" fontId="25" fillId="34" borderId="51" xfId="58" applyFill="1" applyBorder="1" applyAlignment="1" applyProtection="1"/>
    <xf numFmtId="49" fontId="0" fillId="34" borderId="52" xfId="0" applyNumberFormat="1" applyFill="1" applyBorder="1"/>
    <xf numFmtId="0" fontId="25" fillId="34" borderId="53" xfId="58" applyFill="1" applyBorder="1" applyAlignment="1" applyProtection="1">
      <alignment horizontal="left" indent="1"/>
    </xf>
    <xf numFmtId="0" fontId="25" fillId="36" borderId="51" xfId="58" applyFill="1" applyBorder="1" applyAlignment="1" applyProtection="1"/>
    <xf numFmtId="49" fontId="0" fillId="36" borderId="54" xfId="0" applyNumberFormat="1" applyFill="1" applyBorder="1"/>
    <xf numFmtId="0" fontId="25" fillId="36" borderId="55" xfId="58" applyFill="1" applyBorder="1" applyAlignment="1" applyProtection="1"/>
    <xf numFmtId="0" fontId="0" fillId="0" borderId="7" xfId="0" applyBorder="1"/>
    <xf numFmtId="0" fontId="0" fillId="0" borderId="11" xfId="0" applyBorder="1"/>
    <xf numFmtId="0" fontId="0" fillId="0" borderId="9" xfId="0" applyBorder="1"/>
    <xf numFmtId="0" fontId="0" fillId="0" borderId="8" xfId="0" applyBorder="1"/>
    <xf numFmtId="0" fontId="0" fillId="0" borderId="6" xfId="0" applyBorder="1"/>
    <xf numFmtId="0" fontId="0" fillId="0" borderId="14" xfId="14" applyFont="1" applyFill="1" applyAlignment="1">
      <alignment vertical="top" wrapText="1"/>
    </xf>
    <xf numFmtId="0" fontId="1" fillId="0" borderId="14" xfId="14" applyFill="1" applyAlignment="1">
      <alignment wrapText="1"/>
    </xf>
    <xf numFmtId="0" fontId="0" fillId="0" borderId="14" xfId="14" applyFont="1" applyFill="1" applyAlignment="1">
      <alignment horizontal="left" vertical="top" wrapText="1"/>
    </xf>
    <xf numFmtId="0" fontId="1" fillId="0" borderId="14" xfId="14" applyFill="1" applyAlignment="1">
      <alignment horizontal="left" vertical="top" wrapText="1"/>
    </xf>
    <xf numFmtId="0" fontId="2" fillId="0" borderId="14" xfId="14" applyFont="1" applyFill="1" applyAlignment="1">
      <alignment horizontal="left" vertical="top" wrapText="1"/>
    </xf>
    <xf numFmtId="0" fontId="0" fillId="0" borderId="14" xfId="14" applyFont="1" applyFill="1" applyAlignment="1">
      <alignment horizontal="left" wrapText="1"/>
    </xf>
    <xf numFmtId="0" fontId="18" fillId="0" borderId="14" xfId="52" applyFill="1" applyAlignment="1">
      <alignment horizontal="left" wrapText="1"/>
    </xf>
    <xf numFmtId="49" fontId="45" fillId="37" borderId="14" xfId="52" applyNumberFormat="1" applyFont="1" applyFill="1" applyBorder="1" applyAlignment="1">
      <alignment horizontal="center" wrapText="1"/>
    </xf>
    <xf numFmtId="49" fontId="45" fillId="37" borderId="16" xfId="52" applyNumberFormat="1" applyFont="1" applyFill="1" applyBorder="1" applyAlignment="1">
      <alignment horizontal="center" wrapText="1"/>
    </xf>
    <xf numFmtId="49" fontId="23" fillId="0" borderId="0" xfId="20" applyAlignment="1" applyProtection="1">
      <alignment horizontal="left" vertical="center" indent="1"/>
    </xf>
    <xf numFmtId="49" fontId="23" fillId="0" borderId="0" xfId="20" applyAlignment="1">
      <alignment horizontal="left" vertical="top" wrapText="1" indent="1"/>
    </xf>
    <xf numFmtId="49" fontId="23" fillId="0" borderId="0" xfId="20" applyAlignment="1">
      <alignment horizontal="left" vertical="top" indent="1"/>
    </xf>
  </cellXfs>
  <cellStyles count="70">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67" builtinId="3"/>
    <cellStyle name="Comma [0]" xfId="2" builtinId="6" customBuiltin="1"/>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Currency 2" xfId="68" xr:uid="{F271A4B5-8FF1-4CCC-ABEF-D452AB80A3DF}"/>
    <cellStyle name="Date (short)" xfId="53" xr:uid="{00000000-0005-0000-0000-000022000000}"/>
    <cellStyle name="Explanatory Text" xfId="20" builtinId="53" customBuiltin="1"/>
    <cellStyle name="Followed Hyperlink" xfId="61" builtinId="9" customBuiltin="1"/>
    <cellStyle name="Good" xfId="10" builtinId="26" hidden="1"/>
    <cellStyle name="Heading 1" xfId="6" builtinId="16" customBuiltin="1"/>
    <cellStyle name="Heading 2" xfId="7" builtinId="17" customBuiltin="1"/>
    <cellStyle name="Heading 3" xfId="8" builtinId="18" customBuiltin="1"/>
    <cellStyle name="Heading 4" xfId="9" builtinId="19" hidden="1"/>
    <cellStyle name="Hyperlink" xfId="58" builtinId="8" customBuiltin="1"/>
    <cellStyle name="Hyperlink 2" xfId="69" xr:uid="{BE591201-5770-4D51-B2F8-C10322665567}"/>
    <cellStyle name="Input" xfId="13" builtinId="20" customBuiltin="1"/>
    <cellStyle name="Label" xfId="52" xr:uid="{00000000-0005-0000-0000-00002B000000}"/>
    <cellStyle name="Link" xfId="51" xr:uid="{00000000-0005-0000-0000-00002C000000}"/>
    <cellStyle name="Link 2" xfId="65" xr:uid="{491D2F75-F110-4094-8DD0-6FB740AB7C0E}"/>
    <cellStyle name="Linked Cell" xfId="16" builtinId="24" hidden="1"/>
    <cellStyle name="Neutral" xfId="12" builtinId="28" hidden="1"/>
    <cellStyle name="Normal" xfId="0" builtinId="0" customBuiltin="1"/>
    <cellStyle name="Note" xfId="19" builtinId="10" hidden="1"/>
    <cellStyle name="Output" xfId="14" builtinId="21" customBuiltin="1"/>
    <cellStyle name="Percent" xfId="59" builtinId="5" hidden="1" customBuiltin="1"/>
    <cellStyle name="Percent" xfId="66"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Text" xfId="56" xr:uid="{00000000-0005-0000-0000-000038000000}"/>
    <cellStyle name="Title" xfId="5" builtinId="15" customBuiltin="1"/>
    <cellStyle name="Total" xfId="21" builtinId="25" hidden="1"/>
    <cellStyle name="Warning Text" xfId="18" builtinId="11" hidden="1"/>
    <cellStyle name="Year" xfId="46"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019D21FC-A86C-4D74-B5CE-725286C3C1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3D715A5A-4333-4A85-9F10-5499F170C8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B19A6-8ECF-4B24-B713-0F574F1F0725}">
  <sheetPr codeName="Sheet2">
    <pageSetUpPr fitToPage="1"/>
  </sheetPr>
  <dimension ref="A1:E18"/>
  <sheetViews>
    <sheetView showGridLines="0" view="pageBreakPreview" zoomScaleNormal="100" zoomScaleSheetLayoutView="100" workbookViewId="0"/>
  </sheetViews>
  <sheetFormatPr defaultColWidth="9.140625" defaultRowHeight="15" customHeight="1" x14ac:dyDescent="0.25"/>
  <cols>
    <col min="1" max="1" width="26.5703125" customWidth="1"/>
    <col min="2" max="2" width="43.140625" customWidth="1"/>
    <col min="3" max="3" width="32.7109375" customWidth="1"/>
    <col min="4" max="4" width="32.28515625" customWidth="1"/>
  </cols>
  <sheetData>
    <row r="1" spans="1:5" ht="15" customHeight="1" x14ac:dyDescent="0.25">
      <c r="A1" s="329"/>
      <c r="B1" s="5"/>
      <c r="C1" s="5"/>
      <c r="D1" s="4"/>
      <c r="E1" s="1"/>
    </row>
    <row r="2" spans="1:5" ht="189" customHeight="1" x14ac:dyDescent="0.25">
      <c r="A2" s="330"/>
      <c r="B2" s="11"/>
      <c r="C2" s="11"/>
      <c r="D2" s="331"/>
      <c r="E2" s="1"/>
    </row>
    <row r="3" spans="1:5" ht="22.5" customHeight="1" x14ac:dyDescent="0.4">
      <c r="A3" s="332" t="s">
        <v>3</v>
      </c>
      <c r="B3" s="333"/>
      <c r="C3" s="333"/>
      <c r="D3" s="334"/>
      <c r="E3" s="1"/>
    </row>
    <row r="4" spans="1:5" ht="22.5" customHeight="1" x14ac:dyDescent="0.4">
      <c r="A4" s="332" t="s">
        <v>77</v>
      </c>
      <c r="B4" s="333"/>
      <c r="C4" s="333"/>
      <c r="D4" s="334"/>
      <c r="E4" s="1"/>
    </row>
    <row r="5" spans="1:5" ht="22.5" customHeight="1" x14ac:dyDescent="0.4">
      <c r="A5" s="332" t="s">
        <v>76</v>
      </c>
      <c r="B5" s="333"/>
      <c r="C5" s="333"/>
      <c r="D5" s="334"/>
      <c r="E5" s="1"/>
    </row>
    <row r="6" spans="1:5" ht="22.5" customHeight="1" x14ac:dyDescent="0.4">
      <c r="A6" s="332"/>
      <c r="B6" s="333"/>
      <c r="C6" s="333"/>
      <c r="D6" s="334"/>
      <c r="E6" s="1"/>
    </row>
    <row r="7" spans="1:5" ht="42" customHeight="1" x14ac:dyDescent="0.25">
      <c r="A7" s="330"/>
      <c r="B7" s="11"/>
      <c r="C7" s="11"/>
      <c r="D7" s="331"/>
      <c r="E7" s="1"/>
    </row>
    <row r="8" spans="1:5" ht="15" customHeight="1" x14ac:dyDescent="0.25">
      <c r="A8" s="330"/>
      <c r="B8" s="11"/>
      <c r="C8" s="11"/>
      <c r="D8" s="331"/>
      <c r="E8" s="1"/>
    </row>
    <row r="9" spans="1:5" ht="15" customHeight="1" x14ac:dyDescent="0.25">
      <c r="A9" s="330"/>
      <c r="B9" s="11"/>
      <c r="C9" s="11"/>
      <c r="D9" s="331"/>
      <c r="E9" s="1"/>
    </row>
    <row r="10" spans="1:5" ht="15" customHeight="1" x14ac:dyDescent="0.25">
      <c r="A10" s="330"/>
      <c r="B10" s="11"/>
      <c r="C10" s="11"/>
      <c r="D10" s="331"/>
      <c r="E10" s="1"/>
    </row>
    <row r="11" spans="1:5" ht="15" customHeight="1" x14ac:dyDescent="0.25">
      <c r="A11" s="330"/>
      <c r="B11" s="11"/>
      <c r="C11" s="11"/>
      <c r="D11" s="331"/>
      <c r="E11" s="1"/>
    </row>
    <row r="12" spans="1:5" ht="15" customHeight="1" x14ac:dyDescent="0.25">
      <c r="A12" s="330"/>
      <c r="B12" s="11"/>
      <c r="C12" s="11"/>
      <c r="D12" s="331"/>
      <c r="E12" s="1"/>
    </row>
    <row r="13" spans="1:5" ht="15" customHeight="1" x14ac:dyDescent="0.25">
      <c r="A13" s="330"/>
      <c r="B13" s="11"/>
      <c r="C13" s="11"/>
      <c r="D13" s="331"/>
      <c r="E13" s="1"/>
    </row>
    <row r="14" spans="1:5" ht="15" customHeight="1" x14ac:dyDescent="0.25">
      <c r="A14" s="330"/>
      <c r="B14" s="11"/>
      <c r="C14" s="11"/>
      <c r="D14" s="331"/>
      <c r="E14" s="1"/>
    </row>
    <row r="15" spans="1:5" ht="15" customHeight="1" x14ac:dyDescent="0.25">
      <c r="A15" s="330"/>
      <c r="B15" s="11"/>
      <c r="C15" s="11"/>
      <c r="D15" s="331"/>
      <c r="E15" s="1"/>
    </row>
    <row r="16" spans="1:5" ht="15" customHeight="1" x14ac:dyDescent="0.25">
      <c r="A16" s="330"/>
      <c r="B16" s="11"/>
      <c r="C16" s="11"/>
      <c r="D16" s="331"/>
      <c r="E16" s="1"/>
    </row>
    <row r="17" spans="1:5" ht="15" customHeight="1" x14ac:dyDescent="0.25">
      <c r="A17" s="335" t="s">
        <v>347</v>
      </c>
      <c r="B17" s="333"/>
      <c r="C17" s="333"/>
      <c r="D17" s="334"/>
      <c r="E17" s="1"/>
    </row>
    <row r="18" spans="1:5" ht="15" customHeight="1" x14ac:dyDescent="0.25">
      <c r="A18" s="349"/>
      <c r="B18" s="349"/>
      <c r="C18" s="349"/>
      <c r="D18" s="349"/>
    </row>
  </sheetData>
  <sheetProtection formatColumns="0" formatRows="0"/>
  <pageMargins left="0.70866141732283472" right="0.70866141732283472" top="0.74803149606299213" bottom="0.7480314960629921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E0E99-A06A-4BEA-9871-26605C57FFB6}">
  <sheetPr codeName="Sheet6">
    <pageSetUpPr fitToPage="1"/>
  </sheetPr>
  <dimension ref="A1:D22"/>
  <sheetViews>
    <sheetView showGridLines="0" tabSelected="1" view="pageBreakPreview" zoomScaleNormal="100" zoomScaleSheetLayoutView="100" workbookViewId="0"/>
  </sheetViews>
  <sheetFormatPr defaultRowHeight="15" customHeight="1" x14ac:dyDescent="0.25"/>
  <cols>
    <col min="2" max="2" width="19.85546875" customWidth="1"/>
    <col min="3" max="3" width="95.28515625" customWidth="1"/>
  </cols>
  <sheetData>
    <row r="1" spans="1:4" ht="26.25" x14ac:dyDescent="0.4">
      <c r="A1" s="336" t="s">
        <v>353</v>
      </c>
      <c r="B1" s="337"/>
      <c r="C1" s="337"/>
      <c r="D1" s="350"/>
    </row>
    <row r="2" spans="1:4" x14ac:dyDescent="0.25">
      <c r="A2" s="338"/>
      <c r="B2" s="2"/>
      <c r="C2" s="2"/>
      <c r="D2" s="351"/>
    </row>
    <row r="3" spans="1:4" ht="15.75" thickBot="1" x14ac:dyDescent="0.3">
      <c r="A3" s="338"/>
      <c r="B3" s="2"/>
      <c r="C3" s="2"/>
      <c r="D3" s="351"/>
    </row>
    <row r="4" spans="1:4" ht="15.75" x14ac:dyDescent="0.25">
      <c r="A4" s="338"/>
      <c r="B4" s="339" t="s">
        <v>354</v>
      </c>
      <c r="C4" s="340" t="s">
        <v>355</v>
      </c>
      <c r="D4" s="351"/>
    </row>
    <row r="5" spans="1:4" x14ac:dyDescent="0.25">
      <c r="A5" s="338"/>
      <c r="B5" s="341" t="s">
        <v>356</v>
      </c>
      <c r="C5" s="343" t="s">
        <v>303</v>
      </c>
      <c r="D5" s="351"/>
    </row>
    <row r="6" spans="1:4" x14ac:dyDescent="0.25">
      <c r="A6" s="338"/>
      <c r="B6" s="341" t="s">
        <v>356</v>
      </c>
      <c r="C6" s="343" t="s">
        <v>1</v>
      </c>
      <c r="D6" s="351"/>
    </row>
    <row r="7" spans="1:4" x14ac:dyDescent="0.25">
      <c r="A7" s="338"/>
      <c r="B7" s="344"/>
      <c r="C7" s="345" t="s">
        <v>82</v>
      </c>
      <c r="D7" s="351"/>
    </row>
    <row r="8" spans="1:4" x14ac:dyDescent="0.25">
      <c r="A8" s="338"/>
      <c r="B8" s="344"/>
      <c r="C8" s="345" t="s">
        <v>85</v>
      </c>
      <c r="D8" s="351"/>
    </row>
    <row r="9" spans="1:4" x14ac:dyDescent="0.25">
      <c r="A9" s="338"/>
      <c r="B9" s="341" t="s">
        <v>356</v>
      </c>
      <c r="C9" s="343" t="s">
        <v>2</v>
      </c>
      <c r="D9" s="351"/>
    </row>
    <row r="10" spans="1:4" x14ac:dyDescent="0.25">
      <c r="A10" s="338"/>
      <c r="B10" s="344"/>
      <c r="C10" s="345" t="s">
        <v>55</v>
      </c>
      <c r="D10" s="351"/>
    </row>
    <row r="11" spans="1:4" x14ac:dyDescent="0.25">
      <c r="A11" s="338"/>
      <c r="B11" s="344"/>
      <c r="C11" s="345" t="s">
        <v>100</v>
      </c>
      <c r="D11" s="351"/>
    </row>
    <row r="12" spans="1:4" ht="15" customHeight="1" x14ac:dyDescent="0.25">
      <c r="A12" s="338"/>
      <c r="B12" s="344"/>
      <c r="C12" s="345" t="s">
        <v>260</v>
      </c>
      <c r="D12" s="351"/>
    </row>
    <row r="13" spans="1:4" ht="15" customHeight="1" x14ac:dyDescent="0.25">
      <c r="A13" s="338"/>
      <c r="B13" s="341" t="s">
        <v>356</v>
      </c>
      <c r="C13" s="343" t="s">
        <v>52</v>
      </c>
      <c r="D13" s="351"/>
    </row>
    <row r="14" spans="1:4" ht="15" customHeight="1" x14ac:dyDescent="0.25">
      <c r="A14" s="338"/>
      <c r="B14" s="342" t="s">
        <v>357</v>
      </c>
      <c r="C14" s="346" t="s">
        <v>304</v>
      </c>
      <c r="D14" s="351"/>
    </row>
    <row r="15" spans="1:4" ht="15" customHeight="1" x14ac:dyDescent="0.25">
      <c r="A15" s="338"/>
      <c r="B15" s="342" t="s">
        <v>357</v>
      </c>
      <c r="C15" s="346" t="s">
        <v>1</v>
      </c>
      <c r="D15" s="351"/>
    </row>
    <row r="16" spans="1:4" ht="15" customHeight="1" x14ac:dyDescent="0.25">
      <c r="A16" s="338"/>
      <c r="B16" s="342" t="s">
        <v>357</v>
      </c>
      <c r="C16" s="346" t="s">
        <v>52</v>
      </c>
      <c r="D16" s="351"/>
    </row>
    <row r="17" spans="1:4" ht="15" customHeight="1" x14ac:dyDescent="0.25">
      <c r="A17" s="338"/>
      <c r="B17" s="341" t="s">
        <v>358</v>
      </c>
      <c r="C17" s="343" t="s">
        <v>305</v>
      </c>
      <c r="D17" s="351"/>
    </row>
    <row r="18" spans="1:4" ht="15" customHeight="1" x14ac:dyDescent="0.25">
      <c r="A18" s="338"/>
      <c r="B18" s="341" t="s">
        <v>358</v>
      </c>
      <c r="C18" s="343" t="s">
        <v>1</v>
      </c>
      <c r="D18" s="351"/>
    </row>
    <row r="19" spans="1:4" ht="15" customHeight="1" x14ac:dyDescent="0.25">
      <c r="A19" s="338"/>
      <c r="B19" s="341" t="s">
        <v>358</v>
      </c>
      <c r="C19" s="343" t="s">
        <v>52</v>
      </c>
      <c r="D19" s="351"/>
    </row>
    <row r="20" spans="1:4" ht="15" customHeight="1" x14ac:dyDescent="0.25">
      <c r="A20" s="338"/>
      <c r="B20" s="342" t="s">
        <v>359</v>
      </c>
      <c r="C20" s="346" t="s">
        <v>306</v>
      </c>
      <c r="D20" s="351"/>
    </row>
    <row r="21" spans="1:4" ht="15" customHeight="1" thickBot="1" x14ac:dyDescent="0.3">
      <c r="A21" s="338"/>
      <c r="B21" s="347" t="s">
        <v>359</v>
      </c>
      <c r="C21" s="348" t="s">
        <v>52</v>
      </c>
      <c r="D21" s="351"/>
    </row>
    <row r="22" spans="1:4" ht="15" customHeight="1" x14ac:dyDescent="0.25">
      <c r="A22" s="352"/>
      <c r="B22" s="349"/>
      <c r="C22" s="349"/>
      <c r="D22" s="353"/>
    </row>
  </sheetData>
  <sheetProtection formatColumns="0" formatRows="0"/>
  <hyperlinks>
    <hyperlink ref="C5" location="'Equivalence calculations'!$A$1" tooltip="Section title. Click once to follow" display="Right of use assets under the DPP IMs" xr:uid="{53F4DDCF-2E4D-47D8-B59C-5285FFE21EE9}"/>
    <hyperlink ref="C6" location="'Equivalence calculations'!$A$2" tooltip="Section subtitle. Click once to follow" display="Inputs" xr:uid="{3B93F084-6587-4FE9-9F07-0843BBF3B5E4}"/>
    <hyperlink ref="C7" location="'Equivalence calculations'!$A$4" tooltip="Section subtitle. Click once to follow" display="User inputs" xr:uid="{21C2B09C-882F-4C52-8F53-0EBC31136E7B}"/>
    <hyperlink ref="C8" location="'Equivalence calculations'!$A$18" tooltip="Section subtitle. Click once to follow" display="Fixed inputs" xr:uid="{8A0CACB2-B416-400C-ACA2-F6D79DD3F492}"/>
    <hyperlink ref="C9" location="'Equivalence calculations'!$A$31" tooltip="Section subtitle. Click once to follow" display="Calculations" xr:uid="{BABFD837-CEFA-4521-944B-8CCA7CD0AA5D}"/>
    <hyperlink ref="C10" location="'Equivalence calculations'!$A$36" tooltip="Section subtitle. Click once to follow" display="Determining the initial value of the right of use asset" xr:uid="{181414DF-57AE-4BBB-9EC0-5ADA1BF8E414}"/>
    <hyperlink ref="C11" location="'Equivalence calculations'!$A$44" tooltip="Section subtitle. Click once to follow" display="GAAP treatment of right of use asset" xr:uid="{FE368500-6FB2-4B3E-9386-5D4288066BA9}"/>
    <hyperlink ref="C12" location="'Equivalence calculations'!$A$51" tooltip="Section subtitle. Click once to follow" display="Illustrative treatment of right of use asset under DPP" xr:uid="{D69D6878-C080-4F7C-A374-367179DD7C05}"/>
    <hyperlink ref="C13" location="'Equivalence calculations'!$A$120" tooltip="Section subtitle. Click once to follow" display="Outputs" xr:uid="{46328FB2-9063-4633-8246-864DD674237B}"/>
    <hyperlink ref="C14" location="'IRIS Capex incentives'!$A$1" tooltip="Section title. Click once to follow" display="Capex incentive calculation" xr:uid="{5645579A-CD34-4D49-80CD-2369D17E3D4C}"/>
    <hyperlink ref="C15" location="'IRIS Capex incentives'!$A$3" tooltip="Section subtitle. Click once to follow" display="Inputs" xr:uid="{02E79936-8B11-4390-84CC-C63ECFBD7802}"/>
    <hyperlink ref="C16" location="'IRIS Capex incentives'!$A$45" tooltip="Section subtitle. Click once to follow" display="Outputs" xr:uid="{894378F9-E42D-4093-BC87-BB0E00B3E6CC}"/>
    <hyperlink ref="C17" location="'IRIS Opex incentives'!$A$1" tooltip="Section title. Click once to follow" display="Opex incentive calculation" xr:uid="{98D80707-9BCF-442F-A29E-B55052FA6C51}"/>
    <hyperlink ref="C18" location="'IRIS Opex incentives'!$A$3" tooltip="Section subtitle. Click once to follow" display="Inputs" xr:uid="{87E9E276-335B-4144-8AAD-822FF0E1ED61}"/>
    <hyperlink ref="C19" location="'IRIS Opex incentives'!$A$30" tooltip="Section subtitle. Click once to follow" display="Outputs" xr:uid="{499247C6-021B-44E8-AF29-4ECC1E4A5FA5}"/>
    <hyperlink ref="C20" location="'IRIS Opex permanent saving'!$A$1" tooltip="Section title. Click once to follow" display="Opex permanent saving calculation" xr:uid="{A42C2EDD-C150-4593-A2EA-BC62A2160D5E}"/>
    <hyperlink ref="C21" location="'IRIS Opex permanent saving'!$A$120" tooltip="Section subtitle. Click once to follow" display="Outputs" xr:uid="{D6894BAA-FD05-4D78-AA11-9C969D478081}"/>
  </hyperlinks>
  <pageMargins left="0.70866141732283472" right="0.70866141732283472" top="0.74803149606299213" bottom="0.74803149606299213"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0" tint="-0.14999847407452621"/>
    <pageSetUpPr fitToPage="1"/>
  </sheetPr>
  <dimension ref="A1:E11"/>
  <sheetViews>
    <sheetView showGridLines="0" view="pageBreakPreview" zoomScale="80" zoomScaleNormal="100" zoomScaleSheetLayoutView="80" workbookViewId="0"/>
  </sheetViews>
  <sheetFormatPr defaultRowHeight="15" customHeight="1" x14ac:dyDescent="0.25"/>
  <cols>
    <col min="1" max="1" width="2.7109375" customWidth="1"/>
    <col min="2" max="2" width="23.28515625" customWidth="1"/>
    <col min="3" max="3" width="100.7109375" customWidth="1"/>
    <col min="4" max="4" width="34.28515625" customWidth="1"/>
    <col min="5" max="5" width="61.140625" customWidth="1"/>
    <col min="6" max="6" width="9.140625" customWidth="1"/>
  </cols>
  <sheetData>
    <row r="1" spans="1:5" ht="26.25" x14ac:dyDescent="0.4">
      <c r="A1" s="8" t="s">
        <v>0</v>
      </c>
      <c r="B1" s="2"/>
      <c r="C1" s="2"/>
      <c r="D1" s="2"/>
      <c r="E1" s="2"/>
    </row>
    <row r="2" spans="1:5" x14ac:dyDescent="0.25">
      <c r="A2" s="2"/>
      <c r="B2" s="2"/>
      <c r="C2" s="2"/>
      <c r="D2" s="2"/>
      <c r="E2" s="2"/>
    </row>
    <row r="3" spans="1:5" ht="23.25" x14ac:dyDescent="0.35">
      <c r="A3" s="2"/>
      <c r="B3" s="7" t="s">
        <v>106</v>
      </c>
      <c r="C3" s="2"/>
      <c r="D3" s="2"/>
      <c r="E3" s="2"/>
    </row>
    <row r="4" spans="1:5" ht="214.5" customHeight="1" x14ac:dyDescent="0.25">
      <c r="A4" s="2"/>
      <c r="B4" s="356" t="s">
        <v>360</v>
      </c>
      <c r="C4" s="357"/>
      <c r="D4" s="357"/>
      <c r="E4" s="357"/>
    </row>
    <row r="5" spans="1:5" ht="23.25" x14ac:dyDescent="0.35">
      <c r="A5" s="2"/>
      <c r="B5" s="7" t="s">
        <v>105</v>
      </c>
      <c r="C5" s="2"/>
      <c r="D5" s="2"/>
      <c r="E5" s="2"/>
    </row>
    <row r="6" spans="1:5" x14ac:dyDescent="0.25">
      <c r="A6" s="2"/>
      <c r="B6" s="354" t="s">
        <v>361</v>
      </c>
      <c r="C6" s="355"/>
      <c r="D6" s="355"/>
      <c r="E6" s="355"/>
    </row>
    <row r="7" spans="1:5" ht="219" customHeight="1" x14ac:dyDescent="0.25">
      <c r="A7" s="2"/>
      <c r="B7" s="355"/>
      <c r="C7" s="355"/>
      <c r="D7" s="355"/>
      <c r="E7" s="355"/>
    </row>
    <row r="8" spans="1:5" ht="23.25" x14ac:dyDescent="0.35">
      <c r="A8" s="2"/>
      <c r="B8" s="7" t="s">
        <v>107</v>
      </c>
      <c r="C8" s="9"/>
      <c r="D8" s="10"/>
      <c r="E8" s="12"/>
    </row>
    <row r="9" spans="1:5" ht="281.25" customHeight="1" x14ac:dyDescent="0.25">
      <c r="A9" s="2"/>
      <c r="B9" s="358" t="s">
        <v>340</v>
      </c>
      <c r="C9" s="357"/>
      <c r="D9" s="357"/>
      <c r="E9" s="357"/>
    </row>
    <row r="10" spans="1:5" ht="23.25" x14ac:dyDescent="0.35">
      <c r="A10" s="2"/>
      <c r="B10" s="7" t="s">
        <v>311</v>
      </c>
      <c r="C10" s="9"/>
      <c r="D10" s="10"/>
      <c r="E10" s="12"/>
    </row>
    <row r="11" spans="1:5" ht="213" customHeight="1" x14ac:dyDescent="0.25">
      <c r="A11" s="2"/>
      <c r="B11" s="356" t="s">
        <v>346</v>
      </c>
      <c r="C11" s="356"/>
      <c r="D11" s="356"/>
      <c r="E11" s="356"/>
    </row>
  </sheetData>
  <sheetProtection formatColumns="0" formatRows="0"/>
  <mergeCells count="4">
    <mergeCell ref="B6:E7"/>
    <mergeCell ref="B11:E11"/>
    <mergeCell ref="B4:E4"/>
    <mergeCell ref="B9:E9"/>
  </mergeCells>
  <pageMargins left="0.70866141732283472" right="0.70866141732283472" top="0.74803149606299213" bottom="0.74803149606299213" header="0.31496062992125984" footer="0.31496062992125984"/>
  <pageSetup paperSize="9" scale="58" fitToHeight="0" orientation="landscape" r:id="rId1"/>
  <rowBreaks count="1" manualBreakCount="1">
    <brk id="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2" tint="0.39997558519241921"/>
    <pageSetUpPr fitToPage="1"/>
  </sheetPr>
  <dimension ref="A1:AK127"/>
  <sheetViews>
    <sheetView showGridLines="0" view="pageBreakPreview" zoomScaleNormal="85" zoomScaleSheetLayoutView="100" workbookViewId="0"/>
  </sheetViews>
  <sheetFormatPr defaultRowHeight="15" customHeight="1" x14ac:dyDescent="0.25"/>
  <cols>
    <col min="1" max="1" width="50.7109375" customWidth="1"/>
    <col min="2" max="2" width="37.42578125" customWidth="1"/>
    <col min="3" max="3" width="21.140625" customWidth="1"/>
    <col min="4" max="4" width="14.42578125" customWidth="1"/>
    <col min="5" max="5" width="16.140625" customWidth="1"/>
    <col min="6" max="6" width="14.85546875" customWidth="1"/>
    <col min="7" max="7" width="12.7109375" customWidth="1"/>
    <col min="8" max="8" width="14" customWidth="1"/>
    <col min="9" max="9" width="12.7109375" customWidth="1"/>
    <col min="10" max="10" width="13" customWidth="1"/>
    <col min="11" max="12" width="12.7109375" customWidth="1"/>
    <col min="13" max="13" width="12.5703125" customWidth="1"/>
    <col min="14" max="14" width="12.7109375" customWidth="1"/>
    <col min="15" max="15" width="14.7109375" customWidth="1"/>
    <col min="16" max="20" width="13.7109375" customWidth="1"/>
    <col min="21" max="21" width="12.140625" customWidth="1"/>
    <col min="22" max="22" width="4" customWidth="1"/>
    <col min="23" max="23" width="25" customWidth="1"/>
  </cols>
  <sheetData>
    <row r="1" spans="1:37" ht="33" customHeight="1" x14ac:dyDescent="0.4">
      <c r="A1" s="278" t="s">
        <v>303</v>
      </c>
      <c r="B1" s="279"/>
      <c r="C1" s="279"/>
      <c r="D1" s="279"/>
      <c r="E1" s="279"/>
      <c r="F1" s="279"/>
      <c r="G1" s="279"/>
      <c r="H1" s="279"/>
      <c r="I1" s="279"/>
      <c r="J1" s="279"/>
      <c r="K1" s="279"/>
      <c r="L1" s="279"/>
      <c r="M1" s="279"/>
      <c r="N1" s="279"/>
      <c r="O1" s="279"/>
      <c r="P1" s="279"/>
      <c r="Q1" s="279"/>
      <c r="R1" s="279"/>
      <c r="S1" s="279"/>
      <c r="T1" s="279"/>
      <c r="U1" s="279"/>
      <c r="V1" s="279"/>
      <c r="W1" s="279"/>
      <c r="X1" s="1"/>
      <c r="Y1" s="1"/>
      <c r="Z1" s="1"/>
      <c r="AA1" s="1"/>
      <c r="AB1" s="1"/>
      <c r="AC1" s="1"/>
      <c r="AD1" s="1"/>
      <c r="AE1" s="1"/>
      <c r="AF1" s="1"/>
      <c r="AG1" s="1"/>
      <c r="AH1" s="1"/>
      <c r="AI1" s="1"/>
      <c r="AJ1" s="1"/>
      <c r="AK1" s="1"/>
    </row>
    <row r="2" spans="1:37" ht="26.25" x14ac:dyDescent="0.4">
      <c r="A2" s="6" t="s">
        <v>1</v>
      </c>
      <c r="B2" s="27"/>
      <c r="C2" s="1"/>
      <c r="D2" s="1"/>
      <c r="E2" s="1"/>
      <c r="F2" s="1"/>
      <c r="G2" s="1"/>
      <c r="H2" s="1"/>
      <c r="I2" s="1"/>
      <c r="J2" s="1"/>
      <c r="K2" s="109" t="s">
        <v>101</v>
      </c>
      <c r="L2" s="110" t="s">
        <v>94</v>
      </c>
      <c r="M2" s="111" t="s">
        <v>95</v>
      </c>
      <c r="N2" s="110" t="s">
        <v>96</v>
      </c>
      <c r="O2" s="110" t="s">
        <v>97</v>
      </c>
      <c r="P2" s="1"/>
      <c r="Q2" s="1"/>
      <c r="R2" s="1"/>
      <c r="S2" s="1"/>
      <c r="T2" s="1"/>
      <c r="U2" s="1"/>
      <c r="V2" s="1"/>
      <c r="W2" s="1"/>
      <c r="X2" s="1"/>
      <c r="Y2" s="1"/>
      <c r="Z2" s="1"/>
      <c r="AA2" s="1"/>
      <c r="AB2" s="1"/>
      <c r="AC2" s="1"/>
      <c r="AD2" s="1"/>
      <c r="AE2" s="1"/>
      <c r="AF2" s="1"/>
      <c r="AG2" s="1"/>
      <c r="AH2" s="1"/>
      <c r="AI2" s="1"/>
      <c r="AJ2" s="1"/>
      <c r="AK2" s="1"/>
    </row>
    <row r="3" spans="1:37" ht="36" customHeight="1" x14ac:dyDescent="0.25">
      <c r="A3" s="91" t="s">
        <v>289</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20.25" customHeight="1" x14ac:dyDescent="0.35">
      <c r="A4" s="68" t="s">
        <v>82</v>
      </c>
      <c r="B4" s="13"/>
      <c r="C4" s="13" t="s">
        <v>12</v>
      </c>
      <c r="D4" s="13" t="s">
        <v>4</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8.75" x14ac:dyDescent="0.3">
      <c r="A5" s="17" t="s">
        <v>83</v>
      </c>
      <c r="B5" s="17"/>
      <c r="C5" s="17"/>
      <c r="D5" s="17"/>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x14ac:dyDescent="0.25">
      <c r="A6" s="18" t="s">
        <v>92</v>
      </c>
      <c r="B6" s="113"/>
      <c r="C6" s="85" t="s">
        <v>95</v>
      </c>
      <c r="D6" s="89" t="s">
        <v>316</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x14ac:dyDescent="0.25">
      <c r="A7" s="18" t="s">
        <v>90</v>
      </c>
      <c r="B7" s="113"/>
      <c r="C7" s="85" t="s">
        <v>97</v>
      </c>
      <c r="D7" s="88" t="s">
        <v>256</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x14ac:dyDescent="0.25">
      <c r="A8" s="18" t="s">
        <v>91</v>
      </c>
      <c r="B8" s="113"/>
      <c r="C8" s="85" t="s">
        <v>97</v>
      </c>
      <c r="D8" s="88" t="s">
        <v>318</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x14ac:dyDescent="0.25">
      <c r="A9" s="18" t="s">
        <v>257</v>
      </c>
      <c r="B9" s="114"/>
      <c r="C9" s="105">
        <v>2019</v>
      </c>
      <c r="D9" s="88" t="s">
        <v>317</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x14ac:dyDescent="0.25">
      <c r="A10" s="1"/>
      <c r="B10" s="1"/>
      <c r="C10" s="1"/>
      <c r="D10" s="88"/>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18.75" x14ac:dyDescent="0.3">
      <c r="A11" s="17" t="s">
        <v>84</v>
      </c>
      <c r="B11" s="1"/>
      <c r="C11" s="1"/>
      <c r="D11" s="88"/>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5">
      <c r="A12" s="18" t="s">
        <v>43</v>
      </c>
      <c r="B12" s="20"/>
      <c r="C12" s="20">
        <v>5000000</v>
      </c>
      <c r="D12" s="88" t="s">
        <v>98</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x14ac:dyDescent="0.25">
      <c r="A13" s="18" t="s">
        <v>258</v>
      </c>
      <c r="B13" s="21"/>
      <c r="C13" s="266">
        <v>10</v>
      </c>
      <c r="D13" s="88" t="s">
        <v>319</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x14ac:dyDescent="0.25">
      <c r="A14" s="18" t="s">
        <v>93</v>
      </c>
      <c r="B14" s="21"/>
      <c r="C14" s="266">
        <v>21</v>
      </c>
      <c r="D14" s="88" t="s">
        <v>99</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x14ac:dyDescent="0.25">
      <c r="A15" s="18" t="s">
        <v>259</v>
      </c>
      <c r="B15" s="19"/>
      <c r="C15" s="19">
        <v>4.4999999999999998E-2</v>
      </c>
      <c r="D15" s="88" t="s">
        <v>320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x14ac:dyDescent="0.25">
      <c r="A16" s="14" t="s">
        <v>13</v>
      </c>
      <c r="B16" s="26"/>
      <c r="C16" s="26">
        <v>0.15</v>
      </c>
      <c r="D16" s="88" t="s">
        <v>264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x14ac:dyDescent="0.25">
      <c r="A17" s="1"/>
      <c r="B17" s="1"/>
      <c r="C17" s="1"/>
      <c r="D17" s="88"/>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23.25" x14ac:dyDescent="0.35">
      <c r="A18" s="68" t="s">
        <v>85</v>
      </c>
      <c r="B18" s="1"/>
      <c r="C18" s="1"/>
      <c r="D18" s="88"/>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x14ac:dyDescent="0.25">
      <c r="A19" s="18" t="s">
        <v>72</v>
      </c>
      <c r="B19" s="103"/>
      <c r="C19" s="103">
        <v>45</v>
      </c>
      <c r="D19" s="37" t="s">
        <v>73</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x14ac:dyDescent="0.25">
      <c r="A20" s="18" t="s">
        <v>30</v>
      </c>
      <c r="B20" s="86"/>
      <c r="C20" s="86">
        <v>5.1299999999999998E-2</v>
      </c>
      <c r="D20" s="37" t="s">
        <v>42</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25">
      <c r="A21" s="14" t="s">
        <v>6</v>
      </c>
      <c r="B21" s="78"/>
      <c r="C21" s="78">
        <v>3.61E-2</v>
      </c>
      <c r="D21" s="37" t="s">
        <v>265</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x14ac:dyDescent="0.25">
      <c r="A22" s="14" t="s">
        <v>5</v>
      </c>
      <c r="B22" s="40"/>
      <c r="C22" s="40">
        <v>0.42</v>
      </c>
      <c r="D22" s="37" t="s">
        <v>53</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25">
      <c r="A23" s="18" t="s">
        <v>16</v>
      </c>
      <c r="B23" s="40"/>
      <c r="C23" s="40">
        <v>0.28000000000000003</v>
      </c>
      <c r="D23" s="37" t="s">
        <v>41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25">
      <c r="A24" s="1"/>
      <c r="B24" s="1"/>
      <c r="C24" s="1"/>
      <c r="D24" s="37"/>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8.75" x14ac:dyDescent="0.3">
      <c r="A25" s="17" t="s">
        <v>31</v>
      </c>
      <c r="B25" s="1"/>
      <c r="C25" s="1"/>
      <c r="D25" s="37"/>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25">
      <c r="A26" s="28" t="s">
        <v>58</v>
      </c>
      <c r="B26" s="39"/>
      <c r="C26" s="39">
        <v>2019</v>
      </c>
      <c r="D26" s="37" t="s">
        <v>252</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25">
      <c r="A27" s="18" t="s">
        <v>86</v>
      </c>
      <c r="B27" s="39"/>
      <c r="C27" s="39">
        <v>2026</v>
      </c>
      <c r="D27" s="37" t="s">
        <v>89</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25">
      <c r="A28" s="18" t="s">
        <v>87</v>
      </c>
      <c r="B28" s="39"/>
      <c r="C28" s="39">
        <v>2031</v>
      </c>
      <c r="D28" s="37" t="s">
        <v>61</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25">
      <c r="A29" s="18" t="s">
        <v>88</v>
      </c>
      <c r="B29" s="39"/>
      <c r="C29" s="39">
        <v>2036</v>
      </c>
      <c r="D29" s="37" t="s">
        <v>62</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27"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27" customHeight="1" x14ac:dyDescent="0.4">
      <c r="A31" s="8" t="s">
        <v>2</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36.75" customHeight="1" x14ac:dyDescent="0.25">
      <c r="A32" s="91" t="s">
        <v>321</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26.25" customHeight="1" x14ac:dyDescent="0.25">
      <c r="B33" s="1"/>
      <c r="D33" s="13" t="s">
        <v>322</v>
      </c>
      <c r="E33" s="13"/>
      <c r="F33" s="13"/>
      <c r="G33" s="13"/>
      <c r="H33" s="13"/>
      <c r="I33" s="13"/>
      <c r="J33" s="13"/>
      <c r="K33" s="13"/>
      <c r="L33" s="13"/>
      <c r="M33" s="13"/>
      <c r="N33" s="13"/>
      <c r="O33" s="13"/>
      <c r="P33" s="13"/>
      <c r="Q33" s="13"/>
      <c r="R33" s="13"/>
      <c r="S33" s="13"/>
      <c r="T33" s="13"/>
      <c r="U33" s="13"/>
      <c r="W33" s="13" t="s">
        <v>299</v>
      </c>
      <c r="X33" s="360" t="s">
        <v>310</v>
      </c>
      <c r="Y33" s="360"/>
      <c r="Z33" s="360"/>
      <c r="AA33" s="360"/>
      <c r="AB33" s="360"/>
      <c r="AC33" s="360"/>
      <c r="AD33" s="360"/>
      <c r="AE33" s="360"/>
      <c r="AF33" s="360"/>
      <c r="AG33" s="360"/>
      <c r="AH33" s="360"/>
    </row>
    <row r="34" spans="1:37" x14ac:dyDescent="0.25">
      <c r="A34" s="1"/>
      <c r="B34" s="1"/>
      <c r="C34" s="1"/>
      <c r="D34" s="94" t="s">
        <v>15</v>
      </c>
      <c r="E34" s="43"/>
      <c r="F34" s="13" t="s">
        <v>56</v>
      </c>
      <c r="G34" s="13"/>
      <c r="H34" s="13"/>
      <c r="I34" s="13"/>
      <c r="J34" s="43"/>
      <c r="K34" s="13" t="s">
        <v>57</v>
      </c>
      <c r="L34" s="13"/>
      <c r="M34" s="13"/>
      <c r="N34" s="13"/>
      <c r="O34" s="43"/>
      <c r="P34" s="93" t="s">
        <v>59</v>
      </c>
      <c r="Q34" s="93"/>
      <c r="R34" s="93"/>
      <c r="S34" s="93"/>
      <c r="T34" s="43"/>
      <c r="U34" s="93" t="s">
        <v>60</v>
      </c>
      <c r="V34" s="1"/>
      <c r="W34" s="1"/>
      <c r="X34" s="1"/>
      <c r="Y34" s="1"/>
      <c r="Z34" s="1"/>
      <c r="AA34" s="1"/>
      <c r="AB34" s="1"/>
      <c r="AC34" s="1"/>
      <c r="AD34" s="1"/>
      <c r="AE34" s="1"/>
      <c r="AF34" s="1"/>
      <c r="AG34" s="1"/>
      <c r="AH34" s="1"/>
      <c r="AI34" s="1"/>
      <c r="AJ34" s="1"/>
      <c r="AK34" s="1"/>
    </row>
    <row r="35" spans="1:37" x14ac:dyDescent="0.25">
      <c r="B35" s="1"/>
      <c r="C35" s="13" t="s">
        <v>12</v>
      </c>
      <c r="D35" s="15">
        <v>2019</v>
      </c>
      <c r="E35" s="44">
        <v>2020</v>
      </c>
      <c r="F35" s="15">
        <v>2021</v>
      </c>
      <c r="G35" s="15">
        <v>2022</v>
      </c>
      <c r="H35" s="15">
        <v>2023</v>
      </c>
      <c r="I35" s="15">
        <v>2024</v>
      </c>
      <c r="J35" s="44">
        <v>2025</v>
      </c>
      <c r="K35" s="15">
        <v>2026</v>
      </c>
      <c r="L35" s="15">
        <v>2027</v>
      </c>
      <c r="M35" s="15">
        <v>2028</v>
      </c>
      <c r="N35" s="15">
        <v>2029</v>
      </c>
      <c r="O35" s="44">
        <v>2030</v>
      </c>
      <c r="P35" s="15">
        <v>2031</v>
      </c>
      <c r="Q35" s="15">
        <v>2032</v>
      </c>
      <c r="R35" s="15">
        <v>2033</v>
      </c>
      <c r="S35" s="15">
        <v>2034</v>
      </c>
      <c r="T35" s="44">
        <v>2035</v>
      </c>
      <c r="U35" s="15">
        <v>2036</v>
      </c>
      <c r="V35" s="1"/>
      <c r="W35" s="37"/>
      <c r="X35" s="1"/>
      <c r="Y35" s="1"/>
    </row>
    <row r="36" spans="1:37" ht="23.25" x14ac:dyDescent="0.35">
      <c r="A36" s="67" t="s">
        <v>55</v>
      </c>
      <c r="B36" s="1"/>
      <c r="C36" s="13"/>
      <c r="D36" s="297"/>
      <c r="E36" s="45"/>
      <c r="F36" s="25"/>
      <c r="G36" s="25"/>
      <c r="H36" s="25"/>
      <c r="I36" s="25"/>
      <c r="J36" s="45"/>
      <c r="K36" s="25"/>
      <c r="L36" s="13"/>
      <c r="M36" s="13"/>
      <c r="N36" s="13"/>
      <c r="O36" s="101"/>
      <c r="P36" s="94"/>
      <c r="Q36" s="94"/>
      <c r="R36" s="94"/>
      <c r="S36" s="94"/>
      <c r="T36" s="101"/>
      <c r="U36" s="13"/>
      <c r="V36" s="1"/>
      <c r="W36" s="37"/>
      <c r="X36" s="1"/>
      <c r="Y36" s="1"/>
      <c r="Z36" s="1"/>
      <c r="AA36" s="1"/>
      <c r="AB36" s="1"/>
      <c r="AC36" s="1"/>
      <c r="AD36" s="1"/>
      <c r="AE36" s="1"/>
      <c r="AF36" s="1"/>
      <c r="AG36" s="1"/>
      <c r="AH36" s="1"/>
      <c r="AI36" s="1"/>
      <c r="AJ36" s="1"/>
      <c r="AK36" s="1"/>
    </row>
    <row r="37" spans="1:37" x14ac:dyDescent="0.25">
      <c r="A37" s="18" t="s">
        <v>253</v>
      </c>
      <c r="B37" s="22"/>
      <c r="C37" s="22"/>
      <c r="D37" s="23">
        <f>IF(OR(D35&lt;'Equivalence calculations'!$C$9,D$35-'Equivalence calculations'!$C$9&gt;='Equivalence calculations'!$C$13),0,'Equivalence calculations'!$C$12)</f>
        <v>5000000</v>
      </c>
      <c r="E37" s="46">
        <f>IF(OR(E35&lt;'Equivalence calculations'!$C$9,E$35-'Equivalence calculations'!$C$9&gt;='Equivalence calculations'!$C$13),0,'Equivalence calculations'!$C$12)</f>
        <v>5000000</v>
      </c>
      <c r="F37" s="23">
        <f>IF(OR(F35&lt;'Equivalence calculations'!$C$9,F$35-'Equivalence calculations'!$C$9&gt;='Equivalence calculations'!$C$13),0,'Equivalence calculations'!$C$12)</f>
        <v>5000000</v>
      </c>
      <c r="G37" s="23">
        <f>IF(OR(G35&lt;'Equivalence calculations'!$C$9,G$35-'Equivalence calculations'!$C$9&gt;='Equivalence calculations'!$C$13),0,'Equivalence calculations'!$C$12)</f>
        <v>5000000</v>
      </c>
      <c r="H37" s="23">
        <f>IF(OR(H35&lt;'Equivalence calculations'!$C$9,H$35-'Equivalence calculations'!$C$9&gt;='Equivalence calculations'!$C$13),0,'Equivalence calculations'!$C$12)</f>
        <v>5000000</v>
      </c>
      <c r="I37" s="23">
        <f>IF(OR(I35&lt;'Equivalence calculations'!$C$9,I$35-'Equivalence calculations'!$C$9&gt;='Equivalence calculations'!$C$13),0,'Equivalence calculations'!$C$12)</f>
        <v>5000000</v>
      </c>
      <c r="J37" s="46">
        <f>IF(OR(J35&lt;'Equivalence calculations'!$C$9,J$35-'Equivalence calculations'!$C$9&gt;='Equivalence calculations'!$C$13),0,'Equivalence calculations'!$C$12)</f>
        <v>5000000</v>
      </c>
      <c r="K37" s="23">
        <f>IF(OR(K35&lt;'Equivalence calculations'!$C$9,K$35-'Equivalence calculations'!$C$9&gt;='Equivalence calculations'!$C$13),0,'Equivalence calculations'!$C$12)</f>
        <v>5000000</v>
      </c>
      <c r="L37" s="23">
        <f>IF(OR(L35&lt;'Equivalence calculations'!$C$9,L$35-'Equivalence calculations'!$C$9&gt;='Equivalence calculations'!$C$13),0,'Equivalence calculations'!$C$12)</f>
        <v>5000000</v>
      </c>
      <c r="M37" s="23">
        <f>IF(OR(M35&lt;'Equivalence calculations'!$C$9,M$35-'Equivalence calculations'!$C$9&gt;='Equivalence calculations'!$C$13),0,'Equivalence calculations'!$C$12)</f>
        <v>5000000</v>
      </c>
      <c r="N37" s="23">
        <f>IF(OR(N35&lt;'Equivalence calculations'!$C$9,N$35-'Equivalence calculations'!$C$9&gt;='Equivalence calculations'!$C$13),0,'Equivalence calculations'!$C$12)</f>
        <v>0</v>
      </c>
      <c r="O37" s="46">
        <f>IF(OR(O35&lt;'Equivalence calculations'!$C$9,O$35-'Equivalence calculations'!$C$9&gt;='Equivalence calculations'!$C$13),0,'Equivalence calculations'!$C$12)</f>
        <v>0</v>
      </c>
      <c r="P37" s="23">
        <f>IF(OR(P35&lt;'Equivalence calculations'!$C$9,P$35-'Equivalence calculations'!$C$9&gt;='Equivalence calculations'!$C$13),0,'Equivalence calculations'!$C$12)</f>
        <v>0</v>
      </c>
      <c r="Q37" s="23">
        <f>IF(OR(Q35&lt;'Equivalence calculations'!$C$9,Q$35-'Equivalence calculations'!$C$9&gt;='Equivalence calculations'!$C$13),0,'Equivalence calculations'!$C$12)</f>
        <v>0</v>
      </c>
      <c r="R37" s="23">
        <f>IF(OR(R35&lt;'Equivalence calculations'!$C$9,R$35-'Equivalence calculations'!$C$9&gt;='Equivalence calculations'!$C$13),0,'Equivalence calculations'!$C$12)</f>
        <v>0</v>
      </c>
      <c r="S37" s="23">
        <f>IF(OR(S35&lt;'Equivalence calculations'!$C$9,S$35-'Equivalence calculations'!$C$9&gt;='Equivalence calculations'!$C$13),0,'Equivalence calculations'!$C$12)</f>
        <v>0</v>
      </c>
      <c r="T37" s="46">
        <f>IF(OR(T35&lt;'Equivalence calculations'!$C$9,T$35-'Equivalence calculations'!$C$9&gt;='Equivalence calculations'!$C$13),0,'Equivalence calculations'!$C$12)</f>
        <v>0</v>
      </c>
      <c r="U37" s="23">
        <f>IF(OR(U35&lt;'Equivalence calculations'!$C$9,U$35-'Equivalence calculations'!$C$9&gt;='Equivalence calculations'!$C$13),0,'Equivalence calculations'!$C$12)</f>
        <v>0</v>
      </c>
      <c r="V37" s="1"/>
      <c r="W37" s="37" t="s">
        <v>1</v>
      </c>
      <c r="X37" s="37" t="s">
        <v>255</v>
      </c>
      <c r="Y37" s="1"/>
      <c r="Z37" s="1"/>
      <c r="AA37" s="1"/>
      <c r="AB37" s="1"/>
      <c r="AC37" s="1"/>
      <c r="AD37" s="1"/>
      <c r="AE37" s="1"/>
      <c r="AF37" s="1"/>
      <c r="AG37" s="1"/>
      <c r="AH37" s="1"/>
      <c r="AI37" s="1"/>
      <c r="AJ37" s="1"/>
      <c r="AK37" s="1"/>
    </row>
    <row r="38" spans="1:37" x14ac:dyDescent="0.25">
      <c r="A38" s="18" t="s">
        <v>14</v>
      </c>
      <c r="B38" s="14"/>
      <c r="C38" s="14"/>
      <c r="D38" s="23">
        <f>D37/(1+$C$15)^(D$35-'Equivalence calculations'!$C$9+1)</f>
        <v>4784688.9952153116</v>
      </c>
      <c r="E38" s="46">
        <f>E37/(1+$C$15)^(E$35-'Equivalence calculations'!$C$9+1)</f>
        <v>4578649.7561869016</v>
      </c>
      <c r="F38" s="23">
        <f>F37/(1+$C$15)^(F$35-'Equivalence calculations'!$C$9+1)</f>
        <v>4381483.0202745469</v>
      </c>
      <c r="G38" s="23">
        <f>G37/(1+$C$15)^(G$35-'Equivalence calculations'!$C$9+1)</f>
        <v>4192806.7179660746</v>
      </c>
      <c r="H38" s="23">
        <f>H37/(1+$C$15)^(H$35-'Equivalence calculations'!$C$9+1)</f>
        <v>4012255.2325034207</v>
      </c>
      <c r="I38" s="23">
        <f>I37/(1+$C$15)^(I$35-'Equivalence calculations'!$C$9+1)</f>
        <v>3839478.6913908338</v>
      </c>
      <c r="J38" s="46">
        <f>J37/(1+$C$15)^(J$35-'Equivalence calculations'!$C$9+1)</f>
        <v>3674142.2884122808</v>
      </c>
      <c r="K38" s="23">
        <f>K37/(1+$C$15)^(K$35-'Equivalence calculations'!$C$9+1)</f>
        <v>3515925.6348442892</v>
      </c>
      <c r="L38" s="23">
        <f>L37/(1+$C$15)^(L$35-'Equivalence calculations'!$C$9+1)</f>
        <v>3364522.1386069753</v>
      </c>
      <c r="M38" s="23">
        <f>M37/(1+$C$15)^(M$35-'Equivalence calculations'!$C$9+1)</f>
        <v>3219638.4101502164</v>
      </c>
      <c r="N38" s="23">
        <f>N37/(1+$C$15)^(N$35-'Equivalence calculations'!$C$9+1)</f>
        <v>0</v>
      </c>
      <c r="O38" s="46">
        <f>O37/(1+$C$15)^(O$35-'Equivalence calculations'!$C$9+1)</f>
        <v>0</v>
      </c>
      <c r="P38" s="23">
        <f>P37/(1+$C$15)^(P$35-'Equivalence calculations'!$C$9+1)</f>
        <v>0</v>
      </c>
      <c r="Q38" s="23">
        <f>Q37/(1+$C$15)^(Q$35-'Equivalence calculations'!$C$9+1)</f>
        <v>0</v>
      </c>
      <c r="R38" s="23">
        <f>R37/(1+$C$15)^(R$35-'Equivalence calculations'!$C$9+1)</f>
        <v>0</v>
      </c>
      <c r="S38" s="23">
        <f>S37/(1+$C$15)^(S$35-'Equivalence calculations'!$C$9+1)</f>
        <v>0</v>
      </c>
      <c r="T38" s="46">
        <f>T37/(1+$C$15)^(T$35-'Equivalence calculations'!$C$9+1)</f>
        <v>0</v>
      </c>
      <c r="U38" s="23">
        <f>U37/(1+$C$15)^(U$35-'Equivalence calculations'!$C$9+1)</f>
        <v>0</v>
      </c>
      <c r="V38" s="1"/>
      <c r="W38" s="37" t="s">
        <v>37</v>
      </c>
      <c r="X38" s="37" t="s">
        <v>328</v>
      </c>
      <c r="Y38" s="1"/>
    </row>
    <row r="39" spans="1:37" x14ac:dyDescent="0.25">
      <c r="A39" s="18" t="s">
        <v>254</v>
      </c>
      <c r="B39" s="14"/>
      <c r="C39" s="14"/>
      <c r="D39" s="23">
        <f>IF(D35&lt;'Equivalence calculations'!$C$9,0,SUMIFS($D$38:$U$38,$D$35:$U$35,"&gt;="&amp;D$35,$D$35:$U$35,"&lt;"&amp;($C$9+$C$13)))</f>
        <v>39563590.885550849</v>
      </c>
      <c r="E39" s="46">
        <f>IF(E35&lt;'Equivalence calculations'!$C$9,0,SUMIFS($D$38:$U$38,$D$35:$U$35,"&gt;="&amp;E$35,$D$35:$U$35,"&lt;"&amp;($C$9+$C$13)))</f>
        <v>34778901.890335537</v>
      </c>
      <c r="F39" s="23">
        <f>IF(F35&lt;'Equivalence calculations'!$C$9,0,SUMIFS($D$38:$U$38,$D$35:$U$35,"&gt;="&amp;F$35,$D$35:$U$35,"&lt;"&amp;($C$9+$C$13)))</f>
        <v>30200252.134148639</v>
      </c>
      <c r="G39" s="23">
        <f>IF(G35&lt;'Equivalence calculations'!$C$9,0,SUMIFS($D$38:$U$38,$D$35:$U$35,"&gt;="&amp;G$35,$D$35:$U$35,"&lt;"&amp;($C$9+$C$13)))</f>
        <v>25818769.113874089</v>
      </c>
      <c r="H39" s="23">
        <f>IF(H35&lt;'Equivalence calculations'!$C$9,0,SUMIFS($D$38:$U$38,$D$35:$U$35,"&gt;="&amp;H$35,$D$35:$U$35,"&lt;"&amp;($C$9+$C$13)))</f>
        <v>21625962.395908017</v>
      </c>
      <c r="I39" s="23">
        <f>IF(I35&lt;'Equivalence calculations'!$C$9,0,SUMIFS($D$38:$U$38,$D$35:$U$35,"&gt;="&amp;I$35,$D$35:$U$35,"&lt;"&amp;($C$9+$C$13)))</f>
        <v>17613707.163404595</v>
      </c>
      <c r="J39" s="46">
        <f>IF(J35&lt;'Equivalence calculations'!$C$9,0,SUMIFS($D$38:$U$38,$D$35:$U$35,"&gt;="&amp;J$35,$D$35:$U$35,"&lt;"&amp;($C$9+$C$13)))</f>
        <v>13774228.472013762</v>
      </c>
      <c r="K39" s="23">
        <f>IF(K35&lt;'Equivalence calculations'!$C$9,0,SUMIFS($D$38:$U$38,$D$35:$U$35,"&gt;="&amp;K$35,$D$35:$U$35,"&lt;"&amp;($C$9+$C$13)))</f>
        <v>10100086.183601482</v>
      </c>
      <c r="L39" s="23">
        <f>IF(L35&lt;'Equivalence calculations'!$C$9,0,SUMIFS($D$38:$U$38,$D$35:$U$35,"&gt;="&amp;L$35,$D$35:$U$35,"&lt;"&amp;($C$9+$C$13)))</f>
        <v>6584160.5487571917</v>
      </c>
      <c r="M39" s="23">
        <f>IF(M35&lt;'Equivalence calculations'!$C$9,0,SUMIFS($D$38:$U$38,$D$35:$U$35,"&gt;="&amp;M$35,$D$35:$U$35,"&lt;"&amp;($C$9+$C$13)))</f>
        <v>3219638.4101502164</v>
      </c>
      <c r="N39" s="23">
        <f>IF(N35&lt;'Equivalence calculations'!$C$9,0,SUMIFS($D$38:$U$38,$D$35:$U$35,"&gt;="&amp;N$35,$D$35:$U$35,"&lt;"&amp;($C$9+$C$13)))</f>
        <v>0</v>
      </c>
      <c r="O39" s="46">
        <f>IF(O35&lt;'Equivalence calculations'!$C$9,0,SUMIFS($D$38:$U$38,$D$35:$U$35,"&gt;="&amp;O$35,$D$35:$U$35,"&lt;"&amp;($C$9+$C$13)))</f>
        <v>0</v>
      </c>
      <c r="P39" s="23">
        <f>IF(P35&lt;'Equivalence calculations'!$C$9,0,SUMIFS($D$38:$U$38,$D$35:$U$35,"&gt;="&amp;P$35,$D$35:$U$35,"&lt;"&amp;($C$9+$C$13)))</f>
        <v>0</v>
      </c>
      <c r="Q39" s="23">
        <f>IF(Q35&lt;'Equivalence calculations'!$C$9,0,SUMIFS($D$38:$U$38,$D$35:$U$35,"&gt;="&amp;Q$35,$D$35:$U$35,"&lt;"&amp;($C$9+$C$13)))</f>
        <v>0</v>
      </c>
      <c r="R39" s="23">
        <f>IF(R35&lt;'Equivalence calculations'!$C$9,0,SUMIFS($D$38:$U$38,$D$35:$U$35,"&gt;="&amp;R$35,$D$35:$U$35,"&lt;"&amp;($C$9+$C$13)))</f>
        <v>0</v>
      </c>
      <c r="S39" s="23">
        <f>IF(S35&lt;'Equivalence calculations'!$C$9,0,SUMIFS($D$38:$U$38,$D$35:$U$35,"&gt;="&amp;S$35,$D$35:$U$35,"&lt;"&amp;($C$9+$C$13)))</f>
        <v>0</v>
      </c>
      <c r="T39" s="46">
        <f>IF(T35&lt;'Equivalence calculations'!$C$9,0,SUMIFS($D$38:$U$38,$D$35:$U$35,"&gt;="&amp;T$35,$D$35:$U$35,"&lt;"&amp;($C$9+$C$13)))</f>
        <v>0</v>
      </c>
      <c r="U39" s="23">
        <f>IF(U35&lt;'Equivalence calculations'!$C$9,0,SUMIFS($D$38:$U$38,$D$35:$U$35,"&gt;="&amp;U$35,$D$35:$U$35,"&lt;"&amp;($C$9+$C$13)))</f>
        <v>0</v>
      </c>
      <c r="V39" s="1"/>
      <c r="W39" s="37" t="s">
        <v>37</v>
      </c>
      <c r="X39" s="37" t="s">
        <v>27</v>
      </c>
      <c r="Y39" s="1"/>
      <c r="Z39" s="1"/>
      <c r="AA39" s="1"/>
      <c r="AB39" s="1"/>
      <c r="AC39" s="1"/>
      <c r="AD39" s="1"/>
      <c r="AE39" s="1"/>
      <c r="AF39" s="1"/>
      <c r="AG39" s="1"/>
      <c r="AH39" s="1"/>
      <c r="AI39" s="1"/>
      <c r="AJ39" s="1"/>
      <c r="AK39" s="1"/>
    </row>
    <row r="40" spans="1:37" ht="32.25" customHeight="1" x14ac:dyDescent="0.25">
      <c r="A40" s="359" t="str">
        <f>CONCATENATE("Right of use asset value: NPV of operating lease as at 1 April ",C9-1," using cost of debt (as per IFRS 16)")</f>
        <v>Right of use asset value: NPV of operating lease as at 1 April 2018 using cost of debt (as per IFRS 16)</v>
      </c>
      <c r="B40" s="359"/>
      <c r="C40" s="16">
        <f>SUM($D$38:$U$38)</f>
        <v>39563590.885550849</v>
      </c>
      <c r="D40" s="2"/>
      <c r="E40" s="47"/>
      <c r="J40" s="47"/>
      <c r="N40" s="1"/>
      <c r="O40" s="47"/>
      <c r="P40" s="1"/>
      <c r="Q40" s="1"/>
      <c r="R40" s="1"/>
      <c r="S40" s="1"/>
      <c r="T40" s="47"/>
      <c r="U40" s="1"/>
      <c r="V40" s="1"/>
      <c r="W40" s="37" t="s">
        <v>37</v>
      </c>
      <c r="X40" s="267" t="str">
        <f>CONCATENATE("Value of right of use asset at date of capitalisation, assuming lease commences or transitions on 1 April ",$C$9-1)</f>
        <v>Value of right of use asset at date of capitalisation, assuming lease commences or transitions on 1 April 2018</v>
      </c>
      <c r="Y40" s="1"/>
    </row>
    <row r="41" spans="1:37" x14ac:dyDescent="0.25">
      <c r="A41" s="1"/>
      <c r="B41" s="1"/>
      <c r="C41" s="272"/>
      <c r="D41" s="298"/>
      <c r="E41" s="47"/>
      <c r="F41" s="271"/>
      <c r="G41" s="271"/>
      <c r="H41" s="271"/>
      <c r="I41" s="271"/>
      <c r="J41" s="47"/>
      <c r="K41" s="271"/>
      <c r="L41" s="271"/>
      <c r="M41" s="271"/>
      <c r="N41" s="1"/>
      <c r="O41" s="47"/>
      <c r="P41" s="1"/>
      <c r="Q41" s="1"/>
      <c r="R41" s="1"/>
      <c r="S41" s="1"/>
      <c r="T41" s="47"/>
      <c r="U41" s="1"/>
      <c r="V41" s="1"/>
      <c r="W41" s="37"/>
      <c r="X41" s="267"/>
      <c r="Y41" s="1"/>
      <c r="Z41" s="1"/>
      <c r="AA41" s="1"/>
      <c r="AB41" s="1"/>
      <c r="AC41" s="1"/>
      <c r="AD41" s="1"/>
      <c r="AE41" s="1"/>
      <c r="AF41" s="1"/>
      <c r="AG41" s="1"/>
      <c r="AH41" s="1"/>
      <c r="AI41" s="1"/>
      <c r="AJ41" s="1"/>
      <c r="AK41" s="1"/>
    </row>
    <row r="42" spans="1:37" x14ac:dyDescent="0.25">
      <c r="A42" s="18" t="s">
        <v>300</v>
      </c>
      <c r="B42" s="16"/>
      <c r="C42" s="16">
        <f>NPV($C$20,$F$37:$U$37)</f>
        <v>32146917.528188027</v>
      </c>
      <c r="D42" s="2"/>
      <c r="E42" s="47"/>
      <c r="F42" s="1"/>
      <c r="G42" s="1"/>
      <c r="H42" s="1"/>
      <c r="I42" s="1"/>
      <c r="J42" s="47"/>
      <c r="K42" s="1"/>
      <c r="L42" s="1"/>
      <c r="M42" s="1"/>
      <c r="N42" s="1"/>
      <c r="O42" s="47"/>
      <c r="P42" s="1"/>
      <c r="Q42" s="1"/>
      <c r="R42" s="1"/>
      <c r="S42" s="1"/>
      <c r="T42" s="47"/>
      <c r="U42" s="1"/>
      <c r="V42" s="1"/>
      <c r="W42" s="37"/>
      <c r="X42" s="38" t="s">
        <v>312</v>
      </c>
      <c r="Y42" s="1"/>
      <c r="Z42" s="1"/>
      <c r="AA42" s="1"/>
      <c r="AB42" s="1"/>
      <c r="AC42" s="1"/>
      <c r="AD42" s="1"/>
      <c r="AE42" s="1"/>
      <c r="AF42" s="1"/>
      <c r="AG42" s="1"/>
      <c r="AH42" s="1"/>
      <c r="AI42" s="1"/>
      <c r="AJ42" s="1"/>
      <c r="AK42" s="1"/>
    </row>
    <row r="43" spans="1:37" x14ac:dyDescent="0.25">
      <c r="A43" s="1"/>
      <c r="B43" s="1"/>
      <c r="C43" s="1"/>
      <c r="D43" s="2"/>
      <c r="E43" s="47"/>
      <c r="F43" s="1"/>
      <c r="G43" s="1"/>
      <c r="H43" s="1"/>
      <c r="I43" s="1"/>
      <c r="J43" s="47"/>
      <c r="K43" s="1"/>
      <c r="L43" s="1"/>
      <c r="M43" s="1"/>
      <c r="N43" s="1"/>
      <c r="O43" s="47"/>
      <c r="P43" s="1"/>
      <c r="Q43" s="1"/>
      <c r="R43" s="1"/>
      <c r="S43" s="1"/>
      <c r="T43" s="47"/>
      <c r="U43" s="1"/>
      <c r="V43" s="1"/>
      <c r="W43" s="37"/>
      <c r="X43" s="1"/>
      <c r="Y43" s="1"/>
      <c r="Z43" s="1"/>
      <c r="AA43" s="1"/>
      <c r="AB43" s="1"/>
      <c r="AC43" s="1"/>
      <c r="AD43" s="1"/>
      <c r="AE43" s="1"/>
      <c r="AF43" s="1"/>
      <c r="AG43" s="1"/>
      <c r="AH43" s="1"/>
      <c r="AI43" s="1"/>
      <c r="AJ43" s="1"/>
      <c r="AK43" s="1"/>
    </row>
    <row r="44" spans="1:37" ht="23.25" x14ac:dyDescent="0.35">
      <c r="A44" s="68" t="s">
        <v>100</v>
      </c>
      <c r="B44" s="1"/>
      <c r="C44" s="1"/>
      <c r="D44" s="2"/>
      <c r="E44" s="47"/>
      <c r="F44" s="1"/>
      <c r="G44" s="1"/>
      <c r="H44" s="1"/>
      <c r="I44" s="1"/>
      <c r="J44" s="47"/>
      <c r="K44" s="1"/>
      <c r="L44" s="1"/>
      <c r="M44" s="1"/>
      <c r="N44" s="1"/>
      <c r="O44" s="47"/>
      <c r="P44" s="1"/>
      <c r="Q44" s="1"/>
      <c r="R44" s="1"/>
      <c r="S44" s="1"/>
      <c r="T44" s="47"/>
      <c r="U44" s="1"/>
      <c r="V44" s="1"/>
      <c r="W44" s="37"/>
      <c r="X44" s="1"/>
      <c r="Y44" s="1"/>
      <c r="Z44" s="1"/>
      <c r="AA44" s="1"/>
      <c r="AB44" s="1"/>
      <c r="AC44" s="1"/>
      <c r="AD44" s="1"/>
      <c r="AE44" s="1"/>
      <c r="AF44" s="1"/>
      <c r="AG44" s="1"/>
      <c r="AH44" s="1"/>
      <c r="AI44" s="1"/>
      <c r="AJ44" s="1"/>
      <c r="AK44" s="1"/>
    </row>
    <row r="45" spans="1:37" ht="18.75" x14ac:dyDescent="0.3">
      <c r="A45" s="17" t="s">
        <v>28</v>
      </c>
      <c r="B45" s="1"/>
      <c r="C45" s="1"/>
      <c r="D45" s="2"/>
      <c r="E45" s="47"/>
      <c r="F45" s="1"/>
      <c r="G45" s="1"/>
      <c r="H45" s="1"/>
      <c r="I45" s="1"/>
      <c r="J45" s="47"/>
      <c r="K45" s="1"/>
      <c r="L45" s="1"/>
      <c r="M45" s="1"/>
      <c r="N45" s="1"/>
      <c r="O45" s="47"/>
      <c r="P45" s="1"/>
      <c r="Q45" s="1"/>
      <c r="R45" s="1"/>
      <c r="S45" s="1"/>
      <c r="T45" s="47"/>
      <c r="U45" s="1"/>
      <c r="V45" s="1"/>
      <c r="W45" s="37"/>
      <c r="X45" s="1"/>
      <c r="Y45" s="1"/>
      <c r="Z45" s="1"/>
      <c r="AA45" s="1"/>
      <c r="AB45" s="1"/>
      <c r="AC45" s="1"/>
      <c r="AD45" s="1"/>
      <c r="AE45" s="1"/>
      <c r="AF45" s="1"/>
      <c r="AG45" s="1"/>
      <c r="AH45" s="1"/>
      <c r="AI45" s="1"/>
      <c r="AJ45" s="1"/>
      <c r="AK45" s="1"/>
    </row>
    <row r="46" spans="1:37" x14ac:dyDescent="0.25">
      <c r="A46" s="18" t="s">
        <v>270</v>
      </c>
      <c r="B46" s="24"/>
      <c r="C46" s="24"/>
      <c r="D46" s="23">
        <f>MAX(IF(D$35='Equivalence calculations'!$C$9,'Equivalence calculations'!$C$13,C46-1),0)</f>
        <v>10</v>
      </c>
      <c r="E46" s="46">
        <f>MAX(IF(E$35='Equivalence calculations'!$C$9,'Equivalence calculations'!$C$13,D46-1),0)</f>
        <v>9</v>
      </c>
      <c r="F46" s="23">
        <f>MAX(IF(F$35='Equivalence calculations'!$C$9,'Equivalence calculations'!$C$13,E46-1),0)</f>
        <v>8</v>
      </c>
      <c r="G46" s="23">
        <f>MAX(IF(G$35='Equivalence calculations'!$C$9,'Equivalence calculations'!$C$13,F46-1),0)</f>
        <v>7</v>
      </c>
      <c r="H46" s="23">
        <f>MAX(IF(H$35='Equivalence calculations'!$C$9,'Equivalence calculations'!$C$13,G46-1),0)</f>
        <v>6</v>
      </c>
      <c r="I46" s="23">
        <f>MAX(IF(I$35='Equivalence calculations'!$C$9,'Equivalence calculations'!$C$13,H46-1),0)</f>
        <v>5</v>
      </c>
      <c r="J46" s="46">
        <f>MAX(IF(J$35='Equivalence calculations'!$C$9,'Equivalence calculations'!$C$13,I46-1),0)</f>
        <v>4</v>
      </c>
      <c r="K46" s="23">
        <f>MAX(IF(K$35='Equivalence calculations'!$C$9,'Equivalence calculations'!$C$13,J46-1),0)</f>
        <v>3</v>
      </c>
      <c r="L46" s="23">
        <f>MAX(IF(L$35='Equivalence calculations'!$C$9,'Equivalence calculations'!$C$13,K46-1),0)</f>
        <v>2</v>
      </c>
      <c r="M46" s="23">
        <f>MAX(IF(M$35='Equivalence calculations'!$C$9,'Equivalence calculations'!$C$13,L46-1),0)</f>
        <v>1</v>
      </c>
      <c r="N46" s="23">
        <f>MAX(IF(N$35='Equivalence calculations'!$C$9,'Equivalence calculations'!$C$13,M46-1),0)</f>
        <v>0</v>
      </c>
      <c r="O46" s="46">
        <f>MAX(IF(O$35='Equivalence calculations'!$C$9,'Equivalence calculations'!$C$13,N46-1),0)</f>
        <v>0</v>
      </c>
      <c r="P46" s="23">
        <f>MAX(IF(P$35='Equivalence calculations'!$C$9,'Equivalence calculations'!$C$13,O46-1),0)</f>
        <v>0</v>
      </c>
      <c r="Q46" s="23">
        <f>MAX(IF(Q$35='Equivalence calculations'!$C$9,'Equivalence calculations'!$C$13,P46-1),0)</f>
        <v>0</v>
      </c>
      <c r="R46" s="23">
        <f>MAX(IF(R$35='Equivalence calculations'!$C$9,'Equivalence calculations'!$C$13,Q46-1),0)</f>
        <v>0</v>
      </c>
      <c r="S46" s="23">
        <f>MAX(IF(S$35='Equivalence calculations'!$C$9,'Equivalence calculations'!$C$13,R46-1),0)</f>
        <v>0</v>
      </c>
      <c r="T46" s="46">
        <f>MAX(IF(T$35='Equivalence calculations'!$C$9,'Equivalence calculations'!$C$13,S46-1),0)</f>
        <v>0</v>
      </c>
      <c r="U46" s="23">
        <f>MAX(IF(U$35='Equivalence calculations'!$C$9,'Equivalence calculations'!$C$13,T46-1),0)</f>
        <v>0</v>
      </c>
      <c r="V46" s="1"/>
      <c r="W46" s="37" t="s">
        <v>40</v>
      </c>
      <c r="X46" s="38" t="s">
        <v>329</v>
      </c>
      <c r="Y46" s="1"/>
      <c r="Z46" s="1"/>
      <c r="AA46" s="1"/>
      <c r="AB46" s="1"/>
      <c r="AC46" s="1"/>
      <c r="AD46" s="1"/>
      <c r="AE46" s="1"/>
      <c r="AF46" s="1"/>
      <c r="AG46" s="1"/>
      <c r="AH46" s="1"/>
      <c r="AI46" s="1"/>
      <c r="AJ46" s="1"/>
      <c r="AK46" s="1"/>
    </row>
    <row r="47" spans="1:37" x14ac:dyDescent="0.25">
      <c r="A47" s="18" t="s">
        <v>267</v>
      </c>
      <c r="B47" s="14"/>
      <c r="C47" s="14"/>
      <c r="D47" s="23">
        <f>IF(D$35='Equivalence calculations'!$C$9,'Equivalence calculations'!$C$40,C49)</f>
        <v>39563590.885550849</v>
      </c>
      <c r="E47" s="46">
        <f>IF(E$35='Equivalence calculations'!$C$9,'Equivalence calculations'!$C$40,D49)</f>
        <v>35607231.796995766</v>
      </c>
      <c r="F47" s="23">
        <f>IF(F$35='Equivalence calculations'!$C$9,'Equivalence calculations'!$C$40,E49)</f>
        <v>31650872.70844068</v>
      </c>
      <c r="G47" s="23">
        <f>IF(G$35='Equivalence calculations'!$C$9,'Equivalence calculations'!$C$40,F49)</f>
        <v>27694513.619885594</v>
      </c>
      <c r="H47" s="23">
        <f>IF(H$35='Equivalence calculations'!$C$9,'Equivalence calculations'!$C$40,G49)</f>
        <v>23738154.531330507</v>
      </c>
      <c r="I47" s="23">
        <f>IF(I$35='Equivalence calculations'!$C$9,'Equivalence calculations'!$C$40,H49)</f>
        <v>19781795.442775421</v>
      </c>
      <c r="J47" s="46">
        <f>IF(J$35='Equivalence calculations'!$C$9,'Equivalence calculations'!$C$40,I49)</f>
        <v>15825436.354220336</v>
      </c>
      <c r="K47" s="23">
        <f>IF(K$35='Equivalence calculations'!$C$9,'Equivalence calculations'!$C$40,J49)</f>
        <v>11869077.265665252</v>
      </c>
      <c r="L47" s="23">
        <f>IF(L$35='Equivalence calculations'!$C$9,'Equivalence calculations'!$C$40,K49)</f>
        <v>7912718.1771101672</v>
      </c>
      <c r="M47" s="23">
        <f>IF(M$35='Equivalence calculations'!$C$9,'Equivalence calculations'!$C$40,L49)</f>
        <v>3956359.0885550836</v>
      </c>
      <c r="N47" s="23">
        <f>IF(N$35='Equivalence calculations'!$C$9,'Equivalence calculations'!$C$40,M49)</f>
        <v>0</v>
      </c>
      <c r="O47" s="46">
        <f>IF(O$35='Equivalence calculations'!$C$9,'Equivalence calculations'!$C$40,N49)</f>
        <v>0</v>
      </c>
      <c r="P47" s="23">
        <f>IF(P$35='Equivalence calculations'!$C$9,'Equivalence calculations'!$C$40,O49)</f>
        <v>0</v>
      </c>
      <c r="Q47" s="23">
        <f>IF(Q$35='Equivalence calculations'!$C$9,'Equivalence calculations'!$C$40,P49)</f>
        <v>0</v>
      </c>
      <c r="R47" s="23">
        <f>IF(R$35='Equivalence calculations'!$C$9,'Equivalence calculations'!$C$40,Q49)</f>
        <v>0</v>
      </c>
      <c r="S47" s="23">
        <f>IF(S$35='Equivalence calculations'!$C$9,'Equivalence calculations'!$C$40,R49)</f>
        <v>0</v>
      </c>
      <c r="T47" s="46">
        <f>IF(T$35='Equivalence calculations'!$C$9,'Equivalence calculations'!$C$40,S49)</f>
        <v>0</v>
      </c>
      <c r="U47" s="23">
        <f>IF(U$35='Equivalence calculations'!$C$9,'Equivalence calculations'!$C$40,T49)</f>
        <v>0</v>
      </c>
      <c r="V47" s="1"/>
      <c r="W47" s="37" t="s">
        <v>40</v>
      </c>
      <c r="X47" s="38" t="s">
        <v>32</v>
      </c>
      <c r="Y47" s="1"/>
      <c r="Z47" s="1"/>
      <c r="AA47" s="1"/>
      <c r="AB47" s="1"/>
      <c r="AC47" s="1"/>
      <c r="AD47" s="1"/>
      <c r="AE47" s="1"/>
      <c r="AF47" s="1"/>
      <c r="AG47" s="1"/>
      <c r="AH47" s="1"/>
      <c r="AI47" s="1"/>
      <c r="AJ47" s="1"/>
      <c r="AK47" s="1"/>
    </row>
    <row r="48" spans="1:37" x14ac:dyDescent="0.25">
      <c r="A48" s="18" t="s">
        <v>266</v>
      </c>
      <c r="B48" s="14"/>
      <c r="C48" s="14"/>
      <c r="D48" s="23">
        <f>IF(D$35&lt;'Equivalence calculations'!$C$9,0,IFERROR(D47/D46,0))</f>
        <v>3956359.088555085</v>
      </c>
      <c r="E48" s="46">
        <f>IF(E$35&lt;'Equivalence calculations'!$C$9,0,IFERROR(E47/E46,0))</f>
        <v>3956359.088555085</v>
      </c>
      <c r="F48" s="23">
        <f>IF(F$35&lt;'Equivalence calculations'!$C$9,0,IFERROR(F47/F46,0))</f>
        <v>3956359.088555085</v>
      </c>
      <c r="G48" s="23">
        <f>IF(G$35&lt;'Equivalence calculations'!$C$9,0,IFERROR(G47/G46,0))</f>
        <v>3956359.088555085</v>
      </c>
      <c r="H48" s="23">
        <f>IF(H$35&lt;'Equivalence calculations'!$C$9,0,IFERROR(H47/H46,0))</f>
        <v>3956359.0885550845</v>
      </c>
      <c r="I48" s="23">
        <f>IF(I$35&lt;'Equivalence calculations'!$C$9,0,IFERROR(I47/I46,0))</f>
        <v>3956359.0885550841</v>
      </c>
      <c r="J48" s="46">
        <f>IF(J$35&lt;'Equivalence calculations'!$C$9,0,IFERROR(J47/J46,0))</f>
        <v>3956359.0885550841</v>
      </c>
      <c r="K48" s="23">
        <f>IF(K$35&lt;'Equivalence calculations'!$C$9,0,IFERROR(K47/K46,0))</f>
        <v>3956359.0885550841</v>
      </c>
      <c r="L48" s="23">
        <f>IF(L$35&lt;'Equivalence calculations'!$C$9,0,IFERROR(L47/L46,0))</f>
        <v>3956359.0885550836</v>
      </c>
      <c r="M48" s="23">
        <f>IF(M$35&lt;'Equivalence calculations'!$C$9,0,IFERROR(M47/M46,0))</f>
        <v>3956359.0885550836</v>
      </c>
      <c r="N48" s="23">
        <f>IF(N$35&lt;'Equivalence calculations'!$C$9,0,IFERROR(N47/N46,0))</f>
        <v>0</v>
      </c>
      <c r="O48" s="46">
        <f>IF(O$35&lt;'Equivalence calculations'!$C$9,0,IFERROR(O47/O46,0))</f>
        <v>0</v>
      </c>
      <c r="P48" s="23">
        <f>IF(P$35&lt;'Equivalence calculations'!$C$9,0,IFERROR(P47/P46,0))</f>
        <v>0</v>
      </c>
      <c r="Q48" s="23">
        <f>IF(Q$35&lt;'Equivalence calculations'!$C$9,0,IFERROR(Q47/Q46,0))</f>
        <v>0</v>
      </c>
      <c r="R48" s="23">
        <f>IF(R$35&lt;'Equivalence calculations'!$C$9,0,IFERROR(R47/R46,0))</f>
        <v>0</v>
      </c>
      <c r="S48" s="23">
        <f>IF(S$35&lt;'Equivalence calculations'!$C$9,0,IFERROR(S47/S46,0))</f>
        <v>0</v>
      </c>
      <c r="T48" s="46">
        <f>IF(T$35&lt;'Equivalence calculations'!$C$9,0,IFERROR(T47/T46,0))</f>
        <v>0</v>
      </c>
      <c r="U48" s="23">
        <f>IF(U$35&lt;'Equivalence calculations'!$C$9,0,IFERROR(U47/U46,0))</f>
        <v>0</v>
      </c>
      <c r="V48" s="1"/>
      <c r="W48" s="37" t="s">
        <v>40</v>
      </c>
      <c r="X48" s="38" t="s">
        <v>32</v>
      </c>
      <c r="Y48" s="1"/>
      <c r="Z48" s="1"/>
      <c r="AA48" s="1"/>
      <c r="AB48" s="1"/>
      <c r="AC48" s="1"/>
      <c r="AD48" s="1"/>
      <c r="AE48" s="1"/>
      <c r="AF48" s="1"/>
      <c r="AG48" s="1"/>
      <c r="AH48" s="1"/>
      <c r="AI48" s="1"/>
      <c r="AJ48" s="1"/>
      <c r="AK48" s="1"/>
    </row>
    <row r="49" spans="1:37" x14ac:dyDescent="0.25">
      <c r="A49" s="18" t="s">
        <v>268</v>
      </c>
      <c r="B49" s="14"/>
      <c r="C49" s="14"/>
      <c r="D49" s="23">
        <f t="shared" ref="D49:N49" si="0">D47-D48</f>
        <v>35607231.796995766</v>
      </c>
      <c r="E49" s="46">
        <f t="shared" si="0"/>
        <v>31650872.70844068</v>
      </c>
      <c r="F49" s="16">
        <f t="shared" si="0"/>
        <v>27694513.619885594</v>
      </c>
      <c r="G49" s="16">
        <f t="shared" si="0"/>
        <v>23738154.531330507</v>
      </c>
      <c r="H49" s="16">
        <f t="shared" si="0"/>
        <v>19781795.442775421</v>
      </c>
      <c r="I49" s="16">
        <f t="shared" si="0"/>
        <v>15825436.354220336</v>
      </c>
      <c r="J49" s="98">
        <f t="shared" si="0"/>
        <v>11869077.265665252</v>
      </c>
      <c r="K49" s="16">
        <f t="shared" si="0"/>
        <v>7912718.1771101672</v>
      </c>
      <c r="L49" s="16">
        <f t="shared" si="0"/>
        <v>3956359.0885550836</v>
      </c>
      <c r="M49" s="16">
        <f t="shared" si="0"/>
        <v>0</v>
      </c>
      <c r="N49" s="23">
        <f t="shared" si="0"/>
        <v>0</v>
      </c>
      <c r="O49" s="46">
        <f t="shared" ref="O49:U49" si="1">O47-O48</f>
        <v>0</v>
      </c>
      <c r="P49" s="23">
        <f t="shared" si="1"/>
        <v>0</v>
      </c>
      <c r="Q49" s="23">
        <f t="shared" si="1"/>
        <v>0</v>
      </c>
      <c r="R49" s="23">
        <f t="shared" si="1"/>
        <v>0</v>
      </c>
      <c r="S49" s="23">
        <f t="shared" si="1"/>
        <v>0</v>
      </c>
      <c r="T49" s="46">
        <f t="shared" si="1"/>
        <v>0</v>
      </c>
      <c r="U49" s="23">
        <f t="shared" si="1"/>
        <v>0</v>
      </c>
      <c r="V49" s="1"/>
      <c r="W49" s="37" t="s">
        <v>40</v>
      </c>
      <c r="X49" s="38" t="s">
        <v>32</v>
      </c>
      <c r="Y49" s="1"/>
      <c r="Z49" s="1"/>
      <c r="AA49" s="1"/>
      <c r="AB49" s="1"/>
      <c r="AC49" s="1"/>
      <c r="AD49" s="1"/>
      <c r="AE49" s="1"/>
      <c r="AF49" s="1"/>
      <c r="AG49" s="1"/>
      <c r="AH49" s="1"/>
      <c r="AI49" s="1"/>
      <c r="AJ49" s="1"/>
      <c r="AK49" s="1"/>
    </row>
    <row r="50" spans="1:37" x14ac:dyDescent="0.25">
      <c r="A50" s="1"/>
      <c r="B50" s="1"/>
      <c r="C50" s="1"/>
      <c r="D50" s="2"/>
      <c r="E50" s="47"/>
      <c r="F50" s="1"/>
      <c r="G50" s="1"/>
      <c r="H50" s="1"/>
      <c r="I50" s="1"/>
      <c r="J50" s="47"/>
      <c r="K50" s="1"/>
      <c r="L50" s="1"/>
      <c r="M50" s="1"/>
      <c r="N50" s="1"/>
      <c r="O50" s="47"/>
      <c r="P50" s="1"/>
      <c r="Q50" s="1"/>
      <c r="R50" s="1"/>
      <c r="S50" s="1"/>
      <c r="T50" s="47"/>
      <c r="U50" s="1"/>
      <c r="V50" s="1"/>
      <c r="W50" s="37"/>
      <c r="X50" s="1"/>
      <c r="Y50" s="1"/>
      <c r="Z50" s="1"/>
      <c r="AA50" s="1"/>
      <c r="AB50" s="1"/>
      <c r="AC50" s="1"/>
      <c r="AD50" s="1"/>
      <c r="AE50" s="1"/>
      <c r="AF50" s="1"/>
      <c r="AG50" s="1"/>
      <c r="AH50" s="1"/>
      <c r="AI50" s="1"/>
      <c r="AJ50" s="1"/>
      <c r="AK50" s="1"/>
    </row>
    <row r="51" spans="1:37" ht="23.25" x14ac:dyDescent="0.35">
      <c r="A51" s="68" t="s">
        <v>260</v>
      </c>
      <c r="B51" s="1"/>
      <c r="C51" s="1"/>
      <c r="D51" s="2"/>
      <c r="E51" s="47"/>
      <c r="F51" s="1"/>
      <c r="G51" s="1"/>
      <c r="H51" s="1"/>
      <c r="I51" s="1"/>
      <c r="J51" s="47"/>
      <c r="K51" s="1"/>
      <c r="L51" s="1"/>
      <c r="M51" s="1"/>
      <c r="N51" s="1"/>
      <c r="O51" s="47"/>
      <c r="P51" s="1"/>
      <c r="Q51" s="1"/>
      <c r="R51" s="1"/>
      <c r="S51" s="1"/>
      <c r="T51" s="47"/>
      <c r="U51" s="1"/>
      <c r="V51" s="1"/>
      <c r="W51" s="37"/>
      <c r="X51" s="1"/>
      <c r="Y51" s="1"/>
      <c r="Z51" s="1"/>
      <c r="AA51" s="1"/>
      <c r="AB51" s="1"/>
      <c r="AC51" s="1"/>
      <c r="AD51" s="1"/>
      <c r="AE51" s="1"/>
      <c r="AF51" s="1"/>
      <c r="AG51" s="1"/>
      <c r="AH51" s="1"/>
      <c r="AI51" s="1"/>
      <c r="AJ51" s="1"/>
      <c r="AK51" s="1"/>
    </row>
    <row r="52" spans="1:37" ht="18.75" x14ac:dyDescent="0.3">
      <c r="A52" s="17" t="s">
        <v>75</v>
      </c>
      <c r="B52" s="1"/>
      <c r="C52" s="1"/>
      <c r="D52" s="2"/>
      <c r="E52" s="47"/>
      <c r="F52" s="1"/>
      <c r="G52" s="1"/>
      <c r="H52" s="1"/>
      <c r="I52" s="1"/>
      <c r="J52" s="47"/>
      <c r="K52" s="1"/>
      <c r="L52" s="1"/>
      <c r="M52" s="1"/>
      <c r="N52" s="1"/>
      <c r="O52" s="47"/>
      <c r="P52" s="1"/>
      <c r="Q52" s="1"/>
      <c r="R52" s="1"/>
      <c r="S52" s="1"/>
      <c r="T52" s="47"/>
      <c r="U52" s="1"/>
      <c r="V52" s="1"/>
      <c r="W52" s="37"/>
      <c r="X52" s="1"/>
      <c r="Y52" s="1"/>
      <c r="Z52" s="1"/>
      <c r="AA52" s="1"/>
      <c r="AB52" s="1"/>
      <c r="AC52" s="1"/>
      <c r="AD52" s="1"/>
      <c r="AE52" s="1"/>
      <c r="AF52" s="1"/>
      <c r="AG52" s="1"/>
      <c r="AH52" s="1"/>
      <c r="AI52" s="1"/>
      <c r="AJ52" s="1"/>
      <c r="AK52" s="1"/>
    </row>
    <row r="53" spans="1:37" x14ac:dyDescent="0.25">
      <c r="A53" s="32" t="s">
        <v>301</v>
      </c>
      <c r="B53" s="32"/>
      <c r="C53" s="32"/>
      <c r="D53" s="273" t="str">
        <f t="shared" ref="D53:U53" si="2">IF(OR(D35&lt;$C$9,D35&gt;$C$9+$C$13-1),"n/a", IF(ISNUMBER(MATCH(D35,$C$26:$C$29,0)),"Disclosure",IF(D35=$C$9,"Forecast value","Calc")))</f>
        <v>Disclosure</v>
      </c>
      <c r="E53" s="299" t="str">
        <f t="shared" si="2"/>
        <v>Calc</v>
      </c>
      <c r="F53" s="51" t="str">
        <f t="shared" si="2"/>
        <v>Calc</v>
      </c>
      <c r="G53" s="51" t="str">
        <f t="shared" si="2"/>
        <v>Calc</v>
      </c>
      <c r="H53" s="51" t="str">
        <f t="shared" si="2"/>
        <v>Calc</v>
      </c>
      <c r="I53" s="51" t="str">
        <f t="shared" si="2"/>
        <v>Calc</v>
      </c>
      <c r="J53" s="306" t="str">
        <f t="shared" si="2"/>
        <v>Calc</v>
      </c>
      <c r="K53" s="51" t="str">
        <f>IF(OR(K35&lt;$C$9,K35&gt;$C$9+$C$13-1),"n/a", IF(ISNUMBER(MATCH(K35,$C$26:$C$29,0)),"Disclosures",IF(K35=$C$9,"Forecast value","Calc")))</f>
        <v>Disclosures</v>
      </c>
      <c r="L53" s="51" t="str">
        <f t="shared" si="2"/>
        <v>Calc</v>
      </c>
      <c r="M53" s="51" t="str">
        <f t="shared" si="2"/>
        <v>Calc</v>
      </c>
      <c r="N53" s="51" t="str">
        <f t="shared" si="2"/>
        <v>n/a</v>
      </c>
      <c r="O53" s="306" t="str">
        <f t="shared" si="2"/>
        <v>n/a</v>
      </c>
      <c r="P53" s="51" t="str">
        <f t="shared" si="2"/>
        <v>n/a</v>
      </c>
      <c r="Q53" s="51" t="str">
        <f t="shared" si="2"/>
        <v>n/a</v>
      </c>
      <c r="R53" s="51" t="str">
        <f t="shared" si="2"/>
        <v>n/a</v>
      </c>
      <c r="S53" s="51" t="str">
        <f t="shared" si="2"/>
        <v>n/a</v>
      </c>
      <c r="T53" s="306" t="str">
        <f t="shared" si="2"/>
        <v>n/a</v>
      </c>
      <c r="U53" s="51" t="str">
        <f t="shared" si="2"/>
        <v>n/a</v>
      </c>
      <c r="V53" s="106"/>
      <c r="W53" s="89"/>
      <c r="X53" s="107"/>
      <c r="Y53" s="106"/>
      <c r="Z53" s="106"/>
      <c r="AA53" s="106"/>
      <c r="AB53" s="106"/>
      <c r="AC53" s="106"/>
      <c r="AD53" s="106"/>
      <c r="AE53" s="106"/>
      <c r="AF53" s="106"/>
      <c r="AG53" s="106"/>
      <c r="AH53" s="106"/>
      <c r="AI53" s="106"/>
      <c r="AJ53" s="106"/>
      <c r="AK53" s="106"/>
    </row>
    <row r="54" spans="1:37" x14ac:dyDescent="0.25">
      <c r="A54" s="104" t="s">
        <v>74</v>
      </c>
      <c r="B54" s="16"/>
      <c r="C54" s="16">
        <f>IF(ISERROR(MATCH($C$9,$C$26:$C$29,0)),$C$19,IF($C$6=$L$2,$C$14,$C$13))</f>
        <v>10</v>
      </c>
      <c r="D54" s="2"/>
      <c r="E54" s="47"/>
      <c r="F54" s="1"/>
      <c r="G54" s="1"/>
      <c r="H54" s="1"/>
      <c r="I54" s="1"/>
      <c r="J54" s="47"/>
      <c r="K54" s="1"/>
      <c r="L54" s="1"/>
      <c r="M54" s="1"/>
      <c r="N54" s="1"/>
      <c r="O54" s="47"/>
      <c r="P54" s="1"/>
      <c r="Q54" s="1"/>
      <c r="R54" s="1"/>
      <c r="S54" s="1"/>
      <c r="T54" s="47"/>
      <c r="U54" s="1"/>
      <c r="V54" s="1"/>
      <c r="W54" s="37"/>
      <c r="X54" s="1"/>
      <c r="Y54" s="1"/>
      <c r="Z54" s="1"/>
      <c r="AA54" s="1"/>
      <c r="AB54" s="1"/>
      <c r="AC54" s="1"/>
      <c r="AD54" s="1"/>
      <c r="AE54" s="1"/>
      <c r="AF54" s="1"/>
      <c r="AG54" s="1"/>
      <c r="AH54" s="1"/>
      <c r="AI54" s="1"/>
      <c r="AJ54" s="1"/>
      <c r="AK54" s="1"/>
    </row>
    <row r="55" spans="1:37" x14ac:dyDescent="0.25">
      <c r="A55" s="18" t="str">
        <f>CONCATENATE("RAB Life based on: ",IF($C$9&lt;&gt;$C$26,$A$19,$C$6))</f>
        <v>RAB Life based on: Life specified in ID disclosures   ||  Amended IMs</v>
      </c>
      <c r="B55" s="14"/>
      <c r="C55" s="14"/>
      <c r="D55" s="274">
        <f t="shared" ref="D55:U55" si="3">IF(OR(D35&lt;$C$9,D35&gt;$C$9+$C$13),0,IF(D35=$C$9,$C$54,IF(ISNUMBER(MATCH(D35,$C$26:$C$29,0)),D46,C55-1)))</f>
        <v>10</v>
      </c>
      <c r="E55" s="275">
        <f t="shared" si="3"/>
        <v>9</v>
      </c>
      <c r="F55" s="42">
        <f t="shared" si="3"/>
        <v>8</v>
      </c>
      <c r="G55" s="42">
        <f t="shared" si="3"/>
        <v>7</v>
      </c>
      <c r="H55" s="42">
        <f t="shared" si="3"/>
        <v>6</v>
      </c>
      <c r="I55" s="42">
        <f t="shared" si="3"/>
        <v>5</v>
      </c>
      <c r="J55" s="99">
        <f t="shared" si="3"/>
        <v>4</v>
      </c>
      <c r="K55" s="42">
        <f t="shared" si="3"/>
        <v>3</v>
      </c>
      <c r="L55" s="42">
        <f t="shared" si="3"/>
        <v>2</v>
      </c>
      <c r="M55" s="42">
        <f t="shared" si="3"/>
        <v>1</v>
      </c>
      <c r="N55" s="42">
        <f t="shared" si="3"/>
        <v>0</v>
      </c>
      <c r="O55" s="99">
        <f t="shared" si="3"/>
        <v>0</v>
      </c>
      <c r="P55" s="42">
        <f t="shared" si="3"/>
        <v>0</v>
      </c>
      <c r="Q55" s="42">
        <f t="shared" si="3"/>
        <v>0</v>
      </c>
      <c r="R55" s="42">
        <f t="shared" si="3"/>
        <v>0</v>
      </c>
      <c r="S55" s="42">
        <f t="shared" si="3"/>
        <v>0</v>
      </c>
      <c r="T55" s="99">
        <f t="shared" si="3"/>
        <v>0</v>
      </c>
      <c r="U55" s="42">
        <f t="shared" si="3"/>
        <v>0</v>
      </c>
      <c r="V55" s="1"/>
      <c r="W55" s="37" t="s">
        <v>44</v>
      </c>
      <c r="X55" s="38" t="s">
        <v>45</v>
      </c>
      <c r="Y55" s="1"/>
      <c r="Z55" s="1"/>
      <c r="AA55" s="1"/>
      <c r="AB55" s="1"/>
      <c r="AC55" s="1"/>
      <c r="AD55" s="1"/>
      <c r="AE55" s="1"/>
      <c r="AF55" s="1"/>
      <c r="AG55" s="1"/>
      <c r="AH55" s="1"/>
      <c r="AI55" s="1"/>
      <c r="AJ55" s="1"/>
      <c r="AK55" s="1"/>
    </row>
    <row r="56" spans="1:37" x14ac:dyDescent="0.25">
      <c r="A56" s="18" t="s">
        <v>297</v>
      </c>
      <c r="B56" s="14"/>
      <c r="C56" s="14"/>
      <c r="D56" s="274">
        <f t="shared" ref="D56:U56" si="4">IF(D35&lt;$C$9,0, IF(ISNUMBER(MATCH(D35,$C$26:$C$29,0)),D47,IF(D35=$C$9,D47,C58)))</f>
        <v>39563590.885550849</v>
      </c>
      <c r="E56" s="275">
        <f t="shared" si="4"/>
        <v>39563590.885550849</v>
      </c>
      <c r="F56" s="42">
        <f t="shared" si="4"/>
        <v>35167636.342711866</v>
      </c>
      <c r="G56" s="42">
        <f t="shared" si="4"/>
        <v>30771681.799872883</v>
      </c>
      <c r="H56" s="42">
        <f t="shared" si="4"/>
        <v>26375727.257033899</v>
      </c>
      <c r="I56" s="42">
        <f t="shared" si="4"/>
        <v>21979772.714194916</v>
      </c>
      <c r="J56" s="99">
        <f t="shared" si="4"/>
        <v>17583818.171355933</v>
      </c>
      <c r="K56" s="42">
        <f t="shared" si="4"/>
        <v>11869077.265665252</v>
      </c>
      <c r="L56" s="42">
        <f t="shared" si="4"/>
        <v>7912718.1771101672</v>
      </c>
      <c r="M56" s="42">
        <f t="shared" si="4"/>
        <v>3956359.0885550836</v>
      </c>
      <c r="N56" s="42">
        <f t="shared" si="4"/>
        <v>0</v>
      </c>
      <c r="O56" s="99">
        <f t="shared" si="4"/>
        <v>0</v>
      </c>
      <c r="P56" s="42">
        <f t="shared" si="4"/>
        <v>0</v>
      </c>
      <c r="Q56" s="42">
        <f t="shared" si="4"/>
        <v>0</v>
      </c>
      <c r="R56" s="42">
        <f t="shared" si="4"/>
        <v>0</v>
      </c>
      <c r="S56" s="42">
        <f t="shared" si="4"/>
        <v>0</v>
      </c>
      <c r="T56" s="99">
        <f t="shared" si="4"/>
        <v>0</v>
      </c>
      <c r="U56" s="42">
        <f t="shared" si="4"/>
        <v>0</v>
      </c>
      <c r="V56" s="1"/>
      <c r="W56" s="37" t="s">
        <v>69</v>
      </c>
      <c r="X56" s="38" t="s">
        <v>46</v>
      </c>
      <c r="Y56" s="1"/>
      <c r="Z56" s="1"/>
      <c r="AA56" s="1"/>
      <c r="AB56" s="1"/>
      <c r="AC56" s="1"/>
      <c r="AD56" s="1"/>
      <c r="AE56" s="1"/>
      <c r="AF56" s="1"/>
      <c r="AG56" s="1"/>
      <c r="AH56" s="1"/>
      <c r="AI56" s="1"/>
      <c r="AJ56" s="1"/>
      <c r="AK56" s="1"/>
    </row>
    <row r="57" spans="1:37" x14ac:dyDescent="0.25">
      <c r="A57" s="18" t="s">
        <v>266</v>
      </c>
      <c r="B57" s="14"/>
      <c r="C57" s="14"/>
      <c r="D57" s="274">
        <f t="shared" ref="D57:U57" si="5">IF(D35=$C$9,0,IF(D56&gt;0,IFERROR(D56/D55,0),0))</f>
        <v>0</v>
      </c>
      <c r="E57" s="275">
        <f t="shared" si="5"/>
        <v>4395954.5428389832</v>
      </c>
      <c r="F57" s="42">
        <f t="shared" si="5"/>
        <v>4395954.5428389832</v>
      </c>
      <c r="G57" s="42">
        <f t="shared" si="5"/>
        <v>4395954.5428389832</v>
      </c>
      <c r="H57" s="42">
        <f t="shared" si="5"/>
        <v>4395954.5428389832</v>
      </c>
      <c r="I57" s="42">
        <f t="shared" si="5"/>
        <v>4395954.5428389832</v>
      </c>
      <c r="J57" s="99">
        <f t="shared" si="5"/>
        <v>4395954.5428389832</v>
      </c>
      <c r="K57" s="42">
        <f t="shared" si="5"/>
        <v>3956359.0885550841</v>
      </c>
      <c r="L57" s="42">
        <f t="shared" si="5"/>
        <v>3956359.0885550836</v>
      </c>
      <c r="M57" s="42">
        <f t="shared" si="5"/>
        <v>3956359.0885550836</v>
      </c>
      <c r="N57" s="42">
        <f t="shared" si="5"/>
        <v>0</v>
      </c>
      <c r="O57" s="99">
        <f t="shared" si="5"/>
        <v>0</v>
      </c>
      <c r="P57" s="42">
        <f t="shared" si="5"/>
        <v>0</v>
      </c>
      <c r="Q57" s="42">
        <f t="shared" si="5"/>
        <v>0</v>
      </c>
      <c r="R57" s="42">
        <f t="shared" si="5"/>
        <v>0</v>
      </c>
      <c r="S57" s="42">
        <f t="shared" si="5"/>
        <v>0</v>
      </c>
      <c r="T57" s="99">
        <f t="shared" si="5"/>
        <v>0</v>
      </c>
      <c r="U57" s="42">
        <f t="shared" si="5"/>
        <v>0</v>
      </c>
      <c r="V57" s="1"/>
      <c r="W57" s="37" t="s">
        <v>295</v>
      </c>
      <c r="X57" s="38" t="s">
        <v>330</v>
      </c>
      <c r="Y57" s="1"/>
    </row>
    <row r="58" spans="1:37" x14ac:dyDescent="0.25">
      <c r="A58" s="18" t="s">
        <v>63</v>
      </c>
      <c r="B58" s="14"/>
      <c r="C58" s="14"/>
      <c r="D58" s="274">
        <f t="shared" ref="D58:U58" si="6">D56-D57</f>
        <v>39563590.885550849</v>
      </c>
      <c r="E58" s="276">
        <f t="shared" si="6"/>
        <v>35167636.342711866</v>
      </c>
      <c r="F58" s="84">
        <f t="shared" si="6"/>
        <v>30771681.799872883</v>
      </c>
      <c r="G58" s="84">
        <f t="shared" si="6"/>
        <v>26375727.257033899</v>
      </c>
      <c r="H58" s="84">
        <f t="shared" si="6"/>
        <v>21979772.714194916</v>
      </c>
      <c r="I58" s="84">
        <f t="shared" si="6"/>
        <v>17583818.171355933</v>
      </c>
      <c r="J58" s="100">
        <f t="shared" si="6"/>
        <v>13187863.62851695</v>
      </c>
      <c r="K58" s="84">
        <f t="shared" si="6"/>
        <v>7912718.1771101672</v>
      </c>
      <c r="L58" s="84">
        <f t="shared" si="6"/>
        <v>3956359.0885550836</v>
      </c>
      <c r="M58" s="42">
        <f t="shared" si="6"/>
        <v>0</v>
      </c>
      <c r="N58" s="42">
        <f t="shared" si="6"/>
        <v>0</v>
      </c>
      <c r="O58" s="99">
        <f t="shared" si="6"/>
        <v>0</v>
      </c>
      <c r="P58" s="42">
        <f t="shared" si="6"/>
        <v>0</v>
      </c>
      <c r="Q58" s="42">
        <f t="shared" si="6"/>
        <v>0</v>
      </c>
      <c r="R58" s="42">
        <f t="shared" si="6"/>
        <v>0</v>
      </c>
      <c r="S58" s="42">
        <f t="shared" si="6"/>
        <v>0</v>
      </c>
      <c r="T58" s="99">
        <f t="shared" si="6"/>
        <v>0</v>
      </c>
      <c r="U58" s="42">
        <f t="shared" si="6"/>
        <v>0</v>
      </c>
      <c r="V58" s="1"/>
      <c r="W58" s="37" t="s">
        <v>64</v>
      </c>
      <c r="X58" s="38" t="s">
        <v>47</v>
      </c>
      <c r="Y58" s="1"/>
    </row>
    <row r="59" spans="1:37" x14ac:dyDescent="0.25">
      <c r="A59" s="18" t="s">
        <v>269</v>
      </c>
      <c r="B59" s="16"/>
      <c r="C59" s="16">
        <f>SUM(D57:U57)</f>
        <v>38244804.522699147</v>
      </c>
      <c r="D59" s="41"/>
      <c r="E59" s="48"/>
      <c r="F59" s="41"/>
      <c r="G59" s="41"/>
      <c r="H59" s="41"/>
      <c r="I59" s="41"/>
      <c r="J59" s="48"/>
      <c r="K59" s="41"/>
      <c r="L59" s="41"/>
      <c r="M59" s="41"/>
      <c r="N59" s="41"/>
      <c r="O59" s="48"/>
      <c r="P59" s="41"/>
      <c r="Q59" s="41"/>
      <c r="R59" s="41"/>
      <c r="S59" s="41"/>
      <c r="T59" s="48"/>
      <c r="U59" s="41"/>
      <c r="V59" s="1"/>
      <c r="W59" s="37"/>
      <c r="X59" s="38" t="s">
        <v>48</v>
      </c>
      <c r="Y59" s="1"/>
      <c r="Z59" s="1"/>
      <c r="AA59" s="1"/>
      <c r="AB59" s="1"/>
      <c r="AC59" s="1"/>
      <c r="AD59" s="1"/>
      <c r="AE59" s="1"/>
      <c r="AF59" s="1"/>
      <c r="AG59" s="1"/>
      <c r="AH59" s="1"/>
      <c r="AI59" s="1"/>
      <c r="AJ59" s="1"/>
      <c r="AK59" s="1"/>
    </row>
    <row r="60" spans="1:37" x14ac:dyDescent="0.25">
      <c r="A60" s="18" t="s">
        <v>263</v>
      </c>
      <c r="B60" s="16"/>
      <c r="C60" s="16">
        <f>C40-C59</f>
        <v>1318786.3628517017</v>
      </c>
      <c r="D60" s="41"/>
      <c r="E60" s="48"/>
      <c r="F60" s="41"/>
      <c r="G60" s="41"/>
      <c r="H60" s="41"/>
      <c r="I60" s="41"/>
      <c r="J60" s="48"/>
      <c r="K60" s="41"/>
      <c r="L60" s="41"/>
      <c r="M60" s="41"/>
      <c r="N60" s="41"/>
      <c r="O60" s="48"/>
      <c r="P60" s="41"/>
      <c r="Q60" s="41"/>
      <c r="R60" s="41"/>
      <c r="S60" s="41"/>
      <c r="T60" s="48"/>
      <c r="U60" s="41"/>
      <c r="V60" s="1"/>
      <c r="W60" s="37"/>
      <c r="X60" s="38" t="s">
        <v>49</v>
      </c>
      <c r="Y60" s="1"/>
      <c r="Z60" s="1"/>
      <c r="AA60" s="1"/>
      <c r="AB60" s="1"/>
      <c r="AC60" s="1"/>
      <c r="AD60" s="1"/>
      <c r="AE60" s="1"/>
      <c r="AF60" s="1"/>
      <c r="AG60" s="1"/>
      <c r="AH60" s="1"/>
      <c r="AI60" s="1"/>
      <c r="AJ60" s="1"/>
      <c r="AK60" s="1"/>
    </row>
    <row r="61" spans="1:37" ht="22.5" customHeight="1" x14ac:dyDescent="0.25">
      <c r="A61" s="30"/>
      <c r="B61" s="30"/>
      <c r="C61" s="30"/>
      <c r="D61" s="30"/>
      <c r="E61" s="30"/>
      <c r="F61" s="30"/>
      <c r="G61" s="30"/>
      <c r="H61" s="30"/>
      <c r="I61" s="30"/>
      <c r="J61" s="49"/>
      <c r="K61" s="30"/>
      <c r="L61" s="30"/>
      <c r="M61" s="30"/>
      <c r="N61" s="30"/>
      <c r="O61" s="49"/>
      <c r="P61" s="30"/>
      <c r="Q61" s="30"/>
      <c r="R61" s="30"/>
      <c r="S61" s="30"/>
      <c r="T61" s="49"/>
      <c r="U61" s="30"/>
      <c r="V61" s="1"/>
      <c r="W61" s="37"/>
      <c r="X61" s="1"/>
      <c r="Y61" s="1"/>
      <c r="Z61" s="1"/>
      <c r="AA61" s="1"/>
      <c r="AB61" s="1"/>
      <c r="AC61" s="1"/>
      <c r="AD61" s="1"/>
      <c r="AE61" s="1"/>
      <c r="AF61" s="1"/>
      <c r="AG61" s="1"/>
      <c r="AH61" s="1"/>
      <c r="AI61" s="1"/>
      <c r="AJ61" s="1"/>
      <c r="AK61" s="1"/>
    </row>
    <row r="62" spans="1:37" x14ac:dyDescent="0.25">
      <c r="A62" s="18" t="s">
        <v>323</v>
      </c>
      <c r="B62" s="14"/>
      <c r="C62" s="14"/>
      <c r="D62" s="314">
        <f t="shared" ref="D62:E62" si="7">D57-D37</f>
        <v>-5000000</v>
      </c>
      <c r="E62" s="275">
        <f t="shared" si="7"/>
        <v>-604045.45716101676</v>
      </c>
      <c r="F62" s="16">
        <f t="shared" ref="F62:U62" si="8">F57-F37</f>
        <v>-604045.45716101676</v>
      </c>
      <c r="G62" s="16">
        <f t="shared" si="8"/>
        <v>-604045.45716101676</v>
      </c>
      <c r="H62" s="16">
        <f t="shared" si="8"/>
        <v>-604045.45716101676</v>
      </c>
      <c r="I62" s="16">
        <f t="shared" si="8"/>
        <v>-604045.45716101676</v>
      </c>
      <c r="J62" s="98">
        <f t="shared" si="8"/>
        <v>-604045.45716101676</v>
      </c>
      <c r="K62" s="16">
        <f t="shared" si="8"/>
        <v>-1043640.9114449159</v>
      </c>
      <c r="L62" s="16">
        <f t="shared" si="8"/>
        <v>-1043640.9114449164</v>
      </c>
      <c r="M62" s="16">
        <f t="shared" si="8"/>
        <v>-1043640.9114449164</v>
      </c>
      <c r="N62" s="16">
        <f t="shared" si="8"/>
        <v>0</v>
      </c>
      <c r="O62" s="98">
        <f t="shared" si="8"/>
        <v>0</v>
      </c>
      <c r="P62" s="16">
        <f t="shared" si="8"/>
        <v>0</v>
      </c>
      <c r="Q62" s="16">
        <f t="shared" si="8"/>
        <v>0</v>
      </c>
      <c r="R62" s="16">
        <f t="shared" si="8"/>
        <v>0</v>
      </c>
      <c r="S62" s="16">
        <f t="shared" si="8"/>
        <v>0</v>
      </c>
      <c r="T62" s="98">
        <f t="shared" si="8"/>
        <v>0</v>
      </c>
      <c r="U62" s="16">
        <f t="shared" si="8"/>
        <v>0</v>
      </c>
      <c r="V62" s="1"/>
      <c r="W62" s="37" t="s">
        <v>38</v>
      </c>
      <c r="X62" s="37" t="s">
        <v>331</v>
      </c>
      <c r="Y62" s="1"/>
      <c r="Z62" s="1"/>
      <c r="AA62" s="1"/>
      <c r="AB62" s="1"/>
      <c r="AC62" s="1"/>
      <c r="AD62" s="1"/>
      <c r="AE62" s="1"/>
      <c r="AF62" s="1"/>
      <c r="AG62" s="1"/>
      <c r="AH62" s="1"/>
      <c r="AI62" s="1"/>
      <c r="AJ62" s="1"/>
      <c r="AK62" s="1"/>
    </row>
    <row r="63" spans="1:37" x14ac:dyDescent="0.25">
      <c r="A63" s="37"/>
      <c r="B63" s="37"/>
      <c r="C63" s="37"/>
      <c r="D63" s="300"/>
      <c r="E63" s="95"/>
      <c r="F63" s="37"/>
      <c r="G63" s="37"/>
      <c r="H63" s="37"/>
      <c r="I63" s="37"/>
      <c r="J63" s="95"/>
      <c r="K63" s="37"/>
      <c r="L63" s="37"/>
      <c r="M63" s="37"/>
      <c r="N63" s="37"/>
      <c r="O63" s="95"/>
      <c r="P63" s="37"/>
      <c r="Q63" s="37"/>
      <c r="R63" s="37"/>
      <c r="S63" s="37"/>
      <c r="T63" s="95"/>
      <c r="U63" s="37"/>
      <c r="V63" s="37"/>
      <c r="W63" s="37"/>
      <c r="X63" s="37"/>
      <c r="Y63" s="1"/>
      <c r="Z63" s="1"/>
      <c r="AA63" s="1"/>
      <c r="AB63" s="1"/>
      <c r="AC63" s="1"/>
      <c r="AD63" s="1"/>
      <c r="AE63" s="1"/>
      <c r="AF63" s="1"/>
      <c r="AG63" s="1"/>
      <c r="AH63" s="1"/>
      <c r="AI63" s="1"/>
      <c r="AJ63" s="1"/>
      <c r="AK63" s="1"/>
    </row>
    <row r="64" spans="1:37" ht="11.25" customHeight="1" x14ac:dyDescent="0.25">
      <c r="A64" s="268" t="s">
        <v>273</v>
      </c>
      <c r="B64" s="37" t="s">
        <v>271</v>
      </c>
      <c r="C64" s="37"/>
      <c r="D64" s="300"/>
      <c r="E64" s="95"/>
      <c r="F64" s="37"/>
      <c r="G64" s="37"/>
      <c r="H64" s="37"/>
      <c r="I64" s="37"/>
      <c r="J64" s="95"/>
      <c r="K64" s="37"/>
      <c r="L64" s="37"/>
      <c r="M64" s="37"/>
      <c r="N64" s="37"/>
      <c r="O64" s="95"/>
      <c r="P64" s="37"/>
      <c r="Q64" s="37"/>
      <c r="R64" s="37"/>
      <c r="S64" s="37"/>
      <c r="T64" s="95"/>
      <c r="U64" s="37"/>
      <c r="V64" s="37"/>
      <c r="W64" s="37"/>
      <c r="X64" s="37"/>
      <c r="Y64" s="1"/>
      <c r="Z64" s="1"/>
      <c r="AA64" s="1"/>
      <c r="AB64" s="1"/>
      <c r="AC64" s="1"/>
      <c r="AD64" s="1"/>
      <c r="AE64" s="1"/>
      <c r="AF64" s="1"/>
      <c r="AG64" s="1"/>
      <c r="AH64" s="1"/>
      <c r="AI64" s="1"/>
      <c r="AJ64" s="1"/>
      <c r="AK64" s="1"/>
    </row>
    <row r="65" spans="1:37" ht="11.25" customHeight="1" x14ac:dyDescent="0.25">
      <c r="A65" s="268" t="s">
        <v>274</v>
      </c>
      <c r="B65" s="37" t="s">
        <v>272</v>
      </c>
      <c r="C65" s="37"/>
      <c r="D65" s="300"/>
      <c r="E65" s="95"/>
      <c r="F65" s="37"/>
      <c r="G65" s="37"/>
      <c r="H65" s="37"/>
      <c r="I65" s="37"/>
      <c r="J65" s="95"/>
      <c r="K65" s="37"/>
      <c r="L65" s="37"/>
      <c r="M65" s="37"/>
      <c r="N65" s="37"/>
      <c r="O65" s="95"/>
      <c r="P65" s="37"/>
      <c r="Q65" s="37"/>
      <c r="R65" s="37"/>
      <c r="S65" s="37"/>
      <c r="T65" s="95"/>
      <c r="U65" s="37"/>
      <c r="V65" s="37"/>
      <c r="W65" s="37"/>
      <c r="X65" s="37"/>
      <c r="Y65" s="1"/>
      <c r="Z65" s="1"/>
      <c r="AA65" s="1"/>
      <c r="AB65" s="1"/>
      <c r="AC65" s="1"/>
      <c r="AD65" s="1"/>
      <c r="AE65" s="1"/>
      <c r="AF65" s="1"/>
      <c r="AG65" s="1"/>
      <c r="AH65" s="1"/>
      <c r="AI65" s="1"/>
      <c r="AJ65" s="1"/>
      <c r="AK65" s="1"/>
    </row>
    <row r="66" spans="1:37" ht="11.25" customHeight="1" x14ac:dyDescent="0.25">
      <c r="A66" s="268" t="s">
        <v>275</v>
      </c>
      <c r="B66" s="37" t="s">
        <v>327</v>
      </c>
      <c r="C66" s="37"/>
      <c r="D66" s="300"/>
      <c r="E66" s="95"/>
      <c r="F66" s="37"/>
      <c r="G66" s="37"/>
      <c r="H66" s="37"/>
      <c r="I66" s="37"/>
      <c r="J66" s="95"/>
      <c r="K66" s="37"/>
      <c r="L66" s="37"/>
      <c r="M66" s="37"/>
      <c r="N66" s="37"/>
      <c r="O66" s="95"/>
      <c r="P66" s="37"/>
      <c r="Q66" s="37"/>
      <c r="R66" s="37"/>
      <c r="S66" s="37"/>
      <c r="T66" s="95"/>
      <c r="U66" s="37"/>
      <c r="V66" s="37"/>
      <c r="W66" s="37"/>
      <c r="X66" s="37"/>
      <c r="Y66" s="1"/>
      <c r="Z66" s="1"/>
      <c r="AA66" s="1"/>
      <c r="AB66" s="1"/>
      <c r="AC66" s="1"/>
      <c r="AD66" s="1"/>
      <c r="AE66" s="1"/>
      <c r="AF66" s="1"/>
      <c r="AG66" s="1"/>
      <c r="AH66" s="1"/>
      <c r="AI66" s="1"/>
      <c r="AJ66" s="1"/>
      <c r="AK66" s="1"/>
    </row>
    <row r="67" spans="1:37" ht="11.25" customHeight="1" x14ac:dyDescent="0.25">
      <c r="A67" s="269" t="s">
        <v>276</v>
      </c>
      <c r="B67" s="37" t="s">
        <v>288</v>
      </c>
      <c r="C67" s="1"/>
      <c r="D67" s="2"/>
      <c r="E67" s="47"/>
      <c r="F67" s="1"/>
      <c r="G67" s="1"/>
      <c r="H67" s="1"/>
      <c r="I67" s="1"/>
      <c r="J67" s="47"/>
      <c r="K67" s="1"/>
      <c r="L67" s="1"/>
      <c r="M67" s="1"/>
      <c r="N67" s="1"/>
      <c r="O67" s="47"/>
      <c r="P67" s="1"/>
      <c r="Q67" s="1"/>
      <c r="R67" s="1"/>
      <c r="S67" s="1"/>
      <c r="T67" s="47"/>
      <c r="U67" s="1"/>
      <c r="V67" s="1"/>
      <c r="W67" s="37"/>
      <c r="X67" s="1"/>
      <c r="Y67" s="1"/>
      <c r="Z67" s="1"/>
      <c r="AA67" s="1"/>
      <c r="AB67" s="1"/>
      <c r="AC67" s="1"/>
      <c r="AD67" s="1"/>
      <c r="AE67" s="1"/>
      <c r="AF67" s="1"/>
      <c r="AG67" s="1"/>
      <c r="AH67" s="1"/>
      <c r="AI67" s="1"/>
      <c r="AJ67" s="1"/>
      <c r="AK67" s="1"/>
    </row>
    <row r="68" spans="1:37" x14ac:dyDescent="0.25">
      <c r="A68" s="1"/>
      <c r="B68" s="1"/>
      <c r="C68" s="1"/>
      <c r="D68" s="2"/>
      <c r="E68" s="47"/>
      <c r="F68" s="1"/>
      <c r="G68" s="1"/>
      <c r="H68" s="1"/>
      <c r="I68" s="1"/>
      <c r="J68" s="47"/>
      <c r="K68" s="1"/>
      <c r="L68" s="1"/>
      <c r="M68" s="1"/>
      <c r="N68" s="1"/>
      <c r="O68" s="47"/>
      <c r="P68" s="1"/>
      <c r="Q68" s="1"/>
      <c r="R68" s="1"/>
      <c r="S68" s="1"/>
      <c r="T68" s="47"/>
      <c r="U68" s="1"/>
      <c r="V68" s="1"/>
      <c r="W68" s="1"/>
      <c r="X68" s="1"/>
      <c r="Y68" s="1"/>
      <c r="Z68" s="1"/>
      <c r="AA68" s="1"/>
      <c r="AB68" s="1"/>
      <c r="AC68" s="1"/>
      <c r="AD68" s="1"/>
      <c r="AE68" s="1"/>
      <c r="AF68" s="1"/>
      <c r="AG68" s="1"/>
      <c r="AH68" s="1"/>
      <c r="AI68" s="1"/>
      <c r="AJ68" s="1"/>
      <c r="AK68" s="1"/>
    </row>
    <row r="69" spans="1:37" ht="24.75" customHeight="1" x14ac:dyDescent="0.3">
      <c r="A69" s="17" t="s">
        <v>29</v>
      </c>
      <c r="B69" s="1"/>
      <c r="C69" s="1"/>
      <c r="D69" s="1"/>
      <c r="E69" s="1"/>
      <c r="F69" s="1"/>
      <c r="G69" s="1"/>
      <c r="H69" s="1"/>
      <c r="I69" s="1"/>
      <c r="J69" s="47"/>
      <c r="K69" s="322"/>
      <c r="L69" s="1"/>
      <c r="M69" s="1"/>
      <c r="N69" s="1"/>
      <c r="O69" s="47"/>
      <c r="P69" s="1"/>
      <c r="Q69" s="1"/>
      <c r="R69" s="1"/>
      <c r="S69" s="1"/>
      <c r="T69" s="47"/>
      <c r="U69" s="1"/>
      <c r="V69" s="1"/>
      <c r="W69" s="37"/>
      <c r="X69" s="1"/>
      <c r="Y69" s="1"/>
      <c r="Z69" s="1"/>
      <c r="AA69" s="1"/>
      <c r="AB69" s="1"/>
      <c r="AC69" s="1"/>
      <c r="AD69" s="1"/>
      <c r="AE69" s="1"/>
      <c r="AF69" s="1"/>
      <c r="AG69" s="1"/>
      <c r="AH69" s="1"/>
      <c r="AI69" s="1"/>
      <c r="AJ69" s="1"/>
      <c r="AK69" s="1"/>
    </row>
    <row r="70" spans="1:37" x14ac:dyDescent="0.25">
      <c r="A70" s="18" t="s">
        <v>22</v>
      </c>
      <c r="B70" s="57"/>
      <c r="C70" s="18"/>
      <c r="D70" s="318">
        <f>IF(AND($C$9=D35,$C$7=$O$2),D56,C72)</f>
        <v>39563590.885550849</v>
      </c>
      <c r="E70" s="275">
        <f t="shared" ref="E70:U70" si="9">IF(AND($C$9=E35,$C$7=$O$2),E56,D72)</f>
        <v>33629052.252718225</v>
      </c>
      <c r="F70" s="23">
        <f t="shared" si="9"/>
        <v>28584694.414810494</v>
      </c>
      <c r="G70" s="23">
        <f t="shared" si="9"/>
        <v>24296990.25258892</v>
      </c>
      <c r="H70" s="23">
        <f t="shared" si="9"/>
        <v>20652441.714700583</v>
      </c>
      <c r="I70" s="23">
        <f t="shared" si="9"/>
        <v>17554575.457495496</v>
      </c>
      <c r="J70" s="46">
        <f t="shared" si="9"/>
        <v>14921389.138871171</v>
      </c>
      <c r="K70" s="23">
        <f t="shared" si="9"/>
        <v>12683180.768040495</v>
      </c>
      <c r="L70" s="23">
        <f t="shared" si="9"/>
        <v>10780703.652834421</v>
      </c>
      <c r="M70" s="23">
        <f t="shared" si="9"/>
        <v>9163598.104909258</v>
      </c>
      <c r="N70" s="23">
        <f t="shared" si="9"/>
        <v>0</v>
      </c>
      <c r="O70" s="46">
        <f t="shared" si="9"/>
        <v>0</v>
      </c>
      <c r="P70" s="23">
        <f t="shared" si="9"/>
        <v>0</v>
      </c>
      <c r="Q70" s="23">
        <f t="shared" si="9"/>
        <v>0</v>
      </c>
      <c r="R70" s="23">
        <f t="shared" si="9"/>
        <v>0</v>
      </c>
      <c r="S70" s="23">
        <f t="shared" si="9"/>
        <v>0</v>
      </c>
      <c r="T70" s="46">
        <f t="shared" si="9"/>
        <v>0</v>
      </c>
      <c r="U70" s="23">
        <f t="shared" si="9"/>
        <v>0</v>
      </c>
      <c r="V70" s="1"/>
      <c r="W70" s="37" t="s">
        <v>65</v>
      </c>
      <c r="X70" s="87" t="s">
        <v>332</v>
      </c>
      <c r="Y70" s="1"/>
      <c r="Z70" s="1"/>
      <c r="AA70" s="1"/>
      <c r="AB70" s="1"/>
      <c r="AC70" s="1"/>
      <c r="AD70" s="1"/>
      <c r="AE70" s="1"/>
      <c r="AF70" s="1"/>
      <c r="AG70" s="1"/>
      <c r="AH70" s="1"/>
      <c r="AI70" s="1"/>
      <c r="AJ70" s="1"/>
      <c r="AK70" s="1"/>
    </row>
    <row r="71" spans="1:37" x14ac:dyDescent="0.25">
      <c r="A71" s="18" t="s">
        <v>18</v>
      </c>
      <c r="B71" s="57" t="str">
        <f>CONCATENATE("depreciated at ",TEXT($C$16,"0%"))</f>
        <v>depreciated at 15%</v>
      </c>
      <c r="C71" s="18"/>
      <c r="D71" s="318">
        <f>IF(D$35&lt;'Equivalence calculations'!$C$9,0,IF(D$35&gt;=$C$9+$C$13-1,D70,D70*'Equivalence calculations'!$C$16))</f>
        <v>5934538.6328326268</v>
      </c>
      <c r="E71" s="275">
        <f>IF(E$35&lt;'Equivalence calculations'!$C$9,0,IF(E$35&gt;=$C$9+$C$13-1,E70,E70*'Equivalence calculations'!$C$16))</f>
        <v>5044357.8379077334</v>
      </c>
      <c r="F71" s="23">
        <f>IF(F$35&lt;'Equivalence calculations'!$C$9,0,IF(F$35&gt;=$C$9+$C$13-1,F70,F70*'Equivalence calculations'!$C$16))</f>
        <v>4287704.1622215742</v>
      </c>
      <c r="G71" s="23">
        <f>IF(G$35&lt;'Equivalence calculations'!$C$9,0,IF(G$35&gt;=$C$9+$C$13-1,G70,G70*'Equivalence calculations'!$C$16))</f>
        <v>3644548.5378883379</v>
      </c>
      <c r="H71" s="23">
        <f>IF(H$35&lt;'Equivalence calculations'!$C$9,0,IF(H$35&gt;=$C$9+$C$13-1,H70,H70*'Equivalence calculations'!$C$16))</f>
        <v>3097866.2572050872</v>
      </c>
      <c r="I71" s="23">
        <f>IF(I$35&lt;'Equivalence calculations'!$C$9,0,IF(I$35&gt;=$C$9+$C$13-1,I70,I70*'Equivalence calculations'!$C$16))</f>
        <v>2633186.3186243242</v>
      </c>
      <c r="J71" s="46">
        <f>IF(J$35&lt;'Equivalence calculations'!$C$9,0,IF(J$35&gt;=$C$9+$C$13-1,J70,J70*'Equivalence calculations'!$C$16))</f>
        <v>2238208.3708306756</v>
      </c>
      <c r="K71" s="23">
        <f>IF(K$35&lt;'Equivalence calculations'!$C$9,0,IF(K$35&gt;=$C$9+$C$13-1,K70,K70*'Equivalence calculations'!$C$16))</f>
        <v>1902477.1152060742</v>
      </c>
      <c r="L71" s="23">
        <f>IF(L$35&lt;'Equivalence calculations'!$C$9,0,IF(L$35&gt;=$C$9+$C$13-1,L70,L70*'Equivalence calculations'!$C$16))</f>
        <v>1617105.5479251631</v>
      </c>
      <c r="M71" s="23">
        <f>IF(M$35&lt;'Equivalence calculations'!$C$9,0,IF(M$35&gt;=$C$9+$C$13-1,M70,M70*'Equivalence calculations'!$C$16))</f>
        <v>9163598.104909258</v>
      </c>
      <c r="N71" s="23">
        <f>IF(N$35&lt;'Equivalence calculations'!$C$9,0,IF(N$35&gt;=$C$9+$C$13-1,N70,N70*'Equivalence calculations'!$C$16))</f>
        <v>0</v>
      </c>
      <c r="O71" s="46">
        <f>IF(O$35&lt;'Equivalence calculations'!$C$9,0,IF(O$35&gt;=$C$9+$C$13-1,O70,O70*'Equivalence calculations'!$C$16))</f>
        <v>0</v>
      </c>
      <c r="P71" s="23">
        <f>IF(P$35&lt;'Equivalence calculations'!$C$9,0,IF(P$35&gt;=$C$9+$C$13-1,P70,P70*'Equivalence calculations'!$C$16))</f>
        <v>0</v>
      </c>
      <c r="Q71" s="23">
        <f>IF(Q$35&lt;'Equivalence calculations'!$C$9,0,IF(Q$35&gt;=$C$9+$C$13-1,Q70,Q70*'Equivalence calculations'!$C$16))</f>
        <v>0</v>
      </c>
      <c r="R71" s="23">
        <f>IF(R$35&lt;'Equivalence calculations'!$C$9,0,IF(R$35&gt;=$C$9+$C$13-1,R70,R70*'Equivalence calculations'!$C$16))</f>
        <v>0</v>
      </c>
      <c r="S71" s="23">
        <f>IF(S$35&lt;'Equivalence calculations'!$C$9,0,IF(S$35&gt;=$C$9+$C$13-1,S70,S70*'Equivalence calculations'!$C$16))</f>
        <v>0</v>
      </c>
      <c r="T71" s="46">
        <f>IF(T$35&lt;'Equivalence calculations'!$C$9,0,IF(T$35&gt;=$C$9+$C$13-1,T70,T70*'Equivalence calculations'!$C$16))</f>
        <v>0</v>
      </c>
      <c r="U71" s="23">
        <f>IF(U$35&lt;'Equivalence calculations'!$C$9,0,IF(U$35&gt;=$C$9+$C$13-1,U70,U70*'Equivalence calculations'!$C$16))</f>
        <v>0</v>
      </c>
      <c r="V71" s="1"/>
      <c r="W71" s="37" t="s">
        <v>261</v>
      </c>
      <c r="X71" s="87" t="str">
        <f>CONCATENATE("The regulatory tax asset is depreciated at the 'average DV rate' as determined by tax depreciation rules and specified in the 'Inputs'. In this case, the regulatory tax asset is depreciated at ",TEXT($C$16,"0%")," per annum.")</f>
        <v>The regulatory tax asset is depreciated at the 'average DV rate' as determined by tax depreciation rules and specified in the 'Inputs'. In this case, the regulatory tax asset is depreciated at 15% per annum.</v>
      </c>
      <c r="Y71" s="1"/>
      <c r="Z71" s="1"/>
      <c r="AA71" s="1"/>
      <c r="AB71" s="1"/>
      <c r="AC71" s="1"/>
      <c r="AD71" s="1"/>
      <c r="AE71" s="1"/>
      <c r="AF71" s="1"/>
      <c r="AG71" s="1"/>
      <c r="AH71" s="1"/>
      <c r="AI71" s="1"/>
      <c r="AJ71" s="1"/>
      <c r="AK71" s="1"/>
    </row>
    <row r="72" spans="1:37" x14ac:dyDescent="0.25">
      <c r="A72" s="18" t="s">
        <v>23</v>
      </c>
      <c r="B72" s="59"/>
      <c r="C72" s="14"/>
      <c r="D72" s="318">
        <f>IF(D$35&lt;'Equivalence calculations'!$C$9,0,D70-D71)</f>
        <v>33629052.252718225</v>
      </c>
      <c r="E72" s="275">
        <f>IF(E$35&lt;'Equivalence calculations'!$C$9,0,E70-E71)</f>
        <v>28584694.414810494</v>
      </c>
      <c r="F72" s="23">
        <f>IF(F$35&lt;'Equivalence calculations'!$C$9,0,F70-F71)</f>
        <v>24296990.25258892</v>
      </c>
      <c r="G72" s="23">
        <f>IF(G$35&lt;'Equivalence calculations'!$C$9,0,G70-G71)</f>
        <v>20652441.714700583</v>
      </c>
      <c r="H72" s="23">
        <f>IF(H$35&lt;'Equivalence calculations'!$C$9,0,H70-H71)</f>
        <v>17554575.457495496</v>
      </c>
      <c r="I72" s="23">
        <f>IF(I$35&lt;'Equivalence calculations'!$C$9,0,I70-I71)</f>
        <v>14921389.138871171</v>
      </c>
      <c r="J72" s="46">
        <f>IF(J$35&lt;'Equivalence calculations'!$C$9,0,J70-J71)</f>
        <v>12683180.768040495</v>
      </c>
      <c r="K72" s="23">
        <f>IF(K$35&lt;'Equivalence calculations'!$C$9,0,K70-K71)</f>
        <v>10780703.652834421</v>
      </c>
      <c r="L72" s="23">
        <f>IF(L$35&lt;'Equivalence calculations'!$C$9,0,L70-L71)</f>
        <v>9163598.104909258</v>
      </c>
      <c r="M72" s="23">
        <f>IF(M$35&lt;'Equivalence calculations'!$C$9,0,M70-M71)</f>
        <v>0</v>
      </c>
      <c r="N72" s="23">
        <f>IF(N$35&lt;'Equivalence calculations'!$C$9,0,N70-N71)</f>
        <v>0</v>
      </c>
      <c r="O72" s="46">
        <f>IF(O$35&lt;'Equivalence calculations'!$C$9,0,O70-O71)</f>
        <v>0</v>
      </c>
      <c r="P72" s="23">
        <f>IF(P$35&lt;'Equivalence calculations'!$C$9,0,P70-P71)</f>
        <v>0</v>
      </c>
      <c r="Q72" s="23">
        <f>IF(Q$35&lt;'Equivalence calculations'!$C$9,0,Q70-Q71)</f>
        <v>0</v>
      </c>
      <c r="R72" s="23">
        <f>IF(R$35&lt;'Equivalence calculations'!$C$9,0,R70-R71)</f>
        <v>0</v>
      </c>
      <c r="S72" s="23">
        <f>IF(S$35&lt;'Equivalence calculations'!$C$9,0,S70-S71)</f>
        <v>0</v>
      </c>
      <c r="T72" s="46">
        <f>IF(T$35&lt;'Equivalence calculations'!$C$9,0,T70-T71)</f>
        <v>0</v>
      </c>
      <c r="U72" s="23">
        <f>IF(U$35&lt;'Equivalence calculations'!$C$9,0,U70-U71)</f>
        <v>0</v>
      </c>
      <c r="V72" s="1"/>
      <c r="W72" s="37" t="s">
        <v>262</v>
      </c>
      <c r="X72" s="37" t="s">
        <v>278</v>
      </c>
      <c r="Y72" s="1"/>
      <c r="Z72" s="1"/>
      <c r="AA72" s="1"/>
      <c r="AB72" s="1"/>
      <c r="AC72" s="1"/>
      <c r="AD72" s="1"/>
      <c r="AE72" s="1"/>
      <c r="AF72" s="1"/>
      <c r="AG72" s="1"/>
      <c r="AH72" s="1"/>
      <c r="AI72" s="1"/>
      <c r="AJ72" s="1"/>
      <c r="AK72" s="1"/>
    </row>
    <row r="73" spans="1:37" x14ac:dyDescent="0.25">
      <c r="A73" s="18"/>
      <c r="B73" s="60"/>
      <c r="C73" s="14"/>
      <c r="D73" s="319"/>
      <c r="E73" s="316"/>
      <c r="F73" s="30"/>
      <c r="G73" s="30"/>
      <c r="H73" s="30"/>
      <c r="I73" s="30"/>
      <c r="J73" s="49"/>
      <c r="K73" s="30"/>
      <c r="L73" s="30"/>
      <c r="M73" s="30"/>
      <c r="N73" s="30"/>
      <c r="O73" s="49"/>
      <c r="P73" s="30"/>
      <c r="Q73" s="30"/>
      <c r="R73" s="30"/>
      <c r="S73" s="30"/>
      <c r="T73" s="49"/>
      <c r="U73" s="30"/>
      <c r="V73" s="1"/>
      <c r="W73" s="37"/>
      <c r="X73" s="37"/>
      <c r="Y73" s="1"/>
      <c r="Z73" s="1"/>
      <c r="AA73" s="1"/>
      <c r="AB73" s="1"/>
      <c r="AC73" s="1"/>
      <c r="AD73" s="1"/>
      <c r="AE73" s="1"/>
      <c r="AF73" s="1"/>
      <c r="AG73" s="1"/>
      <c r="AH73" s="1"/>
      <c r="AI73" s="1"/>
      <c r="AJ73" s="1"/>
      <c r="AK73" s="1"/>
    </row>
    <row r="74" spans="1:37" x14ac:dyDescent="0.25">
      <c r="A74" s="33" t="s">
        <v>17</v>
      </c>
      <c r="B74" s="59"/>
      <c r="C74" s="33"/>
      <c r="D74" s="318">
        <f t="shared" ref="D74:E74" si="10">D57-D71</f>
        <v>-5934538.6328326268</v>
      </c>
      <c r="E74" s="275">
        <f t="shared" si="10"/>
        <v>-648403.29506875016</v>
      </c>
      <c r="F74" s="23">
        <f t="shared" ref="F74:U74" si="11">F57-F71</f>
        <v>108250.38061740901</v>
      </c>
      <c r="G74" s="23">
        <f t="shared" si="11"/>
        <v>751406.00495064538</v>
      </c>
      <c r="H74" s="23">
        <f t="shared" si="11"/>
        <v>1298088.285633896</v>
      </c>
      <c r="I74" s="23">
        <f t="shared" si="11"/>
        <v>1762768.2242146591</v>
      </c>
      <c r="J74" s="46">
        <f t="shared" si="11"/>
        <v>2157746.1720083077</v>
      </c>
      <c r="K74" s="23">
        <f t="shared" si="11"/>
        <v>2053881.9733490099</v>
      </c>
      <c r="L74" s="23">
        <f t="shared" si="11"/>
        <v>2339253.5406299205</v>
      </c>
      <c r="M74" s="23">
        <f t="shared" si="11"/>
        <v>-5207239.0163541744</v>
      </c>
      <c r="N74" s="23">
        <f t="shared" si="11"/>
        <v>0</v>
      </c>
      <c r="O74" s="46">
        <f t="shared" si="11"/>
        <v>0</v>
      </c>
      <c r="P74" s="23">
        <f t="shared" si="11"/>
        <v>0</v>
      </c>
      <c r="Q74" s="23">
        <f t="shared" si="11"/>
        <v>0</v>
      </c>
      <c r="R74" s="23">
        <f t="shared" si="11"/>
        <v>0</v>
      </c>
      <c r="S74" s="23">
        <f t="shared" si="11"/>
        <v>0</v>
      </c>
      <c r="T74" s="46">
        <f t="shared" si="11"/>
        <v>0</v>
      </c>
      <c r="U74" s="23">
        <f t="shared" si="11"/>
        <v>0</v>
      </c>
      <c r="V74" s="1"/>
      <c r="W74" s="37" t="s">
        <v>50</v>
      </c>
      <c r="X74" s="37" t="s">
        <v>333</v>
      </c>
      <c r="Y74" s="1"/>
      <c r="Z74" s="1"/>
      <c r="AA74" s="1"/>
      <c r="AB74" s="1"/>
      <c r="AC74" s="1"/>
      <c r="AD74" s="1"/>
      <c r="AE74" s="1"/>
      <c r="AF74" s="1"/>
      <c r="AG74" s="1"/>
      <c r="AH74" s="1"/>
      <c r="AI74" s="1"/>
      <c r="AJ74" s="1"/>
      <c r="AK74" s="1"/>
    </row>
    <row r="75" spans="1:37" x14ac:dyDescent="0.25">
      <c r="A75" s="1"/>
      <c r="B75" s="57"/>
      <c r="C75" s="1"/>
      <c r="D75" s="320"/>
      <c r="E75" s="317"/>
      <c r="F75" s="1"/>
      <c r="G75" s="1"/>
      <c r="H75" s="1"/>
      <c r="I75" s="1"/>
      <c r="J75" s="47"/>
      <c r="K75" s="1"/>
      <c r="L75" s="1"/>
      <c r="M75" s="1"/>
      <c r="N75" s="1"/>
      <c r="O75" s="47"/>
      <c r="P75" s="1"/>
      <c r="Q75" s="1"/>
      <c r="R75" s="1"/>
      <c r="S75" s="1"/>
      <c r="T75" s="47"/>
      <c r="U75" s="1"/>
      <c r="V75" s="1"/>
      <c r="W75" s="37"/>
      <c r="X75" s="1"/>
      <c r="Y75" s="1"/>
      <c r="Z75" s="1"/>
      <c r="AA75" s="1"/>
      <c r="AB75" s="1"/>
      <c r="AC75" s="1"/>
      <c r="AD75" s="1"/>
      <c r="AE75" s="1"/>
      <c r="AF75" s="1"/>
      <c r="AG75" s="1"/>
      <c r="AH75" s="1"/>
      <c r="AI75" s="1"/>
      <c r="AJ75" s="1"/>
      <c r="AK75" s="1"/>
    </row>
    <row r="76" spans="1:37" x14ac:dyDescent="0.25">
      <c r="A76" s="18" t="s">
        <v>20</v>
      </c>
      <c r="B76" s="59" t="str">
        <f>CONCATENATE(IF($C$7=$O$2,"With","Without")," notional tax asset")</f>
        <v>With notional tax asset</v>
      </c>
      <c r="C76" s="14"/>
      <c r="D76" s="318">
        <f t="shared" ref="D76:E76" si="12">(D70-D56)*$C$23</f>
        <v>0</v>
      </c>
      <c r="E76" s="275">
        <f t="shared" si="12"/>
        <v>-1661670.8171931349</v>
      </c>
      <c r="F76" s="36">
        <f>(F70-F56)*$C$23</f>
        <v>-1843223.7398123844</v>
      </c>
      <c r="G76" s="23">
        <f t="shared" ref="G76:M76" si="13">F79</f>
        <v>-1812913.6332395098</v>
      </c>
      <c r="H76" s="23">
        <f t="shared" si="13"/>
        <v>-1602519.9518533291</v>
      </c>
      <c r="I76" s="23">
        <f t="shared" si="13"/>
        <v>-1239055.2318758382</v>
      </c>
      <c r="J76" s="46">
        <f t="shared" si="13"/>
        <v>-745480.12909573363</v>
      </c>
      <c r="K76" s="23">
        <f t="shared" si="13"/>
        <v>-141311.20093340741</v>
      </c>
      <c r="L76" s="23">
        <f t="shared" si="13"/>
        <v>803035.93320279079</v>
      </c>
      <c r="M76" s="23">
        <f t="shared" si="13"/>
        <v>1458026.9245791687</v>
      </c>
      <c r="N76" s="23">
        <f>M79</f>
        <v>-2.3283064365386963E-10</v>
      </c>
      <c r="O76" s="46">
        <f t="shared" ref="O76" si="14">N79</f>
        <v>-2.3283064365386963E-10</v>
      </c>
      <c r="P76" s="23">
        <f t="shared" ref="P76" si="15">O79</f>
        <v>-2.3283064365386963E-10</v>
      </c>
      <c r="Q76" s="23">
        <f t="shared" ref="Q76" si="16">P79</f>
        <v>-2.3283064365386963E-10</v>
      </c>
      <c r="R76" s="23">
        <f t="shared" ref="R76" si="17">Q79</f>
        <v>-2.3283064365386963E-10</v>
      </c>
      <c r="S76" s="23">
        <f t="shared" ref="S76" si="18">R79</f>
        <v>-2.3283064365386963E-10</v>
      </c>
      <c r="T76" s="46">
        <f t="shared" ref="T76" si="19">S79</f>
        <v>-2.3283064365386963E-10</v>
      </c>
      <c r="U76" s="23">
        <f t="shared" ref="U76" si="20">T79</f>
        <v>-2.3283064365386963E-10</v>
      </c>
      <c r="V76" s="1"/>
      <c r="W76" s="37" t="s">
        <v>66</v>
      </c>
      <c r="X76" s="37" t="s">
        <v>334</v>
      </c>
      <c r="Y76" s="1"/>
      <c r="Z76" s="1"/>
      <c r="AA76" s="1"/>
      <c r="AB76" s="1"/>
      <c r="AC76" s="1"/>
      <c r="AD76" s="1"/>
      <c r="AE76" s="1"/>
      <c r="AF76" s="1"/>
      <c r="AG76" s="1"/>
      <c r="AH76" s="1"/>
      <c r="AI76" s="1"/>
      <c r="AJ76" s="1"/>
      <c r="AK76" s="1"/>
    </row>
    <row r="77" spans="1:37" x14ac:dyDescent="0.25">
      <c r="A77" s="33" t="s">
        <v>21</v>
      </c>
      <c r="B77" s="59" t="str">
        <f t="shared" ref="B77:B79" si="21">CONCATENATE(IF($C$7=$O$2,"With","Without")," notional tax asset")</f>
        <v>With notional tax asset</v>
      </c>
      <c r="C77" s="33"/>
      <c r="D77" s="318">
        <f t="shared" ref="D77:E77" si="22">$C$23*D74</f>
        <v>-1661670.8171931356</v>
      </c>
      <c r="E77" s="275">
        <f t="shared" si="22"/>
        <v>-181552.92261925005</v>
      </c>
      <c r="F77" s="23">
        <f t="shared" ref="F77:U77" si="23">$C$23*F74</f>
        <v>30310.106572874527</v>
      </c>
      <c r="G77" s="23">
        <f t="shared" si="23"/>
        <v>210393.68138618072</v>
      </c>
      <c r="H77" s="23">
        <f t="shared" si="23"/>
        <v>363464.71997749089</v>
      </c>
      <c r="I77" s="23">
        <f t="shared" si="23"/>
        <v>493575.10278010461</v>
      </c>
      <c r="J77" s="46">
        <f t="shared" si="23"/>
        <v>604168.92816232622</v>
      </c>
      <c r="K77" s="23">
        <f t="shared" si="23"/>
        <v>575086.95253772277</v>
      </c>
      <c r="L77" s="23">
        <f t="shared" si="23"/>
        <v>654990.99137637776</v>
      </c>
      <c r="M77" s="23">
        <f>$C$23*M74</f>
        <v>-1458026.9245791689</v>
      </c>
      <c r="N77" s="23">
        <f t="shared" si="23"/>
        <v>0</v>
      </c>
      <c r="O77" s="46">
        <f t="shared" si="23"/>
        <v>0</v>
      </c>
      <c r="P77" s="23">
        <f t="shared" si="23"/>
        <v>0</v>
      </c>
      <c r="Q77" s="23">
        <f t="shared" si="23"/>
        <v>0</v>
      </c>
      <c r="R77" s="23">
        <f t="shared" si="23"/>
        <v>0</v>
      </c>
      <c r="S77" s="23">
        <f t="shared" si="23"/>
        <v>0</v>
      </c>
      <c r="T77" s="46">
        <f t="shared" si="23"/>
        <v>0</v>
      </c>
      <c r="U77" s="23">
        <f t="shared" si="23"/>
        <v>0</v>
      </c>
      <c r="V77" s="1"/>
      <c r="W77" s="37" t="s">
        <v>296</v>
      </c>
      <c r="X77" s="37" t="s">
        <v>279</v>
      </c>
      <c r="Y77" s="1"/>
      <c r="Z77" s="1"/>
      <c r="AA77" s="1"/>
      <c r="AB77" s="1"/>
      <c r="AC77" s="1"/>
      <c r="AD77" s="1"/>
      <c r="AE77" s="1"/>
      <c r="AF77" s="1"/>
      <c r="AG77" s="1"/>
      <c r="AH77" s="1"/>
      <c r="AI77" s="1"/>
      <c r="AJ77" s="1"/>
      <c r="AK77" s="1"/>
    </row>
    <row r="78" spans="1:37" x14ac:dyDescent="0.25">
      <c r="A78" s="33" t="s">
        <v>313</v>
      </c>
      <c r="B78" s="59" t="str">
        <f t="shared" si="21"/>
        <v>With notional tax asset</v>
      </c>
      <c r="C78" s="33"/>
      <c r="D78" s="318">
        <f>IF(ISNUMBER(MATCH(D35,$C$27:$C$29,0)),$C$23*(C58-D56),0)</f>
        <v>0</v>
      </c>
      <c r="E78" s="275">
        <f t="shared" ref="E78:U78" si="24">IF(ISNUMBER(MATCH(E35,$C$27:$C$29,0)),$C$23*(D58-E56),0)</f>
        <v>0</v>
      </c>
      <c r="F78" s="23">
        <f t="shared" si="24"/>
        <v>0</v>
      </c>
      <c r="G78" s="23">
        <f t="shared" si="24"/>
        <v>0</v>
      </c>
      <c r="H78" s="23">
        <f t="shared" si="24"/>
        <v>0</v>
      </c>
      <c r="I78" s="23">
        <f t="shared" si="24"/>
        <v>0</v>
      </c>
      <c r="J78" s="46">
        <f t="shared" si="24"/>
        <v>0</v>
      </c>
      <c r="K78" s="23">
        <f t="shared" si="24"/>
        <v>369260.18159847544</v>
      </c>
      <c r="L78" s="23">
        <f t="shared" si="24"/>
        <v>0</v>
      </c>
      <c r="M78" s="23">
        <f t="shared" si="24"/>
        <v>0</v>
      </c>
      <c r="N78" s="23">
        <f t="shared" si="24"/>
        <v>0</v>
      </c>
      <c r="O78" s="46">
        <f t="shared" si="24"/>
        <v>0</v>
      </c>
      <c r="P78" s="23">
        <f t="shared" si="24"/>
        <v>0</v>
      </c>
      <c r="Q78" s="23">
        <f t="shared" si="24"/>
        <v>0</v>
      </c>
      <c r="R78" s="23">
        <f t="shared" si="24"/>
        <v>0</v>
      </c>
      <c r="S78" s="23">
        <f t="shared" si="24"/>
        <v>0</v>
      </c>
      <c r="T78" s="46">
        <f t="shared" si="24"/>
        <v>0</v>
      </c>
      <c r="U78" s="23">
        <f t="shared" si="24"/>
        <v>0</v>
      </c>
      <c r="V78" s="1"/>
      <c r="W78" s="37"/>
      <c r="X78" s="37" t="s">
        <v>335</v>
      </c>
      <c r="Y78" s="1"/>
      <c r="Z78" s="1"/>
      <c r="AA78" s="1"/>
      <c r="AB78" s="1"/>
      <c r="AC78" s="1"/>
      <c r="AD78" s="1"/>
      <c r="AE78" s="1"/>
      <c r="AF78" s="1"/>
      <c r="AG78" s="1"/>
      <c r="AH78" s="1"/>
      <c r="AI78" s="1"/>
      <c r="AJ78" s="1"/>
      <c r="AK78" s="1"/>
    </row>
    <row r="79" spans="1:37" x14ac:dyDescent="0.25">
      <c r="A79" s="33" t="s">
        <v>11</v>
      </c>
      <c r="B79" s="59" t="str">
        <f t="shared" si="21"/>
        <v>With notional tax asset</v>
      </c>
      <c r="C79" s="33"/>
      <c r="D79" s="318">
        <f>SUM(D76:D78)</f>
        <v>-1661670.8171931356</v>
      </c>
      <c r="E79" s="275">
        <f t="shared" ref="E79:U79" si="25">SUM(E76:E78)</f>
        <v>-1843223.7398123851</v>
      </c>
      <c r="F79" s="23">
        <f t="shared" si="25"/>
        <v>-1812913.6332395098</v>
      </c>
      <c r="G79" s="23">
        <f t="shared" si="25"/>
        <v>-1602519.9518533291</v>
      </c>
      <c r="H79" s="23">
        <f t="shared" si="25"/>
        <v>-1239055.2318758382</v>
      </c>
      <c r="I79" s="23">
        <f t="shared" si="25"/>
        <v>-745480.12909573363</v>
      </c>
      <c r="J79" s="46">
        <f t="shared" si="25"/>
        <v>-141311.20093340741</v>
      </c>
      <c r="K79" s="23">
        <f t="shared" si="25"/>
        <v>803035.93320279079</v>
      </c>
      <c r="L79" s="23">
        <f t="shared" si="25"/>
        <v>1458026.9245791687</v>
      </c>
      <c r="M79" s="23">
        <f>SUM(M76:M78)</f>
        <v>-2.3283064365386963E-10</v>
      </c>
      <c r="N79" s="23">
        <f t="shared" si="25"/>
        <v>-2.3283064365386963E-10</v>
      </c>
      <c r="O79" s="46">
        <f t="shared" si="25"/>
        <v>-2.3283064365386963E-10</v>
      </c>
      <c r="P79" s="23">
        <f t="shared" si="25"/>
        <v>-2.3283064365386963E-10</v>
      </c>
      <c r="Q79" s="23">
        <f t="shared" si="25"/>
        <v>-2.3283064365386963E-10</v>
      </c>
      <c r="R79" s="23">
        <f t="shared" si="25"/>
        <v>-2.3283064365386963E-10</v>
      </c>
      <c r="S79" s="23">
        <f t="shared" si="25"/>
        <v>-2.3283064365386963E-10</v>
      </c>
      <c r="T79" s="46">
        <f t="shared" si="25"/>
        <v>-2.3283064365386963E-10</v>
      </c>
      <c r="U79" s="23">
        <f t="shared" si="25"/>
        <v>-2.3283064365386963E-10</v>
      </c>
      <c r="V79" s="1"/>
      <c r="W79" s="37" t="s">
        <v>51</v>
      </c>
      <c r="X79" s="37" t="s">
        <v>280</v>
      </c>
      <c r="Y79" s="1"/>
      <c r="Z79" s="1"/>
      <c r="AA79" s="1"/>
      <c r="AB79" s="1"/>
      <c r="AC79" s="1"/>
      <c r="AD79" s="1"/>
      <c r="AE79" s="1"/>
      <c r="AF79" s="1"/>
      <c r="AG79" s="1"/>
      <c r="AH79" s="1"/>
      <c r="AI79" s="1"/>
      <c r="AJ79" s="1"/>
      <c r="AK79" s="1"/>
    </row>
    <row r="80" spans="1:37" x14ac:dyDescent="0.25">
      <c r="A80" s="1"/>
      <c r="B80" s="1"/>
      <c r="C80" s="1"/>
      <c r="D80" s="2"/>
      <c r="E80" s="47"/>
      <c r="F80" s="1"/>
      <c r="G80" s="30"/>
      <c r="H80" s="30"/>
      <c r="I80" s="30"/>
      <c r="J80" s="49"/>
      <c r="K80" s="30"/>
      <c r="L80" s="30"/>
      <c r="M80" s="30"/>
      <c r="N80" s="30"/>
      <c r="O80" s="49"/>
      <c r="P80" s="30"/>
      <c r="Q80" s="30"/>
      <c r="R80" s="30"/>
      <c r="S80" s="30"/>
      <c r="T80" s="49"/>
      <c r="U80" s="30"/>
      <c r="V80" s="1"/>
      <c r="W80" s="37"/>
      <c r="X80" s="37"/>
      <c r="Y80" s="1"/>
      <c r="Z80" s="1"/>
      <c r="AA80" s="1"/>
      <c r="AB80" s="1"/>
      <c r="AC80" s="1"/>
      <c r="AD80" s="1"/>
      <c r="AE80" s="1"/>
      <c r="AF80" s="1"/>
      <c r="AG80" s="1"/>
      <c r="AH80" s="1"/>
      <c r="AI80" s="1"/>
      <c r="AJ80" s="1"/>
      <c r="AK80" s="1"/>
    </row>
    <row r="81" spans="1:37" ht="10.5" customHeight="1" x14ac:dyDescent="0.25">
      <c r="A81" s="268" t="s">
        <v>277</v>
      </c>
      <c r="B81" s="37" t="s">
        <v>335</v>
      </c>
      <c r="C81" s="1"/>
      <c r="D81" s="2"/>
      <c r="E81" s="47"/>
      <c r="F81" s="1"/>
      <c r="G81" s="30"/>
      <c r="H81" s="30"/>
      <c r="I81" s="30"/>
      <c r="J81" s="49"/>
      <c r="K81" s="30"/>
      <c r="L81" s="30"/>
      <c r="M81" s="30"/>
      <c r="N81" s="30"/>
      <c r="O81" s="49"/>
      <c r="P81" s="30"/>
      <c r="Q81" s="30"/>
      <c r="R81" s="30"/>
      <c r="S81" s="30"/>
      <c r="T81" s="49"/>
      <c r="U81" s="30"/>
      <c r="V81" s="1"/>
      <c r="W81" s="37"/>
      <c r="X81" s="37"/>
      <c r="Y81" s="1"/>
      <c r="Z81" s="1"/>
      <c r="AA81" s="1"/>
      <c r="AB81" s="1"/>
      <c r="AC81" s="1"/>
      <c r="AD81" s="1"/>
      <c r="AE81" s="1"/>
      <c r="AF81" s="1"/>
      <c r="AG81" s="1"/>
      <c r="AH81" s="1"/>
      <c r="AI81" s="1"/>
      <c r="AJ81" s="1"/>
      <c r="AK81" s="1"/>
    </row>
    <row r="82" spans="1:37" x14ac:dyDescent="0.25">
      <c r="A82" s="1"/>
      <c r="B82" s="1"/>
      <c r="C82" s="1"/>
      <c r="D82" s="2"/>
      <c r="E82" s="47"/>
      <c r="F82" s="1"/>
      <c r="G82" s="1"/>
      <c r="H82" s="1"/>
      <c r="I82" s="1"/>
      <c r="J82" s="47"/>
      <c r="K82" s="1"/>
      <c r="L82" s="1"/>
      <c r="M82" s="1"/>
      <c r="N82" s="323"/>
      <c r="O82" s="324"/>
      <c r="P82" s="323"/>
      <c r="Q82" s="323"/>
      <c r="R82" s="323"/>
      <c r="S82" s="323"/>
      <c r="T82" s="324"/>
      <c r="U82" s="323"/>
      <c r="V82" s="1"/>
      <c r="W82" s="37"/>
      <c r="X82" s="1"/>
      <c r="Y82" s="1"/>
      <c r="Z82" s="1"/>
      <c r="AA82" s="1"/>
      <c r="AB82" s="1"/>
      <c r="AC82" s="1"/>
      <c r="AD82" s="1"/>
      <c r="AE82" s="1"/>
      <c r="AF82" s="1"/>
      <c r="AG82" s="1"/>
      <c r="AH82" s="1"/>
      <c r="AI82" s="1"/>
      <c r="AJ82" s="1"/>
      <c r="AK82" s="1"/>
    </row>
    <row r="83" spans="1:37" ht="26.25" customHeight="1" x14ac:dyDescent="0.3">
      <c r="A83" s="17" t="s">
        <v>54</v>
      </c>
      <c r="B83" s="1"/>
      <c r="C83" s="1"/>
      <c r="D83" s="1"/>
      <c r="E83" s="47"/>
      <c r="F83" s="1"/>
      <c r="G83" s="1"/>
      <c r="H83" s="1"/>
      <c r="I83" s="1"/>
      <c r="J83" s="47"/>
      <c r="K83" s="1"/>
      <c r="L83" s="1"/>
      <c r="M83" s="1"/>
      <c r="N83" s="323"/>
      <c r="O83" s="324"/>
      <c r="P83" s="323"/>
      <c r="Q83" s="323"/>
      <c r="R83" s="323"/>
      <c r="S83" s="323"/>
      <c r="T83" s="324"/>
      <c r="U83" s="323"/>
      <c r="V83" s="1"/>
      <c r="W83" s="37"/>
      <c r="X83" s="1"/>
      <c r="Y83" s="1"/>
      <c r="Z83" s="1"/>
      <c r="AA83" s="1"/>
      <c r="AB83" s="1"/>
      <c r="AC83" s="1"/>
      <c r="AD83" s="1"/>
      <c r="AE83" s="1"/>
      <c r="AF83" s="1"/>
      <c r="AG83" s="1"/>
      <c r="AH83" s="1"/>
      <c r="AI83" s="1"/>
      <c r="AJ83" s="1"/>
      <c r="AK83" s="1"/>
    </row>
    <row r="84" spans="1:37" x14ac:dyDescent="0.25">
      <c r="A84" s="18" t="str">
        <f>A56</f>
        <v>Opening RAB value</v>
      </c>
      <c r="B84" s="14"/>
      <c r="C84" s="14"/>
      <c r="D84" s="318">
        <f t="shared" ref="D84:E84" si="26">D56</f>
        <v>39563590.885550849</v>
      </c>
      <c r="E84" s="321">
        <f t="shared" si="26"/>
        <v>39563590.885550849</v>
      </c>
      <c r="F84" s="42">
        <f t="shared" ref="F84:U84" si="27">F56</f>
        <v>35167636.342711866</v>
      </c>
      <c r="G84" s="42">
        <f t="shared" si="27"/>
        <v>30771681.799872883</v>
      </c>
      <c r="H84" s="42">
        <f t="shared" si="27"/>
        <v>26375727.257033899</v>
      </c>
      <c r="I84" s="42">
        <f t="shared" si="27"/>
        <v>21979772.714194916</v>
      </c>
      <c r="J84" s="99">
        <f t="shared" si="27"/>
        <v>17583818.171355933</v>
      </c>
      <c r="K84" s="42">
        <f t="shared" si="27"/>
        <v>11869077.265665252</v>
      </c>
      <c r="L84" s="42">
        <f t="shared" si="27"/>
        <v>7912718.1771101672</v>
      </c>
      <c r="M84" s="42">
        <f t="shared" si="27"/>
        <v>3956359.0885550836</v>
      </c>
      <c r="N84" s="42">
        <f t="shared" si="27"/>
        <v>0</v>
      </c>
      <c r="O84" s="99">
        <f t="shared" si="27"/>
        <v>0</v>
      </c>
      <c r="P84" s="42">
        <f t="shared" si="27"/>
        <v>0</v>
      </c>
      <c r="Q84" s="42">
        <f t="shared" si="27"/>
        <v>0</v>
      </c>
      <c r="R84" s="42">
        <f t="shared" si="27"/>
        <v>0</v>
      </c>
      <c r="S84" s="42">
        <f t="shared" si="27"/>
        <v>0</v>
      </c>
      <c r="T84" s="99">
        <f t="shared" si="27"/>
        <v>0</v>
      </c>
      <c r="U84" s="42">
        <f t="shared" si="27"/>
        <v>0</v>
      </c>
      <c r="V84" s="1"/>
      <c r="W84" s="37"/>
      <c r="X84" s="38"/>
      <c r="Y84" s="1"/>
      <c r="Z84" s="1"/>
      <c r="AA84" s="1"/>
      <c r="AB84" s="1"/>
      <c r="AC84" s="1"/>
      <c r="AD84" s="1"/>
      <c r="AE84" s="1"/>
      <c r="AF84" s="1"/>
      <c r="AG84" s="1"/>
      <c r="AH84" s="1"/>
      <c r="AI84" s="1"/>
      <c r="AJ84" s="1"/>
      <c r="AK84" s="1"/>
    </row>
    <row r="85" spans="1:37" x14ac:dyDescent="0.25">
      <c r="A85" s="18" t="str">
        <f>A76</f>
        <v>Opening deferred tax balance</v>
      </c>
      <c r="B85" s="14"/>
      <c r="C85" s="14"/>
      <c r="D85" s="318">
        <f t="shared" ref="D85:E85" si="28">D76</f>
        <v>0</v>
      </c>
      <c r="E85" s="321">
        <f t="shared" si="28"/>
        <v>-1661670.8171931349</v>
      </c>
      <c r="F85" s="42">
        <f>F76</f>
        <v>-1843223.7398123844</v>
      </c>
      <c r="G85" s="42">
        <f t="shared" ref="G85:U85" si="29">G76</f>
        <v>-1812913.6332395098</v>
      </c>
      <c r="H85" s="42">
        <f t="shared" si="29"/>
        <v>-1602519.9518533291</v>
      </c>
      <c r="I85" s="42">
        <f t="shared" si="29"/>
        <v>-1239055.2318758382</v>
      </c>
      <c r="J85" s="99">
        <f t="shared" si="29"/>
        <v>-745480.12909573363</v>
      </c>
      <c r="K85" s="42">
        <f t="shared" si="29"/>
        <v>-141311.20093340741</v>
      </c>
      <c r="L85" s="42">
        <f t="shared" si="29"/>
        <v>803035.93320279079</v>
      </c>
      <c r="M85" s="42">
        <f t="shared" si="29"/>
        <v>1458026.9245791687</v>
      </c>
      <c r="N85" s="42">
        <f>N76</f>
        <v>-2.3283064365386963E-10</v>
      </c>
      <c r="O85" s="99">
        <f t="shared" si="29"/>
        <v>-2.3283064365386963E-10</v>
      </c>
      <c r="P85" s="42">
        <f t="shared" si="29"/>
        <v>-2.3283064365386963E-10</v>
      </c>
      <c r="Q85" s="42">
        <f t="shared" si="29"/>
        <v>-2.3283064365386963E-10</v>
      </c>
      <c r="R85" s="42">
        <f t="shared" si="29"/>
        <v>-2.3283064365386963E-10</v>
      </c>
      <c r="S85" s="42">
        <f t="shared" si="29"/>
        <v>-2.3283064365386963E-10</v>
      </c>
      <c r="T85" s="99">
        <f t="shared" si="29"/>
        <v>-2.3283064365386963E-10</v>
      </c>
      <c r="U85" s="42">
        <f t="shared" si="29"/>
        <v>-2.3283064365386963E-10</v>
      </c>
      <c r="V85" s="1"/>
      <c r="W85" s="37"/>
      <c r="X85" s="38"/>
      <c r="Y85" s="1"/>
      <c r="Z85" s="1"/>
      <c r="AA85" s="1"/>
      <c r="AB85" s="1"/>
      <c r="AC85" s="1"/>
      <c r="AD85" s="1"/>
      <c r="AE85" s="1"/>
      <c r="AF85" s="1"/>
      <c r="AG85" s="1"/>
      <c r="AH85" s="1"/>
      <c r="AI85" s="1"/>
      <c r="AJ85" s="1"/>
      <c r="AK85" s="1"/>
    </row>
    <row r="86" spans="1:37" x14ac:dyDescent="0.25">
      <c r="A86" s="18" t="s">
        <v>54</v>
      </c>
      <c r="B86" s="14"/>
      <c r="C86" s="14"/>
      <c r="D86" s="318">
        <f t="shared" ref="D86:E86" si="30">SUM(D84:D85)</f>
        <v>39563590.885550849</v>
      </c>
      <c r="E86" s="321">
        <f t="shared" si="30"/>
        <v>37901920.068357714</v>
      </c>
      <c r="F86" s="23">
        <f>SUM(F84:F85)</f>
        <v>33324412.602899481</v>
      </c>
      <c r="G86" s="23">
        <f t="shared" ref="G86:U86" si="31">SUM(G84:G85)</f>
        <v>28958768.166633371</v>
      </c>
      <c r="H86" s="23">
        <f t="shared" si="31"/>
        <v>24773207.305180572</v>
      </c>
      <c r="I86" s="23">
        <f t="shared" si="31"/>
        <v>20740717.482319079</v>
      </c>
      <c r="J86" s="46">
        <f t="shared" si="31"/>
        <v>16838338.0422602</v>
      </c>
      <c r="K86" s="23">
        <f t="shared" si="31"/>
        <v>11727766.064731844</v>
      </c>
      <c r="L86" s="23">
        <f t="shared" si="31"/>
        <v>8715754.1103129573</v>
      </c>
      <c r="M86" s="23">
        <f t="shared" si="31"/>
        <v>5414386.0131342523</v>
      </c>
      <c r="N86" s="23">
        <f>SUM(N84:N85)</f>
        <v>-2.3283064365386963E-10</v>
      </c>
      <c r="O86" s="46">
        <f t="shared" si="31"/>
        <v>-2.3283064365386963E-10</v>
      </c>
      <c r="P86" s="23">
        <f t="shared" si="31"/>
        <v>-2.3283064365386963E-10</v>
      </c>
      <c r="Q86" s="23">
        <f t="shared" si="31"/>
        <v>-2.3283064365386963E-10</v>
      </c>
      <c r="R86" s="23">
        <f t="shared" si="31"/>
        <v>-2.3283064365386963E-10</v>
      </c>
      <c r="S86" s="23">
        <f t="shared" si="31"/>
        <v>-2.3283064365386963E-10</v>
      </c>
      <c r="T86" s="46">
        <f t="shared" si="31"/>
        <v>-2.3283064365386963E-10</v>
      </c>
      <c r="U86" s="23">
        <f t="shared" si="31"/>
        <v>-2.3283064365386963E-10</v>
      </c>
      <c r="V86" s="1"/>
      <c r="W86" s="37" t="s">
        <v>39</v>
      </c>
      <c r="X86" s="38" t="s">
        <v>281</v>
      </c>
      <c r="Y86" s="1"/>
      <c r="Z86" s="1"/>
      <c r="AA86" s="1"/>
      <c r="AB86" s="1"/>
      <c r="AC86" s="1"/>
      <c r="AD86" s="1"/>
      <c r="AE86" s="1"/>
      <c r="AF86" s="1"/>
      <c r="AG86" s="1"/>
      <c r="AH86" s="1"/>
      <c r="AI86" s="1"/>
      <c r="AJ86" s="1"/>
      <c r="AK86" s="1"/>
    </row>
    <row r="87" spans="1:37" x14ac:dyDescent="0.25">
      <c r="A87" s="37"/>
      <c r="B87" s="37"/>
      <c r="C87" s="37"/>
      <c r="D87" s="301"/>
      <c r="E87" s="277"/>
      <c r="F87" s="37"/>
      <c r="G87" s="37"/>
      <c r="H87" s="37"/>
      <c r="I87" s="37"/>
      <c r="J87" s="95"/>
      <c r="K87" s="37"/>
      <c r="L87" s="37"/>
      <c r="M87" s="37"/>
      <c r="N87" s="325"/>
      <c r="O87" s="326"/>
      <c r="P87" s="325"/>
      <c r="Q87" s="325"/>
      <c r="R87" s="325"/>
      <c r="S87" s="325"/>
      <c r="T87" s="326"/>
      <c r="U87" s="325"/>
      <c r="V87" s="37"/>
      <c r="W87" s="37"/>
      <c r="X87" s="38"/>
      <c r="Y87" s="1"/>
      <c r="Z87" s="1"/>
      <c r="AA87" s="1"/>
      <c r="AB87" s="1"/>
      <c r="AC87" s="1"/>
      <c r="AD87" s="1"/>
      <c r="AE87" s="1"/>
      <c r="AF87" s="1"/>
      <c r="AG87" s="1"/>
      <c r="AH87" s="1"/>
      <c r="AI87" s="1"/>
      <c r="AJ87" s="1"/>
      <c r="AK87" s="1"/>
    </row>
    <row r="88" spans="1:37" ht="24" customHeight="1" x14ac:dyDescent="0.3">
      <c r="A88" s="17" t="s">
        <v>36</v>
      </c>
      <c r="B88" s="37"/>
      <c r="C88" s="37"/>
      <c r="D88" s="361" t="s">
        <v>302</v>
      </c>
      <c r="E88" s="362"/>
      <c r="F88" s="37"/>
      <c r="G88" s="37"/>
      <c r="H88" s="37"/>
      <c r="I88" s="37"/>
      <c r="J88" s="95"/>
      <c r="K88" s="37"/>
      <c r="L88" s="37"/>
      <c r="M88" s="37"/>
      <c r="N88" s="325"/>
      <c r="O88" s="326"/>
      <c r="P88" s="325"/>
      <c r="Q88" s="325"/>
      <c r="R88" s="325"/>
      <c r="S88" s="325"/>
      <c r="T88" s="326"/>
      <c r="U88" s="325"/>
      <c r="V88" s="37"/>
      <c r="W88" s="37"/>
      <c r="X88" s="38"/>
      <c r="Y88" s="1"/>
      <c r="Z88" s="1"/>
      <c r="AA88" s="1"/>
      <c r="AB88" s="1"/>
      <c r="AC88" s="1"/>
      <c r="AD88" s="1"/>
      <c r="AE88" s="1"/>
      <c r="AF88" s="1"/>
      <c r="AG88" s="1"/>
      <c r="AH88" s="1"/>
      <c r="AI88" s="1"/>
      <c r="AJ88" s="1"/>
      <c r="AK88" s="1"/>
    </row>
    <row r="89" spans="1:37" ht="14.25" customHeight="1" x14ac:dyDescent="0.25">
      <c r="A89" s="28" t="s">
        <v>33</v>
      </c>
      <c r="B89" s="14"/>
      <c r="C89" s="14"/>
      <c r="D89" s="312">
        <f>'IRIS Capex incentives'!$B$8*D86</f>
        <v>2844622.1846711063</v>
      </c>
      <c r="E89" s="313">
        <f>'IRIS Capex incentives'!$B$8*E86</f>
        <v>2725148.0529149198</v>
      </c>
      <c r="F89" s="31">
        <f>$C$20*F86</f>
        <v>1709542.3665287434</v>
      </c>
      <c r="G89" s="31">
        <f t="shared" ref="G89:U89" si="32">$C$20*G86</f>
        <v>1485584.8069482918</v>
      </c>
      <c r="H89" s="31">
        <f t="shared" si="32"/>
        <v>1270865.5347557634</v>
      </c>
      <c r="I89" s="31">
        <f t="shared" si="32"/>
        <v>1063998.8068429688</v>
      </c>
      <c r="J89" s="307">
        <f t="shared" si="32"/>
        <v>863806.74156794825</v>
      </c>
      <c r="K89" s="31">
        <f>$C$20*K86</f>
        <v>601634.39912074362</v>
      </c>
      <c r="L89" s="31">
        <f t="shared" si="32"/>
        <v>447118.18585905468</v>
      </c>
      <c r="M89" s="31">
        <f t="shared" si="32"/>
        <v>277758.00247378711</v>
      </c>
      <c r="N89" s="31">
        <f t="shared" si="32"/>
        <v>-1.1944212019443512E-11</v>
      </c>
      <c r="O89" s="307">
        <f t="shared" si="32"/>
        <v>-1.1944212019443512E-11</v>
      </c>
      <c r="P89" s="31">
        <f t="shared" si="32"/>
        <v>-1.1944212019443512E-11</v>
      </c>
      <c r="Q89" s="31">
        <f t="shared" si="32"/>
        <v>-1.1944212019443512E-11</v>
      </c>
      <c r="R89" s="31">
        <f t="shared" si="32"/>
        <v>-1.1944212019443512E-11</v>
      </c>
      <c r="S89" s="31">
        <f t="shared" si="32"/>
        <v>-1.1944212019443512E-11</v>
      </c>
      <c r="T89" s="307">
        <f t="shared" si="32"/>
        <v>-1.1944212019443512E-11</v>
      </c>
      <c r="U89" s="31">
        <f t="shared" si="32"/>
        <v>-1.1944212019443512E-11</v>
      </c>
      <c r="V89" s="1"/>
      <c r="W89" s="37" t="s">
        <v>79</v>
      </c>
      <c r="X89" s="37" t="s">
        <v>67</v>
      </c>
      <c r="Y89" s="1"/>
      <c r="Z89" s="1"/>
      <c r="AA89" s="1"/>
      <c r="AB89" s="1"/>
      <c r="AC89" s="1"/>
      <c r="AD89" s="1"/>
      <c r="AE89" s="1"/>
      <c r="AF89" s="1"/>
      <c r="AG89" s="1"/>
      <c r="AH89" s="1"/>
      <c r="AI89" s="1"/>
      <c r="AJ89" s="1"/>
      <c r="AK89" s="1"/>
    </row>
    <row r="90" spans="1:37" x14ac:dyDescent="0.25">
      <c r="A90" s="28" t="s">
        <v>7</v>
      </c>
      <c r="B90" s="14"/>
      <c r="C90" s="14"/>
      <c r="D90" s="314">
        <f t="shared" ref="D90:E90" si="33">D57</f>
        <v>0</v>
      </c>
      <c r="E90" s="315">
        <f t="shared" si="33"/>
        <v>4395954.5428389832</v>
      </c>
      <c r="F90" s="23">
        <f>F57</f>
        <v>4395954.5428389832</v>
      </c>
      <c r="G90" s="23">
        <f t="shared" ref="G90:U90" si="34">G57</f>
        <v>4395954.5428389832</v>
      </c>
      <c r="H90" s="23">
        <f t="shared" si="34"/>
        <v>4395954.5428389832</v>
      </c>
      <c r="I90" s="23">
        <f t="shared" si="34"/>
        <v>4395954.5428389832</v>
      </c>
      <c r="J90" s="46">
        <f t="shared" si="34"/>
        <v>4395954.5428389832</v>
      </c>
      <c r="K90" s="23">
        <f t="shared" si="34"/>
        <v>3956359.0885550841</v>
      </c>
      <c r="L90" s="23">
        <f t="shared" si="34"/>
        <v>3956359.0885550836</v>
      </c>
      <c r="M90" s="23">
        <f t="shared" si="34"/>
        <v>3956359.0885550836</v>
      </c>
      <c r="N90" s="23">
        <f t="shared" si="34"/>
        <v>0</v>
      </c>
      <c r="O90" s="46">
        <f t="shared" si="34"/>
        <v>0</v>
      </c>
      <c r="P90" s="23">
        <f t="shared" si="34"/>
        <v>0</v>
      </c>
      <c r="Q90" s="23">
        <f t="shared" si="34"/>
        <v>0</v>
      </c>
      <c r="R90" s="23">
        <f t="shared" si="34"/>
        <v>0</v>
      </c>
      <c r="S90" s="23">
        <f t="shared" si="34"/>
        <v>0</v>
      </c>
      <c r="T90" s="46">
        <f t="shared" si="34"/>
        <v>0</v>
      </c>
      <c r="U90" s="23">
        <f t="shared" si="34"/>
        <v>0</v>
      </c>
      <c r="V90" s="1"/>
      <c r="W90" s="37" t="s">
        <v>104</v>
      </c>
      <c r="X90" s="37"/>
      <c r="Y90" s="1"/>
      <c r="Z90" s="1"/>
      <c r="AA90" s="1"/>
      <c r="AB90" s="1"/>
      <c r="AC90" s="1"/>
      <c r="AD90" s="1"/>
      <c r="AE90" s="1"/>
      <c r="AF90" s="1"/>
      <c r="AG90" s="1"/>
      <c r="AH90" s="1"/>
      <c r="AI90" s="1"/>
      <c r="AJ90" s="1"/>
      <c r="AK90" s="1"/>
    </row>
    <row r="91" spans="1:37" x14ac:dyDescent="0.25">
      <c r="A91" s="14" t="s">
        <v>24</v>
      </c>
      <c r="B91" s="32" t="s">
        <v>25</v>
      </c>
      <c r="C91" s="14"/>
      <c r="D91" s="314">
        <f t="shared" ref="D91:U91" si="35">SUM(D94:D96)</f>
        <v>-1071482.6034638509</v>
      </c>
      <c r="E91" s="315">
        <f t="shared" si="35"/>
        <v>601390.8769856802</v>
      </c>
      <c r="F91" s="16">
        <f t="shared" si="35"/>
        <v>233423.61990988639</v>
      </c>
      <c r="G91" s="16">
        <f t="shared" si="35"/>
        <v>172070.30821741442</v>
      </c>
      <c r="H91" s="16">
        <f t="shared" si="35"/>
        <v>113247.83105751063</v>
      </c>
      <c r="I91" s="16">
        <f t="shared" si="35"/>
        <v>56576.563250289531</v>
      </c>
      <c r="J91" s="98">
        <f t="shared" si="35"/>
        <v>1733.823392848717</v>
      </c>
      <c r="K91" s="16">
        <f t="shared" si="35"/>
        <v>-241042.23943241424</v>
      </c>
      <c r="L91" s="16">
        <f t="shared" si="35"/>
        <v>-283372.05143583263</v>
      </c>
      <c r="M91" s="16">
        <f t="shared" si="35"/>
        <v>-329768.37821754976</v>
      </c>
      <c r="N91" s="24">
        <f t="shared" si="35"/>
        <v>-3.2721242556969331E-12</v>
      </c>
      <c r="O91" s="327">
        <f t="shared" si="35"/>
        <v>-3.2721242556969331E-12</v>
      </c>
      <c r="P91" s="24">
        <f t="shared" si="35"/>
        <v>-3.2721242556969331E-12</v>
      </c>
      <c r="Q91" s="24">
        <f t="shared" si="35"/>
        <v>-3.2721242556969331E-12</v>
      </c>
      <c r="R91" s="24">
        <f t="shared" si="35"/>
        <v>-3.2721242556969331E-12</v>
      </c>
      <c r="S91" s="24">
        <f t="shared" si="35"/>
        <v>-3.2721242556969331E-12</v>
      </c>
      <c r="T91" s="327">
        <f t="shared" si="35"/>
        <v>-3.2721242556969331E-12</v>
      </c>
      <c r="U91" s="24">
        <f t="shared" si="35"/>
        <v>-3.2721242556969331E-12</v>
      </c>
      <c r="V91" s="1"/>
      <c r="W91" s="37" t="s">
        <v>79</v>
      </c>
      <c r="X91" s="38"/>
      <c r="Y91" s="1"/>
      <c r="Z91" s="1"/>
      <c r="AA91" s="1"/>
      <c r="AB91" s="1"/>
      <c r="AC91" s="1"/>
      <c r="AD91" s="1"/>
      <c r="AE91" s="1"/>
      <c r="AF91" s="1"/>
      <c r="AG91" s="1"/>
      <c r="AH91" s="1"/>
      <c r="AI91" s="1"/>
      <c r="AJ91" s="1"/>
      <c r="AK91" s="1"/>
    </row>
    <row r="92" spans="1:37" x14ac:dyDescent="0.25">
      <c r="A92" s="65" t="s">
        <v>36</v>
      </c>
      <c r="B92" s="65"/>
      <c r="C92" s="65"/>
      <c r="D92" s="314">
        <f t="shared" ref="D92:F92" si="36">D89+D90+D91</f>
        <v>1773139.5812072554</v>
      </c>
      <c r="E92" s="315">
        <f t="shared" si="36"/>
        <v>7722493.4727395829</v>
      </c>
      <c r="F92" s="66">
        <f t="shared" si="36"/>
        <v>6338920.5292776134</v>
      </c>
      <c r="G92" s="66">
        <f t="shared" ref="G92:U92" si="37">G89+G90+G91</f>
        <v>6053609.65800469</v>
      </c>
      <c r="H92" s="66">
        <f t="shared" si="37"/>
        <v>5780067.9086522572</v>
      </c>
      <c r="I92" s="66">
        <f t="shared" si="37"/>
        <v>5516529.9129322413</v>
      </c>
      <c r="J92" s="308">
        <f t="shared" si="37"/>
        <v>5261495.1077997796</v>
      </c>
      <c r="K92" s="66">
        <f t="shared" si="37"/>
        <v>4316951.2482434139</v>
      </c>
      <c r="L92" s="66">
        <f t="shared" si="37"/>
        <v>4120105.2229783051</v>
      </c>
      <c r="M92" s="66">
        <f t="shared" si="37"/>
        <v>3904348.712811321</v>
      </c>
      <c r="N92" s="66">
        <f t="shared" si="37"/>
        <v>-1.5216336275140445E-11</v>
      </c>
      <c r="O92" s="308">
        <f t="shared" si="37"/>
        <v>-1.5216336275140445E-11</v>
      </c>
      <c r="P92" s="66">
        <f t="shared" si="37"/>
        <v>-1.5216336275140445E-11</v>
      </c>
      <c r="Q92" s="66">
        <f t="shared" si="37"/>
        <v>-1.5216336275140445E-11</v>
      </c>
      <c r="R92" s="66">
        <f t="shared" si="37"/>
        <v>-1.5216336275140445E-11</v>
      </c>
      <c r="S92" s="66">
        <f t="shared" si="37"/>
        <v>-1.5216336275140445E-11</v>
      </c>
      <c r="T92" s="308">
        <f t="shared" si="37"/>
        <v>-1.5216336275140445E-11</v>
      </c>
      <c r="U92" s="66">
        <f t="shared" si="37"/>
        <v>-1.5216336275140445E-11</v>
      </c>
      <c r="V92" s="1"/>
      <c r="W92" s="37" t="s">
        <v>79</v>
      </c>
      <c r="X92" s="38"/>
      <c r="Y92" s="1"/>
    </row>
    <row r="93" spans="1:37" ht="3" customHeight="1" x14ac:dyDescent="0.25">
      <c r="A93" s="62"/>
      <c r="B93" s="63"/>
      <c r="C93" s="63"/>
      <c r="D93" s="314"/>
      <c r="E93" s="315"/>
      <c r="F93" s="64"/>
      <c r="G93" s="64"/>
      <c r="H93" s="64"/>
      <c r="I93" s="64"/>
      <c r="J93" s="309"/>
      <c r="K93" s="64"/>
      <c r="L93" s="64"/>
      <c r="M93" s="64"/>
      <c r="N93" s="41"/>
      <c r="O93" s="48"/>
      <c r="P93" s="41"/>
      <c r="Q93" s="41"/>
      <c r="R93" s="41"/>
      <c r="S93" s="41"/>
      <c r="T93" s="48"/>
      <c r="U93" s="41"/>
      <c r="V93" s="1"/>
      <c r="W93" s="37"/>
      <c r="X93" s="38"/>
      <c r="Y93" s="1"/>
      <c r="Z93" s="1"/>
      <c r="AA93" s="1"/>
      <c r="AB93" s="1"/>
      <c r="AC93" s="1"/>
      <c r="AD93" s="1"/>
      <c r="AE93" s="1"/>
      <c r="AF93" s="1"/>
      <c r="AG93" s="1"/>
      <c r="AH93" s="1"/>
      <c r="AI93" s="1"/>
      <c r="AJ93" s="1"/>
      <c r="AK93" s="1"/>
    </row>
    <row r="94" spans="1:37" x14ac:dyDescent="0.25">
      <c r="A94" s="56" t="s">
        <v>34</v>
      </c>
      <c r="B94" s="57" t="s">
        <v>10</v>
      </c>
      <c r="C94" s="57"/>
      <c r="D94" s="314">
        <f t="shared" ref="D94:E94" si="38">$C$23*D89/(1-$C$23)</f>
        <v>1106241.9607054302</v>
      </c>
      <c r="E94" s="315">
        <f t="shared" si="38"/>
        <v>1059779.7983558022</v>
      </c>
      <c r="F94" s="58">
        <f>$C$23*F89/(1-$C$23)</f>
        <v>664822.03142784478</v>
      </c>
      <c r="G94" s="58">
        <f t="shared" ref="G94:U94" si="39">$C$23*G89/(1-$C$23)</f>
        <v>577727.42492433579</v>
      </c>
      <c r="H94" s="58">
        <f t="shared" si="39"/>
        <v>494225.48573835246</v>
      </c>
      <c r="I94" s="58">
        <f t="shared" si="39"/>
        <v>413777.31377226568</v>
      </c>
      <c r="J94" s="310">
        <f t="shared" si="39"/>
        <v>335924.84394309105</v>
      </c>
      <c r="K94" s="58">
        <f t="shared" si="39"/>
        <v>233968.93299140033</v>
      </c>
      <c r="L94" s="58">
        <f t="shared" si="39"/>
        <v>173879.2945007435</v>
      </c>
      <c r="M94" s="58">
        <f t="shared" si="39"/>
        <v>108017.00096202834</v>
      </c>
      <c r="N94" s="58">
        <f t="shared" si="39"/>
        <v>-4.6449713408946997E-12</v>
      </c>
      <c r="O94" s="310">
        <f t="shared" si="39"/>
        <v>-4.6449713408946997E-12</v>
      </c>
      <c r="P94" s="58">
        <f t="shared" si="39"/>
        <v>-4.6449713408946997E-12</v>
      </c>
      <c r="Q94" s="58">
        <f t="shared" si="39"/>
        <v>-4.6449713408946997E-12</v>
      </c>
      <c r="R94" s="58">
        <f t="shared" si="39"/>
        <v>-4.6449713408946997E-12</v>
      </c>
      <c r="S94" s="58">
        <f t="shared" si="39"/>
        <v>-4.6449713408946997E-12</v>
      </c>
      <c r="T94" s="310">
        <f t="shared" si="39"/>
        <v>-4.6449713408946997E-12</v>
      </c>
      <c r="U94" s="58">
        <f t="shared" si="39"/>
        <v>-4.6449713408946997E-12</v>
      </c>
      <c r="V94" s="1"/>
      <c r="W94" s="37" t="s">
        <v>79</v>
      </c>
      <c r="X94" s="37" t="s">
        <v>282</v>
      </c>
      <c r="Y94" s="1"/>
      <c r="Z94" s="1"/>
      <c r="AA94" s="1"/>
      <c r="AB94" s="1"/>
      <c r="AC94" s="1"/>
      <c r="AD94" s="1"/>
      <c r="AE94" s="1"/>
      <c r="AF94" s="1"/>
      <c r="AG94" s="1"/>
      <c r="AH94" s="1"/>
      <c r="AI94" s="1"/>
      <c r="AJ94" s="1"/>
      <c r="AK94" s="1"/>
    </row>
    <row r="95" spans="1:37" x14ac:dyDescent="0.25">
      <c r="A95" s="56" t="s">
        <v>34</v>
      </c>
      <c r="B95" s="60" t="s">
        <v>26</v>
      </c>
      <c r="C95" s="60"/>
      <c r="D95" s="314">
        <f t="shared" ref="D95:U95" si="40">-$C$23*($C$22*$C$21*D86)/(1-$C$23)</f>
        <v>-233280.11972483635</v>
      </c>
      <c r="E95" s="315">
        <f t="shared" si="40"/>
        <v>-223482.35469639325</v>
      </c>
      <c r="F95" s="61">
        <f t="shared" si="40"/>
        <v>-196491.84484422966</v>
      </c>
      <c r="G95" s="61">
        <f t="shared" si="40"/>
        <v>-170750.55003319259</v>
      </c>
      <c r="H95" s="61">
        <f t="shared" si="40"/>
        <v>-146071.08800711308</v>
      </c>
      <c r="I95" s="61">
        <f t="shared" si="40"/>
        <v>-122294.18384824741</v>
      </c>
      <c r="J95" s="311">
        <f t="shared" si="40"/>
        <v>-99284.453876513566</v>
      </c>
      <c r="K95" s="61">
        <f t="shared" si="40"/>
        <v>-69150.817973013865</v>
      </c>
      <c r="L95" s="61">
        <f t="shared" si="40"/>
        <v>-51390.99148577531</v>
      </c>
      <c r="M95" s="61">
        <f t="shared" si="40"/>
        <v>-31925.024728777265</v>
      </c>
      <c r="N95" s="61">
        <f t="shared" si="40"/>
        <v>1.3728470851977666E-12</v>
      </c>
      <c r="O95" s="311">
        <f t="shared" si="40"/>
        <v>1.3728470851977666E-12</v>
      </c>
      <c r="P95" s="61">
        <f t="shared" si="40"/>
        <v>1.3728470851977666E-12</v>
      </c>
      <c r="Q95" s="61">
        <f t="shared" si="40"/>
        <v>1.3728470851977666E-12</v>
      </c>
      <c r="R95" s="61">
        <f t="shared" si="40"/>
        <v>1.3728470851977666E-12</v>
      </c>
      <c r="S95" s="61">
        <f t="shared" si="40"/>
        <v>1.3728470851977666E-12</v>
      </c>
      <c r="T95" s="311">
        <f t="shared" si="40"/>
        <v>1.3728470851977666E-12</v>
      </c>
      <c r="U95" s="61">
        <f t="shared" si="40"/>
        <v>1.3728470851977666E-12</v>
      </c>
      <c r="V95" s="1"/>
      <c r="W95" s="37" t="s">
        <v>81</v>
      </c>
      <c r="X95" s="37"/>
      <c r="Y95" s="1"/>
      <c r="Z95" s="1"/>
      <c r="AA95" s="1"/>
      <c r="AB95" s="1"/>
      <c r="AC95" s="1"/>
      <c r="AD95" s="1"/>
      <c r="AE95" s="1"/>
      <c r="AF95" s="1"/>
      <c r="AG95" s="1"/>
      <c r="AH95" s="1"/>
      <c r="AI95" s="1"/>
      <c r="AJ95" s="1"/>
      <c r="AK95" s="1"/>
    </row>
    <row r="96" spans="1:37" x14ac:dyDescent="0.25">
      <c r="A96" s="56" t="s">
        <v>34</v>
      </c>
      <c r="B96" s="59" t="s">
        <v>8</v>
      </c>
      <c r="C96" s="59"/>
      <c r="D96" s="314">
        <f t="shared" ref="D96:U96" si="41">IF($C$8=$O$2,$C$23*D62/(1-$C$23),0)</f>
        <v>-1944444.4444444447</v>
      </c>
      <c r="E96" s="315">
        <f t="shared" si="41"/>
        <v>-234906.56667372875</v>
      </c>
      <c r="F96" s="51">
        <f t="shared" si="41"/>
        <v>-234906.56667372875</v>
      </c>
      <c r="G96" s="51">
        <f t="shared" si="41"/>
        <v>-234906.56667372875</v>
      </c>
      <c r="H96" s="51">
        <f t="shared" si="41"/>
        <v>-234906.56667372875</v>
      </c>
      <c r="I96" s="51">
        <f t="shared" si="41"/>
        <v>-234906.56667372875</v>
      </c>
      <c r="J96" s="306">
        <f t="shared" si="41"/>
        <v>-234906.56667372875</v>
      </c>
      <c r="K96" s="51">
        <f t="shared" si="41"/>
        <v>-405860.35445080069</v>
      </c>
      <c r="L96" s="51">
        <f t="shared" si="41"/>
        <v>-405860.35445080086</v>
      </c>
      <c r="M96" s="51">
        <f t="shared" si="41"/>
        <v>-405860.35445080086</v>
      </c>
      <c r="N96" s="51">
        <f t="shared" si="41"/>
        <v>0</v>
      </c>
      <c r="O96" s="306">
        <f t="shared" si="41"/>
        <v>0</v>
      </c>
      <c r="P96" s="51">
        <f t="shared" si="41"/>
        <v>0</v>
      </c>
      <c r="Q96" s="51">
        <f t="shared" si="41"/>
        <v>0</v>
      </c>
      <c r="R96" s="51">
        <f t="shared" si="41"/>
        <v>0</v>
      </c>
      <c r="S96" s="51">
        <f t="shared" si="41"/>
        <v>0</v>
      </c>
      <c r="T96" s="306">
        <f t="shared" si="41"/>
        <v>0</v>
      </c>
      <c r="U96" s="51">
        <f t="shared" si="41"/>
        <v>0</v>
      </c>
      <c r="V96" s="1"/>
      <c r="W96" s="37" t="s">
        <v>80</v>
      </c>
      <c r="X96" s="37"/>
      <c r="Y96" s="1"/>
      <c r="Z96" s="1"/>
      <c r="AA96" s="1"/>
      <c r="AB96" s="1"/>
      <c r="AC96" s="1"/>
      <c r="AD96" s="1"/>
      <c r="AE96" s="1"/>
      <c r="AF96" s="1"/>
      <c r="AG96" s="1"/>
      <c r="AH96" s="1"/>
      <c r="AI96" s="1"/>
      <c r="AJ96" s="1"/>
      <c r="AK96" s="1"/>
    </row>
    <row r="97" spans="1:37" ht="3" customHeight="1" x14ac:dyDescent="0.25">
      <c r="A97" s="52"/>
      <c r="B97" s="52"/>
      <c r="C97" s="52"/>
      <c r="D97" s="53"/>
      <c r="E97" s="54"/>
      <c r="F97" s="55"/>
      <c r="G97" s="55"/>
      <c r="H97" s="55"/>
      <c r="I97" s="55"/>
      <c r="J97" s="54"/>
      <c r="K97" s="55"/>
      <c r="L97" s="55"/>
      <c r="M97" s="55"/>
      <c r="N97" s="55"/>
      <c r="O97" s="54"/>
      <c r="P97" s="55"/>
      <c r="Q97" s="55"/>
      <c r="R97" s="55"/>
      <c r="S97" s="55"/>
      <c r="T97" s="54"/>
      <c r="U97" s="55"/>
      <c r="V97" s="1"/>
      <c r="W97" s="37"/>
      <c r="X97" s="1"/>
      <c r="Y97" s="1"/>
    </row>
    <row r="98" spans="1:37" ht="10.5" customHeight="1" x14ac:dyDescent="0.25">
      <c r="A98" s="1"/>
      <c r="B98" s="1"/>
      <c r="C98" s="1"/>
      <c r="D98" s="2"/>
      <c r="E98" s="47"/>
      <c r="F98" s="1"/>
      <c r="G98" s="1"/>
      <c r="H98" s="1"/>
      <c r="I98" s="1"/>
      <c r="J98" s="47"/>
      <c r="K98" s="1"/>
      <c r="L98" s="1"/>
      <c r="M98" s="1"/>
      <c r="N98" s="323"/>
      <c r="O98" s="324"/>
      <c r="P98" s="323"/>
      <c r="Q98" s="323"/>
      <c r="R98" s="323"/>
      <c r="S98" s="323"/>
      <c r="T98" s="324"/>
      <c r="U98" s="323"/>
      <c r="V98" s="1"/>
      <c r="W98" s="1"/>
      <c r="X98" s="1"/>
      <c r="Y98" s="1"/>
      <c r="Z98" s="1"/>
      <c r="AA98" s="1"/>
      <c r="AB98" s="1"/>
      <c r="AC98" s="1"/>
      <c r="AD98" s="1"/>
      <c r="AE98" s="1"/>
      <c r="AF98" s="1"/>
      <c r="AG98" s="1"/>
      <c r="AH98" s="1"/>
      <c r="AI98" s="1"/>
      <c r="AJ98" s="1"/>
      <c r="AK98" s="1"/>
    </row>
    <row r="99" spans="1:37" x14ac:dyDescent="0.25">
      <c r="A99" s="18" t="s">
        <v>336</v>
      </c>
      <c r="B99" s="14"/>
      <c r="C99" s="14"/>
      <c r="D99" s="302"/>
      <c r="E99" s="96"/>
      <c r="F99" s="23">
        <f t="shared" ref="F99:U99" si="42">F92/(1+$C$20)^(F$35-$F$35+1)</f>
        <v>6029601.9492795719</v>
      </c>
      <c r="G99" s="23">
        <f t="shared" si="42"/>
        <v>5477231.3468542425</v>
      </c>
      <c r="H99" s="23">
        <f t="shared" si="42"/>
        <v>4974540.2322811931</v>
      </c>
      <c r="I99" s="23">
        <f t="shared" si="42"/>
        <v>4516056.0121378591</v>
      </c>
      <c r="J99" s="46">
        <f t="shared" si="42"/>
        <v>4097093.2521587722</v>
      </c>
      <c r="K99" s="23">
        <f t="shared" si="42"/>
        <v>3197548.6262539285</v>
      </c>
      <c r="L99" s="23">
        <f t="shared" si="42"/>
        <v>2902830.3604678162</v>
      </c>
      <c r="M99" s="23">
        <f t="shared" si="42"/>
        <v>2616587.6303122677</v>
      </c>
      <c r="N99" s="23">
        <f t="shared" si="42"/>
        <v>-9.6999638942800198E-12</v>
      </c>
      <c r="O99" s="46">
        <f t="shared" si="42"/>
        <v>-9.2266373958717961E-12</v>
      </c>
      <c r="P99" s="23">
        <f t="shared" si="42"/>
        <v>-8.7764076817956789E-12</v>
      </c>
      <c r="Q99" s="23">
        <f t="shared" si="42"/>
        <v>-8.3481477045521534E-12</v>
      </c>
      <c r="R99" s="23">
        <f t="shared" si="42"/>
        <v>-7.9407854128718285E-12</v>
      </c>
      <c r="S99" s="23">
        <f t="shared" si="42"/>
        <v>-7.5533010680793586E-12</v>
      </c>
      <c r="T99" s="46">
        <f t="shared" si="42"/>
        <v>-7.184724691410025E-12</v>
      </c>
      <c r="U99" s="23">
        <f t="shared" si="42"/>
        <v>-6.8341336358889221E-12</v>
      </c>
      <c r="V99" s="1"/>
      <c r="W99" s="37"/>
      <c r="X99" s="38"/>
      <c r="Y99" s="1"/>
    </row>
    <row r="100" spans="1:37" ht="30.75" customHeight="1" x14ac:dyDescent="0.25">
      <c r="A100" s="359" t="s">
        <v>298</v>
      </c>
      <c r="B100" s="359"/>
      <c r="C100" s="24">
        <f>SUM($D$99:$U$99)</f>
        <v>33811489.409745649</v>
      </c>
      <c r="D100" s="69"/>
      <c r="E100" s="97"/>
      <c r="F100" s="83"/>
      <c r="G100" s="69"/>
      <c r="H100" s="69"/>
      <c r="I100" s="69"/>
      <c r="J100" s="97"/>
      <c r="K100" s="69"/>
      <c r="L100" s="69"/>
      <c r="M100" s="69"/>
      <c r="N100" s="69"/>
      <c r="O100" s="97"/>
      <c r="P100" s="69"/>
      <c r="Q100" s="69"/>
      <c r="R100" s="69"/>
      <c r="S100" s="69"/>
      <c r="T100" s="97"/>
      <c r="U100" s="69"/>
      <c r="V100" s="1"/>
      <c r="W100" s="37"/>
      <c r="X100" s="38" t="s">
        <v>337</v>
      </c>
      <c r="Y100" s="1"/>
      <c r="Z100" s="1"/>
      <c r="AA100" s="1"/>
      <c r="AB100" s="1"/>
      <c r="AC100" s="1"/>
      <c r="AD100" s="1"/>
      <c r="AE100" s="1"/>
      <c r="AF100" s="1"/>
      <c r="AG100" s="1"/>
      <c r="AH100" s="1"/>
      <c r="AI100" s="1"/>
      <c r="AJ100" s="1"/>
      <c r="AK100" s="1"/>
    </row>
    <row r="101" spans="1:37" x14ac:dyDescent="0.25">
      <c r="A101" s="18"/>
      <c r="B101" s="24"/>
      <c r="C101" s="24"/>
      <c r="D101" s="69"/>
      <c r="E101" s="97"/>
      <c r="F101" s="83"/>
      <c r="G101" s="69"/>
      <c r="H101" s="69"/>
      <c r="I101" s="69"/>
      <c r="J101" s="97"/>
      <c r="K101" s="69"/>
      <c r="L101" s="69"/>
      <c r="M101" s="69"/>
      <c r="N101" s="69"/>
      <c r="O101" s="97"/>
      <c r="P101" s="69"/>
      <c r="Q101" s="69"/>
      <c r="R101" s="69"/>
      <c r="S101" s="69"/>
      <c r="T101" s="97"/>
      <c r="U101" s="69"/>
      <c r="V101" s="1"/>
      <c r="W101" s="37"/>
      <c r="X101" s="38"/>
      <c r="Y101" s="1"/>
      <c r="Z101" s="1"/>
      <c r="AA101" s="1"/>
      <c r="AB101" s="1"/>
      <c r="AC101" s="1"/>
      <c r="AD101" s="1"/>
      <c r="AE101" s="1"/>
      <c r="AF101" s="1"/>
      <c r="AG101" s="1"/>
      <c r="AH101" s="1"/>
      <c r="AI101" s="1"/>
      <c r="AJ101" s="1"/>
      <c r="AK101" s="1"/>
    </row>
    <row r="102" spans="1:37" x14ac:dyDescent="0.25">
      <c r="A102" s="14" t="s">
        <v>102</v>
      </c>
      <c r="B102" s="14"/>
      <c r="C102" s="14"/>
      <c r="D102" s="302"/>
      <c r="E102" s="96"/>
      <c r="F102" s="23">
        <f t="shared" ref="F102:U102" si="43">IF($C$8=$N$2,$C$23*F62,0)</f>
        <v>0</v>
      </c>
      <c r="G102" s="23">
        <f t="shared" si="43"/>
        <v>0</v>
      </c>
      <c r="H102" s="23">
        <f t="shared" si="43"/>
        <v>0</v>
      </c>
      <c r="I102" s="23">
        <f t="shared" si="43"/>
        <v>0</v>
      </c>
      <c r="J102" s="46">
        <f t="shared" si="43"/>
        <v>0</v>
      </c>
      <c r="K102" s="23">
        <f t="shared" si="43"/>
        <v>0</v>
      </c>
      <c r="L102" s="23">
        <f t="shared" si="43"/>
        <v>0</v>
      </c>
      <c r="M102" s="23">
        <f t="shared" si="43"/>
        <v>0</v>
      </c>
      <c r="N102" s="23">
        <f t="shared" si="43"/>
        <v>0</v>
      </c>
      <c r="O102" s="46">
        <f t="shared" si="43"/>
        <v>0</v>
      </c>
      <c r="P102" s="23">
        <f t="shared" si="43"/>
        <v>0</v>
      </c>
      <c r="Q102" s="23">
        <f t="shared" si="43"/>
        <v>0</v>
      </c>
      <c r="R102" s="23">
        <f t="shared" si="43"/>
        <v>0</v>
      </c>
      <c r="S102" s="23">
        <f t="shared" si="43"/>
        <v>0</v>
      </c>
      <c r="T102" s="46">
        <f t="shared" si="43"/>
        <v>0</v>
      </c>
      <c r="U102" s="23">
        <f t="shared" si="43"/>
        <v>0</v>
      </c>
      <c r="V102" s="1"/>
      <c r="W102" s="37"/>
      <c r="X102" s="38"/>
      <c r="Y102" s="1"/>
      <c r="Z102" s="1"/>
      <c r="AA102" s="1"/>
      <c r="AB102" s="1"/>
      <c r="AC102" s="1"/>
      <c r="AD102" s="1"/>
      <c r="AE102" s="1"/>
      <c r="AF102" s="1"/>
      <c r="AG102" s="1"/>
      <c r="AH102" s="1"/>
      <c r="AI102" s="1"/>
      <c r="AJ102" s="1"/>
      <c r="AK102" s="1"/>
    </row>
    <row r="103" spans="1:37" x14ac:dyDescent="0.25">
      <c r="A103" s="18" t="s">
        <v>314</v>
      </c>
      <c r="B103" s="14"/>
      <c r="C103" s="14"/>
      <c r="D103" s="302"/>
      <c r="E103" s="96"/>
      <c r="F103" s="23">
        <f>F102/(1+$C$20)^(F$35-$F$35+1)</f>
        <v>0</v>
      </c>
      <c r="G103" s="23">
        <f t="shared" ref="G103:U103" si="44">G102/(1+$C$20)^(G$35-$F$35+1)</f>
        <v>0</v>
      </c>
      <c r="H103" s="23">
        <f t="shared" si="44"/>
        <v>0</v>
      </c>
      <c r="I103" s="23">
        <f t="shared" si="44"/>
        <v>0</v>
      </c>
      <c r="J103" s="46">
        <f t="shared" si="44"/>
        <v>0</v>
      </c>
      <c r="K103" s="23">
        <f t="shared" si="44"/>
        <v>0</v>
      </c>
      <c r="L103" s="23">
        <f t="shared" si="44"/>
        <v>0</v>
      </c>
      <c r="M103" s="23">
        <f t="shared" si="44"/>
        <v>0</v>
      </c>
      <c r="N103" s="23">
        <f t="shared" si="44"/>
        <v>0</v>
      </c>
      <c r="O103" s="46">
        <f t="shared" si="44"/>
        <v>0</v>
      </c>
      <c r="P103" s="23">
        <f t="shared" si="44"/>
        <v>0</v>
      </c>
      <c r="Q103" s="23">
        <f t="shared" si="44"/>
        <v>0</v>
      </c>
      <c r="R103" s="23">
        <f t="shared" si="44"/>
        <v>0</v>
      </c>
      <c r="S103" s="23">
        <f t="shared" si="44"/>
        <v>0</v>
      </c>
      <c r="T103" s="46">
        <f t="shared" si="44"/>
        <v>0</v>
      </c>
      <c r="U103" s="23">
        <f t="shared" si="44"/>
        <v>0</v>
      </c>
      <c r="V103" s="1"/>
      <c r="W103" s="37"/>
      <c r="X103" s="38" t="s">
        <v>338</v>
      </c>
      <c r="Y103" s="1"/>
      <c r="Z103" s="1"/>
      <c r="AA103" s="1"/>
      <c r="AB103" s="1"/>
      <c r="AC103" s="1"/>
      <c r="AD103" s="1"/>
      <c r="AE103" s="1"/>
      <c r="AF103" s="1"/>
      <c r="AG103" s="1"/>
      <c r="AH103" s="1"/>
      <c r="AI103" s="1"/>
      <c r="AJ103" s="1"/>
      <c r="AK103" s="1"/>
    </row>
    <row r="104" spans="1:37" x14ac:dyDescent="0.25">
      <c r="A104" s="18" t="s">
        <v>315</v>
      </c>
      <c r="B104" s="14"/>
      <c r="C104" s="24">
        <f>SUM($D$103:$U$103)</f>
        <v>0</v>
      </c>
      <c r="D104" s="11"/>
      <c r="E104" s="112"/>
      <c r="F104" s="79"/>
      <c r="G104" s="79"/>
      <c r="H104" s="79"/>
      <c r="I104" s="79"/>
      <c r="J104" s="112"/>
      <c r="K104" s="79"/>
      <c r="L104" s="79"/>
      <c r="M104" s="79"/>
      <c r="N104" s="79"/>
      <c r="O104" s="112"/>
      <c r="P104" s="79"/>
      <c r="Q104" s="79"/>
      <c r="R104" s="79"/>
      <c r="S104" s="79"/>
      <c r="T104" s="112"/>
      <c r="U104" s="79"/>
      <c r="V104" s="1"/>
      <c r="W104" s="37"/>
      <c r="X104" s="38"/>
      <c r="Y104" s="1"/>
      <c r="Z104" s="1"/>
      <c r="AA104" s="1"/>
      <c r="AB104" s="1"/>
      <c r="AC104" s="1"/>
      <c r="AD104" s="1"/>
      <c r="AE104" s="1"/>
      <c r="AF104" s="1"/>
      <c r="AG104" s="1"/>
      <c r="AH104" s="1"/>
      <c r="AI104" s="1"/>
      <c r="AJ104" s="1"/>
      <c r="AK104" s="1"/>
    </row>
    <row r="105" spans="1:37" x14ac:dyDescent="0.25">
      <c r="A105" s="1"/>
      <c r="B105" s="1"/>
      <c r="C105" s="1"/>
      <c r="D105" s="2"/>
      <c r="E105" s="47"/>
      <c r="F105" s="1"/>
      <c r="G105" s="1"/>
      <c r="H105" s="1"/>
      <c r="I105" s="1"/>
      <c r="J105" s="47"/>
      <c r="K105" s="1"/>
      <c r="L105" s="1"/>
      <c r="M105" s="1"/>
      <c r="N105" s="1"/>
      <c r="O105" s="47"/>
      <c r="P105" s="1"/>
      <c r="Q105" s="1"/>
      <c r="R105" s="1"/>
      <c r="S105" s="1"/>
      <c r="T105" s="47"/>
      <c r="U105" s="1"/>
      <c r="V105" s="1"/>
      <c r="W105" s="1"/>
      <c r="X105" s="1"/>
      <c r="Y105" s="1"/>
      <c r="Z105" s="1"/>
      <c r="AA105" s="1"/>
      <c r="AB105" s="1"/>
      <c r="AC105" s="1"/>
      <c r="AD105" s="1"/>
      <c r="AE105" s="1"/>
      <c r="AF105" s="1"/>
      <c r="AG105" s="1"/>
      <c r="AH105" s="1"/>
      <c r="AI105" s="1"/>
      <c r="AJ105" s="1"/>
      <c r="AK105" s="1"/>
    </row>
    <row r="106" spans="1:37" ht="11.25" customHeight="1" x14ac:dyDescent="0.25">
      <c r="A106" s="269" t="s">
        <v>290</v>
      </c>
      <c r="B106" s="37" t="s">
        <v>339</v>
      </c>
      <c r="C106" s="1"/>
      <c r="D106" s="2"/>
      <c r="E106" s="47"/>
      <c r="F106" s="1"/>
      <c r="G106" s="1"/>
      <c r="H106" s="1"/>
      <c r="I106" s="1"/>
      <c r="J106" s="47"/>
      <c r="K106" s="1"/>
      <c r="L106" s="1"/>
      <c r="M106" s="1"/>
      <c r="N106" s="1"/>
      <c r="O106" s="47"/>
      <c r="P106" s="1"/>
      <c r="Q106" s="1"/>
      <c r="R106" s="1"/>
      <c r="S106" s="1"/>
      <c r="T106" s="47"/>
      <c r="U106" s="1"/>
      <c r="V106" s="1"/>
      <c r="W106" s="1"/>
      <c r="X106" s="1"/>
      <c r="Y106" s="1"/>
      <c r="Z106" s="1"/>
      <c r="AA106" s="1"/>
      <c r="AB106" s="1"/>
      <c r="AC106" s="1"/>
      <c r="AD106" s="1"/>
      <c r="AE106" s="1"/>
      <c r="AF106" s="1"/>
      <c r="AG106" s="1"/>
      <c r="AH106" s="1"/>
      <c r="AI106" s="1"/>
      <c r="AJ106" s="1"/>
      <c r="AK106" s="1"/>
    </row>
    <row r="107" spans="1:37" ht="11.25" customHeight="1" x14ac:dyDescent="0.25">
      <c r="A107" s="269" t="s">
        <v>291</v>
      </c>
      <c r="B107" s="270" t="s">
        <v>348</v>
      </c>
      <c r="C107" s="41"/>
      <c r="D107" s="69"/>
      <c r="E107" s="97"/>
      <c r="F107" s="83"/>
      <c r="G107" s="69"/>
      <c r="H107" s="69"/>
      <c r="I107" s="69"/>
      <c r="J107" s="97"/>
      <c r="K107" s="69"/>
      <c r="L107" s="69"/>
      <c r="M107" s="69"/>
      <c r="N107" s="69"/>
      <c r="O107" s="97"/>
      <c r="P107" s="69"/>
      <c r="Q107" s="69"/>
      <c r="R107" s="69"/>
      <c r="S107" s="69"/>
      <c r="T107" s="97"/>
      <c r="U107" s="69"/>
      <c r="V107" s="1"/>
      <c r="W107" s="37"/>
      <c r="X107" s="38"/>
      <c r="Y107" s="1"/>
      <c r="Z107" s="1"/>
      <c r="AA107" s="1"/>
      <c r="AB107" s="1"/>
      <c r="AC107" s="1"/>
      <c r="AD107" s="1"/>
      <c r="AE107" s="1"/>
      <c r="AF107" s="1"/>
      <c r="AG107" s="1"/>
      <c r="AH107" s="1"/>
      <c r="AI107" s="1"/>
      <c r="AJ107" s="1"/>
      <c r="AK107" s="1"/>
    </row>
    <row r="108" spans="1:37" x14ac:dyDescent="0.25">
      <c r="A108" s="269"/>
      <c r="B108" s="270"/>
      <c r="C108" s="41"/>
      <c r="D108" s="69"/>
      <c r="E108" s="97"/>
      <c r="F108" s="83"/>
      <c r="G108" s="69"/>
      <c r="H108" s="69"/>
      <c r="I108" s="69"/>
      <c r="J108" s="97"/>
      <c r="K108" s="69"/>
      <c r="L108" s="69"/>
      <c r="M108" s="69"/>
      <c r="N108" s="69"/>
      <c r="O108" s="97"/>
      <c r="P108" s="69"/>
      <c r="Q108" s="69"/>
      <c r="R108" s="69"/>
      <c r="S108" s="69"/>
      <c r="T108" s="97"/>
      <c r="U108" s="69"/>
      <c r="V108" s="1"/>
      <c r="W108" s="37"/>
      <c r="X108" s="38"/>
      <c r="Y108" s="1"/>
      <c r="Z108" s="1"/>
      <c r="AA108" s="1"/>
      <c r="AB108" s="1"/>
      <c r="AC108" s="1"/>
      <c r="AD108" s="1"/>
      <c r="AE108" s="1"/>
      <c r="AF108" s="1"/>
      <c r="AG108" s="1"/>
      <c r="AH108" s="1"/>
      <c r="AI108" s="1"/>
      <c r="AJ108" s="1"/>
      <c r="AK108" s="1"/>
    </row>
    <row r="109" spans="1:37" ht="18.75" x14ac:dyDescent="0.3">
      <c r="A109" s="17" t="s">
        <v>35</v>
      </c>
      <c r="B109" s="79"/>
      <c r="C109" s="79"/>
      <c r="D109" s="11"/>
      <c r="E109" s="80"/>
      <c r="F109" s="82"/>
      <c r="G109" s="81"/>
      <c r="H109" s="81"/>
      <c r="I109" s="81"/>
      <c r="J109" s="80"/>
      <c r="K109" s="81"/>
      <c r="L109" s="81"/>
      <c r="M109" s="81"/>
      <c r="N109" s="81"/>
      <c r="O109" s="80"/>
      <c r="P109" s="81"/>
      <c r="Q109" s="81"/>
      <c r="R109" s="81"/>
      <c r="S109" s="81"/>
      <c r="T109" s="80"/>
      <c r="U109" s="81"/>
      <c r="V109" s="1"/>
      <c r="W109" s="37"/>
      <c r="X109" s="1"/>
      <c r="Y109" s="1"/>
    </row>
    <row r="110" spans="1:37" x14ac:dyDescent="0.25">
      <c r="A110" s="74" t="s">
        <v>36</v>
      </c>
      <c r="B110" s="70"/>
      <c r="C110" s="70"/>
      <c r="D110" s="303"/>
      <c r="E110" s="72"/>
      <c r="F110" s="77">
        <f t="shared" ref="F110:U110" si="45">(F86*$C$20)/(1-$C$23)+(F57*(1-$C$23)+(IF($C$8=$N$2,0,F62)+(-$C$22*$C$21*F86))*$C$23)/(1-$C$23)</f>
        <v>6338920.5292776134</v>
      </c>
      <c r="G110" s="77">
        <f t="shared" si="45"/>
        <v>6053609.65800469</v>
      </c>
      <c r="H110" s="77">
        <f t="shared" si="45"/>
        <v>5780067.9086522572</v>
      </c>
      <c r="I110" s="77">
        <f t="shared" si="45"/>
        <v>5516529.9129322413</v>
      </c>
      <c r="J110" s="77">
        <f t="shared" si="45"/>
        <v>5261495.1077997796</v>
      </c>
      <c r="K110" s="77">
        <f t="shared" si="45"/>
        <v>4316951.2482434139</v>
      </c>
      <c r="L110" s="77">
        <f t="shared" si="45"/>
        <v>4120105.2229783051</v>
      </c>
      <c r="M110" s="77">
        <f t="shared" si="45"/>
        <v>3904348.712811321</v>
      </c>
      <c r="N110" s="77">
        <f t="shared" si="45"/>
        <v>-1.5216336275140442E-11</v>
      </c>
      <c r="O110" s="77">
        <f t="shared" si="45"/>
        <v>-1.5216336275140442E-11</v>
      </c>
      <c r="P110" s="77">
        <f t="shared" si="45"/>
        <v>-1.5216336275140442E-11</v>
      </c>
      <c r="Q110" s="77">
        <f t="shared" si="45"/>
        <v>-1.5216336275140442E-11</v>
      </c>
      <c r="R110" s="77">
        <f t="shared" si="45"/>
        <v>-1.5216336275140442E-11</v>
      </c>
      <c r="S110" s="77">
        <f t="shared" si="45"/>
        <v>-1.5216336275140442E-11</v>
      </c>
      <c r="T110" s="77">
        <f t="shared" si="45"/>
        <v>-1.5216336275140442E-11</v>
      </c>
      <c r="U110" s="77">
        <f t="shared" si="45"/>
        <v>-1.5216336275140442E-11</v>
      </c>
      <c r="V110" s="1"/>
      <c r="W110" s="37" t="s">
        <v>79</v>
      </c>
      <c r="X110" s="38" t="s">
        <v>283</v>
      </c>
      <c r="Y110" s="1"/>
      <c r="Z110" s="1"/>
      <c r="AA110" s="1"/>
      <c r="AB110" s="1"/>
      <c r="AC110" s="1"/>
      <c r="AD110" s="1"/>
      <c r="AE110" s="1"/>
      <c r="AF110" s="1"/>
      <c r="AG110" s="1"/>
      <c r="AH110" s="1"/>
      <c r="AI110" s="1"/>
      <c r="AJ110" s="1"/>
      <c r="AK110" s="1"/>
    </row>
    <row r="111" spans="1:37" x14ac:dyDescent="0.25">
      <c r="A111" s="74" t="s">
        <v>7</v>
      </c>
      <c r="B111" s="70"/>
      <c r="C111" s="70"/>
      <c r="D111" s="303"/>
      <c r="E111" s="72"/>
      <c r="F111" s="71">
        <f t="shared" ref="F111:U111" si="46">-F57</f>
        <v>-4395954.5428389832</v>
      </c>
      <c r="G111" s="71">
        <f t="shared" si="46"/>
        <v>-4395954.5428389832</v>
      </c>
      <c r="H111" s="71">
        <f t="shared" si="46"/>
        <v>-4395954.5428389832</v>
      </c>
      <c r="I111" s="71">
        <f t="shared" si="46"/>
        <v>-4395954.5428389832</v>
      </c>
      <c r="J111" s="72">
        <f t="shared" si="46"/>
        <v>-4395954.5428389832</v>
      </c>
      <c r="K111" s="71">
        <f t="shared" si="46"/>
        <v>-3956359.0885550841</v>
      </c>
      <c r="L111" s="71">
        <f t="shared" si="46"/>
        <v>-3956359.0885550836</v>
      </c>
      <c r="M111" s="71">
        <f t="shared" si="46"/>
        <v>-3956359.0885550836</v>
      </c>
      <c r="N111" s="71">
        <f t="shared" si="46"/>
        <v>0</v>
      </c>
      <c r="O111" s="72">
        <f t="shared" si="46"/>
        <v>0</v>
      </c>
      <c r="P111" s="71">
        <f t="shared" si="46"/>
        <v>0</v>
      </c>
      <c r="Q111" s="71">
        <f t="shared" si="46"/>
        <v>0</v>
      </c>
      <c r="R111" s="71">
        <f t="shared" si="46"/>
        <v>0</v>
      </c>
      <c r="S111" s="71">
        <f t="shared" si="46"/>
        <v>0</v>
      </c>
      <c r="T111" s="72">
        <f t="shared" si="46"/>
        <v>0</v>
      </c>
      <c r="U111" s="71">
        <f t="shared" si="46"/>
        <v>0</v>
      </c>
      <c r="V111" s="1"/>
      <c r="W111" s="37" t="s">
        <v>70</v>
      </c>
      <c r="X111" s="1"/>
      <c r="Y111" s="1"/>
      <c r="Z111" s="1"/>
      <c r="AA111" s="1"/>
      <c r="AB111" s="1"/>
      <c r="AC111" s="1"/>
      <c r="AD111" s="1"/>
      <c r="AE111" s="1"/>
      <c r="AF111" s="1"/>
      <c r="AG111" s="1"/>
      <c r="AH111" s="1"/>
      <c r="AI111" s="1"/>
      <c r="AJ111" s="1"/>
      <c r="AK111" s="1"/>
    </row>
    <row r="112" spans="1:37" x14ac:dyDescent="0.25">
      <c r="A112" s="75" t="s">
        <v>9</v>
      </c>
      <c r="B112" s="70"/>
      <c r="C112" s="70"/>
      <c r="D112" s="303"/>
      <c r="E112" s="72"/>
      <c r="F112" s="71">
        <f t="shared" ref="F112:U112" si="47">-($C$22*$C$21*F86)</f>
        <v>-505264.74388516194</v>
      </c>
      <c r="G112" s="71">
        <f t="shared" si="47"/>
        <v>-439072.84294249519</v>
      </c>
      <c r="H112" s="71">
        <f t="shared" si="47"/>
        <v>-375611.36916114786</v>
      </c>
      <c r="I112" s="71">
        <f t="shared" si="47"/>
        <v>-314470.75846692186</v>
      </c>
      <c r="J112" s="72">
        <f t="shared" si="47"/>
        <v>-255302.88139674914</v>
      </c>
      <c r="K112" s="71">
        <f t="shared" si="47"/>
        <v>-177816.3890734642</v>
      </c>
      <c r="L112" s="71">
        <f t="shared" si="47"/>
        <v>-132148.26382056507</v>
      </c>
      <c r="M112" s="71">
        <f t="shared" si="47"/>
        <v>-82092.920731141538</v>
      </c>
      <c r="N112" s="71">
        <f t="shared" si="47"/>
        <v>3.5301782190799713E-12</v>
      </c>
      <c r="O112" s="72">
        <f t="shared" si="47"/>
        <v>3.5301782190799713E-12</v>
      </c>
      <c r="P112" s="71">
        <f t="shared" si="47"/>
        <v>3.5301782190799713E-12</v>
      </c>
      <c r="Q112" s="71">
        <f t="shared" si="47"/>
        <v>3.5301782190799713E-12</v>
      </c>
      <c r="R112" s="71">
        <f t="shared" si="47"/>
        <v>3.5301782190799713E-12</v>
      </c>
      <c r="S112" s="71">
        <f t="shared" si="47"/>
        <v>3.5301782190799713E-12</v>
      </c>
      <c r="T112" s="72">
        <f t="shared" si="47"/>
        <v>3.5301782190799713E-12</v>
      </c>
      <c r="U112" s="71">
        <f t="shared" si="47"/>
        <v>3.5301782190799713E-12</v>
      </c>
      <c r="V112" s="1"/>
      <c r="W112" s="37"/>
      <c r="X112" s="38"/>
      <c r="Y112" s="1"/>
    </row>
    <row r="113" spans="1:37" x14ac:dyDescent="0.25">
      <c r="A113" s="74" t="s">
        <v>8</v>
      </c>
      <c r="B113" s="70"/>
      <c r="C113" s="70"/>
      <c r="D113" s="303"/>
      <c r="E113" s="72"/>
      <c r="F113" s="71">
        <f t="shared" ref="F113:U113" si="48">IF($C$8=$O$2,F62,0)</f>
        <v>-604045.45716101676</v>
      </c>
      <c r="G113" s="71">
        <f t="shared" si="48"/>
        <v>-604045.45716101676</v>
      </c>
      <c r="H113" s="71">
        <f t="shared" si="48"/>
        <v>-604045.45716101676</v>
      </c>
      <c r="I113" s="71">
        <f t="shared" si="48"/>
        <v>-604045.45716101676</v>
      </c>
      <c r="J113" s="72">
        <f t="shared" si="48"/>
        <v>-604045.45716101676</v>
      </c>
      <c r="K113" s="71">
        <f t="shared" si="48"/>
        <v>-1043640.9114449159</v>
      </c>
      <c r="L113" s="71">
        <f t="shared" si="48"/>
        <v>-1043640.9114449164</v>
      </c>
      <c r="M113" s="71">
        <f t="shared" si="48"/>
        <v>-1043640.9114449164</v>
      </c>
      <c r="N113" s="71">
        <f t="shared" si="48"/>
        <v>0</v>
      </c>
      <c r="O113" s="72">
        <f t="shared" si="48"/>
        <v>0</v>
      </c>
      <c r="P113" s="71">
        <f t="shared" si="48"/>
        <v>0</v>
      </c>
      <c r="Q113" s="71">
        <f t="shared" si="48"/>
        <v>0</v>
      </c>
      <c r="R113" s="71">
        <f t="shared" si="48"/>
        <v>0</v>
      </c>
      <c r="S113" s="71">
        <f t="shared" si="48"/>
        <v>0</v>
      </c>
      <c r="T113" s="72">
        <f t="shared" si="48"/>
        <v>0</v>
      </c>
      <c r="U113" s="71">
        <f t="shared" si="48"/>
        <v>0</v>
      </c>
      <c r="V113" s="1"/>
      <c r="W113" s="37" t="s">
        <v>71</v>
      </c>
      <c r="X113" s="38"/>
      <c r="Y113" s="1"/>
      <c r="Z113" s="1"/>
      <c r="AA113" s="1"/>
      <c r="AB113" s="1"/>
      <c r="AC113" s="1"/>
      <c r="AD113" s="1"/>
      <c r="AE113" s="1"/>
      <c r="AF113" s="1"/>
      <c r="AG113" s="1"/>
      <c r="AH113" s="1"/>
      <c r="AI113" s="1"/>
      <c r="AJ113" s="1"/>
      <c r="AK113" s="1"/>
    </row>
    <row r="114" spans="1:37" x14ac:dyDescent="0.25">
      <c r="A114" s="70"/>
      <c r="B114" s="70"/>
      <c r="C114" s="70"/>
      <c r="D114" s="303"/>
      <c r="E114" s="72"/>
      <c r="F114" s="71"/>
      <c r="G114" s="71"/>
      <c r="H114" s="71"/>
      <c r="I114" s="71"/>
      <c r="J114" s="72"/>
      <c r="K114" s="71"/>
      <c r="L114" s="71"/>
      <c r="M114" s="71"/>
      <c r="N114" s="71"/>
      <c r="O114" s="72"/>
      <c r="P114" s="71"/>
      <c r="Q114" s="71"/>
      <c r="R114" s="71"/>
      <c r="S114" s="71"/>
      <c r="T114" s="72"/>
      <c r="U114" s="71"/>
      <c r="V114" s="1"/>
      <c r="W114" s="37"/>
      <c r="X114" s="1"/>
      <c r="Y114" s="1"/>
      <c r="Z114" s="1"/>
      <c r="AA114" s="1"/>
      <c r="AB114" s="1"/>
      <c r="AC114" s="1"/>
      <c r="AD114" s="1"/>
      <c r="AE114" s="1"/>
      <c r="AF114" s="1"/>
      <c r="AG114" s="1"/>
      <c r="AH114" s="1"/>
      <c r="AI114" s="1"/>
      <c r="AJ114" s="1"/>
      <c r="AK114" s="1"/>
    </row>
    <row r="115" spans="1:37" x14ac:dyDescent="0.25">
      <c r="A115" s="74" t="s">
        <v>324</v>
      </c>
      <c r="B115" s="70"/>
      <c r="C115" s="70"/>
      <c r="D115" s="303"/>
      <c r="E115" s="72"/>
      <c r="F115" s="73">
        <f>SUM(F110:F113)</f>
        <v>833655.78539245157</v>
      </c>
      <c r="G115" s="73">
        <f t="shared" ref="G115:U115" si="49">SUM(G110:G113)</f>
        <v>614536.81506219483</v>
      </c>
      <c r="H115" s="73">
        <f t="shared" si="49"/>
        <v>404456.53949110932</v>
      </c>
      <c r="I115" s="303">
        <f t="shared" si="49"/>
        <v>202059.15446531947</v>
      </c>
      <c r="J115" s="72">
        <f t="shared" si="49"/>
        <v>6192.2264030304505</v>
      </c>
      <c r="K115" s="73">
        <f t="shared" si="49"/>
        <v>-860865.14083005034</v>
      </c>
      <c r="L115" s="73">
        <f t="shared" si="49"/>
        <v>-1012043.04084226</v>
      </c>
      <c r="M115" s="73">
        <f t="shared" si="49"/>
        <v>-1177744.2079198204</v>
      </c>
      <c r="N115" s="303">
        <f t="shared" si="49"/>
        <v>-1.168615805606047E-11</v>
      </c>
      <c r="O115" s="72">
        <f t="shared" si="49"/>
        <v>-1.168615805606047E-11</v>
      </c>
      <c r="P115" s="73">
        <f t="shared" si="49"/>
        <v>-1.168615805606047E-11</v>
      </c>
      <c r="Q115" s="73">
        <f t="shared" si="49"/>
        <v>-1.168615805606047E-11</v>
      </c>
      <c r="R115" s="73">
        <f t="shared" si="49"/>
        <v>-1.168615805606047E-11</v>
      </c>
      <c r="S115" s="303">
        <f t="shared" si="49"/>
        <v>-1.168615805606047E-11</v>
      </c>
      <c r="T115" s="72">
        <f t="shared" si="49"/>
        <v>-1.168615805606047E-11</v>
      </c>
      <c r="U115" s="73">
        <f t="shared" si="49"/>
        <v>-1.168615805606047E-11</v>
      </c>
      <c r="V115" s="1"/>
      <c r="W115" s="37" t="s">
        <v>325</v>
      </c>
      <c r="X115" s="38"/>
      <c r="Y115" s="1"/>
    </row>
    <row r="116" spans="1:37" x14ac:dyDescent="0.25">
      <c r="A116" s="70"/>
      <c r="B116" s="70"/>
      <c r="C116" s="70"/>
      <c r="D116" s="303"/>
      <c r="E116" s="72"/>
      <c r="F116" s="71"/>
      <c r="G116" s="71"/>
      <c r="H116" s="71"/>
      <c r="I116" s="71"/>
      <c r="J116" s="72"/>
      <c r="K116" s="71"/>
      <c r="L116" s="71"/>
      <c r="M116" s="71"/>
      <c r="N116" s="71"/>
      <c r="O116" s="72"/>
      <c r="P116" s="71"/>
      <c r="Q116" s="71"/>
      <c r="R116" s="71"/>
      <c r="S116" s="71"/>
      <c r="T116" s="72"/>
      <c r="U116" s="71"/>
      <c r="V116" s="1"/>
      <c r="W116" s="37"/>
      <c r="X116" s="1"/>
      <c r="Y116" s="1"/>
      <c r="Z116" s="1"/>
      <c r="AA116" s="1"/>
      <c r="AB116" s="1"/>
      <c r="AC116" s="1"/>
      <c r="AD116" s="1"/>
      <c r="AE116" s="1"/>
      <c r="AF116" s="1"/>
      <c r="AG116" s="1"/>
      <c r="AH116" s="1"/>
      <c r="AI116" s="1"/>
      <c r="AJ116" s="1"/>
      <c r="AK116" s="1"/>
    </row>
    <row r="117" spans="1:37" x14ac:dyDescent="0.25">
      <c r="A117" s="74" t="s">
        <v>326</v>
      </c>
      <c r="B117" s="70"/>
      <c r="C117" s="70"/>
      <c r="D117" s="303"/>
      <c r="E117" s="76"/>
      <c r="F117" s="71">
        <f>$C$23*F115</f>
        <v>233423.61990988647</v>
      </c>
      <c r="G117" s="71">
        <f t="shared" ref="G117:U117" si="50">$C$23*G115</f>
        <v>172070.30821741457</v>
      </c>
      <c r="H117" s="71">
        <f t="shared" si="50"/>
        <v>113247.83105751062</v>
      </c>
      <c r="I117" s="71">
        <f t="shared" si="50"/>
        <v>56576.563250289459</v>
      </c>
      <c r="J117" s="72">
        <f t="shared" si="50"/>
        <v>1733.8233928485263</v>
      </c>
      <c r="K117" s="71">
        <f t="shared" si="50"/>
        <v>-241042.23943241412</v>
      </c>
      <c r="L117" s="71">
        <f t="shared" si="50"/>
        <v>-283372.05143583281</v>
      </c>
      <c r="M117" s="71">
        <f t="shared" si="50"/>
        <v>-329768.37821754976</v>
      </c>
      <c r="N117" s="71">
        <f t="shared" si="50"/>
        <v>-3.2721242556969318E-12</v>
      </c>
      <c r="O117" s="72">
        <f t="shared" si="50"/>
        <v>-3.2721242556969318E-12</v>
      </c>
      <c r="P117" s="71">
        <f t="shared" si="50"/>
        <v>-3.2721242556969318E-12</v>
      </c>
      <c r="Q117" s="71">
        <f t="shared" si="50"/>
        <v>-3.2721242556969318E-12</v>
      </c>
      <c r="R117" s="71">
        <f t="shared" si="50"/>
        <v>-3.2721242556969318E-12</v>
      </c>
      <c r="S117" s="71">
        <f t="shared" si="50"/>
        <v>-3.2721242556969318E-12</v>
      </c>
      <c r="T117" s="72">
        <f t="shared" si="50"/>
        <v>-3.2721242556969318E-12</v>
      </c>
      <c r="U117" s="71">
        <f t="shared" si="50"/>
        <v>-3.2721242556969318E-12</v>
      </c>
      <c r="V117" s="1"/>
      <c r="W117" s="37" t="s">
        <v>68</v>
      </c>
      <c r="X117" s="38" t="s">
        <v>284</v>
      </c>
      <c r="Y117" s="1"/>
    </row>
    <row r="118" spans="1:37" x14ac:dyDescent="0.25">
      <c r="A118" s="115" t="s">
        <v>103</v>
      </c>
      <c r="B118" s="34"/>
      <c r="C118" s="34"/>
      <c r="D118" s="304"/>
      <c r="E118" s="50"/>
      <c r="F118" s="35">
        <f t="shared" ref="F118:U118" si="51">F117-F91</f>
        <v>0</v>
      </c>
      <c r="G118" s="35">
        <f t="shared" si="51"/>
        <v>0</v>
      </c>
      <c r="H118" s="35">
        <f t="shared" si="51"/>
        <v>0</v>
      </c>
      <c r="I118" s="35">
        <f t="shared" si="51"/>
        <v>-7.2759576141834259E-11</v>
      </c>
      <c r="J118" s="35">
        <f t="shared" si="51"/>
        <v>-1.907665136968717E-10</v>
      </c>
      <c r="K118" s="35">
        <f t="shared" si="51"/>
        <v>0</v>
      </c>
      <c r="L118" s="35">
        <f t="shared" si="51"/>
        <v>0</v>
      </c>
      <c r="M118" s="35">
        <f t="shared" si="51"/>
        <v>0</v>
      </c>
      <c r="N118" s="35">
        <f t="shared" si="51"/>
        <v>0</v>
      </c>
      <c r="O118" s="35">
        <f t="shared" si="51"/>
        <v>0</v>
      </c>
      <c r="P118" s="35">
        <f t="shared" si="51"/>
        <v>0</v>
      </c>
      <c r="Q118" s="35">
        <f t="shared" si="51"/>
        <v>0</v>
      </c>
      <c r="R118" s="35">
        <f t="shared" si="51"/>
        <v>0</v>
      </c>
      <c r="S118" s="35">
        <f t="shared" si="51"/>
        <v>0</v>
      </c>
      <c r="T118" s="35">
        <f t="shared" si="51"/>
        <v>0</v>
      </c>
      <c r="U118" s="35">
        <f t="shared" si="51"/>
        <v>0</v>
      </c>
      <c r="V118" s="1"/>
      <c r="W118" s="37"/>
      <c r="X118" s="38" t="s">
        <v>285</v>
      </c>
      <c r="Y118" s="1"/>
    </row>
    <row r="119" spans="1:37" x14ac:dyDescent="0.25">
      <c r="A119" s="1"/>
      <c r="B119" s="1"/>
      <c r="C119" s="1"/>
      <c r="D119" s="2"/>
      <c r="E119" s="47"/>
      <c r="F119" s="1"/>
      <c r="G119" s="1"/>
      <c r="H119" s="1"/>
      <c r="I119" s="1"/>
      <c r="J119" s="47"/>
      <c r="K119" s="1"/>
      <c r="L119" s="1"/>
      <c r="M119" s="1"/>
      <c r="N119" s="1"/>
      <c r="O119" s="47"/>
      <c r="P119" s="1"/>
      <c r="Q119" s="1"/>
      <c r="R119" s="1"/>
      <c r="S119" s="1"/>
      <c r="T119" s="47"/>
      <c r="U119" s="1"/>
      <c r="V119" s="1"/>
      <c r="W119" s="1"/>
      <c r="X119" s="1"/>
      <c r="Y119" s="1"/>
      <c r="Z119" s="1"/>
      <c r="AA119" s="1"/>
      <c r="AB119" s="1"/>
      <c r="AC119" s="1"/>
      <c r="AD119" s="1"/>
      <c r="AE119" s="1"/>
      <c r="AF119" s="1"/>
      <c r="AG119" s="1"/>
      <c r="AH119" s="1"/>
      <c r="AI119" s="1"/>
      <c r="AJ119" s="1"/>
      <c r="AK119" s="1"/>
    </row>
    <row r="120" spans="1:37" ht="34.5" customHeight="1" x14ac:dyDescent="0.4">
      <c r="A120" s="90" t="s">
        <v>52</v>
      </c>
      <c r="B120" s="1"/>
      <c r="C120" s="1"/>
      <c r="D120" s="2"/>
      <c r="E120" s="47"/>
      <c r="F120" s="1"/>
      <c r="G120" s="1"/>
      <c r="H120" s="1"/>
      <c r="I120" s="1"/>
      <c r="J120" s="47"/>
      <c r="K120" s="1"/>
      <c r="L120" s="1"/>
      <c r="M120" s="1"/>
      <c r="N120" s="1"/>
      <c r="O120" s="47"/>
      <c r="P120" s="1"/>
      <c r="Q120" s="1"/>
      <c r="R120" s="1"/>
      <c r="S120" s="1"/>
      <c r="T120" s="47"/>
      <c r="U120" s="1"/>
      <c r="V120" s="1"/>
      <c r="W120" s="37"/>
      <c r="X120" s="38"/>
      <c r="Y120" s="1"/>
      <c r="Z120" s="1"/>
      <c r="AA120" s="1"/>
      <c r="AB120" s="1"/>
      <c r="AC120" s="1"/>
      <c r="AD120" s="1"/>
      <c r="AE120" s="1"/>
      <c r="AF120" s="1"/>
      <c r="AG120" s="1"/>
      <c r="AH120" s="1"/>
      <c r="AI120" s="1"/>
      <c r="AJ120" s="1"/>
      <c r="AK120" s="1"/>
    </row>
    <row r="121" spans="1:37" ht="26.25" customHeight="1" x14ac:dyDescent="0.25">
      <c r="A121" s="92" t="s">
        <v>292</v>
      </c>
      <c r="B121" s="1"/>
      <c r="C121" s="1"/>
      <c r="D121" s="2"/>
      <c r="E121" s="47"/>
      <c r="F121" s="1"/>
      <c r="G121" s="1"/>
      <c r="H121" s="1"/>
      <c r="I121" s="1"/>
      <c r="J121" s="47"/>
      <c r="K121" s="1"/>
      <c r="L121" s="1"/>
      <c r="M121" s="1"/>
      <c r="N121" s="1"/>
      <c r="O121" s="47"/>
      <c r="P121" s="1"/>
      <c r="Q121" s="1"/>
      <c r="R121" s="1"/>
      <c r="S121" s="1"/>
      <c r="T121" s="47"/>
      <c r="U121" s="1"/>
      <c r="V121" s="1"/>
      <c r="W121" s="37"/>
      <c r="X121" s="38"/>
      <c r="Y121" s="1"/>
      <c r="Z121" s="1"/>
      <c r="AA121" s="1"/>
      <c r="AB121" s="1"/>
      <c r="AC121" s="1"/>
      <c r="AD121" s="1"/>
      <c r="AE121" s="1"/>
      <c r="AF121" s="1"/>
      <c r="AG121" s="1"/>
      <c r="AH121" s="1"/>
      <c r="AI121" s="1"/>
      <c r="AJ121" s="1"/>
      <c r="AK121" s="1"/>
    </row>
    <row r="122" spans="1:37" ht="18.75" x14ac:dyDescent="0.3">
      <c r="A122" s="17" t="s">
        <v>78</v>
      </c>
      <c r="B122" s="1"/>
      <c r="C122" s="1"/>
      <c r="D122" s="2"/>
      <c r="E122" s="47"/>
      <c r="F122" s="1"/>
      <c r="G122" s="1"/>
      <c r="H122" s="1"/>
      <c r="I122" s="1"/>
      <c r="J122" s="47"/>
      <c r="K122" s="1"/>
      <c r="L122" s="1"/>
      <c r="M122" s="1"/>
      <c r="N122" s="1"/>
      <c r="O122" s="47"/>
      <c r="P122" s="1"/>
      <c r="Q122" s="1"/>
      <c r="R122" s="1"/>
      <c r="S122" s="1"/>
      <c r="T122" s="47"/>
      <c r="U122" s="1"/>
      <c r="V122" s="1"/>
      <c r="W122" s="37"/>
      <c r="X122" s="38"/>
      <c r="Y122" s="1"/>
      <c r="Z122" s="1"/>
      <c r="AA122" s="1"/>
      <c r="AB122" s="1"/>
      <c r="AC122" s="1"/>
      <c r="AD122" s="1"/>
      <c r="AE122" s="1"/>
      <c r="AF122" s="1"/>
      <c r="AG122" s="1"/>
      <c r="AH122" s="1"/>
      <c r="AI122" s="1"/>
      <c r="AJ122" s="1"/>
      <c r="AK122" s="1"/>
    </row>
    <row r="123" spans="1:37" ht="30" customHeight="1" x14ac:dyDescent="0.25">
      <c r="A123" s="359" t="str">
        <f>A100</f>
        <v>Present value of revenue from right of use asset at start of next regulatory period (2021) using WACC</v>
      </c>
      <c r="B123" s="359"/>
      <c r="C123" s="24">
        <f>C100</f>
        <v>33811489.409745649</v>
      </c>
      <c r="D123" s="2"/>
      <c r="E123" s="47"/>
      <c r="F123" s="1"/>
      <c r="G123" s="1"/>
      <c r="H123" s="1"/>
      <c r="I123" s="1"/>
      <c r="J123" s="47"/>
      <c r="K123" s="1"/>
      <c r="L123" s="1"/>
      <c r="M123" s="1"/>
      <c r="N123" s="1"/>
      <c r="O123" s="47"/>
      <c r="P123" s="2"/>
      <c r="Q123" s="2"/>
      <c r="R123" s="2"/>
      <c r="S123" s="2"/>
      <c r="T123" s="47"/>
      <c r="U123" s="1"/>
      <c r="V123" s="1"/>
      <c r="W123" s="37"/>
      <c r="X123" s="38"/>
      <c r="Y123" s="1"/>
    </row>
    <row r="124" spans="1:37" x14ac:dyDescent="0.25">
      <c r="A124" s="18" t="str">
        <f>A42</f>
        <v>Present value of remaining lease payments at start of next regulatory period (2021) using WACC</v>
      </c>
      <c r="B124" s="24"/>
      <c r="C124" s="24">
        <f>C42</f>
        <v>32146917.528188027</v>
      </c>
      <c r="D124" s="305"/>
      <c r="E124" s="47"/>
      <c r="F124" s="1"/>
      <c r="G124" s="1"/>
      <c r="H124" s="1"/>
      <c r="I124" s="1"/>
      <c r="J124" s="47"/>
      <c r="K124" s="1"/>
      <c r="L124" s="1"/>
      <c r="M124" s="1"/>
      <c r="N124" s="1"/>
      <c r="O124" s="47"/>
      <c r="P124" s="2"/>
      <c r="Q124" s="2"/>
      <c r="R124" s="2"/>
      <c r="S124" s="2"/>
      <c r="T124" s="47"/>
      <c r="U124" s="1"/>
      <c r="V124" s="1"/>
      <c r="W124" s="37"/>
      <c r="X124" s="38" t="s">
        <v>286</v>
      </c>
      <c r="Y124" s="1"/>
      <c r="Z124" s="1"/>
      <c r="AA124" s="1"/>
      <c r="AB124" s="1"/>
      <c r="AC124" s="1"/>
      <c r="AD124" s="1"/>
      <c r="AE124" s="1"/>
      <c r="AF124" s="1"/>
      <c r="AG124" s="1"/>
      <c r="AH124" s="1"/>
      <c r="AI124" s="1"/>
      <c r="AJ124" s="1"/>
      <c r="AK124" s="1"/>
    </row>
    <row r="125" spans="1:37" x14ac:dyDescent="0.25">
      <c r="A125" s="18" t="s">
        <v>19</v>
      </c>
      <c r="B125" s="29"/>
      <c r="C125" s="116">
        <f>C123/C124</f>
        <v>1.0517801397318434</v>
      </c>
      <c r="D125" s="2"/>
      <c r="E125" s="47"/>
      <c r="F125" s="1"/>
      <c r="G125" s="1"/>
      <c r="H125" s="1"/>
      <c r="I125" s="1"/>
      <c r="J125" s="47"/>
      <c r="K125" s="1"/>
      <c r="L125" s="1"/>
      <c r="M125" s="1"/>
      <c r="N125" s="1"/>
      <c r="O125" s="47"/>
      <c r="P125" s="2"/>
      <c r="Q125" s="2"/>
      <c r="R125" s="2"/>
      <c r="S125" s="2"/>
      <c r="T125" s="47"/>
      <c r="U125" s="1"/>
      <c r="V125" s="1"/>
      <c r="W125" s="37"/>
      <c r="X125" s="38" t="s">
        <v>287</v>
      </c>
      <c r="Y125" s="1"/>
      <c r="Z125" s="1"/>
      <c r="AA125" s="1"/>
      <c r="AB125" s="1"/>
      <c r="AC125" s="1"/>
      <c r="AD125" s="1"/>
      <c r="AE125" s="1"/>
      <c r="AF125" s="1"/>
      <c r="AG125" s="1"/>
      <c r="AH125" s="1"/>
      <c r="AI125" s="1"/>
      <c r="AJ125" s="1"/>
      <c r="AK125" s="1"/>
    </row>
    <row r="126" spans="1:37" x14ac:dyDescent="0.25">
      <c r="A126" s="1"/>
      <c r="B126" s="1"/>
      <c r="C126" s="1"/>
      <c r="D126" s="1"/>
      <c r="E126" s="47"/>
      <c r="F126" s="1"/>
      <c r="G126" s="1"/>
      <c r="H126" s="1"/>
      <c r="I126" s="1"/>
      <c r="J126" s="47"/>
      <c r="K126" s="1"/>
      <c r="L126" s="1"/>
      <c r="M126" s="1"/>
      <c r="N126" s="1"/>
      <c r="O126" s="47"/>
      <c r="P126" s="2"/>
      <c r="Q126" s="2"/>
      <c r="R126" s="2"/>
      <c r="S126" s="2"/>
      <c r="T126" s="47"/>
      <c r="U126" s="1"/>
      <c r="V126" s="1"/>
      <c r="W126" s="1"/>
      <c r="X126" s="1"/>
      <c r="Y126" s="1"/>
    </row>
    <row r="127" spans="1:37" ht="13.5" customHeight="1" x14ac:dyDescent="0.25">
      <c r="A127" s="268" t="s">
        <v>294</v>
      </c>
      <c r="B127" s="37" t="s">
        <v>293</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sheetData>
  <sheetProtection formatColumns="0" formatRows="0"/>
  <mergeCells count="5">
    <mergeCell ref="A123:B123"/>
    <mergeCell ref="X33:AH33"/>
    <mergeCell ref="D88:E88"/>
    <mergeCell ref="A40:B40"/>
    <mergeCell ref="A100:B100"/>
  </mergeCells>
  <dataValidations count="5">
    <dataValidation type="list" allowBlank="1" showInputMessage="1" showErrorMessage="1" sqref="C9" xr:uid="{D3B5711B-4856-44B8-9649-B7E2809FE874}">
      <formula1>$D$35:$E$35</formula1>
    </dataValidation>
    <dataValidation type="list" allowBlank="1" showInputMessage="1" showErrorMessage="1" sqref="C9" xr:uid="{AA582ECE-A665-43CB-9DB1-CDF9377BC302}">
      <formula1>$O$2:$O$2</formula1>
    </dataValidation>
    <dataValidation type="list" allowBlank="1" showInputMessage="1" showErrorMessage="1" sqref="C6" xr:uid="{407ECCE9-E0F4-4B49-BD47-76EBBC6932E8}">
      <formula1>$L$2:$M$2</formula1>
    </dataValidation>
    <dataValidation type="list" allowBlank="1" showInputMessage="1" showErrorMessage="1" sqref="C7:C8" xr:uid="{27F43869-805A-4519-A733-778307D96691}">
      <formula1>$N$2:$O$2</formula1>
    </dataValidation>
    <dataValidation allowBlank="1" showInputMessage="1" showErrorMessage="1" sqref="C10:C19" xr:uid="{A380C906-0375-4E46-8DA1-102A954686FC}"/>
  </dataValidations>
  <pageMargins left="0.70866141732283472" right="0.70866141732283472" top="0.74803149606299213" bottom="0.74803149606299213" header="0.31496062992125984" footer="0.31496062992125984"/>
  <pageSetup paperSize="9" scale="1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5AD72-091A-428B-A1DC-D56731202DEE}">
  <sheetPr codeName="Sheet3">
    <tabColor theme="7"/>
    <pageSetUpPr fitToPage="1"/>
  </sheetPr>
  <dimension ref="A1:N47"/>
  <sheetViews>
    <sheetView showGridLines="0" view="pageBreakPreview" zoomScale="85" zoomScaleNormal="70" zoomScaleSheetLayoutView="85" workbookViewId="0"/>
  </sheetViews>
  <sheetFormatPr defaultColWidth="9" defaultRowHeight="15" customHeight="1" x14ac:dyDescent="0.25"/>
  <cols>
    <col min="1" max="1" width="61.28515625" customWidth="1"/>
    <col min="2" max="2" width="13" customWidth="1"/>
    <col min="3" max="7" width="11.42578125" customWidth="1"/>
    <col min="8" max="8" width="12.42578125" customWidth="1"/>
    <col min="9" max="9" width="11.42578125" customWidth="1"/>
    <col min="10" max="13" width="13.28515625" customWidth="1"/>
    <col min="14" max="14" width="9.140625" customWidth="1"/>
  </cols>
  <sheetData>
    <row r="1" spans="1:14" ht="37.5" customHeight="1" x14ac:dyDescent="0.4">
      <c r="A1" s="265" t="s">
        <v>304</v>
      </c>
      <c r="B1" s="265"/>
      <c r="C1" s="265"/>
      <c r="D1" s="265"/>
      <c r="E1" s="265"/>
      <c r="F1" s="265"/>
      <c r="G1" s="265"/>
      <c r="H1" s="265"/>
      <c r="I1" s="265"/>
      <c r="J1" s="265"/>
      <c r="K1" s="265"/>
      <c r="L1" s="265"/>
      <c r="M1" s="265"/>
      <c r="N1" s="265"/>
    </row>
    <row r="2" spans="1:14" ht="25.5" customHeight="1" x14ac:dyDescent="0.25">
      <c r="A2" s="363" t="s">
        <v>307</v>
      </c>
      <c r="B2" s="363"/>
      <c r="C2" s="363"/>
      <c r="D2" s="363"/>
      <c r="E2" s="363"/>
      <c r="F2" s="363"/>
      <c r="G2" s="363"/>
      <c r="H2" s="363"/>
      <c r="I2" s="363"/>
      <c r="J2" s="363"/>
      <c r="K2" s="363"/>
      <c r="L2" s="363"/>
      <c r="M2" s="363"/>
      <c r="N2" s="363"/>
    </row>
    <row r="3" spans="1:14" ht="26.25" x14ac:dyDescent="0.4">
      <c r="A3" s="288" t="s">
        <v>1</v>
      </c>
      <c r="B3" s="290"/>
      <c r="C3" s="290"/>
      <c r="D3" s="290">
        <v>2016</v>
      </c>
      <c r="E3" s="290">
        <v>2017</v>
      </c>
      <c r="F3" s="290">
        <v>2018</v>
      </c>
      <c r="G3" s="290">
        <v>2019</v>
      </c>
      <c r="H3" s="290">
        <v>2020</v>
      </c>
      <c r="I3" s="287"/>
      <c r="J3" s="287"/>
      <c r="K3" s="287"/>
      <c r="L3" s="287"/>
      <c r="M3" s="287"/>
      <c r="N3" s="287"/>
    </row>
    <row r="4" spans="1:14" x14ac:dyDescent="0.25">
      <c r="A4" s="120" t="s">
        <v>108</v>
      </c>
      <c r="B4" s="121"/>
      <c r="C4" s="121"/>
      <c r="D4" s="122"/>
      <c r="E4" s="122"/>
      <c r="F4" s="122"/>
      <c r="G4" s="122">
        <v>0</v>
      </c>
      <c r="H4" s="122">
        <v>0</v>
      </c>
      <c r="I4" s="1"/>
      <c r="J4" s="1"/>
      <c r="K4" s="1"/>
      <c r="L4" s="1"/>
      <c r="M4" s="1"/>
      <c r="N4" s="1"/>
    </row>
    <row r="5" spans="1:14" x14ac:dyDescent="0.25">
      <c r="A5" s="120" t="s">
        <v>109</v>
      </c>
      <c r="B5" s="121"/>
      <c r="C5" s="121"/>
      <c r="D5" s="122"/>
      <c r="E5" s="122"/>
      <c r="F5" s="122"/>
      <c r="G5" s="122"/>
      <c r="H5" s="122"/>
      <c r="I5" s="1"/>
      <c r="J5" s="1"/>
      <c r="K5" s="1"/>
      <c r="L5" s="1"/>
      <c r="M5" s="1"/>
      <c r="N5" s="1"/>
    </row>
    <row r="6" spans="1:14" x14ac:dyDescent="0.25">
      <c r="A6" s="120" t="s">
        <v>110</v>
      </c>
      <c r="B6" s="121"/>
      <c r="C6" s="121"/>
      <c r="D6" s="122"/>
      <c r="E6" s="122"/>
      <c r="F6" s="122"/>
      <c r="G6" s="122">
        <f>IF('Equivalence calculations'!$C$9='IRIS Capex incentives'!G$3,'Equivalence calculations'!$C$40,0)</f>
        <v>39563590.885550849</v>
      </c>
      <c r="H6" s="122">
        <f>IF('Equivalence calculations'!$C$9='IRIS Capex incentives'!H$3,'Equivalence calculations'!$C$40,0)</f>
        <v>0</v>
      </c>
      <c r="I6" s="1"/>
      <c r="J6" s="1"/>
      <c r="K6" s="1"/>
      <c r="L6" s="1"/>
      <c r="M6" s="1"/>
      <c r="N6" s="1"/>
    </row>
    <row r="7" spans="1:14" x14ac:dyDescent="0.25">
      <c r="A7" s="120"/>
      <c r="B7" s="121"/>
      <c r="C7" s="121"/>
      <c r="D7" s="121"/>
      <c r="E7" s="121"/>
      <c r="F7" s="121"/>
      <c r="G7" s="121"/>
      <c r="H7" s="121"/>
      <c r="I7" s="1"/>
      <c r="J7" s="1"/>
      <c r="K7" s="1"/>
      <c r="L7" s="1"/>
      <c r="M7" s="1"/>
      <c r="N7" s="1"/>
    </row>
    <row r="8" spans="1:14" x14ac:dyDescent="0.25">
      <c r="A8" s="120" t="s">
        <v>111</v>
      </c>
      <c r="B8" s="123">
        <v>7.1900000000000006E-2</v>
      </c>
      <c r="C8" s="1"/>
      <c r="D8" s="1"/>
      <c r="E8" s="1"/>
      <c r="F8" s="1"/>
      <c r="G8" s="1"/>
      <c r="H8" s="1"/>
      <c r="I8" s="1"/>
      <c r="J8" s="1"/>
      <c r="K8" s="1"/>
      <c r="L8" s="1"/>
      <c r="M8" s="1"/>
      <c r="N8" s="1"/>
    </row>
    <row r="9" spans="1:14" x14ac:dyDescent="0.25">
      <c r="A9" s="120" t="s">
        <v>112</v>
      </c>
      <c r="B9" s="123">
        <v>5.1299999999999998E-2</v>
      </c>
      <c r="C9" s="79"/>
      <c r="D9" s="79"/>
      <c r="E9" s="79"/>
      <c r="F9" s="79"/>
      <c r="G9" s="79"/>
      <c r="H9" s="79"/>
      <c r="I9" s="79"/>
      <c r="J9" s="79"/>
      <c r="K9" s="79"/>
      <c r="L9" s="79"/>
      <c r="M9" s="79"/>
      <c r="N9" s="1"/>
    </row>
    <row r="10" spans="1:14" x14ac:dyDescent="0.25">
      <c r="A10" s="120" t="s">
        <v>113</v>
      </c>
      <c r="B10" s="123">
        <v>0.15</v>
      </c>
      <c r="C10" s="79"/>
      <c r="D10" s="79"/>
      <c r="E10" s="79"/>
      <c r="F10" s="79"/>
      <c r="G10" s="79"/>
      <c r="H10" s="79"/>
      <c r="I10" s="79"/>
      <c r="J10" s="79"/>
      <c r="K10" s="79"/>
      <c r="L10" s="79"/>
      <c r="M10" s="79"/>
      <c r="N10" s="1"/>
    </row>
    <row r="11" spans="1:14" x14ac:dyDescent="0.25">
      <c r="A11" s="120" t="s">
        <v>114</v>
      </c>
      <c r="B11" s="123">
        <f>'Equivalence calculations'!C21</f>
        <v>3.61E-2</v>
      </c>
      <c r="C11" s="79"/>
      <c r="D11" s="79"/>
      <c r="E11" s="79"/>
      <c r="F11" s="79"/>
      <c r="G11" s="79"/>
      <c r="H11" s="79"/>
      <c r="I11" s="79"/>
      <c r="J11" s="79"/>
      <c r="K11" s="79"/>
      <c r="L11" s="79"/>
      <c r="M11" s="79"/>
      <c r="N11" s="1"/>
    </row>
    <row r="12" spans="1:14" x14ac:dyDescent="0.25">
      <c r="A12" s="120" t="s">
        <v>115</v>
      </c>
      <c r="B12" s="122">
        <f>'Equivalence calculations'!C19-1</f>
        <v>44</v>
      </c>
      <c r="C12" s="1"/>
      <c r="D12" s="1"/>
      <c r="E12" s="1"/>
      <c r="F12" s="1"/>
      <c r="G12" s="1"/>
      <c r="H12" s="1"/>
      <c r="I12" s="1"/>
      <c r="J12" s="1"/>
      <c r="K12" s="1"/>
      <c r="L12" s="1"/>
      <c r="M12" s="1"/>
      <c r="N12" s="1"/>
    </row>
    <row r="13" spans="1:14" x14ac:dyDescent="0.25">
      <c r="A13" s="120" t="s">
        <v>116</v>
      </c>
      <c r="B13" s="122"/>
      <c r="C13" s="122"/>
      <c r="D13" s="122">
        <f>IF('IRIS Capex incentives'!D$3&lt;='Equivalence calculations'!$C$9,'Equivalence calculations'!$C$13,0)</f>
        <v>10</v>
      </c>
      <c r="E13" s="122">
        <f>IF('IRIS Capex incentives'!E$3&lt;='Equivalence calculations'!$C$9,'Equivalence calculations'!$C$13,0)</f>
        <v>10</v>
      </c>
      <c r="F13" s="122">
        <f>IF('IRIS Capex incentives'!F$3&lt;='Equivalence calculations'!$C$9,'Equivalence calculations'!$C$13,0)</f>
        <v>10</v>
      </c>
      <c r="G13" s="122">
        <f>IF('IRIS Capex incentives'!G$3&lt;='Equivalence calculations'!$C$9,'Equivalence calculations'!$C$13,0)</f>
        <v>10</v>
      </c>
      <c r="H13" s="122">
        <f>IF('IRIS Capex incentives'!H$3&lt;='Equivalence calculations'!$C$9,'Equivalence calculations'!$C$13,0)</f>
        <v>0</v>
      </c>
      <c r="I13" s="1"/>
      <c r="J13" s="1"/>
      <c r="K13" s="1"/>
      <c r="L13" s="1"/>
      <c r="M13" s="1"/>
      <c r="N13" s="1"/>
    </row>
    <row r="14" spans="1:14" x14ac:dyDescent="0.25">
      <c r="A14" s="120"/>
      <c r="B14" s="122"/>
      <c r="C14" s="1"/>
      <c r="D14" s="1"/>
      <c r="E14" s="1"/>
      <c r="F14" s="1"/>
      <c r="G14" s="1"/>
      <c r="H14" s="1"/>
      <c r="I14" s="1"/>
      <c r="J14" s="1"/>
      <c r="K14" s="1"/>
      <c r="L14" s="1"/>
      <c r="M14" s="1"/>
      <c r="N14" s="1"/>
    </row>
    <row r="15" spans="1:14" x14ac:dyDescent="0.25">
      <c r="A15" s="120" t="s">
        <v>117</v>
      </c>
      <c r="B15" s="122">
        <v>0</v>
      </c>
      <c r="C15" s="1"/>
      <c r="D15" s="1"/>
      <c r="E15" s="1"/>
      <c r="F15" s="1"/>
      <c r="G15" s="1"/>
      <c r="H15" s="1"/>
      <c r="I15" s="1"/>
      <c r="J15" s="1"/>
      <c r="K15" s="1"/>
      <c r="L15" s="1"/>
      <c r="M15" s="1"/>
      <c r="N15" s="1"/>
    </row>
    <row r="16" spans="1:14" ht="30" x14ac:dyDescent="0.25">
      <c r="A16" s="124" t="s">
        <v>118</v>
      </c>
      <c r="B16" s="122">
        <f>INDEX('Equivalence calculations'!$D$92:$E$92,MATCH('Equivalence calculations'!$C$9,'Equivalence calculations'!$D$35:$E$35,0))</f>
        <v>1773139.5812072554</v>
      </c>
      <c r="C16" s="1"/>
      <c r="D16" s="1"/>
      <c r="E16" s="1"/>
      <c r="F16" s="1"/>
      <c r="G16" s="1"/>
      <c r="H16" s="1"/>
      <c r="I16" s="1"/>
      <c r="J16" s="1"/>
      <c r="K16" s="1"/>
      <c r="L16" s="1"/>
      <c r="M16" s="1"/>
      <c r="N16" s="1"/>
    </row>
    <row r="17" spans="1:14" x14ac:dyDescent="0.25">
      <c r="A17" s="117"/>
      <c r="B17" s="125"/>
      <c r="C17" s="125"/>
      <c r="D17" s="2"/>
      <c r="E17" s="2"/>
      <c r="F17" s="2"/>
      <c r="G17" s="2"/>
      <c r="H17" s="2"/>
      <c r="I17" s="1"/>
      <c r="J17" s="1"/>
      <c r="K17" s="1"/>
      <c r="L17" s="1"/>
      <c r="M17" s="1"/>
      <c r="N17" s="1"/>
    </row>
    <row r="18" spans="1:14" ht="21" x14ac:dyDescent="0.35">
      <c r="A18" s="118" t="s">
        <v>119</v>
      </c>
      <c r="B18" s="119" t="s">
        <v>120</v>
      </c>
      <c r="C18" s="119" t="s">
        <v>121</v>
      </c>
      <c r="D18" s="119">
        <v>2016</v>
      </c>
      <c r="E18" s="119">
        <v>2017</v>
      </c>
      <c r="F18" s="119">
        <v>2018</v>
      </c>
      <c r="G18" s="119">
        <v>2019</v>
      </c>
      <c r="H18" s="119">
        <v>2020</v>
      </c>
      <c r="I18" s="1"/>
      <c r="J18" s="1"/>
      <c r="K18" s="1"/>
      <c r="L18" s="1"/>
      <c r="M18" s="1"/>
      <c r="N18" s="1"/>
    </row>
    <row r="19" spans="1:14" x14ac:dyDescent="0.25">
      <c r="A19" s="126"/>
      <c r="B19" s="117"/>
      <c r="C19" s="127"/>
      <c r="D19" s="108">
        <v>-5</v>
      </c>
      <c r="E19" s="108">
        <v>-4</v>
      </c>
      <c r="F19" s="108">
        <v>-3</v>
      </c>
      <c r="G19" s="108">
        <v>-2</v>
      </c>
      <c r="H19" s="108">
        <v>-1</v>
      </c>
      <c r="I19" s="1"/>
      <c r="J19" s="1"/>
      <c r="K19" s="1"/>
      <c r="L19" s="1"/>
      <c r="M19" s="1"/>
      <c r="N19" s="1"/>
    </row>
    <row r="20" spans="1:14" x14ac:dyDescent="0.25">
      <c r="A20" s="126"/>
      <c r="B20" s="128"/>
      <c r="C20" s="128"/>
      <c r="D20" s="128">
        <f>1/(1+$B$8)^D19</f>
        <v>1.4150485954457381</v>
      </c>
      <c r="E20" s="128">
        <f>1/(1+$B$8)^E19</f>
        <v>1.3201311647035525</v>
      </c>
      <c r="F20" s="128">
        <f>1/(1+$B$8)^F19</f>
        <v>1.2315805249590004</v>
      </c>
      <c r="G20" s="128">
        <f>1/(1+$B$8)^G19</f>
        <v>1.1489696100000002</v>
      </c>
      <c r="H20" s="128">
        <f>1/(1+$B$8)^H19</f>
        <v>1.0719000000000001</v>
      </c>
      <c r="I20" s="1"/>
      <c r="J20" s="1"/>
      <c r="K20" s="1"/>
      <c r="L20" s="1"/>
      <c r="M20" s="1"/>
      <c r="N20" s="1"/>
    </row>
    <row r="21" spans="1:14" x14ac:dyDescent="0.25">
      <c r="A21" s="120" t="s">
        <v>108</v>
      </c>
      <c r="B21" s="129">
        <f>SUM(D21:H21)</f>
        <v>0</v>
      </c>
      <c r="C21" s="130"/>
      <c r="D21" s="131">
        <f>D4</f>
        <v>0</v>
      </c>
      <c r="E21" s="131">
        <f>E4</f>
        <v>0</v>
      </c>
      <c r="F21" s="131">
        <f>F4</f>
        <v>0</v>
      </c>
      <c r="G21" s="131">
        <f>G4</f>
        <v>0</v>
      </c>
      <c r="H21" s="131">
        <f>H4</f>
        <v>0</v>
      </c>
      <c r="I21" s="1"/>
      <c r="J21" s="1"/>
      <c r="K21" s="1"/>
      <c r="L21" s="1"/>
      <c r="M21" s="1"/>
      <c r="N21" s="1"/>
    </row>
    <row r="22" spans="1:14" x14ac:dyDescent="0.25">
      <c r="A22" s="120" t="s">
        <v>122</v>
      </c>
      <c r="B22" s="129">
        <f>SUM(D22:H22)</f>
        <v>39563590.885550849</v>
      </c>
      <c r="C22" s="130"/>
      <c r="D22" s="131">
        <f>D5</f>
        <v>0</v>
      </c>
      <c r="E22" s="131">
        <f>E6</f>
        <v>0</v>
      </c>
      <c r="F22" s="131">
        <f>F5</f>
        <v>0</v>
      </c>
      <c r="G22" s="131">
        <f>G6</f>
        <v>39563590.885550849</v>
      </c>
      <c r="H22" s="131">
        <f>H6</f>
        <v>0</v>
      </c>
      <c r="I22" s="1"/>
      <c r="J22" s="1"/>
      <c r="K22" s="1"/>
      <c r="L22" s="1"/>
      <c r="M22" s="1"/>
      <c r="N22" s="1"/>
    </row>
    <row r="23" spans="1:14" x14ac:dyDescent="0.25">
      <c r="A23" s="132"/>
      <c r="B23" s="117"/>
      <c r="C23" s="133"/>
      <c r="D23" s="1"/>
      <c r="E23" s="1"/>
      <c r="F23" s="1"/>
      <c r="G23" s="1"/>
      <c r="H23" s="1"/>
      <c r="I23" s="1"/>
      <c r="J23" s="1"/>
      <c r="K23" s="1"/>
      <c r="L23" s="1"/>
      <c r="M23" s="1"/>
      <c r="N23" s="1"/>
    </row>
    <row r="24" spans="1:14" x14ac:dyDescent="0.25">
      <c r="A24" s="1"/>
      <c r="B24" s="2"/>
      <c r="C24" s="11"/>
      <c r="D24" s="2"/>
      <c r="E24" s="2"/>
      <c r="F24" s="2"/>
      <c r="G24" s="2"/>
      <c r="H24" s="2"/>
      <c r="I24" s="1"/>
      <c r="J24" s="1"/>
      <c r="K24" s="1"/>
      <c r="L24" s="1"/>
      <c r="M24" s="1"/>
      <c r="N24" s="1"/>
    </row>
    <row r="25" spans="1:14" ht="21" x14ac:dyDescent="0.35">
      <c r="A25" s="118" t="s">
        <v>123</v>
      </c>
      <c r="B25" s="119" t="s">
        <v>120</v>
      </c>
      <c r="C25" s="119" t="s">
        <v>121</v>
      </c>
      <c r="D25" s="119">
        <v>2016</v>
      </c>
      <c r="E25" s="119">
        <v>2017</v>
      </c>
      <c r="F25" s="119">
        <v>2018</v>
      </c>
      <c r="G25" s="119">
        <v>2019</v>
      </c>
      <c r="H25" s="119">
        <v>2020</v>
      </c>
      <c r="I25" s="119">
        <v>2021</v>
      </c>
      <c r="J25" s="119">
        <v>2022</v>
      </c>
      <c r="K25" s="119">
        <v>2023</v>
      </c>
      <c r="L25" s="119">
        <v>2024</v>
      </c>
      <c r="M25" s="119">
        <v>2025</v>
      </c>
      <c r="N25" s="1"/>
    </row>
    <row r="26" spans="1:14" x14ac:dyDescent="0.25">
      <c r="A26" s="120" t="s">
        <v>124</v>
      </c>
      <c r="B26" s="131">
        <f>B15</f>
        <v>0</v>
      </c>
      <c r="C26" s="133"/>
      <c r="D26" s="133"/>
      <c r="E26" s="79"/>
      <c r="F26" s="79"/>
      <c r="G26" s="79"/>
      <c r="H26" s="79"/>
      <c r="I26" s="1"/>
      <c r="J26" s="1"/>
      <c r="K26" s="1"/>
      <c r="L26" s="1"/>
      <c r="M26" s="1"/>
      <c r="N26" s="1"/>
    </row>
    <row r="27" spans="1:14" ht="30" x14ac:dyDescent="0.25">
      <c r="A27" s="120" t="s">
        <v>118</v>
      </c>
      <c r="B27" s="131">
        <f>B16</f>
        <v>1773139.5812072554</v>
      </c>
      <c r="C27" s="133"/>
      <c r="D27" s="133"/>
      <c r="E27" s="79"/>
      <c r="F27" s="79"/>
      <c r="G27" s="79"/>
      <c r="H27" s="79"/>
      <c r="I27" s="1"/>
      <c r="J27" s="1"/>
      <c r="K27" s="1"/>
      <c r="L27" s="1"/>
      <c r="M27" s="1"/>
      <c r="N27" s="1"/>
    </row>
    <row r="28" spans="1:14" x14ac:dyDescent="0.25">
      <c r="A28" s="120" t="s">
        <v>125</v>
      </c>
      <c r="B28" s="131">
        <f>B27-B26</f>
        <v>1773139.5812072554</v>
      </c>
      <c r="C28" s="133"/>
      <c r="D28" s="133"/>
      <c r="E28" s="79"/>
      <c r="F28" s="79"/>
      <c r="G28" s="79"/>
      <c r="H28" s="79"/>
      <c r="I28" s="1"/>
      <c r="J28" s="1"/>
      <c r="K28" s="1"/>
      <c r="L28" s="1"/>
      <c r="M28" s="1"/>
      <c r="N28" s="1"/>
    </row>
    <row r="29" spans="1:14" ht="15.75" x14ac:dyDescent="0.25">
      <c r="A29" s="134" t="s">
        <v>126</v>
      </c>
      <c r="B29" s="131">
        <f>B28*(1+B8)^5</f>
        <v>2509078.6739165708</v>
      </c>
      <c r="C29" s="133"/>
      <c r="D29" s="133"/>
      <c r="E29" s="79"/>
      <c r="F29" s="79"/>
      <c r="G29" s="79"/>
      <c r="H29" s="79"/>
      <c r="I29" s="1"/>
      <c r="J29" s="1"/>
      <c r="K29" s="1"/>
      <c r="L29" s="1"/>
      <c r="M29" s="1"/>
      <c r="N29" s="1"/>
    </row>
    <row r="30" spans="1:14" x14ac:dyDescent="0.25">
      <c r="A30" s="79"/>
      <c r="B30" s="133"/>
      <c r="C30" s="133"/>
      <c r="D30" s="133"/>
      <c r="E30" s="79"/>
      <c r="F30" s="79"/>
      <c r="G30" s="79"/>
      <c r="H30" s="79"/>
      <c r="I30" s="1"/>
      <c r="J30" s="1"/>
      <c r="K30" s="1"/>
      <c r="L30" s="1"/>
      <c r="M30" s="1"/>
      <c r="N30" s="1"/>
    </row>
    <row r="31" spans="1:14" x14ac:dyDescent="0.25">
      <c r="A31" s="120" t="s">
        <v>127</v>
      </c>
      <c r="B31" s="120"/>
      <c r="C31" s="120"/>
      <c r="D31" s="131">
        <f t="shared" ref="D31:H32" si="0">D21*D$20</f>
        <v>0</v>
      </c>
      <c r="E31" s="131">
        <f t="shared" si="0"/>
        <v>0</v>
      </c>
      <c r="F31" s="131">
        <f t="shared" si="0"/>
        <v>0</v>
      </c>
      <c r="G31" s="131">
        <f t="shared" si="0"/>
        <v>0</v>
      </c>
      <c r="H31" s="131">
        <f t="shared" si="0"/>
        <v>0</v>
      </c>
      <c r="I31" s="1"/>
      <c r="J31" s="1"/>
      <c r="K31" s="1"/>
      <c r="L31" s="1"/>
      <c r="M31" s="1"/>
      <c r="N31" s="1"/>
    </row>
    <row r="32" spans="1:14" x14ac:dyDescent="0.25">
      <c r="A32" s="120" t="s">
        <v>128</v>
      </c>
      <c r="B32" s="131"/>
      <c r="C32" s="131"/>
      <c r="D32" s="131">
        <f t="shared" si="0"/>
        <v>0</v>
      </c>
      <c r="E32" s="131">
        <f t="shared" si="0"/>
        <v>0</v>
      </c>
      <c r="F32" s="131">
        <f t="shared" si="0"/>
        <v>0</v>
      </c>
      <c r="G32" s="131">
        <f t="shared" si="0"/>
        <v>45457363.589970924</v>
      </c>
      <c r="H32" s="131">
        <f t="shared" si="0"/>
        <v>0</v>
      </c>
      <c r="I32" s="1"/>
      <c r="J32" s="1"/>
      <c r="K32" s="1"/>
      <c r="L32" s="1"/>
      <c r="M32" s="1"/>
      <c r="N32" s="1"/>
    </row>
    <row r="33" spans="1:14" x14ac:dyDescent="0.25">
      <c r="A33" s="120" t="s">
        <v>129</v>
      </c>
      <c r="B33" s="131"/>
      <c r="C33" s="131"/>
      <c r="D33" s="131">
        <f>D31-D32</f>
        <v>0</v>
      </c>
      <c r="E33" s="131">
        <f>E31-E32</f>
        <v>0</v>
      </c>
      <c r="F33" s="131">
        <f>F31-F32</f>
        <v>0</v>
      </c>
      <c r="G33" s="131">
        <f>G31-G32</f>
        <v>-45457363.589970924</v>
      </c>
      <c r="H33" s="131">
        <f>H31-H32</f>
        <v>0</v>
      </c>
      <c r="I33" s="1"/>
      <c r="J33" s="1"/>
      <c r="K33" s="1"/>
      <c r="L33" s="1"/>
      <c r="M33" s="1"/>
      <c r="N33" s="1"/>
    </row>
    <row r="34" spans="1:14" ht="15.75" x14ac:dyDescent="0.25">
      <c r="A34" s="134" t="s">
        <v>130</v>
      </c>
      <c r="B34" s="131">
        <f>SUM(D34:H34)</f>
        <v>-6818604.5384956384</v>
      </c>
      <c r="C34" s="131"/>
      <c r="D34" s="131">
        <f>D33*$B$10</f>
        <v>0</v>
      </c>
      <c r="E34" s="131">
        <f>E33*$B$10</f>
        <v>0</v>
      </c>
      <c r="F34" s="131">
        <f>F33*$B$10</f>
        <v>0</v>
      </c>
      <c r="G34" s="131">
        <f>G33*$B$10</f>
        <v>-6818604.5384956384</v>
      </c>
      <c r="H34" s="131">
        <f>H33*$B$10</f>
        <v>0</v>
      </c>
      <c r="I34" s="1"/>
      <c r="J34" s="1"/>
      <c r="K34" s="1"/>
      <c r="L34" s="1"/>
      <c r="M34" s="1"/>
      <c r="N34" s="1"/>
    </row>
    <row r="35" spans="1:14" x14ac:dyDescent="0.25">
      <c r="A35" s="135"/>
      <c r="B35" s="135"/>
      <c r="C35" s="135"/>
      <c r="D35" s="136"/>
      <c r="E35" s="136"/>
      <c r="F35" s="136"/>
      <c r="G35" s="136"/>
      <c r="H35" s="136"/>
      <c r="I35" s="1"/>
      <c r="J35" s="137"/>
      <c r="K35" s="137"/>
      <c r="L35" s="137"/>
      <c r="M35" s="137"/>
      <c r="N35" s="1"/>
    </row>
    <row r="36" spans="1:14" x14ac:dyDescent="0.25">
      <c r="A36" s="120" t="s">
        <v>131</v>
      </c>
      <c r="B36" s="131">
        <f>B29+B34</f>
        <v>-4309525.8645790676</v>
      </c>
      <c r="C36" s="79"/>
      <c r="D36" s="79"/>
      <c r="E36" s="79"/>
      <c r="F36" s="79"/>
      <c r="G36" s="79"/>
      <c r="H36" s="79"/>
      <c r="I36" s="1"/>
      <c r="J36" s="1"/>
      <c r="K36" s="1"/>
      <c r="L36" s="1"/>
      <c r="M36" s="1"/>
      <c r="N36" s="1"/>
    </row>
    <row r="37" spans="1:14" x14ac:dyDescent="0.25">
      <c r="A37" s="120" t="s">
        <v>132</v>
      </c>
      <c r="B37" s="131">
        <v>4</v>
      </c>
      <c r="C37" s="117"/>
      <c r="D37" s="1"/>
      <c r="E37" s="1"/>
      <c r="F37" s="1"/>
      <c r="G37" s="1"/>
      <c r="H37" s="1"/>
      <c r="I37" s="1"/>
      <c r="J37" s="1"/>
      <c r="K37" s="1"/>
      <c r="L37" s="1"/>
      <c r="M37" s="1"/>
      <c r="N37" s="1"/>
    </row>
    <row r="38" spans="1:14" x14ac:dyDescent="0.25">
      <c r="A38" s="120" t="s">
        <v>133</v>
      </c>
      <c r="B38" s="138">
        <f>1+B11</f>
        <v>1.0361</v>
      </c>
      <c r="C38" s="139"/>
      <c r="D38" s="1"/>
      <c r="E38" s="1"/>
      <c r="F38" s="1"/>
      <c r="G38" s="1"/>
      <c r="H38" s="1"/>
      <c r="I38" s="1"/>
      <c r="J38" s="1"/>
      <c r="K38" s="1"/>
      <c r="L38" s="1"/>
      <c r="M38" s="1"/>
      <c r="N38" s="1"/>
    </row>
    <row r="39" spans="1:14" x14ac:dyDescent="0.25">
      <c r="A39" s="120" t="s">
        <v>134</v>
      </c>
      <c r="B39" s="102"/>
      <c r="C39" s="102"/>
      <c r="D39" s="102"/>
      <c r="E39" s="102"/>
      <c r="F39" s="102"/>
      <c r="G39" s="102"/>
      <c r="H39" s="102"/>
      <c r="I39" s="102">
        <v>0.5</v>
      </c>
      <c r="J39" s="102">
        <v>1.5</v>
      </c>
      <c r="K39" s="102">
        <v>2.5</v>
      </c>
      <c r="L39" s="102">
        <v>3.5</v>
      </c>
      <c r="M39" s="102">
        <v>4.5</v>
      </c>
      <c r="N39" s="1"/>
    </row>
    <row r="40" spans="1:14" ht="15.75" x14ac:dyDescent="0.25">
      <c r="A40" s="134" t="s">
        <v>135</v>
      </c>
      <c r="B40" s="16"/>
      <c r="C40" s="140"/>
      <c r="D40" s="140"/>
      <c r="E40" s="140"/>
      <c r="F40" s="140"/>
      <c r="G40" s="140"/>
      <c r="H40" s="140"/>
      <c r="I40" s="140"/>
      <c r="J40" s="140">
        <f>($B$36/$B$37)*$B$38^J39</f>
        <v>-1136245.0671289386</v>
      </c>
      <c r="K40" s="140">
        <f>($B$36/$B$37)*$B$38^K39</f>
        <v>-1177263.5140522933</v>
      </c>
      <c r="L40" s="140">
        <f>($B$36/$B$37)*$B$38^L39</f>
        <v>-1219762.7269095811</v>
      </c>
      <c r="M40" s="140">
        <f>($B$36/$B$37)*$B$38^M39</f>
        <v>-1263796.161351017</v>
      </c>
      <c r="N40" s="1"/>
    </row>
    <row r="41" spans="1:14" x14ac:dyDescent="0.25">
      <c r="A41" s="141"/>
      <c r="B41" s="140"/>
      <c r="C41" s="140"/>
      <c r="D41" s="140"/>
      <c r="E41" s="140"/>
      <c r="F41" s="140"/>
      <c r="G41" s="140"/>
      <c r="H41" s="140"/>
      <c r="I41" s="140"/>
      <c r="J41" s="140"/>
      <c r="K41" s="140"/>
      <c r="L41" s="140"/>
      <c r="M41" s="140"/>
      <c r="N41" s="1"/>
    </row>
    <row r="42" spans="1:14" x14ac:dyDescent="0.25">
      <c r="A42" s="120" t="s">
        <v>136</v>
      </c>
      <c r="B42" s="140"/>
      <c r="C42" s="140"/>
      <c r="D42" s="140"/>
      <c r="E42" s="140"/>
      <c r="F42" s="140"/>
      <c r="G42" s="140"/>
      <c r="H42" s="140"/>
      <c r="I42" s="140"/>
      <c r="J42" s="140">
        <f>$B$29/$B$37*$B$38^J39</f>
        <v>661541.05019035237</v>
      </c>
      <c r="K42" s="140">
        <f>$B$29/$B$37*$B$38^K39</f>
        <v>685422.68210222397</v>
      </c>
      <c r="L42" s="140">
        <f>$B$29/$B$37*$B$38^L39</f>
        <v>710166.44092611433</v>
      </c>
      <c r="M42" s="140">
        <f>$B$29/$B$37*$B$38^M39</f>
        <v>735803.44944354706</v>
      </c>
      <c r="N42" s="1"/>
    </row>
    <row r="43" spans="1:14" x14ac:dyDescent="0.25">
      <c r="A43" s="120" t="s">
        <v>137</v>
      </c>
      <c r="B43" s="140"/>
      <c r="C43" s="140"/>
      <c r="D43" s="140"/>
      <c r="E43" s="140"/>
      <c r="F43" s="140"/>
      <c r="G43" s="140"/>
      <c r="H43" s="140"/>
      <c r="I43" s="140"/>
      <c r="J43" s="140">
        <f>(SUM($D$34:$H$34)/$B$37)*$B$38^J39</f>
        <v>-1797786.117319291</v>
      </c>
      <c r="K43" s="140">
        <f>(SUM($D$34:$H$34)/$B$37)*$B$38^K39</f>
        <v>-1862686.1961545174</v>
      </c>
      <c r="L43" s="140">
        <f>(SUM($D$34:$H$34)/$B$37)*$B$38^L39</f>
        <v>-1929929.1678356954</v>
      </c>
      <c r="M43" s="140">
        <f>(SUM($D$34:$H$34)/$B$37)*$B$38^M39</f>
        <v>-1999599.6107945642</v>
      </c>
      <c r="N43" s="1"/>
    </row>
    <row r="44" spans="1:14" ht="15" customHeight="1" x14ac:dyDescent="0.25">
      <c r="A44" s="1"/>
      <c r="B44" s="1"/>
      <c r="C44" s="1"/>
      <c r="D44" s="1"/>
      <c r="E44" s="1"/>
      <c r="F44" s="1"/>
      <c r="G44" s="1"/>
      <c r="H44" s="1"/>
      <c r="I44" s="1"/>
      <c r="J44" s="1"/>
      <c r="K44" s="1"/>
      <c r="L44" s="1"/>
      <c r="M44" s="1"/>
      <c r="N44" s="1"/>
    </row>
    <row r="45" spans="1:14" ht="26.25" x14ac:dyDescent="0.4">
      <c r="A45" s="282" t="s">
        <v>52</v>
      </c>
      <c r="B45" s="282"/>
      <c r="C45" s="282"/>
      <c r="D45" s="282"/>
      <c r="E45" s="282"/>
      <c r="F45" s="282"/>
      <c r="G45" s="282"/>
      <c r="H45" s="282"/>
      <c r="I45" s="282"/>
      <c r="J45" s="282"/>
      <c r="K45" s="282"/>
      <c r="L45" s="282"/>
      <c r="M45" s="282"/>
      <c r="N45" s="282"/>
    </row>
    <row r="46" spans="1:14" ht="9.75" customHeight="1" x14ac:dyDescent="0.25">
      <c r="A46" s="1"/>
      <c r="B46" s="1"/>
      <c r="C46" s="1"/>
      <c r="D46" s="1"/>
      <c r="E46" s="1"/>
      <c r="F46" s="1"/>
      <c r="G46" s="1"/>
      <c r="H46" s="1"/>
      <c r="I46" s="1"/>
      <c r="J46" s="1"/>
      <c r="K46" s="1"/>
      <c r="L46" s="1"/>
      <c r="M46" s="1"/>
      <c r="N46" s="1"/>
    </row>
    <row r="47" spans="1:14" x14ac:dyDescent="0.25">
      <c r="A47" s="18" t="s">
        <v>341</v>
      </c>
      <c r="B47" s="24">
        <f>NPV($B$9,I40:M40)</f>
        <v>-4230341.4481077176</v>
      </c>
      <c r="C47" s="1"/>
      <c r="D47" s="1"/>
      <c r="E47" s="1"/>
      <c r="F47" s="1"/>
      <c r="G47" s="1"/>
      <c r="H47" s="1"/>
      <c r="I47" s="1"/>
      <c r="J47" s="1"/>
      <c r="K47" s="1"/>
      <c r="L47" s="1"/>
      <c r="M47" s="1"/>
      <c r="N47" s="1"/>
    </row>
  </sheetData>
  <mergeCells count="1">
    <mergeCell ref="A2:N2"/>
  </mergeCells>
  <pageMargins left="0.7" right="0.7" top="0.75" bottom="0.75" header="0.3" footer="0.3"/>
  <pageSetup paperSize="8"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3BCC9-4282-4E26-A2DF-9764B8FB7610}">
  <sheetPr codeName="Sheet4">
    <tabColor theme="7"/>
    <pageSetUpPr fitToPage="1"/>
  </sheetPr>
  <dimension ref="A1:N32"/>
  <sheetViews>
    <sheetView showGridLines="0" view="pageBreakPreview" zoomScale="85" zoomScaleNormal="70" zoomScaleSheetLayoutView="85" workbookViewId="0"/>
  </sheetViews>
  <sheetFormatPr defaultColWidth="9" defaultRowHeight="15" customHeight="1" x14ac:dyDescent="0.25"/>
  <cols>
    <col min="1" max="1" width="58.5703125" customWidth="1"/>
    <col min="2" max="2" width="26.5703125" customWidth="1"/>
    <col min="3" max="9" width="11.42578125" customWidth="1"/>
    <col min="10" max="10" width="12.7109375" customWidth="1"/>
    <col min="11" max="14" width="12.5703125" customWidth="1"/>
    <col min="15" max="15" width="9" customWidth="1"/>
  </cols>
  <sheetData>
    <row r="1" spans="1:14" ht="38.25" customHeight="1" x14ac:dyDescent="0.4">
      <c r="A1" s="265" t="s">
        <v>305</v>
      </c>
      <c r="B1" s="265"/>
      <c r="C1" s="265"/>
      <c r="D1" s="265"/>
      <c r="E1" s="265"/>
      <c r="F1" s="265"/>
      <c r="G1" s="265"/>
      <c r="H1" s="265"/>
      <c r="I1" s="265"/>
      <c r="J1" s="265"/>
      <c r="K1" s="265"/>
      <c r="L1" s="265"/>
      <c r="M1" s="265"/>
      <c r="N1" s="265"/>
    </row>
    <row r="2" spans="1:14" x14ac:dyDescent="0.25">
      <c r="A2" s="363" t="s">
        <v>308</v>
      </c>
      <c r="B2" s="363"/>
      <c r="C2" s="363"/>
      <c r="D2" s="363"/>
      <c r="E2" s="363"/>
      <c r="F2" s="363"/>
      <c r="G2" s="363"/>
      <c r="H2" s="363"/>
      <c r="I2" s="363"/>
      <c r="J2" s="363"/>
      <c r="K2" s="363"/>
      <c r="L2" s="363"/>
      <c r="M2" s="363"/>
      <c r="N2" s="363"/>
    </row>
    <row r="3" spans="1:14" ht="26.25" x14ac:dyDescent="0.4">
      <c r="A3" s="288" t="s">
        <v>1</v>
      </c>
      <c r="B3" s="289"/>
      <c r="C3" s="290"/>
      <c r="D3" s="290"/>
      <c r="E3" s="290">
        <v>2016</v>
      </c>
      <c r="F3" s="290">
        <v>2017</v>
      </c>
      <c r="G3" s="290">
        <v>2018</v>
      </c>
      <c r="H3" s="290">
        <v>2019</v>
      </c>
      <c r="I3" s="290">
        <v>2020</v>
      </c>
      <c r="J3" s="287"/>
      <c r="K3" s="287"/>
      <c r="L3" s="287"/>
      <c r="M3" s="287"/>
      <c r="N3" s="287"/>
    </row>
    <row r="4" spans="1:14" x14ac:dyDescent="0.25">
      <c r="A4" s="120" t="s">
        <v>138</v>
      </c>
      <c r="B4" s="142"/>
      <c r="C4" s="121"/>
      <c r="D4" s="121"/>
      <c r="E4" s="122">
        <v>0</v>
      </c>
      <c r="F4" s="122">
        <v>0</v>
      </c>
      <c r="G4" s="122">
        <v>0</v>
      </c>
      <c r="H4" s="122">
        <v>0</v>
      </c>
      <c r="I4" s="122">
        <v>0</v>
      </c>
      <c r="J4" s="1"/>
      <c r="K4" s="1"/>
      <c r="L4" s="1"/>
      <c r="M4" s="1"/>
      <c r="N4" s="1"/>
    </row>
    <row r="5" spans="1:14" x14ac:dyDescent="0.25">
      <c r="A5" s="120" t="s">
        <v>139</v>
      </c>
      <c r="B5" s="142"/>
      <c r="C5" s="121"/>
      <c r="D5" s="121"/>
      <c r="E5" s="122">
        <v>0</v>
      </c>
      <c r="F5" s="122">
        <v>0</v>
      </c>
      <c r="G5" s="122">
        <v>0</v>
      </c>
      <c r="H5" s="122">
        <v>0</v>
      </c>
      <c r="I5" s="122">
        <v>0</v>
      </c>
      <c r="J5" s="1"/>
      <c r="K5" s="1"/>
      <c r="L5" s="1"/>
      <c r="M5" s="1"/>
      <c r="N5" s="1"/>
    </row>
    <row r="6" spans="1:14" x14ac:dyDescent="0.25">
      <c r="A6" s="120" t="s">
        <v>140</v>
      </c>
      <c r="B6" s="142"/>
      <c r="C6" s="121"/>
      <c r="D6" s="121"/>
      <c r="E6" s="122">
        <f>IF(E$3&gt;='Equivalence calculations'!$C$9,-'Equivalence calculations'!$C$12,0)</f>
        <v>0</v>
      </c>
      <c r="F6" s="122">
        <f>IF(F$3&gt;='Equivalence calculations'!$C$9,-'Equivalence calculations'!$C$12,0)</f>
        <v>0</v>
      </c>
      <c r="G6" s="122">
        <f>IF(G$3&gt;='Equivalence calculations'!$C$9,-'Equivalence calculations'!$C$12,0)</f>
        <v>0</v>
      </c>
      <c r="H6" s="122">
        <f>IF(H$3&gt;='Equivalence calculations'!$C$9,-'Equivalence calculations'!$C$12,0)</f>
        <v>-5000000</v>
      </c>
      <c r="I6" s="122">
        <f>IF(I$3&gt;='Equivalence calculations'!$C$9,-'Equivalence calculations'!$C$12,0)</f>
        <v>-5000000</v>
      </c>
      <c r="J6" s="79"/>
      <c r="K6" s="79"/>
      <c r="L6" s="79"/>
      <c r="M6" s="79"/>
      <c r="N6" s="79"/>
    </row>
    <row r="7" spans="1:14" x14ac:dyDescent="0.25">
      <c r="A7" s="120"/>
      <c r="B7" s="142"/>
      <c r="C7" s="121"/>
      <c r="D7" s="1"/>
      <c r="E7" s="1"/>
      <c r="F7" s="1"/>
      <c r="G7" s="1"/>
      <c r="H7" s="1"/>
      <c r="I7" s="1"/>
      <c r="J7" s="1"/>
      <c r="K7" s="1"/>
      <c r="L7" s="1"/>
      <c r="M7" s="1"/>
      <c r="N7" s="1"/>
    </row>
    <row r="8" spans="1:14" x14ac:dyDescent="0.25">
      <c r="A8" s="120" t="s">
        <v>112</v>
      </c>
      <c r="B8" s="142"/>
      <c r="C8" s="123">
        <v>5.1299999999999998E-2</v>
      </c>
      <c r="D8" s="79"/>
      <c r="E8" s="79"/>
      <c r="F8" s="79"/>
      <c r="G8" s="79"/>
      <c r="H8" s="79"/>
      <c r="I8" s="79"/>
      <c r="J8" s="79"/>
      <c r="K8" s="79"/>
      <c r="L8" s="79"/>
      <c r="M8" s="79"/>
      <c r="N8" s="79"/>
    </row>
    <row r="9" spans="1:14" x14ac:dyDescent="0.25">
      <c r="A9" s="120" t="s">
        <v>114</v>
      </c>
      <c r="B9" s="142"/>
      <c r="C9" s="123">
        <f>'Equivalence calculations'!C21</f>
        <v>3.61E-2</v>
      </c>
      <c r="D9" s="79"/>
      <c r="E9" s="79"/>
      <c r="F9" s="79"/>
      <c r="G9" s="79"/>
      <c r="H9" s="79"/>
      <c r="I9" s="79"/>
      <c r="J9" s="79"/>
      <c r="K9" s="79"/>
      <c r="L9" s="79"/>
      <c r="M9" s="79"/>
      <c r="N9" s="79"/>
    </row>
    <row r="10" spans="1:14" x14ac:dyDescent="0.25">
      <c r="A10" s="117"/>
      <c r="B10" s="125"/>
      <c r="C10" s="125"/>
      <c r="D10" s="125"/>
      <c r="E10" s="2"/>
      <c r="F10" s="2"/>
      <c r="G10" s="2"/>
      <c r="H10" s="2"/>
      <c r="I10" s="2"/>
      <c r="J10" s="1"/>
      <c r="K10" s="1"/>
      <c r="L10" s="1"/>
      <c r="M10" s="1"/>
      <c r="N10" s="1"/>
    </row>
    <row r="11" spans="1:14" ht="21" x14ac:dyDescent="0.35">
      <c r="A11" s="118" t="s">
        <v>119</v>
      </c>
      <c r="B11" s="119"/>
      <c r="C11" s="119" t="s">
        <v>120</v>
      </c>
      <c r="D11" s="119" t="s">
        <v>121</v>
      </c>
      <c r="E11" s="119">
        <v>2016</v>
      </c>
      <c r="F11" s="119">
        <v>2017</v>
      </c>
      <c r="G11" s="119">
        <v>2018</v>
      </c>
      <c r="H11" s="119">
        <v>2019</v>
      </c>
      <c r="I11" s="119">
        <v>2020</v>
      </c>
      <c r="J11" s="1"/>
      <c r="K11" s="1"/>
      <c r="L11" s="1"/>
      <c r="M11" s="1"/>
      <c r="N11" s="1"/>
    </row>
    <row r="12" spans="1:14" x14ac:dyDescent="0.25">
      <c r="A12" s="120" t="s">
        <v>138</v>
      </c>
      <c r="B12" s="142"/>
      <c r="C12" s="129">
        <f>SUM(E12:I12)</f>
        <v>0</v>
      </c>
      <c r="D12" s="130"/>
      <c r="E12" s="131">
        <f>E4</f>
        <v>0</v>
      </c>
      <c r="F12" s="131">
        <f>F4</f>
        <v>0</v>
      </c>
      <c r="G12" s="131">
        <f>G4</f>
        <v>0</v>
      </c>
      <c r="H12" s="131">
        <f>H4</f>
        <v>0</v>
      </c>
      <c r="I12" s="131">
        <f>I4</f>
        <v>0</v>
      </c>
      <c r="J12" s="1"/>
      <c r="K12" s="1"/>
      <c r="L12" s="1"/>
      <c r="M12" s="1"/>
      <c r="N12" s="1"/>
    </row>
    <row r="13" spans="1:14" x14ac:dyDescent="0.25">
      <c r="A13" s="120" t="s">
        <v>141</v>
      </c>
      <c r="B13" s="142"/>
      <c r="C13" s="129">
        <f>SUM(E13:I13)</f>
        <v>-10000000</v>
      </c>
      <c r="D13" s="130"/>
      <c r="E13" s="131">
        <f>E5</f>
        <v>0</v>
      </c>
      <c r="F13" s="131">
        <f>F5</f>
        <v>0</v>
      </c>
      <c r="G13" s="131">
        <f>G5</f>
        <v>0</v>
      </c>
      <c r="H13" s="131">
        <f>H6</f>
        <v>-5000000</v>
      </c>
      <c r="I13" s="131">
        <f>I6</f>
        <v>-5000000</v>
      </c>
      <c r="J13" s="1"/>
      <c r="K13" s="1"/>
      <c r="L13" s="1"/>
      <c r="M13" s="1"/>
      <c r="N13" s="1"/>
    </row>
    <row r="14" spans="1:14" x14ac:dyDescent="0.25">
      <c r="A14" s="132"/>
      <c r="B14" s="117"/>
      <c r="C14" s="117"/>
      <c r="D14" s="117"/>
      <c r="E14" s="1"/>
      <c r="F14" s="1"/>
      <c r="G14" s="1"/>
      <c r="H14" s="1"/>
      <c r="I14" s="1"/>
      <c r="J14" s="1"/>
      <c r="K14" s="1"/>
      <c r="L14" s="1"/>
      <c r="M14" s="1"/>
      <c r="N14" s="1"/>
    </row>
    <row r="15" spans="1:14" ht="21" x14ac:dyDescent="0.35">
      <c r="A15" s="118" t="s">
        <v>142</v>
      </c>
      <c r="B15" s="119"/>
      <c r="C15" s="119"/>
      <c r="D15" s="119"/>
      <c r="E15" s="119">
        <v>2016</v>
      </c>
      <c r="F15" s="119">
        <v>2017</v>
      </c>
      <c r="G15" s="119">
        <v>2018</v>
      </c>
      <c r="H15" s="119">
        <v>2019</v>
      </c>
      <c r="I15" s="119">
        <v>2020</v>
      </c>
      <c r="J15" s="119">
        <v>2021</v>
      </c>
      <c r="K15" s="119">
        <v>2022</v>
      </c>
      <c r="L15" s="119">
        <v>2023</v>
      </c>
      <c r="M15" s="119">
        <v>2024</v>
      </c>
      <c r="N15" s="119">
        <v>2025</v>
      </c>
    </row>
    <row r="16" spans="1:14" x14ac:dyDescent="0.25">
      <c r="A16" s="120" t="s">
        <v>143</v>
      </c>
      <c r="B16" s="131"/>
      <c r="C16" s="131"/>
      <c r="D16" s="131"/>
      <c r="E16" s="131">
        <f>E12-E13</f>
        <v>0</v>
      </c>
      <c r="F16" s="131"/>
      <c r="G16" s="131"/>
      <c r="H16" s="131"/>
      <c r="I16" s="131"/>
      <c r="J16" s="1"/>
      <c r="K16" s="1"/>
      <c r="L16" s="1"/>
      <c r="M16" s="1"/>
      <c r="N16" s="1"/>
    </row>
    <row r="17" spans="1:14" x14ac:dyDescent="0.25">
      <c r="A17" s="120" t="s">
        <v>144</v>
      </c>
      <c r="B17" s="131"/>
      <c r="C17" s="131"/>
      <c r="D17" s="131"/>
      <c r="E17" s="131"/>
      <c r="F17" s="131">
        <f>(F12-F13)-(E12-E13)</f>
        <v>0</v>
      </c>
      <c r="G17" s="131">
        <f>(G12-G13)-(F12-F13)</f>
        <v>0</v>
      </c>
      <c r="H17" s="131">
        <f>(H12-H13)-(G12-G13)</f>
        <v>5000000</v>
      </c>
      <c r="I17" s="131"/>
      <c r="J17" s="1"/>
      <c r="K17" s="1"/>
      <c r="L17" s="1"/>
      <c r="M17" s="1"/>
      <c r="N17" s="1"/>
    </row>
    <row r="18" spans="1:14" x14ac:dyDescent="0.25">
      <c r="A18" s="120" t="s">
        <v>145</v>
      </c>
      <c r="B18" s="131"/>
      <c r="C18" s="131"/>
      <c r="D18" s="131"/>
      <c r="E18" s="131"/>
      <c r="F18" s="131"/>
      <c r="G18" s="131"/>
      <c r="H18" s="131"/>
      <c r="I18" s="131">
        <v>0</v>
      </c>
      <c r="J18" s="1"/>
      <c r="K18" s="1"/>
      <c r="L18" s="1"/>
      <c r="M18" s="1"/>
      <c r="N18" s="1"/>
    </row>
    <row r="19" spans="1:14" x14ac:dyDescent="0.25">
      <c r="A19" s="143"/>
      <c r="B19" s="117"/>
      <c r="C19" s="117"/>
      <c r="D19" s="117"/>
      <c r="E19" s="1"/>
      <c r="F19" s="1"/>
      <c r="G19" s="1"/>
      <c r="H19" s="1"/>
      <c r="I19" s="1"/>
      <c r="J19" s="1"/>
      <c r="K19" s="1"/>
      <c r="L19" s="1"/>
      <c r="M19" s="1"/>
      <c r="N19" s="1"/>
    </row>
    <row r="20" spans="1:14" x14ac:dyDescent="0.25">
      <c r="A20" s="120" t="s">
        <v>146</v>
      </c>
      <c r="B20" s="131"/>
      <c r="C20" s="131"/>
      <c r="D20" s="131"/>
      <c r="E20" s="131"/>
      <c r="F20" s="131"/>
      <c r="G20" s="131"/>
      <c r="H20" s="131"/>
      <c r="I20" s="131"/>
      <c r="J20" s="131">
        <f>SUM(E16:$I$17)</f>
        <v>5000000</v>
      </c>
      <c r="K20" s="131">
        <f>SUM(F16:$I$17)</f>
        <v>5000000</v>
      </c>
      <c r="L20" s="131">
        <f>SUM(G16:$I$17)</f>
        <v>5000000</v>
      </c>
      <c r="M20" s="131">
        <f>SUM(H16:$I$17)</f>
        <v>5000000</v>
      </c>
      <c r="N20" s="131">
        <f>SUM(I16:$I$17)</f>
        <v>0</v>
      </c>
    </row>
    <row r="21" spans="1:14" x14ac:dyDescent="0.25">
      <c r="A21" s="120" t="s">
        <v>147</v>
      </c>
      <c r="B21" s="131"/>
      <c r="C21" s="131">
        <f>-((I12-I13)-(H12-H13))/(1+C8)^4</f>
        <v>0</v>
      </c>
      <c r="D21" s="79"/>
      <c r="E21" s="79"/>
      <c r="F21" s="79"/>
      <c r="G21" s="79"/>
      <c r="H21" s="79"/>
      <c r="I21" s="79"/>
      <c r="J21" s="79"/>
      <c r="K21" s="79"/>
      <c r="L21" s="79"/>
      <c r="M21" s="79"/>
      <c r="N21" s="79"/>
    </row>
    <row r="22" spans="1:14" x14ac:dyDescent="0.25">
      <c r="A22" s="120" t="s">
        <v>148</v>
      </c>
      <c r="B22" s="131"/>
      <c r="C22" s="131">
        <v>0</v>
      </c>
      <c r="D22" s="79"/>
      <c r="E22" s="79"/>
      <c r="F22" s="79"/>
      <c r="G22" s="79"/>
      <c r="H22" s="79"/>
      <c r="I22" s="79"/>
      <c r="J22" s="79"/>
      <c r="K22" s="79"/>
      <c r="L22" s="79"/>
      <c r="M22" s="79"/>
      <c r="N22" s="79"/>
    </row>
    <row r="23" spans="1:14" x14ac:dyDescent="0.25">
      <c r="A23" s="120" t="s">
        <v>149</v>
      </c>
      <c r="B23" s="131"/>
      <c r="C23" s="131">
        <f>SUM(C21:C22)</f>
        <v>0</v>
      </c>
      <c r="D23" s="79"/>
      <c r="E23" s="79"/>
      <c r="F23" s="79"/>
      <c r="G23" s="79"/>
      <c r="H23" s="79"/>
      <c r="I23" s="79"/>
      <c r="J23" s="79"/>
      <c r="K23" s="79"/>
      <c r="L23" s="79"/>
      <c r="M23" s="79"/>
      <c r="N23" s="79"/>
    </row>
    <row r="24" spans="1:14" x14ac:dyDescent="0.25">
      <c r="A24" s="144" t="s">
        <v>132</v>
      </c>
      <c r="B24" s="131"/>
      <c r="C24" s="131">
        <v>4</v>
      </c>
      <c r="D24" s="133"/>
      <c r="E24" s="79"/>
      <c r="F24" s="79"/>
      <c r="G24" s="79"/>
      <c r="H24" s="79"/>
      <c r="I24" s="79"/>
      <c r="J24" s="79"/>
      <c r="K24" s="79"/>
      <c r="L24" s="79"/>
      <c r="M24" s="79"/>
      <c r="N24" s="79"/>
    </row>
    <row r="25" spans="1:14" x14ac:dyDescent="0.25">
      <c r="A25" s="144" t="s">
        <v>133</v>
      </c>
      <c r="B25" s="131"/>
      <c r="C25" s="138">
        <f>1+C9</f>
        <v>1.0361</v>
      </c>
      <c r="D25" s="79"/>
      <c r="E25" s="79"/>
      <c r="F25" s="79"/>
      <c r="G25" s="79"/>
      <c r="H25" s="79"/>
      <c r="I25" s="79"/>
      <c r="J25" s="79"/>
      <c r="K25" s="79"/>
      <c r="L25" s="79"/>
      <c r="M25" s="79"/>
      <c r="N25" s="79"/>
    </row>
    <row r="26" spans="1:14" x14ac:dyDescent="0.25">
      <c r="A26" s="144" t="s">
        <v>134</v>
      </c>
      <c r="B26" s="102"/>
      <c r="C26" s="102"/>
      <c r="D26" s="102"/>
      <c r="E26" s="102"/>
      <c r="F26" s="102"/>
      <c r="G26" s="102"/>
      <c r="H26" s="102"/>
      <c r="I26" s="102"/>
      <c r="J26" s="102">
        <v>0.5</v>
      </c>
      <c r="K26" s="102">
        <v>1.5</v>
      </c>
      <c r="L26" s="102">
        <v>2.5</v>
      </c>
      <c r="M26" s="102">
        <v>3.5</v>
      </c>
      <c r="N26" s="102">
        <v>4.5</v>
      </c>
    </row>
    <row r="27" spans="1:14" x14ac:dyDescent="0.25">
      <c r="A27" s="120" t="s">
        <v>150</v>
      </c>
      <c r="B27" s="131"/>
      <c r="C27" s="131"/>
      <c r="D27" s="131"/>
      <c r="E27" s="131"/>
      <c r="F27" s="131"/>
      <c r="G27" s="131"/>
      <c r="H27" s="131"/>
      <c r="I27" s="131"/>
      <c r="J27" s="131">
        <v>0</v>
      </c>
      <c r="K27" s="131">
        <f>($C$23/$C$24)*$C$25^K26</f>
        <v>0</v>
      </c>
      <c r="L27" s="131">
        <f>($C$23/$C$24)*$C$25^L26</f>
        <v>0</v>
      </c>
      <c r="M27" s="131">
        <f>($C$23/$C$24)*$C$25^M26</f>
        <v>0</v>
      </c>
      <c r="N27" s="131">
        <f>($C$23/$C$24)*$C$25^N26</f>
        <v>0</v>
      </c>
    </row>
    <row r="28" spans="1:14" ht="15.75" x14ac:dyDescent="0.25">
      <c r="A28" s="134" t="s">
        <v>151</v>
      </c>
      <c r="B28" s="16"/>
      <c r="C28" s="16"/>
      <c r="D28" s="140"/>
      <c r="E28" s="140"/>
      <c r="F28" s="140"/>
      <c r="G28" s="140"/>
      <c r="H28" s="140"/>
      <c r="I28" s="140"/>
      <c r="J28" s="140">
        <f>J20+J27</f>
        <v>5000000</v>
      </c>
      <c r="K28" s="140">
        <f>K20+K27</f>
        <v>5000000</v>
      </c>
      <c r="L28" s="140">
        <f>L20+L27</f>
        <v>5000000</v>
      </c>
      <c r="M28" s="140">
        <f>M20+M27</f>
        <v>5000000</v>
      </c>
      <c r="N28" s="140">
        <f>N20+N27</f>
        <v>0</v>
      </c>
    </row>
    <row r="29" spans="1:14" ht="15.75" x14ac:dyDescent="0.25">
      <c r="A29" s="280"/>
      <c r="B29" s="1"/>
      <c r="C29" s="1"/>
      <c r="D29" s="1"/>
      <c r="E29" s="1"/>
      <c r="F29" s="1"/>
      <c r="G29" s="1"/>
      <c r="H29" s="1"/>
      <c r="I29" s="1"/>
      <c r="J29" s="1"/>
      <c r="K29" s="1"/>
      <c r="L29" s="1"/>
      <c r="M29" s="1"/>
      <c r="N29" s="1"/>
    </row>
    <row r="30" spans="1:14" ht="26.25" x14ac:dyDescent="0.4">
      <c r="A30" s="282" t="s">
        <v>52</v>
      </c>
      <c r="B30" s="287"/>
      <c r="C30" s="287"/>
      <c r="D30" s="287"/>
      <c r="E30" s="287"/>
      <c r="F30" s="287"/>
      <c r="G30" s="287"/>
      <c r="H30" s="287"/>
      <c r="I30" s="287"/>
      <c r="J30" s="287"/>
      <c r="K30" s="287"/>
      <c r="L30" s="287"/>
      <c r="M30" s="287"/>
      <c r="N30" s="287"/>
    </row>
    <row r="31" spans="1:14" ht="9" customHeight="1" x14ac:dyDescent="0.25">
      <c r="A31" s="1"/>
      <c r="B31" s="1"/>
      <c r="C31" s="1"/>
      <c r="D31" s="1"/>
      <c r="E31" s="1"/>
      <c r="F31" s="1"/>
      <c r="G31" s="1"/>
      <c r="H31" s="1"/>
      <c r="I31" s="1"/>
      <c r="J31" s="1"/>
      <c r="K31" s="1"/>
      <c r="L31" s="1"/>
      <c r="M31" s="1"/>
      <c r="N31" s="1"/>
    </row>
    <row r="32" spans="1:14" x14ac:dyDescent="0.25">
      <c r="A32" s="18" t="s">
        <v>342</v>
      </c>
      <c r="B32" s="24">
        <f>NPV($C$8,J28:N28)</f>
        <v>17676343.215727396</v>
      </c>
      <c r="C32" s="1"/>
      <c r="D32" s="1"/>
      <c r="E32" s="1"/>
      <c r="F32" s="1"/>
      <c r="G32" s="1"/>
      <c r="H32" s="1"/>
      <c r="I32" s="1"/>
      <c r="J32" s="1"/>
      <c r="K32" s="1"/>
      <c r="L32" s="1"/>
      <c r="M32" s="1"/>
      <c r="N32" s="1"/>
    </row>
  </sheetData>
  <mergeCells count="1">
    <mergeCell ref="A2:N2"/>
  </mergeCells>
  <pageMargins left="0.7" right="0.7" top="0.75" bottom="0.75" header="0.3" footer="0.3"/>
  <pageSetup paperSize="8"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7DC4E-B0AE-436C-9E74-98BF792C3D07}">
  <sheetPr codeName="Sheet7">
    <tabColor theme="5" tint="-0.249977111117893"/>
    <pageSetUpPr fitToPage="1"/>
  </sheetPr>
  <dimension ref="A1:X126"/>
  <sheetViews>
    <sheetView view="pageBreakPreview" zoomScale="91" zoomScaleNormal="85" zoomScaleSheetLayoutView="91" workbookViewId="0"/>
  </sheetViews>
  <sheetFormatPr defaultColWidth="9.140625" defaultRowHeight="15" customHeight="1" outlineLevelRow="1" x14ac:dyDescent="0.25"/>
  <cols>
    <col min="1" max="8" width="9.7109375" customWidth="1"/>
    <col min="9" max="9" width="13.7109375" customWidth="1"/>
    <col min="10" max="11" width="9.7109375" customWidth="1"/>
    <col min="12" max="12" width="11.85546875" customWidth="1"/>
    <col min="13" max="24" width="9.7109375" customWidth="1"/>
    <col min="25" max="103" width="9.140625" customWidth="1"/>
  </cols>
  <sheetData>
    <row r="1" spans="1:24" ht="36.75" customHeight="1" x14ac:dyDescent="0.4">
      <c r="A1" s="265" t="s">
        <v>306</v>
      </c>
      <c r="B1" s="265"/>
      <c r="C1" s="265"/>
      <c r="D1" s="265"/>
      <c r="E1" s="265"/>
      <c r="F1" s="265"/>
      <c r="G1" s="265"/>
      <c r="H1" s="265"/>
      <c r="I1" s="265"/>
      <c r="J1" s="265"/>
      <c r="K1" s="265"/>
      <c r="L1" s="265"/>
      <c r="M1" s="265"/>
      <c r="N1" s="265"/>
      <c r="O1" s="265"/>
      <c r="P1" s="265"/>
      <c r="Q1" s="265"/>
      <c r="R1" s="265"/>
      <c r="S1" s="265"/>
      <c r="T1" s="265"/>
      <c r="U1" s="265"/>
      <c r="V1" s="265"/>
      <c r="W1" s="265"/>
      <c r="X1" s="265"/>
    </row>
    <row r="2" spans="1:24" ht="43.5" customHeight="1" x14ac:dyDescent="0.25">
      <c r="A2" s="364" t="s">
        <v>309</v>
      </c>
      <c r="B2" s="365"/>
      <c r="C2" s="365"/>
      <c r="D2" s="365"/>
      <c r="E2" s="365"/>
      <c r="F2" s="365"/>
      <c r="G2" s="365"/>
      <c r="H2" s="365"/>
      <c r="I2" s="365"/>
      <c r="J2" s="365"/>
      <c r="K2" s="365"/>
      <c r="L2" s="365"/>
      <c r="M2" s="365"/>
      <c r="N2" s="365"/>
      <c r="O2" s="365"/>
      <c r="P2" s="365"/>
      <c r="Q2" s="365"/>
      <c r="R2" s="365"/>
      <c r="S2" s="365"/>
      <c r="T2" s="365"/>
      <c r="U2" s="365"/>
      <c r="V2" s="365"/>
      <c r="W2" s="365"/>
      <c r="X2" s="365"/>
    </row>
    <row r="3" spans="1:24" ht="23.25" x14ac:dyDescent="0.35">
      <c r="A3" s="145" t="s">
        <v>152</v>
      </c>
      <c r="B3" s="146"/>
      <c r="C3" s="146"/>
      <c r="D3" s="146"/>
      <c r="E3" s="146"/>
      <c r="F3" s="146"/>
      <c r="G3" s="146"/>
      <c r="H3" s="146"/>
      <c r="I3" s="146"/>
      <c r="J3" s="146"/>
      <c r="K3" s="147"/>
      <c r="L3" s="147"/>
      <c r="M3" s="147"/>
      <c r="N3" s="147"/>
      <c r="O3" s="147"/>
      <c r="P3" s="147"/>
      <c r="Q3" s="147"/>
      <c r="R3" s="147"/>
      <c r="S3" s="147"/>
      <c r="T3" s="147"/>
      <c r="U3" s="147"/>
      <c r="V3" s="147"/>
      <c r="W3" s="147"/>
      <c r="X3" s="147"/>
    </row>
    <row r="4" spans="1:24" ht="12.95" customHeight="1" x14ac:dyDescent="0.25">
      <c r="A4" s="292" t="s">
        <v>153</v>
      </c>
      <c r="B4" s="292"/>
      <c r="C4" s="292"/>
      <c r="D4" s="292"/>
      <c r="E4" s="292"/>
      <c r="F4" s="292"/>
      <c r="G4" s="292"/>
      <c r="H4" s="292"/>
      <c r="I4" s="292"/>
      <c r="J4" s="292"/>
      <c r="K4" s="291"/>
      <c r="L4" s="291"/>
      <c r="M4" s="291"/>
      <c r="N4" s="291"/>
      <c r="O4" s="291"/>
      <c r="P4" s="291"/>
      <c r="Q4" s="291"/>
      <c r="R4" s="291"/>
      <c r="S4" s="291"/>
      <c r="T4" s="291"/>
      <c r="U4" s="291"/>
      <c r="V4" s="291"/>
      <c r="W4" s="291"/>
      <c r="X4" s="291"/>
    </row>
    <row r="5" spans="1:24" ht="12.95" customHeight="1" x14ac:dyDescent="0.25">
      <c r="A5" s="148" t="s">
        <v>154</v>
      </c>
      <c r="B5" s="148"/>
      <c r="C5" s="148"/>
      <c r="D5" s="148"/>
      <c r="E5" s="148"/>
      <c r="F5" s="148"/>
      <c r="G5" s="148"/>
      <c r="H5" s="148"/>
      <c r="I5" s="148"/>
      <c r="J5" s="148"/>
      <c r="K5" s="148"/>
      <c r="L5" s="148"/>
      <c r="M5" s="148"/>
      <c r="N5" s="148"/>
      <c r="O5" s="148"/>
      <c r="P5" s="148"/>
      <c r="Q5" s="148" t="s">
        <v>155</v>
      </c>
      <c r="R5" s="148"/>
      <c r="S5" s="148"/>
      <c r="T5" s="148"/>
      <c r="U5" s="148"/>
      <c r="V5" s="148"/>
      <c r="W5" s="148"/>
      <c r="X5" s="148"/>
    </row>
    <row r="6" spans="1:24" ht="12.95" customHeight="1" x14ac:dyDescent="0.25">
      <c r="A6" s="148" t="s">
        <v>156</v>
      </c>
      <c r="B6" s="148"/>
      <c r="C6" s="148"/>
      <c r="D6" s="148"/>
      <c r="E6" s="148"/>
      <c r="F6" s="148"/>
      <c r="G6" s="148"/>
      <c r="H6" s="148"/>
      <c r="I6" s="148"/>
      <c r="J6" s="148"/>
      <c r="K6" s="148"/>
      <c r="L6" s="148"/>
      <c r="M6" s="148"/>
      <c r="N6" s="148"/>
      <c r="O6" s="148"/>
      <c r="P6" s="148"/>
      <c r="Q6" s="148"/>
      <c r="R6" s="149"/>
      <c r="S6" s="148" t="s">
        <v>157</v>
      </c>
      <c r="T6" s="148"/>
      <c r="U6" s="148"/>
      <c r="V6" s="148"/>
      <c r="W6" s="148"/>
      <c r="X6" s="148"/>
    </row>
    <row r="7" spans="1:24" ht="12.95" customHeight="1" x14ac:dyDescent="0.25">
      <c r="A7" s="148" t="s">
        <v>158</v>
      </c>
      <c r="B7" s="148"/>
      <c r="C7" s="148"/>
      <c r="D7" s="148"/>
      <c r="E7" s="148"/>
      <c r="F7" s="148"/>
      <c r="G7" s="148"/>
      <c r="H7" s="148"/>
      <c r="I7" s="148"/>
      <c r="J7" s="148"/>
      <c r="K7" s="148"/>
      <c r="L7" s="148"/>
      <c r="M7" s="148"/>
      <c r="N7" s="148"/>
      <c r="O7" s="148"/>
      <c r="P7" s="148"/>
      <c r="Q7" s="148"/>
      <c r="R7" s="150"/>
      <c r="S7" s="148" t="s">
        <v>159</v>
      </c>
      <c r="T7" s="148"/>
      <c r="U7" s="148"/>
      <c r="V7" s="148"/>
      <c r="W7" s="148"/>
      <c r="X7" s="148"/>
    </row>
    <row r="8" spans="1:24" ht="12.95" customHeight="1" x14ac:dyDescent="0.25">
      <c r="A8" s="148"/>
      <c r="B8" s="148"/>
      <c r="C8" s="148"/>
      <c r="D8" s="148"/>
      <c r="E8" s="148"/>
      <c r="F8" s="148"/>
      <c r="G8" s="148"/>
      <c r="H8" s="148"/>
      <c r="I8" s="148"/>
      <c r="J8" s="148"/>
      <c r="K8" s="148"/>
      <c r="L8" s="148"/>
      <c r="M8" s="148"/>
      <c r="N8" s="148"/>
      <c r="O8" s="148"/>
      <c r="P8" s="148"/>
      <c r="Q8" s="148"/>
      <c r="R8" s="151"/>
      <c r="S8" s="148" t="s">
        <v>160</v>
      </c>
      <c r="T8" s="148"/>
      <c r="U8" s="148"/>
      <c r="V8" s="148"/>
      <c r="W8" s="148"/>
      <c r="X8" s="148"/>
    </row>
    <row r="9" spans="1:24" ht="12.95" customHeight="1" x14ac:dyDescent="0.25">
      <c r="A9" s="148" t="s">
        <v>161</v>
      </c>
      <c r="B9" s="148"/>
      <c r="C9" s="148"/>
      <c r="D9" s="148"/>
      <c r="E9" s="148"/>
      <c r="F9" s="148"/>
      <c r="G9" s="148"/>
      <c r="H9" s="148"/>
      <c r="I9" s="148"/>
      <c r="J9" s="148"/>
      <c r="K9" s="148"/>
      <c r="L9" s="148"/>
      <c r="M9" s="148"/>
      <c r="N9" s="148"/>
      <c r="O9" s="148"/>
      <c r="P9" s="148"/>
      <c r="Q9" s="148"/>
      <c r="R9" s="148"/>
      <c r="S9" s="148"/>
      <c r="T9" s="148"/>
      <c r="U9" s="148"/>
      <c r="V9" s="148"/>
      <c r="W9" s="148"/>
      <c r="X9" s="148"/>
    </row>
    <row r="10" spans="1:24" ht="12.95" customHeight="1" x14ac:dyDescent="0.25">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row>
    <row r="11" spans="1:24" ht="12.95" customHeight="1" x14ac:dyDescent="0.25">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row>
    <row r="12" spans="1:24" ht="12.95" customHeight="1" x14ac:dyDescent="0.25">
      <c r="A12" s="292" t="s">
        <v>1</v>
      </c>
      <c r="B12" s="292"/>
      <c r="C12" s="292"/>
      <c r="D12" s="292"/>
      <c r="E12" s="292"/>
      <c r="F12" s="292"/>
      <c r="G12" s="292"/>
      <c r="H12" s="292"/>
      <c r="I12" s="292"/>
      <c r="J12" s="292"/>
      <c r="K12" s="291"/>
      <c r="L12" s="291"/>
      <c r="M12" s="291"/>
      <c r="N12" s="291"/>
      <c r="O12" s="291"/>
      <c r="P12" s="291"/>
      <c r="Q12" s="291"/>
      <c r="R12" s="291"/>
      <c r="S12" s="291"/>
      <c r="T12" s="291"/>
      <c r="U12" s="291"/>
      <c r="V12" s="291"/>
      <c r="W12" s="291"/>
      <c r="X12" s="291"/>
    </row>
    <row r="13" spans="1:24" ht="12.95" customHeight="1" x14ac:dyDescent="0.25">
      <c r="A13" s="153"/>
      <c r="B13" s="154"/>
      <c r="C13" s="154"/>
      <c r="D13" s="154"/>
      <c r="E13" s="154"/>
      <c r="F13" s="154"/>
      <c r="G13" s="154"/>
      <c r="H13" s="154"/>
      <c r="I13" s="154"/>
      <c r="J13" s="154"/>
      <c r="K13" s="155"/>
      <c r="L13" s="155"/>
      <c r="M13" s="155"/>
      <c r="N13" s="155"/>
      <c r="O13" s="155"/>
      <c r="P13" s="148"/>
      <c r="Q13" s="148"/>
      <c r="R13" s="148"/>
      <c r="S13" s="148"/>
      <c r="T13" s="148"/>
      <c r="U13" s="148"/>
      <c r="V13" s="148"/>
      <c r="W13" s="148"/>
      <c r="X13" s="148"/>
    </row>
    <row r="14" spans="1:24" ht="12.95" customHeight="1" x14ac:dyDescent="0.25">
      <c r="A14" s="153"/>
      <c r="B14" s="154"/>
      <c r="C14" s="154"/>
      <c r="D14" s="154"/>
      <c r="E14" s="154"/>
      <c r="F14" s="154"/>
      <c r="G14" s="154"/>
      <c r="H14" s="154"/>
      <c r="I14" s="156">
        <v>1</v>
      </c>
      <c r="J14" s="156">
        <v>2</v>
      </c>
      <c r="K14" s="156">
        <v>3</v>
      </c>
      <c r="L14" s="156">
        <v>4</v>
      </c>
      <c r="M14" s="156">
        <v>5</v>
      </c>
      <c r="N14" s="155"/>
      <c r="O14" s="155"/>
      <c r="P14" s="148"/>
      <c r="Q14" s="148"/>
      <c r="R14" s="148"/>
      <c r="S14" s="148"/>
      <c r="T14" s="148"/>
      <c r="U14" s="148"/>
      <c r="V14" s="148"/>
      <c r="W14" s="148"/>
      <c r="X14" s="148"/>
    </row>
    <row r="15" spans="1:24" ht="12.95" customHeight="1" x14ac:dyDescent="0.25">
      <c r="A15" s="157" t="s">
        <v>162</v>
      </c>
      <c r="B15" s="157"/>
      <c r="C15" s="157"/>
      <c r="D15" s="157"/>
      <c r="E15" s="157"/>
      <c r="F15" s="157"/>
      <c r="G15" s="148"/>
      <c r="H15" s="148"/>
      <c r="I15" s="158">
        <v>0</v>
      </c>
      <c r="J15" s="158">
        <v>0</v>
      </c>
      <c r="K15" s="158">
        <v>0</v>
      </c>
      <c r="L15" s="158">
        <v>0</v>
      </c>
      <c r="M15" s="158">
        <v>0</v>
      </c>
      <c r="N15" s="155"/>
      <c r="O15" s="3"/>
      <c r="P15" s="3"/>
      <c r="Q15" s="3"/>
      <c r="R15" s="3"/>
      <c r="S15" s="3"/>
      <c r="T15" s="3"/>
      <c r="U15" s="3"/>
      <c r="V15" s="3"/>
      <c r="W15" s="3"/>
      <c r="X15" s="3"/>
    </row>
    <row r="16" spans="1:24" ht="12.95" customHeight="1" x14ac:dyDescent="0.25">
      <c r="A16" s="157" t="s">
        <v>163</v>
      </c>
      <c r="B16" s="157"/>
      <c r="C16" s="157"/>
      <c r="D16" s="157"/>
      <c r="E16" s="157"/>
      <c r="F16" s="157"/>
      <c r="G16" s="148"/>
      <c r="H16" s="148"/>
      <c r="I16" s="158">
        <f>'IRIS Opex incentives'!E6</f>
        <v>0</v>
      </c>
      <c r="J16" s="158">
        <f>'IRIS Opex incentives'!F6</f>
        <v>0</v>
      </c>
      <c r="K16" s="158">
        <f>'IRIS Opex incentives'!G6</f>
        <v>0</v>
      </c>
      <c r="L16" s="158">
        <f>IF('Equivalence calculations'!$C$9=2019,'Equivalence calculations'!$C$12,0)</f>
        <v>5000000</v>
      </c>
      <c r="M16" s="158">
        <f>IF('Equivalence calculations'!$C$9=2020,'Equivalence calculations'!$C$12,0)</f>
        <v>0</v>
      </c>
      <c r="N16" s="155"/>
      <c r="O16" s="3"/>
      <c r="P16" s="3"/>
      <c r="Q16" s="3"/>
      <c r="R16" s="3"/>
      <c r="S16" s="3"/>
      <c r="T16" s="3"/>
      <c r="U16" s="3"/>
      <c r="V16" s="3"/>
      <c r="W16" s="3"/>
      <c r="X16" s="3"/>
    </row>
    <row r="17" spans="1:24" ht="12.95" customHeight="1" x14ac:dyDescent="0.25">
      <c r="A17" s="157" t="s">
        <v>164</v>
      </c>
      <c r="B17" s="157"/>
      <c r="C17" s="157"/>
      <c r="D17" s="157"/>
      <c r="E17" s="157"/>
      <c r="F17" s="157"/>
      <c r="G17" s="148"/>
      <c r="H17" s="148"/>
      <c r="I17" s="158">
        <v>0</v>
      </c>
      <c r="J17" s="158">
        <v>0</v>
      </c>
      <c r="K17" s="158">
        <v>0</v>
      </c>
      <c r="L17" s="158">
        <v>0</v>
      </c>
      <c r="M17" s="158">
        <v>0</v>
      </c>
      <c r="N17" s="148"/>
      <c r="O17" s="148"/>
      <c r="P17" s="3"/>
      <c r="Q17" s="3"/>
      <c r="R17" s="3"/>
      <c r="S17" s="3"/>
      <c r="T17" s="3"/>
      <c r="U17" s="3"/>
      <c r="V17" s="3"/>
      <c r="W17" s="3"/>
      <c r="X17" s="3"/>
    </row>
    <row r="18" spans="1:24" ht="12.95" customHeight="1" x14ac:dyDescent="0.25">
      <c r="A18" s="157" t="s">
        <v>165</v>
      </c>
      <c r="B18" s="157"/>
      <c r="C18" s="157"/>
      <c r="D18" s="157"/>
      <c r="E18" s="157"/>
      <c r="F18" s="157"/>
      <c r="G18" s="148"/>
      <c r="H18" s="148"/>
      <c r="I18" s="159">
        <v>5.1299999999999998E-2</v>
      </c>
      <c r="J18" s="157"/>
      <c r="K18" s="157"/>
      <c r="L18" s="157"/>
      <c r="M18" s="160"/>
      <c r="N18" s="160"/>
      <c r="O18" s="160"/>
      <c r="P18" s="148"/>
      <c r="Q18" s="148"/>
      <c r="R18" s="148"/>
      <c r="S18" s="148"/>
      <c r="T18" s="148"/>
      <c r="U18" s="148"/>
      <c r="V18" s="148"/>
      <c r="W18" s="148"/>
      <c r="X18" s="148"/>
    </row>
    <row r="19" spans="1:24" ht="12.95" customHeight="1" x14ac:dyDescent="0.25">
      <c r="A19" s="157"/>
      <c r="B19" s="157"/>
      <c r="C19" s="157"/>
      <c r="D19" s="157"/>
      <c r="E19" s="157"/>
      <c r="F19" s="157"/>
      <c r="G19" s="148"/>
      <c r="H19" s="148"/>
      <c r="I19" s="148"/>
      <c r="J19" s="157"/>
      <c r="K19" s="157"/>
      <c r="L19" s="157"/>
      <c r="M19" s="160"/>
      <c r="N19" s="160"/>
      <c r="O19" s="160"/>
      <c r="P19" s="148"/>
      <c r="Q19" s="148"/>
      <c r="R19" s="148"/>
      <c r="S19" s="148"/>
      <c r="T19" s="148"/>
      <c r="U19" s="148"/>
      <c r="V19" s="148"/>
      <c r="W19" s="148"/>
      <c r="X19" s="148"/>
    </row>
    <row r="20" spans="1:24" ht="12.95" customHeight="1" x14ac:dyDescent="0.25">
      <c r="A20" s="157" t="s">
        <v>349</v>
      </c>
      <c r="B20" s="157"/>
      <c r="C20" s="157"/>
      <c r="D20" s="157"/>
      <c r="E20" s="157"/>
      <c r="F20" s="157"/>
      <c r="G20" s="148"/>
      <c r="H20" s="148"/>
      <c r="I20" s="161">
        <f>I126</f>
        <v>0.25930397579657077</v>
      </c>
      <c r="J20" s="157"/>
      <c r="K20" s="157"/>
      <c r="L20" s="157"/>
      <c r="M20" s="160"/>
      <c r="N20" s="160"/>
      <c r="O20" s="160"/>
      <c r="P20" s="148"/>
      <c r="Q20" s="148"/>
      <c r="R20" s="148"/>
      <c r="S20" s="148"/>
      <c r="T20" s="148"/>
      <c r="U20" s="148"/>
      <c r="V20" s="148"/>
      <c r="W20" s="148"/>
      <c r="X20" s="148"/>
    </row>
    <row r="21" spans="1:24" ht="12.95" customHeight="1" x14ac:dyDescent="0.25">
      <c r="A21" s="157"/>
      <c r="B21" s="157"/>
      <c r="C21" s="157"/>
      <c r="D21" s="157"/>
      <c r="E21" s="157"/>
      <c r="F21" s="157"/>
      <c r="G21" s="148"/>
      <c r="H21" s="148"/>
      <c r="I21" s="148"/>
      <c r="J21" s="157"/>
      <c r="K21" s="157"/>
      <c r="L21" s="157"/>
      <c r="M21" s="160"/>
      <c r="N21" s="160"/>
      <c r="O21" s="160"/>
      <c r="P21" s="148"/>
      <c r="Q21" s="148"/>
      <c r="R21" s="148"/>
      <c r="S21" s="148"/>
      <c r="T21" s="148"/>
      <c r="U21" s="148"/>
      <c r="V21" s="148"/>
      <c r="W21" s="148"/>
      <c r="X21" s="148"/>
    </row>
    <row r="22" spans="1:24" ht="12.95" customHeight="1" x14ac:dyDescent="0.25">
      <c r="A22" s="292" t="s">
        <v>2</v>
      </c>
      <c r="B22" s="292"/>
      <c r="C22" s="292"/>
      <c r="D22" s="292"/>
      <c r="E22" s="292"/>
      <c r="F22" s="292"/>
      <c r="G22" s="292"/>
      <c r="H22" s="292"/>
      <c r="I22" s="292"/>
      <c r="J22" s="292"/>
      <c r="K22" s="291"/>
      <c r="L22" s="291"/>
      <c r="M22" s="291"/>
      <c r="N22" s="291"/>
      <c r="O22" s="291"/>
      <c r="P22" s="291"/>
      <c r="Q22" s="291"/>
      <c r="R22" s="291"/>
      <c r="S22" s="291"/>
      <c r="T22" s="291"/>
      <c r="U22" s="291"/>
      <c r="V22" s="291"/>
      <c r="W22" s="291"/>
      <c r="X22" s="291"/>
    </row>
    <row r="23" spans="1:24" ht="12.95" customHeight="1" x14ac:dyDescent="0.25">
      <c r="A23" s="162"/>
      <c r="B23" s="162"/>
      <c r="C23" s="162"/>
      <c r="D23" s="162"/>
      <c r="E23" s="162"/>
      <c r="F23" s="162"/>
      <c r="G23" s="162"/>
      <c r="H23" s="162"/>
      <c r="I23" s="163"/>
      <c r="J23" s="164"/>
      <c r="K23" s="164"/>
      <c r="L23" s="164"/>
      <c r="M23" s="165"/>
      <c r="N23" s="165"/>
      <c r="O23" s="165"/>
      <c r="P23" s="148"/>
      <c r="Q23" s="148"/>
      <c r="R23" s="148"/>
      <c r="S23" s="148"/>
      <c r="T23" s="148"/>
      <c r="U23" s="148"/>
      <c r="V23" s="148"/>
      <c r="W23" s="148"/>
      <c r="X23" s="148"/>
    </row>
    <row r="24" spans="1:24" ht="12.95" customHeight="1" x14ac:dyDescent="0.25">
      <c r="A24" s="3"/>
      <c r="B24" s="3"/>
      <c r="C24" s="3"/>
      <c r="D24" s="3"/>
      <c r="E24" s="3"/>
      <c r="F24" s="3"/>
      <c r="G24" s="3"/>
      <c r="H24" s="3"/>
      <c r="I24" s="3"/>
      <c r="J24" s="148"/>
      <c r="K24" s="166" t="s">
        <v>251</v>
      </c>
      <c r="L24" s="148"/>
      <c r="M24" s="3"/>
      <c r="N24" s="148"/>
      <c r="O24" s="148"/>
      <c r="P24" s="166" t="s">
        <v>56</v>
      </c>
      <c r="Q24" s="148"/>
      <c r="R24" s="3"/>
      <c r="S24" s="3"/>
      <c r="T24" s="148"/>
      <c r="U24" s="166" t="s">
        <v>57</v>
      </c>
      <c r="V24" s="148"/>
      <c r="W24" s="148"/>
      <c r="X24" s="3"/>
    </row>
    <row r="25" spans="1:24" ht="12.95" customHeight="1" x14ac:dyDescent="0.25">
      <c r="A25" s="3"/>
      <c r="B25" s="3"/>
      <c r="C25" s="3"/>
      <c r="D25" s="3"/>
      <c r="E25" s="3"/>
      <c r="F25" s="3"/>
      <c r="G25" s="3"/>
      <c r="H25" s="3"/>
      <c r="I25" s="167">
        <v>1</v>
      </c>
      <c r="J25" s="168">
        <f t="shared" ref="J25:X26" si="0">I25+1</f>
        <v>2</v>
      </c>
      <c r="K25" s="168">
        <f t="shared" si="0"/>
        <v>3</v>
      </c>
      <c r="L25" s="168">
        <f t="shared" si="0"/>
        <v>4</v>
      </c>
      <c r="M25" s="169">
        <f t="shared" si="0"/>
        <v>5</v>
      </c>
      <c r="N25" s="167">
        <f t="shared" si="0"/>
        <v>6</v>
      </c>
      <c r="O25" s="168">
        <f t="shared" si="0"/>
        <v>7</v>
      </c>
      <c r="P25" s="168">
        <f t="shared" si="0"/>
        <v>8</v>
      </c>
      <c r="Q25" s="168">
        <f t="shared" si="0"/>
        <v>9</v>
      </c>
      <c r="R25" s="169">
        <f t="shared" si="0"/>
        <v>10</v>
      </c>
      <c r="S25" s="167">
        <f t="shared" si="0"/>
        <v>11</v>
      </c>
      <c r="T25" s="168">
        <f t="shared" si="0"/>
        <v>12</v>
      </c>
      <c r="U25" s="168">
        <f t="shared" si="0"/>
        <v>13</v>
      </c>
      <c r="V25" s="168">
        <f t="shared" si="0"/>
        <v>14</v>
      </c>
      <c r="W25" s="169">
        <f t="shared" si="0"/>
        <v>15</v>
      </c>
      <c r="X25" s="167">
        <f t="shared" si="0"/>
        <v>16</v>
      </c>
    </row>
    <row r="26" spans="1:24" ht="12.95" customHeight="1" x14ac:dyDescent="0.25">
      <c r="A26" s="170" t="s">
        <v>166</v>
      </c>
      <c r="B26" s="170"/>
      <c r="C26" s="170"/>
      <c r="D26" s="170"/>
      <c r="E26" s="170"/>
      <c r="F26" s="170"/>
      <c r="G26" s="170"/>
      <c r="H26" s="170"/>
      <c r="I26" s="171">
        <v>0</v>
      </c>
      <c r="J26" s="171">
        <f t="shared" si="0"/>
        <v>1</v>
      </c>
      <c r="K26" s="171">
        <f t="shared" si="0"/>
        <v>2</v>
      </c>
      <c r="L26" s="171">
        <f t="shared" si="0"/>
        <v>3</v>
      </c>
      <c r="M26" s="172">
        <f t="shared" si="0"/>
        <v>4</v>
      </c>
      <c r="N26" s="173">
        <f t="shared" si="0"/>
        <v>5</v>
      </c>
      <c r="O26" s="171">
        <f t="shared" si="0"/>
        <v>6</v>
      </c>
      <c r="P26" s="171">
        <f t="shared" si="0"/>
        <v>7</v>
      </c>
      <c r="Q26" s="171">
        <f t="shared" si="0"/>
        <v>8</v>
      </c>
      <c r="R26" s="172">
        <f t="shared" si="0"/>
        <v>9</v>
      </c>
      <c r="S26" s="173">
        <f t="shared" si="0"/>
        <v>10</v>
      </c>
      <c r="T26" s="171">
        <f t="shared" si="0"/>
        <v>11</v>
      </c>
      <c r="U26" s="171">
        <f t="shared" si="0"/>
        <v>12</v>
      </c>
      <c r="V26" s="171">
        <f t="shared" si="0"/>
        <v>13</v>
      </c>
      <c r="W26" s="172">
        <f t="shared" si="0"/>
        <v>14</v>
      </c>
      <c r="X26" s="171">
        <f t="shared" si="0"/>
        <v>15</v>
      </c>
    </row>
    <row r="27" spans="1:24" ht="12.95" customHeight="1" x14ac:dyDescent="0.25">
      <c r="A27" s="170" t="s">
        <v>167</v>
      </c>
      <c r="B27" s="170"/>
      <c r="C27" s="170"/>
      <c r="D27" s="170"/>
      <c r="E27" s="170"/>
      <c r="F27" s="170"/>
      <c r="G27" s="170"/>
      <c r="H27" s="170"/>
      <c r="I27" s="174">
        <f t="shared" ref="I27:X27" si="1">1/(1+$I$18)^I26</f>
        <v>1</v>
      </c>
      <c r="J27" s="174">
        <f t="shared" si="1"/>
        <v>0.95120327213925626</v>
      </c>
      <c r="K27" s="174">
        <f t="shared" si="1"/>
        <v>0.90478766492842788</v>
      </c>
      <c r="L27" s="174">
        <f t="shared" si="1"/>
        <v>0.86063698747115769</v>
      </c>
      <c r="M27" s="175">
        <f t="shared" si="1"/>
        <v>0.81864071860663712</v>
      </c>
      <c r="N27" s="176">
        <f t="shared" si="1"/>
        <v>0.77869373024506527</v>
      </c>
      <c r="O27" s="174">
        <f t="shared" si="1"/>
        <v>0.74069602420342939</v>
      </c>
      <c r="P27" s="174">
        <f t="shared" si="1"/>
        <v>0.70455248188283992</v>
      </c>
      <c r="Q27" s="174">
        <f t="shared" si="1"/>
        <v>0.67017262616079121</v>
      </c>
      <c r="R27" s="175">
        <f t="shared" si="1"/>
        <v>0.63747039490230306</v>
      </c>
      <c r="S27" s="176">
        <f t="shared" si="1"/>
        <v>0.60636392552297447</v>
      </c>
      <c r="T27" s="174">
        <f t="shared" si="1"/>
        <v>0.57677535006465763</v>
      </c>
      <c r="U27" s="174">
        <f t="shared" si="1"/>
        <v>0.54863060027076727</v>
      </c>
      <c r="V27" s="174">
        <f t="shared" si="1"/>
        <v>0.52185922217327807</v>
      </c>
      <c r="W27" s="175">
        <f t="shared" si="1"/>
        <v>0.49639419972726923</v>
      </c>
      <c r="X27" s="174">
        <f t="shared" si="1"/>
        <v>0.47217178705152602</v>
      </c>
    </row>
    <row r="28" spans="1:24" ht="12.95" customHeight="1" x14ac:dyDescent="0.25">
      <c r="A28" s="162"/>
      <c r="B28" s="162"/>
      <c r="C28" s="162"/>
      <c r="D28" s="162"/>
      <c r="E28" s="162"/>
      <c r="F28" s="162"/>
      <c r="G28" s="162"/>
      <c r="H28" s="162"/>
      <c r="I28" s="177"/>
      <c r="J28" s="177"/>
      <c r="K28" s="177"/>
      <c r="L28" s="177"/>
      <c r="M28" s="178"/>
      <c r="N28" s="179"/>
      <c r="O28" s="177"/>
      <c r="P28" s="3"/>
      <c r="Q28" s="180"/>
      <c r="R28" s="178"/>
      <c r="S28" s="179"/>
      <c r="T28" s="177"/>
      <c r="U28" s="3"/>
      <c r="V28" s="180"/>
      <c r="W28" s="178"/>
      <c r="X28" s="177"/>
    </row>
    <row r="29" spans="1:24" ht="12.95" customHeight="1" outlineLevel="1" x14ac:dyDescent="0.25">
      <c r="A29" s="181" t="s">
        <v>168</v>
      </c>
      <c r="B29" s="181" t="s">
        <v>169</v>
      </c>
      <c r="C29" s="182"/>
      <c r="D29" s="182"/>
      <c r="E29" s="182"/>
      <c r="F29" s="182"/>
      <c r="G29" s="182"/>
      <c r="H29" s="182"/>
      <c r="I29" s="183">
        <f>I15</f>
        <v>0</v>
      </c>
      <c r="J29" s="183">
        <f>J15</f>
        <v>0</v>
      </c>
      <c r="K29" s="183">
        <f>K15</f>
        <v>0</v>
      </c>
      <c r="L29" s="183">
        <f>L15</f>
        <v>0</v>
      </c>
      <c r="M29" s="184">
        <f>M15</f>
        <v>0</v>
      </c>
      <c r="N29" s="185"/>
      <c r="O29" s="186"/>
      <c r="P29" s="183"/>
      <c r="Q29" s="183"/>
      <c r="R29" s="187"/>
      <c r="S29" s="185"/>
      <c r="T29" s="186"/>
      <c r="U29" s="183"/>
      <c r="V29" s="183"/>
      <c r="W29" s="187"/>
      <c r="X29" s="186"/>
    </row>
    <row r="30" spans="1:24" ht="12.95" customHeight="1" outlineLevel="1" x14ac:dyDescent="0.25">
      <c r="A30" s="181" t="s">
        <v>170</v>
      </c>
      <c r="B30" s="188" t="s">
        <v>171</v>
      </c>
      <c r="C30" s="189"/>
      <c r="D30" s="189"/>
      <c r="E30" s="189"/>
      <c r="F30" s="189"/>
      <c r="G30" s="189"/>
      <c r="H30" s="189"/>
      <c r="I30" s="190">
        <f>I29</f>
        <v>0</v>
      </c>
      <c r="J30" s="190">
        <f>J29</f>
        <v>0</v>
      </c>
      <c r="K30" s="190">
        <f>K29</f>
        <v>0</v>
      </c>
      <c r="L30" s="190">
        <f>L29</f>
        <v>0</v>
      </c>
      <c r="M30" s="191">
        <f>M29</f>
        <v>0</v>
      </c>
      <c r="N30" s="192"/>
      <c r="O30" s="193"/>
      <c r="P30" s="190"/>
      <c r="Q30" s="190"/>
      <c r="R30" s="194"/>
      <c r="S30" s="192"/>
      <c r="T30" s="193"/>
      <c r="U30" s="190"/>
      <c r="V30" s="190"/>
      <c r="W30" s="194"/>
      <c r="X30" s="193"/>
    </row>
    <row r="31" spans="1:24" ht="12.95" customHeight="1" outlineLevel="1" x14ac:dyDescent="0.25">
      <c r="A31" s="195"/>
      <c r="B31" s="195"/>
      <c r="C31" s="196"/>
      <c r="D31" s="196"/>
      <c r="E31" s="196"/>
      <c r="F31" s="196"/>
      <c r="G31" s="196"/>
      <c r="H31" s="196"/>
      <c r="I31" s="197"/>
      <c r="J31" s="197"/>
      <c r="K31" s="197"/>
      <c r="L31" s="197"/>
      <c r="M31" s="198"/>
      <c r="N31" s="199"/>
      <c r="O31" s="197"/>
      <c r="P31" s="197"/>
      <c r="Q31" s="197"/>
      <c r="R31" s="198"/>
      <c r="S31" s="199"/>
      <c r="T31" s="197"/>
      <c r="U31" s="197"/>
      <c r="V31" s="197"/>
      <c r="W31" s="198"/>
      <c r="X31" s="197"/>
    </row>
    <row r="32" spans="1:24" ht="12.95" customHeight="1" outlineLevel="1" x14ac:dyDescent="0.25">
      <c r="A32" s="200" t="s">
        <v>172</v>
      </c>
      <c r="B32" s="195" t="s">
        <v>173</v>
      </c>
      <c r="C32" s="196"/>
      <c r="D32" s="196"/>
      <c r="E32" s="196"/>
      <c r="F32" s="196"/>
      <c r="G32" s="196"/>
      <c r="H32" s="182"/>
      <c r="I32" s="197">
        <f>I15</f>
        <v>0</v>
      </c>
      <c r="J32" s="197">
        <f>J15</f>
        <v>0</v>
      </c>
      <c r="K32" s="197">
        <f>K15</f>
        <v>0</v>
      </c>
      <c r="L32" s="197">
        <f>L15</f>
        <v>0</v>
      </c>
      <c r="M32" s="198">
        <f>M15</f>
        <v>0</v>
      </c>
      <c r="N32" s="199"/>
      <c r="O32" s="197"/>
      <c r="P32" s="197"/>
      <c r="Q32" s="197"/>
      <c r="R32" s="198"/>
      <c r="S32" s="199"/>
      <c r="T32" s="197"/>
      <c r="U32" s="197"/>
      <c r="V32" s="197"/>
      <c r="W32" s="198"/>
      <c r="X32" s="197"/>
    </row>
    <row r="33" spans="1:24" ht="12.95" customHeight="1" outlineLevel="1" x14ac:dyDescent="0.25">
      <c r="A33" s="200"/>
      <c r="B33" s="195" t="s">
        <v>174</v>
      </c>
      <c r="C33" s="196"/>
      <c r="D33" s="196"/>
      <c r="E33" s="196"/>
      <c r="F33" s="196"/>
      <c r="G33" s="196"/>
      <c r="H33" s="182"/>
      <c r="I33" s="197"/>
      <c r="J33" s="197"/>
      <c r="K33" s="197"/>
      <c r="L33" s="197"/>
      <c r="M33" s="198"/>
      <c r="N33" s="201">
        <f>L35</f>
        <v>0</v>
      </c>
      <c r="O33" s="197">
        <f>$N$33</f>
        <v>0</v>
      </c>
      <c r="P33" s="197">
        <f>$N$33</f>
        <v>0</v>
      </c>
      <c r="Q33" s="197">
        <f>$N$33</f>
        <v>0</v>
      </c>
      <c r="R33" s="198">
        <f>$N$33</f>
        <v>0</v>
      </c>
      <c r="S33" s="199"/>
      <c r="T33" s="197"/>
      <c r="U33" s="197"/>
      <c r="V33" s="197"/>
      <c r="W33" s="198"/>
      <c r="X33" s="197"/>
    </row>
    <row r="34" spans="1:24" ht="12.95" customHeight="1" outlineLevel="1" x14ac:dyDescent="0.25">
      <c r="A34" s="200"/>
      <c r="B34" s="195" t="s">
        <v>175</v>
      </c>
      <c r="C34" s="196"/>
      <c r="D34" s="196"/>
      <c r="E34" s="196"/>
      <c r="F34" s="196"/>
      <c r="G34" s="196"/>
      <c r="H34" s="196"/>
      <c r="I34" s="197"/>
      <c r="J34" s="197"/>
      <c r="K34" s="197"/>
      <c r="L34" s="197"/>
      <c r="M34" s="198"/>
      <c r="N34" s="199"/>
      <c r="O34" s="197"/>
      <c r="P34" s="197"/>
      <c r="Q34" s="197"/>
      <c r="R34" s="198"/>
      <c r="S34" s="201">
        <f>Q35</f>
        <v>0</v>
      </c>
      <c r="T34" s="197">
        <f>$S$34</f>
        <v>0</v>
      </c>
      <c r="U34" s="197">
        <f>$S$34</f>
        <v>0</v>
      </c>
      <c r="V34" s="197">
        <f>$S$34</f>
        <v>0</v>
      </c>
      <c r="W34" s="198">
        <f>$S$34</f>
        <v>0</v>
      </c>
      <c r="X34" s="149">
        <f>V35</f>
        <v>0</v>
      </c>
    </row>
    <row r="35" spans="1:24" ht="12.95" customHeight="1" outlineLevel="1" x14ac:dyDescent="0.25">
      <c r="A35" s="200"/>
      <c r="B35" s="195" t="s">
        <v>176</v>
      </c>
      <c r="C35" s="196"/>
      <c r="D35" s="196"/>
      <c r="E35" s="196"/>
      <c r="F35" s="196"/>
      <c r="G35" s="196"/>
      <c r="H35" s="196"/>
      <c r="I35" s="197">
        <f t="shared" ref="I35:X35" si="2">SUM(I32:I34)</f>
        <v>0</v>
      </c>
      <c r="J35" s="197">
        <f t="shared" si="2"/>
        <v>0</v>
      </c>
      <c r="K35" s="197">
        <f t="shared" si="2"/>
        <v>0</v>
      </c>
      <c r="L35" s="197">
        <f t="shared" si="2"/>
        <v>0</v>
      </c>
      <c r="M35" s="198">
        <f t="shared" si="2"/>
        <v>0</v>
      </c>
      <c r="N35" s="199">
        <f t="shared" si="2"/>
        <v>0</v>
      </c>
      <c r="O35" s="197">
        <f t="shared" si="2"/>
        <v>0</v>
      </c>
      <c r="P35" s="197">
        <f t="shared" si="2"/>
        <v>0</v>
      </c>
      <c r="Q35" s="197">
        <f t="shared" si="2"/>
        <v>0</v>
      </c>
      <c r="R35" s="198">
        <f t="shared" si="2"/>
        <v>0</v>
      </c>
      <c r="S35" s="199">
        <f t="shared" si="2"/>
        <v>0</v>
      </c>
      <c r="T35" s="197">
        <f t="shared" si="2"/>
        <v>0</v>
      </c>
      <c r="U35" s="197">
        <f t="shared" si="2"/>
        <v>0</v>
      </c>
      <c r="V35" s="197">
        <f t="shared" si="2"/>
        <v>0</v>
      </c>
      <c r="W35" s="198">
        <f t="shared" si="2"/>
        <v>0</v>
      </c>
      <c r="X35" s="197">
        <f t="shared" si="2"/>
        <v>0</v>
      </c>
    </row>
    <row r="36" spans="1:24" ht="12.95" customHeight="1" outlineLevel="1" x14ac:dyDescent="0.25">
      <c r="A36" s="195"/>
      <c r="B36" s="202" t="s">
        <v>177</v>
      </c>
      <c r="C36" s="203"/>
      <c r="D36" s="203"/>
      <c r="E36" s="203"/>
      <c r="F36" s="203"/>
      <c r="G36" s="203"/>
      <c r="H36" s="203"/>
      <c r="I36" s="204">
        <f>I$32</f>
        <v>0</v>
      </c>
      <c r="J36" s="204">
        <f>J$32</f>
        <v>0</v>
      </c>
      <c r="K36" s="204">
        <f>K$32</f>
        <v>0</v>
      </c>
      <c r="L36" s="204">
        <f>L$32</f>
        <v>0</v>
      </c>
      <c r="M36" s="205">
        <f>M$32</f>
        <v>0</v>
      </c>
      <c r="N36" s="206"/>
      <c r="O36" s="204"/>
      <c r="P36" s="204"/>
      <c r="Q36" s="204"/>
      <c r="R36" s="205"/>
      <c r="S36" s="206"/>
      <c r="T36" s="204"/>
      <c r="U36" s="204"/>
      <c r="V36" s="204"/>
      <c r="W36" s="205"/>
      <c r="X36" s="204"/>
    </row>
    <row r="37" spans="1:24" ht="12.95" customHeight="1" outlineLevel="1" x14ac:dyDescent="0.25">
      <c r="A37" s="195"/>
      <c r="B37" s="202" t="s">
        <v>178</v>
      </c>
      <c r="C37" s="203"/>
      <c r="D37" s="203"/>
      <c r="E37" s="203"/>
      <c r="F37" s="203"/>
      <c r="G37" s="203"/>
      <c r="H37" s="203"/>
      <c r="I37" s="204"/>
      <c r="J37" s="204"/>
      <c r="K37" s="204"/>
      <c r="L37" s="204"/>
      <c r="M37" s="205"/>
      <c r="N37" s="206">
        <f>N$33</f>
        <v>0</v>
      </c>
      <c r="O37" s="204">
        <f>O$33</f>
        <v>0</v>
      </c>
      <c r="P37" s="204">
        <f>P$33</f>
        <v>0</v>
      </c>
      <c r="Q37" s="204">
        <f>Q$33</f>
        <v>0</v>
      </c>
      <c r="R37" s="205">
        <f>R$33</f>
        <v>0</v>
      </c>
      <c r="S37" s="206"/>
      <c r="T37" s="204"/>
      <c r="U37" s="204"/>
      <c r="V37" s="204"/>
      <c r="W37" s="205"/>
      <c r="X37" s="204"/>
    </row>
    <row r="38" spans="1:24" ht="12.95" customHeight="1" outlineLevel="1" x14ac:dyDescent="0.25">
      <c r="A38" s="195"/>
      <c r="B38" s="202" t="s">
        <v>179</v>
      </c>
      <c r="C38" s="203"/>
      <c r="D38" s="203"/>
      <c r="E38" s="203"/>
      <c r="F38" s="203"/>
      <c r="G38" s="203"/>
      <c r="H38" s="203"/>
      <c r="I38" s="204"/>
      <c r="J38" s="204"/>
      <c r="K38" s="204"/>
      <c r="L38" s="204"/>
      <c r="M38" s="205"/>
      <c r="N38" s="206"/>
      <c r="O38" s="204"/>
      <c r="P38" s="204"/>
      <c r="Q38" s="204"/>
      <c r="R38" s="205"/>
      <c r="S38" s="206">
        <f t="shared" ref="S38:X38" si="3">S$34</f>
        <v>0</v>
      </c>
      <c r="T38" s="204">
        <f t="shared" si="3"/>
        <v>0</v>
      </c>
      <c r="U38" s="204">
        <f t="shared" si="3"/>
        <v>0</v>
      </c>
      <c r="V38" s="204">
        <f t="shared" si="3"/>
        <v>0</v>
      </c>
      <c r="W38" s="205">
        <f t="shared" si="3"/>
        <v>0</v>
      </c>
      <c r="X38" s="204">
        <f t="shared" si="3"/>
        <v>0</v>
      </c>
    </row>
    <row r="39" spans="1:24" ht="12.75" customHeight="1" outlineLevel="1" x14ac:dyDescent="0.25">
      <c r="A39" s="195"/>
      <c r="B39" s="202" t="s">
        <v>180</v>
      </c>
      <c r="C39" s="203"/>
      <c r="D39" s="203"/>
      <c r="E39" s="203"/>
      <c r="F39" s="203"/>
      <c r="G39" s="203"/>
      <c r="H39" s="203"/>
      <c r="I39" s="204">
        <f t="shared" ref="I39:X39" si="4">SUM(I36:I38)</f>
        <v>0</v>
      </c>
      <c r="J39" s="204">
        <f t="shared" si="4"/>
        <v>0</v>
      </c>
      <c r="K39" s="204">
        <f t="shared" si="4"/>
        <v>0</v>
      </c>
      <c r="L39" s="204">
        <f t="shared" si="4"/>
        <v>0</v>
      </c>
      <c r="M39" s="205">
        <f t="shared" si="4"/>
        <v>0</v>
      </c>
      <c r="N39" s="206">
        <f t="shared" si="4"/>
        <v>0</v>
      </c>
      <c r="O39" s="204">
        <f t="shared" si="4"/>
        <v>0</v>
      </c>
      <c r="P39" s="204">
        <f t="shared" si="4"/>
        <v>0</v>
      </c>
      <c r="Q39" s="204">
        <f t="shared" si="4"/>
        <v>0</v>
      </c>
      <c r="R39" s="205">
        <f t="shared" si="4"/>
        <v>0</v>
      </c>
      <c r="S39" s="206">
        <f t="shared" si="4"/>
        <v>0</v>
      </c>
      <c r="T39" s="204">
        <f t="shared" si="4"/>
        <v>0</v>
      </c>
      <c r="U39" s="204">
        <f t="shared" si="4"/>
        <v>0</v>
      </c>
      <c r="V39" s="204">
        <f t="shared" si="4"/>
        <v>0</v>
      </c>
      <c r="W39" s="205">
        <f t="shared" si="4"/>
        <v>0</v>
      </c>
      <c r="X39" s="204">
        <f t="shared" si="4"/>
        <v>0</v>
      </c>
    </row>
    <row r="40" spans="1:24" ht="12.95" customHeight="1" outlineLevel="1" x14ac:dyDescent="0.25">
      <c r="A40" s="200"/>
      <c r="B40" s="195"/>
      <c r="C40" s="196"/>
      <c r="D40" s="196"/>
      <c r="E40" s="196"/>
      <c r="F40" s="196"/>
      <c r="G40" s="196"/>
      <c r="H40" s="196"/>
      <c r="I40" s="197"/>
      <c r="J40" s="197"/>
      <c r="K40" s="197"/>
      <c r="L40" s="197"/>
      <c r="M40" s="198"/>
      <c r="N40" s="199"/>
      <c r="O40" s="197"/>
      <c r="P40" s="197"/>
      <c r="Q40" s="197"/>
      <c r="R40" s="198"/>
      <c r="S40" s="199"/>
      <c r="T40" s="197"/>
      <c r="U40" s="197"/>
      <c r="V40" s="197"/>
      <c r="W40" s="198"/>
      <c r="X40" s="197"/>
    </row>
    <row r="41" spans="1:24" ht="12.95" customHeight="1" outlineLevel="1" x14ac:dyDescent="0.25">
      <c r="A41" s="207" t="s">
        <v>181</v>
      </c>
      <c r="B41" s="181" t="s">
        <v>182</v>
      </c>
      <c r="C41" s="182"/>
      <c r="D41" s="182"/>
      <c r="E41" s="182"/>
      <c r="F41" s="182"/>
      <c r="G41" s="182"/>
      <c r="H41" s="182"/>
      <c r="I41" s="183">
        <f>I15</f>
        <v>0</v>
      </c>
      <c r="J41" s="183">
        <f>J15</f>
        <v>0</v>
      </c>
      <c r="K41" s="183">
        <f>K15</f>
        <v>0</v>
      </c>
      <c r="L41" s="183">
        <f>L15</f>
        <v>0</v>
      </c>
      <c r="M41" s="184">
        <f>M15</f>
        <v>0</v>
      </c>
      <c r="N41" s="208"/>
      <c r="O41" s="209"/>
      <c r="P41" s="209"/>
      <c r="Q41" s="209"/>
      <c r="R41" s="210"/>
      <c r="S41" s="208"/>
      <c r="T41" s="209"/>
      <c r="U41" s="209"/>
      <c r="V41" s="209"/>
      <c r="W41" s="210"/>
      <c r="X41" s="209"/>
    </row>
    <row r="42" spans="1:24" ht="12.95" customHeight="1" outlineLevel="1" x14ac:dyDescent="0.25">
      <c r="A42" s="207"/>
      <c r="B42" s="181" t="s">
        <v>183</v>
      </c>
      <c r="C42" s="182"/>
      <c r="D42" s="182"/>
      <c r="E42" s="182"/>
      <c r="F42" s="182"/>
      <c r="G42" s="182"/>
      <c r="H42" s="182"/>
      <c r="I42" s="183"/>
      <c r="J42" s="183"/>
      <c r="K42" s="183"/>
      <c r="L42" s="183"/>
      <c r="M42" s="184"/>
      <c r="N42" s="211">
        <f>L44</f>
        <v>-5000000</v>
      </c>
      <c r="O42" s="183">
        <f>$N$42</f>
        <v>-5000000</v>
      </c>
      <c r="P42" s="183">
        <f>$N$42</f>
        <v>-5000000</v>
      </c>
      <c r="Q42" s="183">
        <f>$N$42</f>
        <v>-5000000</v>
      </c>
      <c r="R42" s="184">
        <f>$N$42</f>
        <v>-5000000</v>
      </c>
      <c r="S42" s="212"/>
      <c r="T42" s="183"/>
      <c r="U42" s="183"/>
      <c r="V42" s="183"/>
      <c r="W42" s="184"/>
      <c r="X42" s="183"/>
    </row>
    <row r="43" spans="1:24" ht="12.95" customHeight="1" outlineLevel="1" x14ac:dyDescent="0.25">
      <c r="A43" s="207"/>
      <c r="B43" s="181" t="s">
        <v>184</v>
      </c>
      <c r="C43" s="182"/>
      <c r="D43" s="182"/>
      <c r="E43" s="182"/>
      <c r="F43" s="182"/>
      <c r="G43" s="182"/>
      <c r="H43" s="182"/>
      <c r="I43" s="183"/>
      <c r="J43" s="183"/>
      <c r="K43" s="183"/>
      <c r="L43" s="183"/>
      <c r="M43" s="184"/>
      <c r="N43" s="208"/>
      <c r="O43" s="209"/>
      <c r="P43" s="209"/>
      <c r="Q43" s="209"/>
      <c r="R43" s="210"/>
      <c r="S43" s="211">
        <f>Q44</f>
        <v>-5000000</v>
      </c>
      <c r="T43" s="209">
        <f>$S$43</f>
        <v>-5000000</v>
      </c>
      <c r="U43" s="209">
        <f>$S$43</f>
        <v>-5000000</v>
      </c>
      <c r="V43" s="209">
        <f>$S$43</f>
        <v>-5000000</v>
      </c>
      <c r="W43" s="210">
        <f>$S$43</f>
        <v>-5000000</v>
      </c>
      <c r="X43" s="213">
        <f>V44</f>
        <v>-5000000</v>
      </c>
    </row>
    <row r="44" spans="1:24" ht="12.95" customHeight="1" x14ac:dyDescent="0.25">
      <c r="A44" s="207"/>
      <c r="B44" s="181" t="s">
        <v>185</v>
      </c>
      <c r="C44" s="182"/>
      <c r="D44" s="182"/>
      <c r="E44" s="182"/>
      <c r="F44" s="182"/>
      <c r="G44" s="182"/>
      <c r="H44" s="182"/>
      <c r="I44" s="183">
        <f>I15-SUM($I16:I16)-I17</f>
        <v>0</v>
      </c>
      <c r="J44" s="183">
        <f>J15-SUM($I16:J16)-J17</f>
        <v>0</v>
      </c>
      <c r="K44" s="183">
        <f>K15-SUM($I16:K16)-K17</f>
        <v>0</v>
      </c>
      <c r="L44" s="183">
        <f>L15-SUM($I16:L16)-L17</f>
        <v>-5000000</v>
      </c>
      <c r="M44" s="184">
        <f>M15-SUM($I16:M16)-M17</f>
        <v>-5000000</v>
      </c>
      <c r="N44" s="214">
        <f>$L$44+$L$17-N17-SUM($M16:N16)</f>
        <v>-5000000</v>
      </c>
      <c r="O44" s="215">
        <f>$L$44+$L$17-O17-SUM($M16:O16)</f>
        <v>-5000000</v>
      </c>
      <c r="P44" s="215">
        <f>$L$44+$L$17-P17-SUM($M16:P16)</f>
        <v>-5000000</v>
      </c>
      <c r="Q44" s="215">
        <f>$L$44+$L$17-Q17-SUM($M16:Q16)</f>
        <v>-5000000</v>
      </c>
      <c r="R44" s="216">
        <f>$L$44+$L$17-R17-SUM($M16:R16)</f>
        <v>-5000000</v>
      </c>
      <c r="S44" s="214">
        <f>$Q$44+$Q$17-S17-SUM($R16:S16)</f>
        <v>-5000000</v>
      </c>
      <c r="T44" s="215">
        <f>$Q$44+$Q$17-T17-SUM($R16:T16)</f>
        <v>-5000000</v>
      </c>
      <c r="U44" s="215">
        <f>$Q$44+$Q$17-U17-SUM($R16:U16)</f>
        <v>-5000000</v>
      </c>
      <c r="V44" s="215">
        <f>$Q$44+$Q$17-V17-SUM($R16:V16)</f>
        <v>-5000000</v>
      </c>
      <c r="W44" s="216">
        <f>$Q$44+$Q$17-W17-SUM($R16:W16)</f>
        <v>-5000000</v>
      </c>
      <c r="X44" s="209">
        <f>$V$44+$V$17-X17-SUM($W16:X16)</f>
        <v>-5000000</v>
      </c>
    </row>
    <row r="45" spans="1:24" ht="12.95" customHeight="1" outlineLevel="1" x14ac:dyDescent="0.25">
      <c r="A45" s="181"/>
      <c r="B45" s="188" t="s">
        <v>186</v>
      </c>
      <c r="C45" s="189"/>
      <c r="D45" s="189"/>
      <c r="E45" s="189"/>
      <c r="F45" s="189"/>
      <c r="G45" s="189"/>
      <c r="H45" s="189"/>
      <c r="I45" s="190">
        <f>I$41</f>
        <v>0</v>
      </c>
      <c r="J45" s="190">
        <f>J$41</f>
        <v>0</v>
      </c>
      <c r="K45" s="190">
        <f>K$41</f>
        <v>0</v>
      </c>
      <c r="L45" s="190">
        <f>L$41</f>
        <v>0</v>
      </c>
      <c r="M45" s="191">
        <f>M$41</f>
        <v>0</v>
      </c>
      <c r="N45" s="217"/>
      <c r="O45" s="190"/>
      <c r="P45" s="190"/>
      <c r="Q45" s="190"/>
      <c r="R45" s="191"/>
      <c r="S45" s="217"/>
      <c r="T45" s="190"/>
      <c r="U45" s="190"/>
      <c r="V45" s="190"/>
      <c r="W45" s="191"/>
      <c r="X45" s="190"/>
    </row>
    <row r="46" spans="1:24" ht="12.95" customHeight="1" outlineLevel="1" x14ac:dyDescent="0.25">
      <c r="A46" s="181"/>
      <c r="B46" s="188" t="s">
        <v>187</v>
      </c>
      <c r="C46" s="189"/>
      <c r="D46" s="189"/>
      <c r="E46" s="189"/>
      <c r="F46" s="189"/>
      <c r="G46" s="189"/>
      <c r="H46" s="189"/>
      <c r="I46" s="190"/>
      <c r="J46" s="190"/>
      <c r="K46" s="190"/>
      <c r="L46" s="190"/>
      <c r="M46" s="191"/>
      <c r="N46" s="217">
        <f>N$42</f>
        <v>-5000000</v>
      </c>
      <c r="O46" s="190">
        <f>O$42</f>
        <v>-5000000</v>
      </c>
      <c r="P46" s="190">
        <f>P$42</f>
        <v>-5000000</v>
      </c>
      <c r="Q46" s="190">
        <f>Q$42</f>
        <v>-5000000</v>
      </c>
      <c r="R46" s="191">
        <f>R$42</f>
        <v>-5000000</v>
      </c>
      <c r="S46" s="217"/>
      <c r="T46" s="190"/>
      <c r="U46" s="190"/>
      <c r="V46" s="190"/>
      <c r="W46" s="191"/>
      <c r="X46" s="190"/>
    </row>
    <row r="47" spans="1:24" ht="12.95" customHeight="1" outlineLevel="1" x14ac:dyDescent="0.25">
      <c r="A47" s="181"/>
      <c r="B47" s="188" t="s">
        <v>188</v>
      </c>
      <c r="C47" s="189"/>
      <c r="D47" s="189"/>
      <c r="E47" s="189"/>
      <c r="F47" s="189"/>
      <c r="G47" s="189"/>
      <c r="H47" s="189"/>
      <c r="I47" s="190"/>
      <c r="J47" s="190"/>
      <c r="K47" s="190"/>
      <c r="L47" s="190"/>
      <c r="M47" s="191"/>
      <c r="N47" s="217"/>
      <c r="O47" s="190"/>
      <c r="P47" s="190"/>
      <c r="Q47" s="190"/>
      <c r="R47" s="191"/>
      <c r="S47" s="217">
        <f t="shared" ref="S47:X47" si="5">S43</f>
        <v>-5000000</v>
      </c>
      <c r="T47" s="190">
        <f t="shared" si="5"/>
        <v>-5000000</v>
      </c>
      <c r="U47" s="190">
        <f t="shared" si="5"/>
        <v>-5000000</v>
      </c>
      <c r="V47" s="190">
        <f t="shared" si="5"/>
        <v>-5000000</v>
      </c>
      <c r="W47" s="191">
        <f t="shared" si="5"/>
        <v>-5000000</v>
      </c>
      <c r="X47" s="190">
        <f t="shared" si="5"/>
        <v>-5000000</v>
      </c>
    </row>
    <row r="48" spans="1:24" ht="12.75" customHeight="1" x14ac:dyDescent="0.25">
      <c r="A48" s="181"/>
      <c r="B48" s="188" t="s">
        <v>189</v>
      </c>
      <c r="C48" s="189"/>
      <c r="D48" s="189"/>
      <c r="E48" s="189"/>
      <c r="F48" s="189"/>
      <c r="G48" s="189"/>
      <c r="H48" s="189"/>
      <c r="I48" s="190">
        <f t="shared" ref="I48:X48" si="6">SUM(I45:I47)</f>
        <v>0</v>
      </c>
      <c r="J48" s="190">
        <f t="shared" si="6"/>
        <v>0</v>
      </c>
      <c r="K48" s="190">
        <f t="shared" si="6"/>
        <v>0</v>
      </c>
      <c r="L48" s="190">
        <f t="shared" si="6"/>
        <v>0</v>
      </c>
      <c r="M48" s="191">
        <f t="shared" si="6"/>
        <v>0</v>
      </c>
      <c r="N48" s="217">
        <f t="shared" si="6"/>
        <v>-5000000</v>
      </c>
      <c r="O48" s="190">
        <f t="shared" si="6"/>
        <v>-5000000</v>
      </c>
      <c r="P48" s="190">
        <f t="shared" si="6"/>
        <v>-5000000</v>
      </c>
      <c r="Q48" s="190">
        <f t="shared" si="6"/>
        <v>-5000000</v>
      </c>
      <c r="R48" s="191">
        <f t="shared" si="6"/>
        <v>-5000000</v>
      </c>
      <c r="S48" s="217">
        <f t="shared" si="6"/>
        <v>-5000000</v>
      </c>
      <c r="T48" s="190">
        <f t="shared" si="6"/>
        <v>-5000000</v>
      </c>
      <c r="U48" s="190">
        <f t="shared" si="6"/>
        <v>-5000000</v>
      </c>
      <c r="V48" s="190">
        <f t="shared" si="6"/>
        <v>-5000000</v>
      </c>
      <c r="W48" s="191">
        <f t="shared" si="6"/>
        <v>-5000000</v>
      </c>
      <c r="X48" s="190">
        <f t="shared" si="6"/>
        <v>-5000000</v>
      </c>
    </row>
    <row r="49" spans="1:24" ht="12.95" customHeight="1" outlineLevel="1" x14ac:dyDescent="0.25">
      <c r="A49" s="207"/>
      <c r="B49" s="181"/>
      <c r="C49" s="182"/>
      <c r="D49" s="182"/>
      <c r="E49" s="182"/>
      <c r="F49" s="182"/>
      <c r="G49" s="182"/>
      <c r="H49" s="182"/>
      <c r="I49" s="183"/>
      <c r="J49" s="183"/>
      <c r="K49" s="183"/>
      <c r="L49" s="183"/>
      <c r="M49" s="184"/>
      <c r="N49" s="208"/>
      <c r="O49" s="209"/>
      <c r="P49" s="209"/>
      <c r="Q49" s="209"/>
      <c r="R49" s="210"/>
      <c r="S49" s="208"/>
      <c r="T49" s="209"/>
      <c r="U49" s="209"/>
      <c r="V49" s="209"/>
      <c r="W49" s="210"/>
      <c r="X49" s="209"/>
    </row>
    <row r="50" spans="1:24" ht="12.95" customHeight="1" outlineLevel="1" x14ac:dyDescent="0.25">
      <c r="A50" s="207"/>
      <c r="B50" s="181" t="s">
        <v>190</v>
      </c>
      <c r="C50" s="182"/>
      <c r="D50" s="182"/>
      <c r="E50" s="182"/>
      <c r="F50" s="182"/>
      <c r="G50" s="182"/>
      <c r="H50" s="182"/>
      <c r="I50" s="183">
        <f t="shared" ref="I50:X50" si="7">(SUM(I41:I43)-I44)-(SUM(H41:H43)-H44)</f>
        <v>0</v>
      </c>
      <c r="J50" s="183">
        <f t="shared" si="7"/>
        <v>0</v>
      </c>
      <c r="K50" s="183">
        <f t="shared" si="7"/>
        <v>0</v>
      </c>
      <c r="L50" s="183">
        <f t="shared" si="7"/>
        <v>5000000</v>
      </c>
      <c r="M50" s="184">
        <f t="shared" si="7"/>
        <v>0</v>
      </c>
      <c r="N50" s="208">
        <f t="shared" si="7"/>
        <v>-5000000</v>
      </c>
      <c r="O50" s="209">
        <f t="shared" si="7"/>
        <v>0</v>
      </c>
      <c r="P50" s="183">
        <f t="shared" si="7"/>
        <v>0</v>
      </c>
      <c r="Q50" s="183">
        <f t="shared" si="7"/>
        <v>0</v>
      </c>
      <c r="R50" s="184">
        <f t="shared" si="7"/>
        <v>0</v>
      </c>
      <c r="S50" s="208">
        <f t="shared" si="7"/>
        <v>0</v>
      </c>
      <c r="T50" s="209">
        <f t="shared" si="7"/>
        <v>0</v>
      </c>
      <c r="U50" s="183">
        <f t="shared" si="7"/>
        <v>0</v>
      </c>
      <c r="V50" s="183">
        <f t="shared" si="7"/>
        <v>0</v>
      </c>
      <c r="W50" s="184">
        <f t="shared" si="7"/>
        <v>0</v>
      </c>
      <c r="X50" s="209">
        <f t="shared" si="7"/>
        <v>0</v>
      </c>
    </row>
    <row r="51" spans="1:24" ht="12.95" customHeight="1" x14ac:dyDescent="0.25">
      <c r="A51" s="207"/>
      <c r="B51" s="195"/>
      <c r="C51" s="182"/>
      <c r="D51" s="182"/>
      <c r="E51" s="182"/>
      <c r="F51" s="182"/>
      <c r="G51" s="182"/>
      <c r="H51" s="182"/>
      <c r="I51" s="183"/>
      <c r="J51" s="183"/>
      <c r="K51" s="183"/>
      <c r="L51" s="183"/>
      <c r="M51" s="184"/>
      <c r="N51" s="208"/>
      <c r="O51" s="209"/>
      <c r="P51" s="183"/>
      <c r="Q51" s="183"/>
      <c r="R51" s="184"/>
      <c r="S51" s="208"/>
      <c r="T51" s="209"/>
      <c r="U51" s="183"/>
      <c r="V51" s="183"/>
      <c r="W51" s="184"/>
      <c r="X51" s="209"/>
    </row>
    <row r="52" spans="1:24" ht="12.95" customHeight="1" x14ac:dyDescent="0.25">
      <c r="A52" s="207"/>
      <c r="B52" s="181" t="s">
        <v>191</v>
      </c>
      <c r="C52" s="182"/>
      <c r="D52" s="182"/>
      <c r="E52" s="182"/>
      <c r="F52" s="182"/>
      <c r="G52" s="182"/>
      <c r="H52" s="182"/>
      <c r="I52" s="183"/>
      <c r="J52" s="183"/>
      <c r="K52" s="183"/>
      <c r="L52" s="183"/>
      <c r="M52" s="184"/>
      <c r="N52" s="208"/>
      <c r="O52" s="209"/>
      <c r="P52" s="209"/>
      <c r="Q52" s="209"/>
      <c r="R52" s="210"/>
      <c r="S52" s="208"/>
      <c r="T52" s="209"/>
      <c r="U52" s="209"/>
      <c r="V52" s="209"/>
      <c r="W52" s="210"/>
      <c r="X52" s="209"/>
    </row>
    <row r="53" spans="1:24" ht="12.95" customHeight="1" x14ac:dyDescent="0.25">
      <c r="A53" s="207"/>
      <c r="B53" s="218" t="s">
        <v>192</v>
      </c>
      <c r="C53" s="219"/>
      <c r="D53" s="219"/>
      <c r="E53" s="219"/>
      <c r="F53" s="219"/>
      <c r="G53" s="219"/>
      <c r="H53" s="219"/>
      <c r="I53" s="220">
        <f>SUM(I41:I43)-I44</f>
        <v>0</v>
      </c>
      <c r="J53" s="220"/>
      <c r="K53" s="220"/>
      <c r="L53" s="220"/>
      <c r="M53" s="221"/>
      <c r="N53" s="222">
        <f>SUM(N41:N43)-N44</f>
        <v>0</v>
      </c>
      <c r="O53" s="220"/>
      <c r="P53" s="220"/>
      <c r="Q53" s="220"/>
      <c r="R53" s="221"/>
      <c r="S53" s="222">
        <f>SUM(S41:S43)-S44</f>
        <v>0</v>
      </c>
      <c r="T53" s="220"/>
      <c r="U53" s="220"/>
      <c r="V53" s="220"/>
      <c r="W53" s="221"/>
      <c r="X53" s="220"/>
    </row>
    <row r="54" spans="1:24" ht="12.95" customHeight="1" x14ac:dyDescent="0.25">
      <c r="A54" s="207"/>
      <c r="B54" s="218" t="s">
        <v>193</v>
      </c>
      <c r="C54" s="219"/>
      <c r="D54" s="219"/>
      <c r="E54" s="219"/>
      <c r="F54" s="219"/>
      <c r="G54" s="219"/>
      <c r="H54" s="219"/>
      <c r="I54" s="220"/>
      <c r="J54" s="223">
        <f>(SUM(J41:J43)-J44)-(SUM(I41:I43)-I44)</f>
        <v>0</v>
      </c>
      <c r="K54" s="223">
        <f>(SUM(K41:K43)-K44)-(SUM(J41:J43)-J44)</f>
        <v>0</v>
      </c>
      <c r="L54" s="223">
        <f>(SUM(L41:L43)-L44)-(SUM(K41:K43)-K44)</f>
        <v>5000000</v>
      </c>
      <c r="M54" s="221"/>
      <c r="N54" s="222"/>
      <c r="O54" s="223">
        <f>(SUM(O41:O43)-O44)-(SUM(N41:N43)-N44)</f>
        <v>0</v>
      </c>
      <c r="P54" s="223">
        <f>(SUM(P41:P43)-P44)-(SUM(O41:O43)-O44)</f>
        <v>0</v>
      </c>
      <c r="Q54" s="223">
        <f>(SUM(Q41:Q43)-Q44)-(SUM(P41:P43)-P44)</f>
        <v>0</v>
      </c>
      <c r="R54" s="221"/>
      <c r="S54" s="222"/>
      <c r="T54" s="223">
        <f>(SUM(T41:T43)-T44)-(SUM(S41:S43)-S44)</f>
        <v>0</v>
      </c>
      <c r="U54" s="223">
        <f>(SUM(U41:U43)-U44)-(SUM(T41:T43)-T44)</f>
        <v>0</v>
      </c>
      <c r="V54" s="223">
        <f>(SUM(V41:V43)-V44)-(SUM(U41:U43)-U44)</f>
        <v>0</v>
      </c>
      <c r="W54" s="221"/>
      <c r="X54" s="220"/>
    </row>
    <row r="55" spans="1:24" ht="12.95" customHeight="1" x14ac:dyDescent="0.25">
      <c r="A55" s="207"/>
      <c r="B55" s="218" t="s">
        <v>194</v>
      </c>
      <c r="C55" s="219"/>
      <c r="D55" s="219"/>
      <c r="E55" s="219"/>
      <c r="F55" s="219"/>
      <c r="G55" s="219"/>
      <c r="H55" s="219"/>
      <c r="I55" s="223"/>
      <c r="J55" s="223"/>
      <c r="K55" s="223"/>
      <c r="L55" s="223"/>
      <c r="M55" s="224">
        <v>0</v>
      </c>
      <c r="N55" s="222"/>
      <c r="O55" s="220"/>
      <c r="P55" s="220"/>
      <c r="Q55" s="220"/>
      <c r="R55" s="224">
        <v>0</v>
      </c>
      <c r="S55" s="222"/>
      <c r="T55" s="220"/>
      <c r="U55" s="220"/>
      <c r="V55" s="220"/>
      <c r="W55" s="224">
        <v>0</v>
      </c>
      <c r="X55" s="220"/>
    </row>
    <row r="56" spans="1:24" ht="12.95" customHeight="1" x14ac:dyDescent="0.25">
      <c r="A56" s="207"/>
      <c r="B56" s="181" t="s">
        <v>195</v>
      </c>
      <c r="C56" s="219"/>
      <c r="D56" s="219"/>
      <c r="E56" s="219"/>
      <c r="F56" s="219"/>
      <c r="G56" s="219"/>
      <c r="H56" s="219"/>
      <c r="I56" s="223"/>
      <c r="J56" s="223"/>
      <c r="K56" s="223"/>
      <c r="L56" s="223"/>
      <c r="M56" s="224"/>
      <c r="N56" s="222"/>
      <c r="O56" s="220"/>
      <c r="P56" s="220"/>
      <c r="Q56" s="220"/>
      <c r="R56" s="224"/>
      <c r="S56" s="222"/>
      <c r="T56" s="220"/>
      <c r="U56" s="220"/>
      <c r="V56" s="220"/>
      <c r="W56" s="224"/>
      <c r="X56" s="220"/>
    </row>
    <row r="57" spans="1:24" ht="12.95" customHeight="1" x14ac:dyDescent="0.25">
      <c r="A57" s="207"/>
      <c r="B57" s="218" t="s">
        <v>196</v>
      </c>
      <c r="C57" s="219"/>
      <c r="D57" s="219"/>
      <c r="E57" s="219"/>
      <c r="F57" s="219"/>
      <c r="G57" s="219"/>
      <c r="H57" s="219"/>
      <c r="I57" s="225"/>
      <c r="J57" s="225"/>
      <c r="K57" s="225"/>
      <c r="L57" s="225"/>
      <c r="M57" s="226"/>
      <c r="N57" s="227"/>
      <c r="O57" s="228"/>
      <c r="P57" s="228"/>
      <c r="Q57" s="228"/>
      <c r="R57" s="226"/>
      <c r="S57" s="227"/>
      <c r="T57" s="228"/>
      <c r="U57" s="228"/>
      <c r="V57" s="228"/>
      <c r="W57" s="226"/>
      <c r="X57" s="228"/>
    </row>
    <row r="58" spans="1:24" ht="12.95" customHeight="1" x14ac:dyDescent="0.25">
      <c r="A58" s="207"/>
      <c r="B58" s="218" t="s">
        <v>197</v>
      </c>
      <c r="C58" s="219"/>
      <c r="D58" s="219"/>
      <c r="E58" s="219"/>
      <c r="F58" s="219"/>
      <c r="G58" s="219"/>
      <c r="H58" s="219"/>
      <c r="I58" s="225"/>
      <c r="J58" s="225"/>
      <c r="K58" s="225"/>
      <c r="L58" s="225"/>
      <c r="M58" s="226"/>
      <c r="N58" s="227"/>
      <c r="O58" s="228"/>
      <c r="P58" s="228"/>
      <c r="Q58" s="228"/>
      <c r="R58" s="226"/>
      <c r="S58" s="227"/>
      <c r="T58" s="228"/>
      <c r="U58" s="228"/>
      <c r="V58" s="228"/>
      <c r="W58" s="226"/>
      <c r="X58" s="228"/>
    </row>
    <row r="59" spans="1:24" ht="12.95" customHeight="1" x14ac:dyDescent="0.25">
      <c r="A59" s="207"/>
      <c r="B59" s="218" t="s">
        <v>198</v>
      </c>
      <c r="C59" s="219"/>
      <c r="D59" s="219"/>
      <c r="E59" s="219"/>
      <c r="F59" s="219"/>
      <c r="G59" s="219"/>
      <c r="H59" s="219"/>
      <c r="I59" s="225"/>
      <c r="J59" s="225"/>
      <c r="K59" s="225"/>
      <c r="L59" s="225"/>
      <c r="M59" s="226"/>
      <c r="N59" s="227"/>
      <c r="O59" s="228"/>
      <c r="P59" s="228"/>
      <c r="Q59" s="228"/>
      <c r="R59" s="226"/>
      <c r="S59" s="227"/>
      <c r="T59" s="228"/>
      <c r="U59" s="228"/>
      <c r="V59" s="228"/>
      <c r="W59" s="226"/>
      <c r="X59" s="228"/>
    </row>
    <row r="60" spans="1:24" ht="12.95" customHeight="1" x14ac:dyDescent="0.25">
      <c r="A60" s="207"/>
      <c r="B60" s="218" t="s">
        <v>199</v>
      </c>
      <c r="C60" s="219"/>
      <c r="D60" s="219"/>
      <c r="E60" s="219"/>
      <c r="F60" s="219"/>
      <c r="G60" s="219"/>
      <c r="H60" s="219"/>
      <c r="I60" s="225"/>
      <c r="J60" s="225"/>
      <c r="K60" s="225"/>
      <c r="L60" s="225"/>
      <c r="M60" s="226"/>
      <c r="N60" s="227"/>
      <c r="O60" s="228"/>
      <c r="P60" s="228"/>
      <c r="Q60" s="228"/>
      <c r="R60" s="226"/>
      <c r="S60" s="227"/>
      <c r="T60" s="228"/>
      <c r="U60" s="228"/>
      <c r="V60" s="228"/>
      <c r="W60" s="226"/>
      <c r="X60" s="228"/>
    </row>
    <row r="61" spans="1:24" ht="12.95" customHeight="1" x14ac:dyDescent="0.25">
      <c r="A61" s="207"/>
      <c r="B61" s="218" t="s">
        <v>200</v>
      </c>
      <c r="C61" s="219"/>
      <c r="D61" s="219"/>
      <c r="E61" s="219"/>
      <c r="F61" s="219"/>
      <c r="G61" s="219"/>
      <c r="H61" s="219"/>
      <c r="I61" s="225"/>
      <c r="J61" s="225"/>
      <c r="K61" s="225"/>
      <c r="L61" s="225"/>
      <c r="M61" s="226"/>
      <c r="N61" s="227"/>
      <c r="O61" s="228"/>
      <c r="P61" s="228"/>
      <c r="Q61" s="228"/>
      <c r="R61" s="226"/>
      <c r="S61" s="227"/>
      <c r="T61" s="228"/>
      <c r="U61" s="228"/>
      <c r="V61" s="228"/>
      <c r="W61" s="226"/>
      <c r="X61" s="228"/>
    </row>
    <row r="62" spans="1:24" ht="12.95" customHeight="1" x14ac:dyDescent="0.25">
      <c r="A62" s="207"/>
      <c r="B62" s="218" t="s">
        <v>201</v>
      </c>
      <c r="C62" s="219"/>
      <c r="D62" s="219"/>
      <c r="E62" s="219"/>
      <c r="F62" s="219"/>
      <c r="G62" s="219"/>
      <c r="H62" s="219"/>
      <c r="I62" s="225"/>
      <c r="J62" s="225"/>
      <c r="K62" s="225"/>
      <c r="L62" s="225"/>
      <c r="M62" s="226"/>
      <c r="N62" s="227"/>
      <c r="O62" s="228"/>
      <c r="P62" s="228"/>
      <c r="Q62" s="228"/>
      <c r="R62" s="226"/>
      <c r="S62" s="227"/>
      <c r="T62" s="228"/>
      <c r="U62" s="228"/>
      <c r="V62" s="228"/>
      <c r="W62" s="226"/>
      <c r="X62" s="228"/>
    </row>
    <row r="63" spans="1:24" ht="12.95" customHeight="1" x14ac:dyDescent="0.25">
      <c r="A63" s="207"/>
      <c r="B63" s="218" t="s">
        <v>202</v>
      </c>
      <c r="C63" s="219"/>
      <c r="D63" s="219"/>
      <c r="E63" s="219"/>
      <c r="F63" s="219"/>
      <c r="G63" s="219"/>
      <c r="H63" s="219"/>
      <c r="I63" s="225"/>
      <c r="J63" s="225"/>
      <c r="K63" s="225"/>
      <c r="L63" s="225"/>
      <c r="M63" s="226"/>
      <c r="N63" s="227"/>
      <c r="O63" s="228"/>
      <c r="P63" s="228"/>
      <c r="Q63" s="228"/>
      <c r="R63" s="226"/>
      <c r="S63" s="227"/>
      <c r="T63" s="228"/>
      <c r="U63" s="228"/>
      <c r="V63" s="228"/>
      <c r="W63" s="226"/>
      <c r="X63" s="228"/>
    </row>
    <row r="64" spans="1:24" ht="12.95" customHeight="1" x14ac:dyDescent="0.25">
      <c r="A64" s="207"/>
      <c r="B64" s="218" t="s">
        <v>203</v>
      </c>
      <c r="C64" s="219"/>
      <c r="D64" s="219"/>
      <c r="E64" s="219"/>
      <c r="F64" s="219"/>
      <c r="G64" s="219"/>
      <c r="H64" s="219"/>
      <c r="I64" s="225"/>
      <c r="J64" s="225"/>
      <c r="K64" s="225"/>
      <c r="L64" s="225"/>
      <c r="M64" s="226"/>
      <c r="N64" s="227"/>
      <c r="O64" s="228"/>
      <c r="P64" s="228"/>
      <c r="Q64" s="228"/>
      <c r="R64" s="226"/>
      <c r="S64" s="227"/>
      <c r="T64" s="228"/>
      <c r="U64" s="228"/>
      <c r="V64" s="228"/>
      <c r="W64" s="226"/>
      <c r="X64" s="228"/>
    </row>
    <row r="65" spans="1:24" ht="12.95" customHeight="1" x14ac:dyDescent="0.25">
      <c r="A65" s="207"/>
      <c r="B65" s="218" t="s">
        <v>204</v>
      </c>
      <c r="C65" s="219"/>
      <c r="D65" s="219"/>
      <c r="E65" s="219"/>
      <c r="F65" s="219"/>
      <c r="G65" s="219"/>
      <c r="H65" s="219"/>
      <c r="I65" s="229">
        <f t="shared" ref="I65:X65" si="8">SUM(I53:I64)</f>
        <v>0</v>
      </c>
      <c r="J65" s="229">
        <f t="shared" si="8"/>
        <v>0</v>
      </c>
      <c r="K65" s="229">
        <f t="shared" si="8"/>
        <v>0</v>
      </c>
      <c r="L65" s="229">
        <f t="shared" si="8"/>
        <v>5000000</v>
      </c>
      <c r="M65" s="230">
        <f t="shared" si="8"/>
        <v>0</v>
      </c>
      <c r="N65" s="231">
        <f t="shared" si="8"/>
        <v>0</v>
      </c>
      <c r="O65" s="229">
        <f t="shared" si="8"/>
        <v>0</v>
      </c>
      <c r="P65" s="229">
        <f t="shared" si="8"/>
        <v>0</v>
      </c>
      <c r="Q65" s="229">
        <f t="shared" si="8"/>
        <v>0</v>
      </c>
      <c r="R65" s="230">
        <f t="shared" si="8"/>
        <v>0</v>
      </c>
      <c r="S65" s="231">
        <f t="shared" si="8"/>
        <v>0</v>
      </c>
      <c r="T65" s="229">
        <f t="shared" si="8"/>
        <v>0</v>
      </c>
      <c r="U65" s="229">
        <f t="shared" si="8"/>
        <v>0</v>
      </c>
      <c r="V65" s="229">
        <f t="shared" si="8"/>
        <v>0</v>
      </c>
      <c r="W65" s="230">
        <f t="shared" si="8"/>
        <v>0</v>
      </c>
      <c r="X65" s="229">
        <f t="shared" si="8"/>
        <v>0</v>
      </c>
    </row>
    <row r="66" spans="1:24" ht="12.95" customHeight="1" outlineLevel="1" x14ac:dyDescent="0.25">
      <c r="A66" s="207"/>
      <c r="B66" s="218"/>
      <c r="C66" s="219"/>
      <c r="D66" s="219"/>
      <c r="E66" s="219"/>
      <c r="F66" s="219"/>
      <c r="G66" s="219"/>
      <c r="H66" s="219"/>
      <c r="I66" s="223"/>
      <c r="J66" s="223"/>
      <c r="K66" s="223"/>
      <c r="L66" s="223"/>
      <c r="M66" s="224"/>
      <c r="N66" s="232"/>
      <c r="O66" s="223"/>
      <c r="P66" s="223"/>
      <c r="Q66" s="223"/>
      <c r="R66" s="224"/>
      <c r="S66" s="232"/>
      <c r="T66" s="223"/>
      <c r="U66" s="223"/>
      <c r="V66" s="223"/>
      <c r="W66" s="224"/>
      <c r="X66" s="223"/>
    </row>
    <row r="67" spans="1:24" ht="12.95" customHeight="1" outlineLevel="1" x14ac:dyDescent="0.25">
      <c r="A67" s="207"/>
      <c r="B67" s="181" t="s">
        <v>205</v>
      </c>
      <c r="C67" s="219"/>
      <c r="D67" s="219"/>
      <c r="E67" s="219"/>
      <c r="F67" s="219"/>
      <c r="G67" s="219"/>
      <c r="H67" s="219"/>
      <c r="I67" s="223"/>
      <c r="J67" s="223"/>
      <c r="K67" s="223"/>
      <c r="L67" s="223"/>
      <c r="M67" s="224"/>
      <c r="N67" s="222"/>
      <c r="O67" s="220"/>
      <c r="P67" s="220"/>
      <c r="Q67" s="220"/>
      <c r="R67" s="221"/>
      <c r="S67" s="222"/>
      <c r="T67" s="220"/>
      <c r="U67" s="220"/>
      <c r="V67" s="220"/>
      <c r="W67" s="221"/>
      <c r="X67" s="220"/>
    </row>
    <row r="68" spans="1:24" ht="12.95" customHeight="1" outlineLevel="1" x14ac:dyDescent="0.25">
      <c r="A68" s="207"/>
      <c r="B68" s="233" t="s">
        <v>206</v>
      </c>
      <c r="C68" s="234"/>
      <c r="D68" s="234"/>
      <c r="E68" s="234"/>
      <c r="F68" s="234"/>
      <c r="G68" s="234"/>
      <c r="H68" s="234"/>
      <c r="I68" s="235"/>
      <c r="J68" s="235">
        <f>I$65</f>
        <v>0</v>
      </c>
      <c r="K68" s="235">
        <f>J68</f>
        <v>0</v>
      </c>
      <c r="L68" s="235">
        <f>K68</f>
        <v>0</v>
      </c>
      <c r="M68" s="236">
        <f>L68</f>
        <v>0</v>
      </c>
      <c r="N68" s="237">
        <f>M68</f>
        <v>0</v>
      </c>
      <c r="O68" s="235"/>
      <c r="P68" s="235"/>
      <c r="Q68" s="235"/>
      <c r="R68" s="236"/>
      <c r="S68" s="237"/>
      <c r="T68" s="235"/>
      <c r="U68" s="235"/>
      <c r="V68" s="235"/>
      <c r="W68" s="236"/>
      <c r="X68" s="235"/>
    </row>
    <row r="69" spans="1:24" ht="12.95" customHeight="1" outlineLevel="1" x14ac:dyDescent="0.25">
      <c r="A69" s="207"/>
      <c r="B69" s="218" t="s">
        <v>207</v>
      </c>
      <c r="C69" s="219"/>
      <c r="D69" s="219"/>
      <c r="E69" s="219"/>
      <c r="F69" s="219"/>
      <c r="G69" s="219"/>
      <c r="H69" s="219"/>
      <c r="I69" s="223"/>
      <c r="J69" s="223"/>
      <c r="K69" s="223">
        <f>J$65</f>
        <v>0</v>
      </c>
      <c r="L69" s="223">
        <f>K69</f>
        <v>0</v>
      </c>
      <c r="M69" s="224">
        <f>L69</f>
        <v>0</v>
      </c>
      <c r="N69" s="222">
        <f>M69</f>
        <v>0</v>
      </c>
      <c r="O69" s="220">
        <f>N69</f>
        <v>0</v>
      </c>
      <c r="P69" s="220"/>
      <c r="Q69" s="220"/>
      <c r="R69" s="221"/>
      <c r="S69" s="222"/>
      <c r="T69" s="220"/>
      <c r="U69" s="220"/>
      <c r="V69" s="220"/>
      <c r="W69" s="221"/>
      <c r="X69" s="220"/>
    </row>
    <row r="70" spans="1:24" ht="12.95" customHeight="1" outlineLevel="1" x14ac:dyDescent="0.25">
      <c r="A70" s="207"/>
      <c r="B70" s="218" t="s">
        <v>208</v>
      </c>
      <c r="C70" s="219"/>
      <c r="D70" s="219"/>
      <c r="E70" s="219"/>
      <c r="F70" s="219"/>
      <c r="G70" s="219"/>
      <c r="H70" s="219"/>
      <c r="I70" s="223"/>
      <c r="J70" s="223"/>
      <c r="K70" s="223"/>
      <c r="L70" s="223">
        <f>K$65</f>
        <v>0</v>
      </c>
      <c r="M70" s="224">
        <f>L70</f>
        <v>0</v>
      </c>
      <c r="N70" s="222">
        <f>M70</f>
        <v>0</v>
      </c>
      <c r="O70" s="220">
        <f>N70</f>
        <v>0</v>
      </c>
      <c r="P70" s="220">
        <f>O70</f>
        <v>0</v>
      </c>
      <c r="Q70" s="220"/>
      <c r="R70" s="221"/>
      <c r="S70" s="222"/>
      <c r="T70" s="220"/>
      <c r="U70" s="220"/>
      <c r="V70" s="220"/>
      <c r="W70" s="221"/>
      <c r="X70" s="220"/>
    </row>
    <row r="71" spans="1:24" ht="12.95" customHeight="1" outlineLevel="1" x14ac:dyDescent="0.25">
      <c r="A71" s="207"/>
      <c r="B71" s="218" t="s">
        <v>209</v>
      </c>
      <c r="C71" s="219"/>
      <c r="D71" s="219"/>
      <c r="E71" s="219"/>
      <c r="F71" s="219"/>
      <c r="G71" s="219"/>
      <c r="H71" s="219"/>
      <c r="I71" s="223"/>
      <c r="J71" s="223"/>
      <c r="K71" s="223"/>
      <c r="L71" s="223"/>
      <c r="M71" s="224">
        <f>L$65</f>
        <v>5000000</v>
      </c>
      <c r="N71" s="222">
        <f>M71</f>
        <v>5000000</v>
      </c>
      <c r="O71" s="220">
        <f>N71</f>
        <v>5000000</v>
      </c>
      <c r="P71" s="220">
        <f>O71</f>
        <v>5000000</v>
      </c>
      <c r="Q71" s="220">
        <f>P71</f>
        <v>5000000</v>
      </c>
      <c r="R71" s="221"/>
      <c r="S71" s="222"/>
      <c r="T71" s="220"/>
      <c r="U71" s="220"/>
      <c r="V71" s="220"/>
      <c r="W71" s="221"/>
      <c r="X71" s="220"/>
    </row>
    <row r="72" spans="1:24" ht="12.95" customHeight="1" outlineLevel="1" x14ac:dyDescent="0.25">
      <c r="A72" s="207"/>
      <c r="B72" s="238" t="s">
        <v>210</v>
      </c>
      <c r="C72" s="219"/>
      <c r="D72" s="219"/>
      <c r="E72" s="219"/>
      <c r="F72" s="219"/>
      <c r="G72" s="219"/>
      <c r="H72" s="219"/>
      <c r="I72" s="223"/>
      <c r="J72" s="223"/>
      <c r="K72" s="223"/>
      <c r="L72" s="223"/>
      <c r="M72" s="224"/>
      <c r="N72" s="222">
        <f>M$65</f>
        <v>0</v>
      </c>
      <c r="O72" s="220">
        <f>N72</f>
        <v>0</v>
      </c>
      <c r="P72" s="220">
        <f>O72</f>
        <v>0</v>
      </c>
      <c r="Q72" s="220">
        <f>P72</f>
        <v>0</v>
      </c>
      <c r="R72" s="221">
        <f>Q72</f>
        <v>0</v>
      </c>
      <c r="S72" s="222"/>
      <c r="T72" s="220"/>
      <c r="U72" s="220"/>
      <c r="V72" s="220"/>
      <c r="W72" s="221"/>
      <c r="X72" s="220"/>
    </row>
    <row r="73" spans="1:24" ht="12.95" customHeight="1" outlineLevel="1" x14ac:dyDescent="0.25">
      <c r="A73" s="207"/>
      <c r="B73" s="233" t="s">
        <v>211</v>
      </c>
      <c r="C73" s="234"/>
      <c r="D73" s="234"/>
      <c r="E73" s="234"/>
      <c r="F73" s="234"/>
      <c r="G73" s="234"/>
      <c r="H73" s="234"/>
      <c r="I73" s="235"/>
      <c r="J73" s="235"/>
      <c r="K73" s="235"/>
      <c r="L73" s="235"/>
      <c r="M73" s="236"/>
      <c r="N73" s="237"/>
      <c r="O73" s="235">
        <f>N$65</f>
        <v>0</v>
      </c>
      <c r="P73" s="235">
        <f>O73</f>
        <v>0</v>
      </c>
      <c r="Q73" s="235">
        <f>P73</f>
        <v>0</v>
      </c>
      <c r="R73" s="236">
        <f>Q73</f>
        <v>0</v>
      </c>
      <c r="S73" s="237">
        <f>R73</f>
        <v>0</v>
      </c>
      <c r="T73" s="235"/>
      <c r="U73" s="235"/>
      <c r="V73" s="235"/>
      <c r="W73" s="236"/>
      <c r="X73" s="235"/>
    </row>
    <row r="74" spans="1:24" ht="12.95" customHeight="1" outlineLevel="1" x14ac:dyDescent="0.25">
      <c r="A74" s="207"/>
      <c r="B74" s="218" t="s">
        <v>212</v>
      </c>
      <c r="C74" s="219"/>
      <c r="D74" s="219"/>
      <c r="E74" s="219"/>
      <c r="F74" s="219"/>
      <c r="G74" s="219"/>
      <c r="H74" s="219"/>
      <c r="I74" s="223"/>
      <c r="J74" s="223"/>
      <c r="K74" s="223"/>
      <c r="L74" s="223"/>
      <c r="M74" s="224"/>
      <c r="N74" s="232"/>
      <c r="O74" s="223"/>
      <c r="P74" s="223">
        <f>O$65</f>
        <v>0</v>
      </c>
      <c r="Q74" s="223">
        <f>P74</f>
        <v>0</v>
      </c>
      <c r="R74" s="224">
        <f>Q74</f>
        <v>0</v>
      </c>
      <c r="S74" s="232">
        <f>R74</f>
        <v>0</v>
      </c>
      <c r="T74" s="223">
        <f>S74</f>
        <v>0</v>
      </c>
      <c r="U74" s="223"/>
      <c r="V74" s="223"/>
      <c r="W74" s="224"/>
      <c r="X74" s="223"/>
    </row>
    <row r="75" spans="1:24" ht="12.95" customHeight="1" outlineLevel="1" x14ac:dyDescent="0.25">
      <c r="A75" s="207"/>
      <c r="B75" s="218" t="s">
        <v>213</v>
      </c>
      <c r="C75" s="219"/>
      <c r="D75" s="219"/>
      <c r="E75" s="219"/>
      <c r="F75" s="219"/>
      <c r="G75" s="219"/>
      <c r="H75" s="219"/>
      <c r="I75" s="223"/>
      <c r="J75" s="223"/>
      <c r="K75" s="223"/>
      <c r="L75" s="223"/>
      <c r="M75" s="224"/>
      <c r="N75" s="232"/>
      <c r="O75" s="223"/>
      <c r="P75" s="223"/>
      <c r="Q75" s="223">
        <f>P$65</f>
        <v>0</v>
      </c>
      <c r="R75" s="224">
        <f>Q75</f>
        <v>0</v>
      </c>
      <c r="S75" s="232">
        <f>R75</f>
        <v>0</v>
      </c>
      <c r="T75" s="223">
        <f>S75</f>
        <v>0</v>
      </c>
      <c r="U75" s="223">
        <f>T75</f>
        <v>0</v>
      </c>
      <c r="V75" s="223"/>
      <c r="W75" s="224"/>
      <c r="X75" s="223"/>
    </row>
    <row r="76" spans="1:24" ht="12.95" customHeight="1" outlineLevel="1" x14ac:dyDescent="0.25">
      <c r="A76" s="207"/>
      <c r="B76" s="218" t="s">
        <v>214</v>
      </c>
      <c r="C76" s="219"/>
      <c r="D76" s="219"/>
      <c r="E76" s="219"/>
      <c r="F76" s="219"/>
      <c r="G76" s="219"/>
      <c r="H76" s="219"/>
      <c r="I76" s="223"/>
      <c r="J76" s="223"/>
      <c r="K76" s="223"/>
      <c r="L76" s="223"/>
      <c r="M76" s="224"/>
      <c r="N76" s="232"/>
      <c r="O76" s="223"/>
      <c r="P76" s="223"/>
      <c r="Q76" s="223"/>
      <c r="R76" s="224">
        <f>Q$65</f>
        <v>0</v>
      </c>
      <c r="S76" s="232">
        <f>R76</f>
        <v>0</v>
      </c>
      <c r="T76" s="223">
        <f>S76</f>
        <v>0</v>
      </c>
      <c r="U76" s="223">
        <f>T76</f>
        <v>0</v>
      </c>
      <c r="V76" s="223">
        <f>U76</f>
        <v>0</v>
      </c>
      <c r="W76" s="224"/>
      <c r="X76" s="223"/>
    </row>
    <row r="77" spans="1:24" ht="12.95" customHeight="1" outlineLevel="1" x14ac:dyDescent="0.25">
      <c r="A77" s="207"/>
      <c r="B77" s="238" t="s">
        <v>215</v>
      </c>
      <c r="C77" s="239"/>
      <c r="D77" s="239"/>
      <c r="E77" s="219"/>
      <c r="F77" s="219"/>
      <c r="G77" s="219"/>
      <c r="H77" s="219"/>
      <c r="I77" s="223"/>
      <c r="J77" s="223"/>
      <c r="K77" s="223"/>
      <c r="L77" s="223"/>
      <c r="M77" s="224"/>
      <c r="N77" s="232"/>
      <c r="O77" s="223"/>
      <c r="P77" s="223"/>
      <c r="Q77" s="223"/>
      <c r="R77" s="224"/>
      <c r="S77" s="232">
        <f>R$65</f>
        <v>0</v>
      </c>
      <c r="T77" s="223">
        <f>S77</f>
        <v>0</v>
      </c>
      <c r="U77" s="223">
        <f>T77</f>
        <v>0</v>
      </c>
      <c r="V77" s="223">
        <f>U77</f>
        <v>0</v>
      </c>
      <c r="W77" s="224">
        <f>V77</f>
        <v>0</v>
      </c>
      <c r="X77" s="223"/>
    </row>
    <row r="78" spans="1:24" ht="12.95" customHeight="1" outlineLevel="1" x14ac:dyDescent="0.25">
      <c r="A78" s="207"/>
      <c r="B78" s="218" t="s">
        <v>216</v>
      </c>
      <c r="C78" s="219"/>
      <c r="D78" s="219"/>
      <c r="E78" s="234"/>
      <c r="F78" s="234"/>
      <c r="G78" s="234"/>
      <c r="H78" s="234"/>
      <c r="I78" s="235"/>
      <c r="J78" s="235"/>
      <c r="K78" s="235"/>
      <c r="L78" s="235"/>
      <c r="M78" s="236"/>
      <c r="N78" s="237"/>
      <c r="O78" s="235"/>
      <c r="P78" s="235"/>
      <c r="Q78" s="235"/>
      <c r="R78" s="236"/>
      <c r="S78" s="237"/>
      <c r="T78" s="235">
        <f>S$65</f>
        <v>0</v>
      </c>
      <c r="U78" s="235">
        <f>T78</f>
        <v>0</v>
      </c>
      <c r="V78" s="235">
        <f>U78</f>
        <v>0</v>
      </c>
      <c r="W78" s="236">
        <f>V78</f>
        <v>0</v>
      </c>
      <c r="X78" s="235">
        <f>W78</f>
        <v>0</v>
      </c>
    </row>
    <row r="79" spans="1:24" ht="12.95" customHeight="1" outlineLevel="1" x14ac:dyDescent="0.25">
      <c r="A79" s="207"/>
      <c r="B79" s="218" t="s">
        <v>217</v>
      </c>
      <c r="C79" s="219"/>
      <c r="D79" s="219"/>
      <c r="E79" s="219"/>
      <c r="F79" s="219"/>
      <c r="G79" s="219"/>
      <c r="H79" s="219"/>
      <c r="I79" s="223"/>
      <c r="J79" s="223"/>
      <c r="K79" s="223"/>
      <c r="L79" s="223"/>
      <c r="M79" s="224"/>
      <c r="N79" s="232"/>
      <c r="O79" s="223"/>
      <c r="P79" s="223"/>
      <c r="Q79" s="223"/>
      <c r="R79" s="224"/>
      <c r="S79" s="232"/>
      <c r="T79" s="223"/>
      <c r="U79" s="223">
        <f>T65</f>
        <v>0</v>
      </c>
      <c r="V79" s="223">
        <f>U79</f>
        <v>0</v>
      </c>
      <c r="W79" s="224">
        <f>V79</f>
        <v>0</v>
      </c>
      <c r="X79" s="223">
        <f>W79</f>
        <v>0</v>
      </c>
    </row>
    <row r="80" spans="1:24" ht="12.95" customHeight="1" outlineLevel="1" x14ac:dyDescent="0.25">
      <c r="A80" s="207"/>
      <c r="B80" s="218" t="s">
        <v>218</v>
      </c>
      <c r="C80" s="219"/>
      <c r="D80" s="219"/>
      <c r="E80" s="219"/>
      <c r="F80" s="219"/>
      <c r="G80" s="219"/>
      <c r="H80" s="219"/>
      <c r="I80" s="223"/>
      <c r="J80" s="223"/>
      <c r="K80" s="223"/>
      <c r="L80" s="223"/>
      <c r="M80" s="224"/>
      <c r="N80" s="232"/>
      <c r="O80" s="223"/>
      <c r="P80" s="223"/>
      <c r="Q80" s="223"/>
      <c r="R80" s="224"/>
      <c r="S80" s="232"/>
      <c r="T80" s="223"/>
      <c r="U80" s="223"/>
      <c r="V80" s="223">
        <f>U65</f>
        <v>0</v>
      </c>
      <c r="W80" s="224">
        <f>V80</f>
        <v>0</v>
      </c>
      <c r="X80" s="223">
        <f>W80</f>
        <v>0</v>
      </c>
    </row>
    <row r="81" spans="1:24" ht="12.95" customHeight="1" outlineLevel="1" x14ac:dyDescent="0.25">
      <c r="A81" s="207"/>
      <c r="B81" s="218" t="s">
        <v>219</v>
      </c>
      <c r="C81" s="219"/>
      <c r="D81" s="219"/>
      <c r="E81" s="219"/>
      <c r="F81" s="219"/>
      <c r="G81" s="219"/>
      <c r="H81" s="219"/>
      <c r="I81" s="229"/>
      <c r="J81" s="229"/>
      <c r="K81" s="229"/>
      <c r="L81" s="229"/>
      <c r="M81" s="230"/>
      <c r="N81" s="231">
        <f>SUM(N68:N72)</f>
        <v>5000000</v>
      </c>
      <c r="O81" s="229">
        <f>SUM(O68:O72)</f>
        <v>5000000</v>
      </c>
      <c r="P81" s="229">
        <f>SUM(P68:P72)</f>
        <v>5000000</v>
      </c>
      <c r="Q81" s="229">
        <f>SUM(Q68:Q72)</f>
        <v>5000000</v>
      </c>
      <c r="R81" s="230">
        <f>SUM(R68:R72)</f>
        <v>0</v>
      </c>
      <c r="S81" s="231">
        <f>SUM(S68:S77)</f>
        <v>0</v>
      </c>
      <c r="T81" s="229">
        <f>SUM(T68:T77)</f>
        <v>0</v>
      </c>
      <c r="U81" s="229">
        <f>SUM(U68:U77)</f>
        <v>0</v>
      </c>
      <c r="V81" s="229">
        <f>SUM(V68:V77)</f>
        <v>0</v>
      </c>
      <c r="W81" s="230">
        <f>SUM(W68:W77)</f>
        <v>0</v>
      </c>
      <c r="X81" s="229">
        <f>SUM(X68:X80)</f>
        <v>0</v>
      </c>
    </row>
    <row r="82" spans="1:24" ht="12.95" customHeight="1" x14ac:dyDescent="0.25">
      <c r="A82" s="207"/>
      <c r="B82" s="218"/>
      <c r="C82" s="219"/>
      <c r="D82" s="219"/>
      <c r="E82" s="219"/>
      <c r="F82" s="219"/>
      <c r="G82" s="219"/>
      <c r="H82" s="219"/>
      <c r="I82" s="223"/>
      <c r="J82" s="223"/>
      <c r="K82" s="223"/>
      <c r="L82" s="223"/>
      <c r="M82" s="224"/>
      <c r="N82" s="232"/>
      <c r="O82" s="223"/>
      <c r="P82" s="223"/>
      <c r="Q82" s="223"/>
      <c r="R82" s="224"/>
      <c r="S82" s="232"/>
      <c r="T82" s="223"/>
      <c r="U82" s="223"/>
      <c r="V82" s="223"/>
      <c r="W82" s="224"/>
      <c r="X82" s="223"/>
    </row>
    <row r="83" spans="1:24" ht="12.95" customHeight="1" x14ac:dyDescent="0.25">
      <c r="A83" s="207"/>
      <c r="B83" s="181" t="s">
        <v>220</v>
      </c>
      <c r="C83" s="219"/>
      <c r="D83" s="219"/>
      <c r="E83" s="219"/>
      <c r="F83" s="219"/>
      <c r="G83" s="219"/>
      <c r="H83" s="219"/>
      <c r="I83" s="223"/>
      <c r="J83" s="223"/>
      <c r="K83" s="223"/>
      <c r="L83" s="223"/>
      <c r="M83" s="224"/>
      <c r="N83" s="232"/>
      <c r="O83" s="223"/>
      <c r="P83" s="223"/>
      <c r="Q83" s="223"/>
      <c r="R83" s="224"/>
      <c r="S83" s="232"/>
      <c r="T83" s="223"/>
      <c r="U83" s="223"/>
      <c r="V83" s="223"/>
      <c r="W83" s="224"/>
      <c r="X83" s="223"/>
    </row>
    <row r="84" spans="1:24" ht="12.95" customHeight="1" x14ac:dyDescent="0.25">
      <c r="A84" s="207"/>
      <c r="B84" s="218" t="s">
        <v>221</v>
      </c>
      <c r="C84" s="219"/>
      <c r="D84" s="219"/>
      <c r="E84" s="219"/>
      <c r="F84" s="219"/>
      <c r="G84" s="219"/>
      <c r="H84" s="219"/>
      <c r="I84" s="223"/>
      <c r="J84" s="223"/>
      <c r="K84" s="223"/>
      <c r="L84" s="223"/>
      <c r="M84" s="224"/>
      <c r="N84" s="222"/>
      <c r="O84" s="220">
        <f>-((SUM(M41:M43)-M44)-(SUM(L41:L43)-L44))/(1+$I$18)^4</f>
        <v>0</v>
      </c>
      <c r="P84" s="220"/>
      <c r="Q84" s="220"/>
      <c r="R84" s="221"/>
      <c r="S84" s="222"/>
      <c r="T84" s="220">
        <f>-((R42-R44)-(Q42-Q44))/(1+$I$18)^4</f>
        <v>0</v>
      </c>
      <c r="U84" s="220"/>
      <c r="V84" s="220"/>
      <c r="W84" s="221"/>
      <c r="X84" s="220"/>
    </row>
    <row r="85" spans="1:24" ht="12.95" customHeight="1" x14ac:dyDescent="0.25">
      <c r="A85" s="207"/>
      <c r="B85" s="218" t="s">
        <v>222</v>
      </c>
      <c r="C85" s="219"/>
      <c r="D85" s="219"/>
      <c r="E85" s="182"/>
      <c r="F85" s="182"/>
      <c r="G85" s="182"/>
      <c r="H85" s="182"/>
      <c r="I85" s="183"/>
      <c r="J85" s="183"/>
      <c r="K85" s="183"/>
      <c r="L85" s="183"/>
      <c r="M85" s="184"/>
      <c r="N85" s="212"/>
      <c r="O85" s="183"/>
      <c r="P85" s="183"/>
      <c r="Q85" s="183"/>
      <c r="R85" s="184"/>
      <c r="S85" s="212"/>
      <c r="T85" s="183"/>
      <c r="U85" s="183"/>
      <c r="V85" s="183"/>
      <c r="W85" s="184"/>
      <c r="X85" s="183"/>
    </row>
    <row r="86" spans="1:24" ht="12.95" customHeight="1" x14ac:dyDescent="0.25">
      <c r="A86" s="207"/>
      <c r="B86" s="218" t="s">
        <v>223</v>
      </c>
      <c r="C86" s="182"/>
      <c r="D86" s="182"/>
      <c r="E86" s="182"/>
      <c r="F86" s="182"/>
      <c r="G86" s="182"/>
      <c r="H86" s="182"/>
      <c r="I86" s="183"/>
      <c r="J86" s="183"/>
      <c r="K86" s="183"/>
      <c r="L86" s="183"/>
      <c r="M86" s="184"/>
      <c r="N86" s="212"/>
      <c r="O86" s="183"/>
      <c r="P86" s="183"/>
      <c r="Q86" s="183"/>
      <c r="R86" s="184"/>
      <c r="S86" s="212"/>
      <c r="T86" s="183"/>
      <c r="U86" s="183"/>
      <c r="V86" s="183"/>
      <c r="W86" s="184"/>
      <c r="X86" s="183"/>
    </row>
    <row r="87" spans="1:24" ht="12.95" customHeight="1" x14ac:dyDescent="0.25">
      <c r="A87" s="207"/>
      <c r="B87" s="218" t="s">
        <v>224</v>
      </c>
      <c r="C87" s="240"/>
      <c r="D87" s="240"/>
      <c r="E87" s="182"/>
      <c r="F87" s="182"/>
      <c r="G87" s="182"/>
      <c r="H87" s="182"/>
      <c r="I87" s="183"/>
      <c r="J87" s="183"/>
      <c r="K87" s="183"/>
      <c r="L87" s="183"/>
      <c r="M87" s="184"/>
      <c r="N87" s="212"/>
      <c r="O87" s="183"/>
      <c r="P87" s="183"/>
      <c r="Q87" s="183"/>
      <c r="R87" s="184"/>
      <c r="S87" s="212"/>
      <c r="T87" s="183"/>
      <c r="U87" s="183"/>
      <c r="V87" s="183"/>
      <c r="W87" s="184"/>
      <c r="X87" s="183"/>
    </row>
    <row r="88" spans="1:24" ht="12.95" customHeight="1" x14ac:dyDescent="0.25">
      <c r="A88" s="207"/>
      <c r="B88" s="218" t="s">
        <v>225</v>
      </c>
      <c r="C88" s="240"/>
      <c r="D88" s="240"/>
      <c r="E88" s="182"/>
      <c r="F88" s="182"/>
      <c r="G88" s="182"/>
      <c r="H88" s="182"/>
      <c r="I88" s="183"/>
      <c r="J88" s="183"/>
      <c r="K88" s="183"/>
      <c r="L88" s="183"/>
      <c r="M88" s="184"/>
      <c r="N88" s="212"/>
      <c r="O88" s="183"/>
      <c r="P88" s="183"/>
      <c r="Q88" s="183"/>
      <c r="R88" s="184"/>
      <c r="S88" s="212"/>
      <c r="T88" s="183"/>
      <c r="U88" s="183"/>
      <c r="V88" s="183"/>
      <c r="W88" s="184"/>
      <c r="X88" s="183"/>
    </row>
    <row r="89" spans="1:24" ht="12.95" customHeight="1" x14ac:dyDescent="0.25">
      <c r="A89" s="207"/>
      <c r="B89" s="218" t="s">
        <v>226</v>
      </c>
      <c r="C89" s="240"/>
      <c r="D89" s="240"/>
      <c r="E89" s="182"/>
      <c r="F89" s="182"/>
      <c r="G89" s="182"/>
      <c r="H89" s="182"/>
      <c r="I89" s="183"/>
      <c r="J89" s="183"/>
      <c r="K89" s="183"/>
      <c r="L89" s="183"/>
      <c r="M89" s="184"/>
      <c r="N89" s="212"/>
      <c r="O89" s="183"/>
      <c r="P89" s="183"/>
      <c r="Q89" s="183"/>
      <c r="R89" s="184"/>
      <c r="S89" s="212"/>
      <c r="T89" s="183"/>
      <c r="U89" s="183"/>
      <c r="V89" s="183"/>
      <c r="W89" s="184"/>
      <c r="X89" s="183"/>
    </row>
    <row r="90" spans="1:24" ht="12.95" customHeight="1" x14ac:dyDescent="0.25">
      <c r="A90" s="207"/>
      <c r="B90" s="218" t="s">
        <v>227</v>
      </c>
      <c r="C90" s="240"/>
      <c r="D90" s="240"/>
      <c r="E90" s="182"/>
      <c r="F90" s="182"/>
      <c r="G90" s="182"/>
      <c r="H90" s="182"/>
      <c r="I90" s="183"/>
      <c r="J90" s="183"/>
      <c r="K90" s="183"/>
      <c r="L90" s="183"/>
      <c r="M90" s="184"/>
      <c r="N90" s="212"/>
      <c r="O90" s="183"/>
      <c r="P90" s="183"/>
      <c r="Q90" s="183"/>
      <c r="R90" s="184"/>
      <c r="S90" s="212"/>
      <c r="T90" s="183"/>
      <c r="U90" s="183"/>
      <c r="V90" s="183"/>
      <c r="W90" s="184"/>
      <c r="X90" s="183"/>
    </row>
    <row r="91" spans="1:24" ht="12.95" customHeight="1" x14ac:dyDescent="0.25">
      <c r="A91" s="207"/>
      <c r="B91" s="218" t="s">
        <v>228</v>
      </c>
      <c r="C91" s="240"/>
      <c r="D91" s="240"/>
      <c r="E91" s="182"/>
      <c r="F91" s="182"/>
      <c r="G91" s="182"/>
      <c r="H91" s="182"/>
      <c r="I91" s="183"/>
      <c r="J91" s="183"/>
      <c r="K91" s="183"/>
      <c r="L91" s="183"/>
      <c r="M91" s="184"/>
      <c r="N91" s="212"/>
      <c r="O91" s="183"/>
      <c r="P91" s="183"/>
      <c r="Q91" s="183"/>
      <c r="R91" s="184"/>
      <c r="S91" s="212"/>
      <c r="T91" s="183"/>
      <c r="U91" s="183"/>
      <c r="V91" s="183"/>
      <c r="W91" s="184"/>
      <c r="X91" s="183"/>
    </row>
    <row r="92" spans="1:24" ht="12.95" customHeight="1" x14ac:dyDescent="0.25">
      <c r="A92" s="207"/>
      <c r="B92" s="218" t="s">
        <v>229</v>
      </c>
      <c r="C92" s="240"/>
      <c r="D92" s="240"/>
      <c r="E92" s="182"/>
      <c r="F92" s="182"/>
      <c r="G92" s="182"/>
      <c r="H92" s="182"/>
      <c r="I92" s="183"/>
      <c r="J92" s="183"/>
      <c r="K92" s="183"/>
      <c r="L92" s="183"/>
      <c r="M92" s="184"/>
      <c r="N92" s="212"/>
      <c r="O92" s="183"/>
      <c r="P92" s="183"/>
      <c r="Q92" s="183"/>
      <c r="R92" s="184"/>
      <c r="S92" s="212"/>
      <c r="T92" s="183"/>
      <c r="U92" s="183"/>
      <c r="V92" s="183"/>
      <c r="W92" s="184"/>
      <c r="X92" s="183"/>
    </row>
    <row r="93" spans="1:24" ht="12.95" customHeight="1" x14ac:dyDescent="0.25">
      <c r="A93" s="207"/>
      <c r="B93" s="218" t="s">
        <v>230</v>
      </c>
      <c r="C93" s="240"/>
      <c r="D93" s="240"/>
      <c r="E93" s="182"/>
      <c r="F93" s="182"/>
      <c r="G93" s="182"/>
      <c r="H93" s="182"/>
      <c r="I93" s="183"/>
      <c r="J93" s="183"/>
      <c r="K93" s="183"/>
      <c r="L93" s="183"/>
      <c r="M93" s="184"/>
      <c r="N93" s="212"/>
      <c r="O93" s="183"/>
      <c r="P93" s="183"/>
      <c r="Q93" s="183"/>
      <c r="R93" s="184"/>
      <c r="S93" s="212"/>
      <c r="T93" s="183"/>
      <c r="U93" s="183"/>
      <c r="V93" s="183"/>
      <c r="W93" s="184"/>
      <c r="X93" s="183"/>
    </row>
    <row r="94" spans="1:24" ht="12.95" customHeight="1" x14ac:dyDescent="0.25">
      <c r="A94" s="207"/>
      <c r="B94" s="218" t="s">
        <v>231</v>
      </c>
      <c r="C94" s="240"/>
      <c r="D94" s="240"/>
      <c r="E94" s="182"/>
      <c r="F94" s="182"/>
      <c r="G94" s="182"/>
      <c r="H94" s="182"/>
      <c r="I94" s="183"/>
      <c r="J94" s="183"/>
      <c r="K94" s="183"/>
      <c r="L94" s="183"/>
      <c r="M94" s="184"/>
      <c r="N94" s="212"/>
      <c r="O94" s="183"/>
      <c r="P94" s="183"/>
      <c r="Q94" s="183"/>
      <c r="R94" s="184"/>
      <c r="S94" s="212"/>
      <c r="T94" s="183"/>
      <c r="U94" s="183"/>
      <c r="V94" s="183"/>
      <c r="W94" s="184"/>
      <c r="X94" s="183"/>
    </row>
    <row r="95" spans="1:24" ht="12.95" customHeight="1" x14ac:dyDescent="0.25">
      <c r="A95" s="207"/>
      <c r="B95" s="218" t="s">
        <v>232</v>
      </c>
      <c r="C95" s="240"/>
      <c r="D95" s="240"/>
      <c r="E95" s="182"/>
      <c r="F95" s="182"/>
      <c r="G95" s="182"/>
      <c r="H95" s="182"/>
      <c r="I95" s="183"/>
      <c r="J95" s="183"/>
      <c r="K95" s="183"/>
      <c r="L95" s="183"/>
      <c r="M95" s="184"/>
      <c r="N95" s="212"/>
      <c r="O95" s="183"/>
      <c r="P95" s="183"/>
      <c r="Q95" s="183"/>
      <c r="R95" s="184"/>
      <c r="S95" s="212"/>
      <c r="T95" s="183"/>
      <c r="U95" s="183"/>
      <c r="V95" s="183"/>
      <c r="W95" s="184"/>
      <c r="X95" s="183"/>
    </row>
    <row r="96" spans="1:24" ht="12.95" customHeight="1" x14ac:dyDescent="0.25">
      <c r="A96" s="207"/>
      <c r="B96" s="240"/>
      <c r="C96" s="240"/>
      <c r="D96" s="240"/>
      <c r="E96" s="182"/>
      <c r="F96" s="182"/>
      <c r="G96" s="182"/>
      <c r="H96" s="182"/>
      <c r="I96" s="183"/>
      <c r="J96" s="183"/>
      <c r="K96" s="183"/>
      <c r="L96" s="183"/>
      <c r="M96" s="184"/>
      <c r="N96" s="212"/>
      <c r="O96" s="183"/>
      <c r="P96" s="183"/>
      <c r="Q96" s="183"/>
      <c r="R96" s="184"/>
      <c r="S96" s="212"/>
      <c r="T96" s="183"/>
      <c r="U96" s="183"/>
      <c r="V96" s="183"/>
      <c r="W96" s="184"/>
      <c r="X96" s="183"/>
    </row>
    <row r="97" spans="1:24" ht="12.95" customHeight="1" x14ac:dyDescent="0.25">
      <c r="A97" s="207"/>
      <c r="B97" s="181" t="s">
        <v>233</v>
      </c>
      <c r="C97" s="240"/>
      <c r="D97" s="240"/>
      <c r="E97" s="182"/>
      <c r="F97" s="182"/>
      <c r="G97" s="182"/>
      <c r="H97" s="182"/>
      <c r="I97" s="183"/>
      <c r="J97" s="183"/>
      <c r="K97" s="183"/>
      <c r="L97" s="183"/>
      <c r="M97" s="184"/>
      <c r="N97" s="212"/>
      <c r="O97" s="183"/>
      <c r="P97" s="183"/>
      <c r="Q97" s="183"/>
      <c r="R97" s="184"/>
      <c r="S97" s="212"/>
      <c r="T97" s="183"/>
      <c r="U97" s="183"/>
      <c r="V97" s="183"/>
      <c r="W97" s="184"/>
      <c r="X97" s="183"/>
    </row>
    <row r="98" spans="1:24" ht="12.95" customHeight="1" x14ac:dyDescent="0.25">
      <c r="A98" s="207"/>
      <c r="B98" s="218" t="s">
        <v>234</v>
      </c>
      <c r="C98" s="240"/>
      <c r="D98" s="240"/>
      <c r="E98" s="182"/>
      <c r="F98" s="182"/>
      <c r="G98" s="182"/>
      <c r="H98" s="182"/>
      <c r="I98" s="241"/>
      <c r="J98" s="241"/>
      <c r="K98" s="241"/>
      <c r="L98" s="241"/>
      <c r="M98" s="242"/>
      <c r="N98" s="243"/>
      <c r="O98" s="241"/>
      <c r="P98" s="241"/>
      <c r="Q98" s="241"/>
      <c r="R98" s="242"/>
      <c r="S98" s="243"/>
      <c r="T98" s="241"/>
      <c r="U98" s="241"/>
      <c r="V98" s="241"/>
      <c r="W98" s="242"/>
      <c r="X98" s="241"/>
    </row>
    <row r="99" spans="1:24" ht="12.95" customHeight="1" x14ac:dyDescent="0.25">
      <c r="A99" s="207"/>
      <c r="B99" s="218" t="s">
        <v>235</v>
      </c>
      <c r="C99" s="240"/>
      <c r="D99" s="240"/>
      <c r="E99" s="182"/>
      <c r="F99" s="182"/>
      <c r="G99" s="182"/>
      <c r="H99" s="182"/>
      <c r="I99" s="241"/>
      <c r="J99" s="241"/>
      <c r="K99" s="241"/>
      <c r="L99" s="241"/>
      <c r="M99" s="242"/>
      <c r="N99" s="243"/>
      <c r="O99" s="241"/>
      <c r="P99" s="241"/>
      <c r="Q99" s="241"/>
      <c r="R99" s="242"/>
      <c r="S99" s="243"/>
      <c r="T99" s="241"/>
      <c r="U99" s="241"/>
      <c r="V99" s="241"/>
      <c r="W99" s="242"/>
      <c r="X99" s="241"/>
    </row>
    <row r="100" spans="1:24" ht="12.95" customHeight="1" x14ac:dyDescent="0.25">
      <c r="A100" s="207"/>
      <c r="B100" s="218" t="s">
        <v>236</v>
      </c>
      <c r="C100" s="240"/>
      <c r="D100" s="240"/>
      <c r="E100" s="182"/>
      <c r="F100" s="182"/>
      <c r="G100" s="182"/>
      <c r="H100" s="182"/>
      <c r="I100" s="241"/>
      <c r="J100" s="241"/>
      <c r="K100" s="241"/>
      <c r="L100" s="241"/>
      <c r="M100" s="242"/>
      <c r="N100" s="243"/>
      <c r="O100" s="241"/>
      <c r="P100" s="241"/>
      <c r="Q100" s="241"/>
      <c r="R100" s="242"/>
      <c r="S100" s="243"/>
      <c r="T100" s="241"/>
      <c r="U100" s="241"/>
      <c r="V100" s="241"/>
      <c r="W100" s="242"/>
      <c r="X100" s="241"/>
    </row>
    <row r="101" spans="1:24" ht="12.95" customHeight="1" x14ac:dyDescent="0.25">
      <c r="A101" s="207"/>
      <c r="B101" s="218" t="s">
        <v>237</v>
      </c>
      <c r="C101" s="240"/>
      <c r="D101" s="240"/>
      <c r="E101" s="182"/>
      <c r="F101" s="182"/>
      <c r="G101" s="182"/>
      <c r="H101" s="182"/>
      <c r="I101" s="241"/>
      <c r="J101" s="241"/>
      <c r="K101" s="241"/>
      <c r="L101" s="241"/>
      <c r="M101" s="242"/>
      <c r="N101" s="243"/>
      <c r="O101" s="241"/>
      <c r="P101" s="241"/>
      <c r="Q101" s="241"/>
      <c r="R101" s="242"/>
      <c r="S101" s="243"/>
      <c r="T101" s="241"/>
      <c r="U101" s="241"/>
      <c r="V101" s="241"/>
      <c r="W101" s="242"/>
      <c r="X101" s="241"/>
    </row>
    <row r="102" spans="1:24" ht="12.95" customHeight="1" x14ac:dyDescent="0.25">
      <c r="A102" s="207"/>
      <c r="B102" s="218" t="s">
        <v>238</v>
      </c>
      <c r="C102" s="240"/>
      <c r="D102" s="240"/>
      <c r="E102" s="182"/>
      <c r="F102" s="182"/>
      <c r="G102" s="182"/>
      <c r="H102" s="182"/>
      <c r="I102" s="241"/>
      <c r="J102" s="241"/>
      <c r="K102" s="241"/>
      <c r="L102" s="241"/>
      <c r="M102" s="242"/>
      <c r="N102" s="243"/>
      <c r="O102" s="241"/>
      <c r="P102" s="241"/>
      <c r="Q102" s="241"/>
      <c r="R102" s="242"/>
      <c r="S102" s="243"/>
      <c r="T102" s="241"/>
      <c r="U102" s="241"/>
      <c r="V102" s="241"/>
      <c r="W102" s="242"/>
      <c r="X102" s="241"/>
    </row>
    <row r="103" spans="1:24" ht="12.95" customHeight="1" x14ac:dyDescent="0.25">
      <c r="A103" s="207"/>
      <c r="B103" s="218" t="s">
        <v>239</v>
      </c>
      <c r="C103" s="240"/>
      <c r="D103" s="240"/>
      <c r="E103" s="182"/>
      <c r="F103" s="182"/>
      <c r="G103" s="182"/>
      <c r="H103" s="182"/>
      <c r="I103" s="241"/>
      <c r="J103" s="241"/>
      <c r="K103" s="241"/>
      <c r="L103" s="241"/>
      <c r="M103" s="242"/>
      <c r="N103" s="243"/>
      <c r="O103" s="241"/>
      <c r="P103" s="241"/>
      <c r="Q103" s="241"/>
      <c r="R103" s="242"/>
      <c r="S103" s="243"/>
      <c r="T103" s="241"/>
      <c r="U103" s="241"/>
      <c r="V103" s="241"/>
      <c r="W103" s="242"/>
      <c r="X103" s="241"/>
    </row>
    <row r="104" spans="1:24" ht="12.95" customHeight="1" x14ac:dyDescent="0.25">
      <c r="A104" s="207"/>
      <c r="B104" s="218" t="s">
        <v>240</v>
      </c>
      <c r="C104" s="240"/>
      <c r="D104" s="240"/>
      <c r="E104" s="182"/>
      <c r="F104" s="182"/>
      <c r="G104" s="182"/>
      <c r="H104" s="182"/>
      <c r="I104" s="241"/>
      <c r="J104" s="241"/>
      <c r="K104" s="241"/>
      <c r="L104" s="241"/>
      <c r="M104" s="242"/>
      <c r="N104" s="243"/>
      <c r="O104" s="241"/>
      <c r="P104" s="241"/>
      <c r="Q104" s="241"/>
      <c r="R104" s="242"/>
      <c r="S104" s="243"/>
      <c r="T104" s="241"/>
      <c r="U104" s="241"/>
      <c r="V104" s="241"/>
      <c r="W104" s="242"/>
      <c r="X104" s="241"/>
    </row>
    <row r="105" spans="1:24" ht="12.95" customHeight="1" x14ac:dyDescent="0.25">
      <c r="A105" s="207"/>
      <c r="B105" s="218" t="s">
        <v>241</v>
      </c>
      <c r="C105" s="240"/>
      <c r="D105" s="240"/>
      <c r="E105" s="182"/>
      <c r="F105" s="182"/>
      <c r="G105" s="182"/>
      <c r="H105" s="182"/>
      <c r="I105" s="241"/>
      <c r="J105" s="241"/>
      <c r="K105" s="241"/>
      <c r="L105" s="241"/>
      <c r="M105" s="242"/>
      <c r="N105" s="243"/>
      <c r="O105" s="241"/>
      <c r="P105" s="241"/>
      <c r="Q105" s="241"/>
      <c r="R105" s="242"/>
      <c r="S105" s="243"/>
      <c r="T105" s="241"/>
      <c r="U105" s="241"/>
      <c r="V105" s="241"/>
      <c r="W105" s="242"/>
      <c r="X105" s="241"/>
    </row>
    <row r="106" spans="1:24" ht="12.95" customHeight="1" x14ac:dyDescent="0.25">
      <c r="A106" s="207"/>
      <c r="B106" s="218" t="s">
        <v>242</v>
      </c>
      <c r="C106" s="240"/>
      <c r="D106" s="240"/>
      <c r="E106" s="182"/>
      <c r="F106" s="182"/>
      <c r="G106" s="182"/>
      <c r="H106" s="182"/>
      <c r="I106" s="241"/>
      <c r="J106" s="241"/>
      <c r="K106" s="241"/>
      <c r="L106" s="241"/>
      <c r="M106" s="242"/>
      <c r="N106" s="243"/>
      <c r="O106" s="241"/>
      <c r="P106" s="241"/>
      <c r="Q106" s="241"/>
      <c r="R106" s="242"/>
      <c r="S106" s="243"/>
      <c r="T106" s="241"/>
      <c r="U106" s="241"/>
      <c r="V106" s="241"/>
      <c r="W106" s="242"/>
      <c r="X106" s="241"/>
    </row>
    <row r="107" spans="1:24" ht="12.95" customHeight="1" x14ac:dyDescent="0.25">
      <c r="A107" s="207"/>
      <c r="B107" s="240"/>
      <c r="C107" s="182"/>
      <c r="D107" s="182"/>
      <c r="E107" s="182"/>
      <c r="F107" s="182"/>
      <c r="G107" s="182"/>
      <c r="H107" s="182"/>
      <c r="I107" s="183"/>
      <c r="J107" s="183"/>
      <c r="K107" s="183"/>
      <c r="L107" s="183"/>
      <c r="M107" s="184"/>
      <c r="N107" s="212"/>
      <c r="O107" s="183"/>
      <c r="P107" s="183"/>
      <c r="Q107" s="183"/>
      <c r="R107" s="184"/>
      <c r="S107" s="212"/>
      <c r="T107" s="183"/>
      <c r="U107" s="183"/>
      <c r="V107" s="183"/>
      <c r="W107" s="184"/>
      <c r="X107" s="183"/>
    </row>
    <row r="108" spans="1:24" ht="12.95" customHeight="1" x14ac:dyDescent="0.25">
      <c r="A108" s="181"/>
      <c r="B108" s="244" t="s">
        <v>243</v>
      </c>
      <c r="C108" s="245"/>
      <c r="D108" s="245"/>
      <c r="E108" s="245"/>
      <c r="F108" s="245"/>
      <c r="G108" s="245"/>
      <c r="H108" s="245"/>
      <c r="I108" s="246">
        <f t="shared" ref="I108:X108" si="9">SUM(I81:I107)</f>
        <v>0</v>
      </c>
      <c r="J108" s="246">
        <f t="shared" si="9"/>
        <v>0</v>
      </c>
      <c r="K108" s="246">
        <f t="shared" si="9"/>
        <v>0</v>
      </c>
      <c r="L108" s="246">
        <f t="shared" si="9"/>
        <v>0</v>
      </c>
      <c r="M108" s="247">
        <f t="shared" si="9"/>
        <v>0</v>
      </c>
      <c r="N108" s="248">
        <f t="shared" si="9"/>
        <v>5000000</v>
      </c>
      <c r="O108" s="246">
        <f t="shared" si="9"/>
        <v>5000000</v>
      </c>
      <c r="P108" s="246">
        <f t="shared" si="9"/>
        <v>5000000</v>
      </c>
      <c r="Q108" s="246">
        <f t="shared" si="9"/>
        <v>5000000</v>
      </c>
      <c r="R108" s="247">
        <f t="shared" si="9"/>
        <v>0</v>
      </c>
      <c r="S108" s="248">
        <f t="shared" si="9"/>
        <v>0</v>
      </c>
      <c r="T108" s="246">
        <f t="shared" si="9"/>
        <v>0</v>
      </c>
      <c r="U108" s="246">
        <f t="shared" si="9"/>
        <v>0</v>
      </c>
      <c r="V108" s="246">
        <f t="shared" si="9"/>
        <v>0</v>
      </c>
      <c r="W108" s="247">
        <f t="shared" si="9"/>
        <v>0</v>
      </c>
      <c r="X108" s="246">
        <f t="shared" si="9"/>
        <v>0</v>
      </c>
    </row>
    <row r="109" spans="1:24" ht="12.95" customHeight="1" x14ac:dyDescent="0.25">
      <c r="A109" s="200"/>
      <c r="B109" s="181"/>
      <c r="C109" s="182"/>
      <c r="D109" s="182"/>
      <c r="E109" s="182"/>
      <c r="F109" s="182"/>
      <c r="G109" s="182"/>
      <c r="H109" s="182"/>
      <c r="I109" s="183"/>
      <c r="J109" s="183"/>
      <c r="K109" s="183"/>
      <c r="L109" s="183"/>
      <c r="M109" s="184"/>
      <c r="N109" s="208"/>
      <c r="O109" s="209"/>
      <c r="P109" s="209"/>
      <c r="Q109" s="209"/>
      <c r="R109" s="210"/>
      <c r="S109" s="208"/>
      <c r="T109" s="209"/>
      <c r="U109" s="209"/>
      <c r="V109" s="209"/>
      <c r="W109" s="210"/>
      <c r="X109" s="209"/>
    </row>
    <row r="110" spans="1:24" ht="12.95" customHeight="1" x14ac:dyDescent="0.25">
      <c r="A110" s="183"/>
      <c r="B110" s="181" t="s">
        <v>244</v>
      </c>
      <c r="C110" s="182"/>
      <c r="D110" s="182"/>
      <c r="E110" s="182"/>
      <c r="F110" s="182"/>
      <c r="G110" s="182"/>
      <c r="H110" s="182"/>
      <c r="I110" s="183"/>
      <c r="J110" s="183"/>
      <c r="K110" s="183"/>
      <c r="L110" s="183"/>
      <c r="M110" s="184"/>
      <c r="N110" s="249"/>
      <c r="O110" s="250"/>
      <c r="P110" s="250"/>
      <c r="Q110" s="250"/>
      <c r="R110" s="251"/>
      <c r="S110" s="208"/>
      <c r="T110" s="209"/>
      <c r="U110" s="209"/>
      <c r="V110" s="209"/>
      <c r="W110" s="210"/>
      <c r="X110" s="209"/>
    </row>
    <row r="111" spans="1:24" ht="12.95" customHeight="1" x14ac:dyDescent="0.25">
      <c r="A111" s="252"/>
      <c r="B111" s="218" t="s">
        <v>245</v>
      </c>
      <c r="C111" s="196"/>
      <c r="D111" s="196"/>
      <c r="E111" s="196"/>
      <c r="F111" s="196"/>
      <c r="G111" s="196"/>
      <c r="H111" s="196"/>
      <c r="I111" s="253">
        <f t="shared" ref="I111:X111" si="10">I16+I16/$I$18</f>
        <v>0</v>
      </c>
      <c r="J111" s="253">
        <f t="shared" si="10"/>
        <v>0</v>
      </c>
      <c r="K111" s="253">
        <f t="shared" si="10"/>
        <v>0</v>
      </c>
      <c r="L111" s="253">
        <f t="shared" si="10"/>
        <v>102465886.93957116</v>
      </c>
      <c r="M111" s="254">
        <f t="shared" si="10"/>
        <v>0</v>
      </c>
      <c r="N111" s="255">
        <f t="shared" si="10"/>
        <v>0</v>
      </c>
      <c r="O111" s="256">
        <f t="shared" si="10"/>
        <v>0</v>
      </c>
      <c r="P111" s="256">
        <f t="shared" si="10"/>
        <v>0</v>
      </c>
      <c r="Q111" s="256">
        <f t="shared" si="10"/>
        <v>0</v>
      </c>
      <c r="R111" s="254">
        <f t="shared" si="10"/>
        <v>0</v>
      </c>
      <c r="S111" s="255">
        <f t="shared" si="10"/>
        <v>0</v>
      </c>
      <c r="T111" s="256">
        <f t="shared" si="10"/>
        <v>0</v>
      </c>
      <c r="U111" s="256">
        <f t="shared" si="10"/>
        <v>0</v>
      </c>
      <c r="V111" s="256">
        <f t="shared" si="10"/>
        <v>0</v>
      </c>
      <c r="W111" s="257">
        <f t="shared" si="10"/>
        <v>0</v>
      </c>
      <c r="X111" s="256">
        <f t="shared" si="10"/>
        <v>0</v>
      </c>
    </row>
    <row r="112" spans="1:24" ht="12.95" customHeight="1" x14ac:dyDescent="0.25">
      <c r="A112" s="252"/>
      <c r="B112" s="218" t="s">
        <v>246</v>
      </c>
      <c r="C112" s="196"/>
      <c r="D112" s="196"/>
      <c r="E112" s="196"/>
      <c r="F112" s="196"/>
      <c r="G112" s="196"/>
      <c r="H112" s="196"/>
      <c r="I112" s="258">
        <f t="shared" ref="I112:X112" si="11">I17</f>
        <v>0</v>
      </c>
      <c r="J112" s="258">
        <f t="shared" si="11"/>
        <v>0</v>
      </c>
      <c r="K112" s="258">
        <f t="shared" si="11"/>
        <v>0</v>
      </c>
      <c r="L112" s="258">
        <f t="shared" si="11"/>
        <v>0</v>
      </c>
      <c r="M112" s="259">
        <f t="shared" si="11"/>
        <v>0</v>
      </c>
      <c r="N112" s="260">
        <f t="shared" si="11"/>
        <v>0</v>
      </c>
      <c r="O112" s="261">
        <f t="shared" si="11"/>
        <v>0</v>
      </c>
      <c r="P112" s="261">
        <f t="shared" si="11"/>
        <v>0</v>
      </c>
      <c r="Q112" s="261">
        <f t="shared" si="11"/>
        <v>0</v>
      </c>
      <c r="R112" s="259">
        <f t="shared" si="11"/>
        <v>0</v>
      </c>
      <c r="S112" s="260">
        <f t="shared" si="11"/>
        <v>0</v>
      </c>
      <c r="T112" s="261">
        <f t="shared" si="11"/>
        <v>0</v>
      </c>
      <c r="U112" s="261">
        <f t="shared" si="11"/>
        <v>0</v>
      </c>
      <c r="V112" s="261">
        <f t="shared" si="11"/>
        <v>0</v>
      </c>
      <c r="W112" s="262">
        <f t="shared" si="11"/>
        <v>0</v>
      </c>
      <c r="X112" s="261">
        <f t="shared" si="11"/>
        <v>0</v>
      </c>
    </row>
    <row r="113" spans="1:24" ht="12.95" customHeight="1" x14ac:dyDescent="0.25">
      <c r="A113" s="252"/>
      <c r="B113" s="218" t="s">
        <v>247</v>
      </c>
      <c r="C113" s="196"/>
      <c r="D113" s="196"/>
      <c r="E113" s="196"/>
      <c r="F113" s="196"/>
      <c r="G113" s="196"/>
      <c r="H113" s="196"/>
      <c r="I113" s="253">
        <f t="shared" ref="I113:X113" si="12">SUM(I111:I112)</f>
        <v>0</v>
      </c>
      <c r="J113" s="253">
        <f t="shared" si="12"/>
        <v>0</v>
      </c>
      <c r="K113" s="253">
        <f t="shared" si="12"/>
        <v>0</v>
      </c>
      <c r="L113" s="253">
        <f t="shared" si="12"/>
        <v>102465886.93957116</v>
      </c>
      <c r="M113" s="254">
        <f t="shared" si="12"/>
        <v>0</v>
      </c>
      <c r="N113" s="255">
        <f t="shared" si="12"/>
        <v>0</v>
      </c>
      <c r="O113" s="256">
        <f t="shared" si="12"/>
        <v>0</v>
      </c>
      <c r="P113" s="256">
        <f t="shared" si="12"/>
        <v>0</v>
      </c>
      <c r="Q113" s="256">
        <f t="shared" si="12"/>
        <v>0</v>
      </c>
      <c r="R113" s="254">
        <f t="shared" si="12"/>
        <v>0</v>
      </c>
      <c r="S113" s="255">
        <f t="shared" si="12"/>
        <v>0</v>
      </c>
      <c r="T113" s="256">
        <f t="shared" si="12"/>
        <v>0</v>
      </c>
      <c r="U113" s="256">
        <f t="shared" si="12"/>
        <v>0</v>
      </c>
      <c r="V113" s="256">
        <f t="shared" si="12"/>
        <v>0</v>
      </c>
      <c r="W113" s="257">
        <f t="shared" si="12"/>
        <v>0</v>
      </c>
      <c r="X113" s="256">
        <f t="shared" si="12"/>
        <v>0</v>
      </c>
    </row>
    <row r="114" spans="1:24" ht="12.95" customHeight="1" x14ac:dyDescent="0.25">
      <c r="A114" s="181"/>
      <c r="B114" s="181"/>
      <c r="C114" s="181"/>
      <c r="D114" s="181"/>
      <c r="E114" s="181"/>
      <c r="F114" s="181"/>
      <c r="G114" s="181"/>
      <c r="H114" s="181"/>
      <c r="I114" s="183"/>
      <c r="J114" s="183"/>
      <c r="K114" s="183"/>
      <c r="L114" s="183"/>
      <c r="M114" s="184"/>
      <c r="N114" s="208"/>
      <c r="O114" s="209"/>
      <c r="P114" s="209"/>
      <c r="Q114" s="209"/>
      <c r="R114" s="210"/>
      <c r="S114" s="208"/>
      <c r="T114" s="181"/>
      <c r="U114" s="181"/>
      <c r="V114" s="181"/>
      <c r="W114" s="210"/>
      <c r="X114" s="209"/>
    </row>
    <row r="115" spans="1:24" ht="12.95" customHeight="1" x14ac:dyDescent="0.25">
      <c r="A115" s="200" t="s">
        <v>248</v>
      </c>
      <c r="B115" s="181"/>
      <c r="C115" s="182"/>
      <c r="D115" s="182"/>
      <c r="E115" s="182"/>
      <c r="F115" s="182"/>
      <c r="G115" s="182"/>
      <c r="H115" s="182"/>
      <c r="I115" s="183"/>
      <c r="J115" s="183"/>
      <c r="K115" s="183"/>
      <c r="L115" s="183"/>
      <c r="M115" s="184"/>
      <c r="N115" s="208"/>
      <c r="O115" s="209"/>
      <c r="P115" s="209"/>
      <c r="Q115" s="209"/>
      <c r="R115" s="210"/>
      <c r="S115" s="208"/>
      <c r="T115" s="209"/>
      <c r="U115" s="209"/>
      <c r="V115" s="209"/>
      <c r="W115" s="210"/>
      <c r="X115" s="209"/>
    </row>
    <row r="116" spans="1:24" ht="12.95" customHeight="1" x14ac:dyDescent="0.25">
      <c r="A116" s="197"/>
      <c r="B116" s="196" t="s">
        <v>249</v>
      </c>
      <c r="C116" s="196"/>
      <c r="D116" s="196"/>
      <c r="E116" s="196"/>
      <c r="F116" s="196"/>
      <c r="G116" s="196"/>
      <c r="H116" s="196"/>
      <c r="I116" s="197">
        <f t="shared" ref="I116:X116" si="13">I35-I44</f>
        <v>0</v>
      </c>
      <c r="J116" s="197">
        <f t="shared" si="13"/>
        <v>0</v>
      </c>
      <c r="K116" s="197">
        <f t="shared" si="13"/>
        <v>0</v>
      </c>
      <c r="L116" s="197">
        <f t="shared" si="13"/>
        <v>5000000</v>
      </c>
      <c r="M116" s="198">
        <f t="shared" si="13"/>
        <v>5000000</v>
      </c>
      <c r="N116" s="249">
        <f t="shared" si="13"/>
        <v>5000000</v>
      </c>
      <c r="O116" s="250">
        <f t="shared" si="13"/>
        <v>5000000</v>
      </c>
      <c r="P116" s="250">
        <f t="shared" si="13"/>
        <v>5000000</v>
      </c>
      <c r="Q116" s="250">
        <f t="shared" si="13"/>
        <v>5000000</v>
      </c>
      <c r="R116" s="251">
        <f t="shared" si="13"/>
        <v>5000000</v>
      </c>
      <c r="S116" s="249">
        <f t="shared" si="13"/>
        <v>5000000</v>
      </c>
      <c r="T116" s="250">
        <f t="shared" si="13"/>
        <v>5000000</v>
      </c>
      <c r="U116" s="250">
        <f t="shared" si="13"/>
        <v>5000000</v>
      </c>
      <c r="V116" s="250">
        <f t="shared" si="13"/>
        <v>5000000</v>
      </c>
      <c r="W116" s="251">
        <f t="shared" si="13"/>
        <v>5000000</v>
      </c>
      <c r="X116" s="250">
        <f t="shared" si="13"/>
        <v>5000000</v>
      </c>
    </row>
    <row r="117" spans="1:24" ht="12.95" customHeight="1" x14ac:dyDescent="0.25">
      <c r="A117" s="252"/>
      <c r="B117" s="196" t="s">
        <v>250</v>
      </c>
      <c r="C117" s="196"/>
      <c r="D117" s="196"/>
      <c r="E117" s="196"/>
      <c r="F117" s="196"/>
      <c r="G117" s="196"/>
      <c r="H117" s="196"/>
      <c r="I117" s="197">
        <f t="shared" ref="I117:X117" si="14">I39-I48-I108</f>
        <v>0</v>
      </c>
      <c r="J117" s="197">
        <f t="shared" si="14"/>
        <v>0</v>
      </c>
      <c r="K117" s="197">
        <f t="shared" si="14"/>
        <v>0</v>
      </c>
      <c r="L117" s="197">
        <f t="shared" si="14"/>
        <v>0</v>
      </c>
      <c r="M117" s="198">
        <f t="shared" si="14"/>
        <v>0</v>
      </c>
      <c r="N117" s="249">
        <f t="shared" si="14"/>
        <v>0</v>
      </c>
      <c r="O117" s="197">
        <f t="shared" si="14"/>
        <v>0</v>
      </c>
      <c r="P117" s="197">
        <f t="shared" si="14"/>
        <v>0</v>
      </c>
      <c r="Q117" s="197">
        <f t="shared" si="14"/>
        <v>0</v>
      </c>
      <c r="R117" s="198">
        <f t="shared" si="14"/>
        <v>5000000</v>
      </c>
      <c r="S117" s="249">
        <f t="shared" si="14"/>
        <v>5000000</v>
      </c>
      <c r="T117" s="250">
        <f t="shared" si="14"/>
        <v>5000000</v>
      </c>
      <c r="U117" s="250">
        <f t="shared" si="14"/>
        <v>5000000</v>
      </c>
      <c r="V117" s="250">
        <f t="shared" si="14"/>
        <v>5000000</v>
      </c>
      <c r="W117" s="251">
        <f t="shared" si="14"/>
        <v>5000000</v>
      </c>
      <c r="X117" s="250">
        <f t="shared" si="14"/>
        <v>5000000</v>
      </c>
    </row>
    <row r="118" spans="1:24" ht="12.95" customHeight="1" x14ac:dyDescent="0.25">
      <c r="A118" s="252"/>
      <c r="B118" s="196" t="s">
        <v>350</v>
      </c>
      <c r="C118" s="196"/>
      <c r="D118" s="196"/>
      <c r="E118" s="196"/>
      <c r="F118" s="196"/>
      <c r="G118" s="196"/>
      <c r="H118" s="196"/>
      <c r="I118" s="197">
        <f t="shared" ref="I118:X118" si="15">I116-I117</f>
        <v>0</v>
      </c>
      <c r="J118" s="197">
        <f t="shared" si="15"/>
        <v>0</v>
      </c>
      <c r="K118" s="197">
        <f t="shared" si="15"/>
        <v>0</v>
      </c>
      <c r="L118" s="197">
        <f t="shared" si="15"/>
        <v>5000000</v>
      </c>
      <c r="M118" s="198">
        <f t="shared" si="15"/>
        <v>5000000</v>
      </c>
      <c r="N118" s="199">
        <f t="shared" si="15"/>
        <v>5000000</v>
      </c>
      <c r="O118" s="197">
        <f t="shared" si="15"/>
        <v>5000000</v>
      </c>
      <c r="P118" s="197">
        <f t="shared" si="15"/>
        <v>5000000</v>
      </c>
      <c r="Q118" s="197">
        <f t="shared" si="15"/>
        <v>5000000</v>
      </c>
      <c r="R118" s="198">
        <f t="shared" si="15"/>
        <v>0</v>
      </c>
      <c r="S118" s="199">
        <f t="shared" si="15"/>
        <v>0</v>
      </c>
      <c r="T118" s="197">
        <f t="shared" si="15"/>
        <v>0</v>
      </c>
      <c r="U118" s="197">
        <f t="shared" si="15"/>
        <v>0</v>
      </c>
      <c r="V118" s="197">
        <f t="shared" si="15"/>
        <v>0</v>
      </c>
      <c r="W118" s="198">
        <f t="shared" si="15"/>
        <v>0</v>
      </c>
      <c r="X118" s="250">
        <f t="shared" si="15"/>
        <v>0</v>
      </c>
    </row>
    <row r="119" spans="1:24" ht="12.95" customHeight="1" x14ac:dyDescent="0.25">
      <c r="A119" s="252"/>
      <c r="B119" s="196"/>
      <c r="C119" s="196"/>
      <c r="D119" s="196"/>
      <c r="E119" s="196"/>
      <c r="F119" s="196"/>
      <c r="G119" s="196"/>
      <c r="H119" s="196"/>
      <c r="I119" s="197"/>
      <c r="J119" s="197"/>
      <c r="K119" s="197"/>
      <c r="L119" s="197"/>
      <c r="M119" s="198"/>
      <c r="N119" s="249"/>
      <c r="O119" s="250"/>
      <c r="P119" s="250"/>
      <c r="Q119" s="250"/>
      <c r="R119" s="251"/>
      <c r="S119" s="249"/>
      <c r="T119" s="250"/>
      <c r="U119" s="250"/>
      <c r="V119" s="250"/>
      <c r="W119" s="251"/>
      <c r="X119" s="250"/>
    </row>
    <row r="120" spans="1:24" ht="22.5" customHeight="1" x14ac:dyDescent="0.4">
      <c r="A120" s="282" t="s">
        <v>52</v>
      </c>
      <c r="B120" s="283"/>
      <c r="C120" s="283"/>
      <c r="D120" s="283"/>
      <c r="E120" s="283"/>
      <c r="F120" s="283"/>
      <c r="G120" s="283"/>
      <c r="H120" s="283"/>
      <c r="I120" s="283"/>
      <c r="J120" s="283"/>
      <c r="K120" s="284"/>
      <c r="L120" s="285"/>
      <c r="M120" s="285"/>
      <c r="N120" s="285"/>
      <c r="O120" s="285"/>
      <c r="P120" s="286"/>
      <c r="Q120" s="286"/>
      <c r="R120" s="286"/>
      <c r="S120" s="286"/>
      <c r="T120" s="286"/>
      <c r="U120" s="286"/>
      <c r="V120" s="286"/>
      <c r="W120" s="286"/>
      <c r="X120" s="286"/>
    </row>
    <row r="121" spans="1:24" ht="12.95" customHeight="1" x14ac:dyDescent="0.25">
      <c r="A121" s="162"/>
      <c r="B121" s="162"/>
      <c r="C121" s="162"/>
      <c r="D121" s="162"/>
      <c r="E121" s="162"/>
      <c r="F121" s="162"/>
      <c r="G121" s="162"/>
      <c r="H121" s="162"/>
      <c r="I121" s="263"/>
      <c r="J121" s="165"/>
      <c r="K121" s="165"/>
      <c r="L121" s="165"/>
      <c r="M121" s="165"/>
      <c r="N121" s="264"/>
      <c r="O121" s="264"/>
      <c r="P121" s="264"/>
      <c r="Q121" s="264"/>
      <c r="R121" s="264"/>
      <c r="S121" s="148"/>
      <c r="T121" s="148"/>
      <c r="U121" s="148"/>
      <c r="V121" s="148"/>
      <c r="W121" s="148"/>
      <c r="X121" s="148"/>
    </row>
    <row r="122" spans="1:24" ht="17.25" customHeight="1" x14ac:dyDescent="0.25">
      <c r="A122" s="328" t="s">
        <v>343</v>
      </c>
      <c r="B122" s="293"/>
      <c r="C122" s="293"/>
      <c r="D122" s="293"/>
      <c r="E122" s="281"/>
      <c r="F122" s="281"/>
      <c r="G122" s="281"/>
      <c r="H122" s="281"/>
      <c r="I122" s="294">
        <f>SUMPRODUCT(I111:X111,$I$27:$X$27)</f>
        <v>88185932.254232764</v>
      </c>
      <c r="J122" s="165"/>
      <c r="K122" s="165"/>
      <c r="L122" s="165"/>
      <c r="M122" s="165"/>
      <c r="N122" s="264"/>
      <c r="O122" s="264"/>
      <c r="P122" s="264"/>
      <c r="Q122" s="264"/>
      <c r="R122" s="264"/>
      <c r="S122" s="148"/>
      <c r="T122" s="148"/>
      <c r="U122" s="148"/>
      <c r="V122" s="148"/>
      <c r="W122" s="148"/>
      <c r="X122" s="148"/>
    </row>
    <row r="123" spans="1:24" ht="17.25" customHeight="1" x14ac:dyDescent="0.25">
      <c r="A123" s="328" t="s">
        <v>344</v>
      </c>
      <c r="B123" s="293"/>
      <c r="C123" s="293"/>
      <c r="D123" s="293"/>
      <c r="E123" s="281"/>
      <c r="F123" s="281"/>
      <c r="G123" s="281"/>
      <c r="H123" s="281"/>
      <c r="I123" s="294">
        <f>SUMPRODUCT(I112:X112,$I$27:$X$27)</f>
        <v>0</v>
      </c>
      <c r="J123" s="164"/>
      <c r="K123" s="164"/>
      <c r="L123" s="164"/>
      <c r="M123" s="165"/>
      <c r="N123" s="165"/>
      <c r="O123" s="165"/>
      <c r="P123" s="148"/>
      <c r="Q123" s="148"/>
      <c r="R123" s="148"/>
      <c r="S123" s="148"/>
      <c r="T123" s="148"/>
      <c r="U123" s="148"/>
      <c r="V123" s="148"/>
      <c r="W123" s="148"/>
      <c r="X123" s="148"/>
    </row>
    <row r="124" spans="1:24" ht="17.25" customHeight="1" x14ac:dyDescent="0.25">
      <c r="A124" s="328" t="s">
        <v>345</v>
      </c>
      <c r="B124" s="293"/>
      <c r="C124" s="293"/>
      <c r="D124" s="293"/>
      <c r="E124" s="281"/>
      <c r="F124" s="281"/>
      <c r="G124" s="281"/>
      <c r="H124" s="281"/>
      <c r="I124" s="294">
        <f>SUMPRODUCT(I113:X113,$I$27:$X$27)</f>
        <v>88185932.254232764</v>
      </c>
      <c r="J124" s="164"/>
      <c r="K124" s="164"/>
      <c r="L124" s="164"/>
      <c r="M124" s="165"/>
      <c r="N124" s="165"/>
      <c r="O124" s="165"/>
      <c r="P124" s="148"/>
      <c r="Q124" s="148"/>
      <c r="R124" s="148"/>
      <c r="S124" s="148"/>
      <c r="T124" s="148"/>
      <c r="U124" s="148"/>
      <c r="V124" s="148"/>
      <c r="W124" s="148"/>
      <c r="X124" s="148"/>
    </row>
    <row r="125" spans="1:24" ht="17.25" customHeight="1" x14ac:dyDescent="0.25">
      <c r="A125" s="328" t="s">
        <v>351</v>
      </c>
      <c r="B125" s="293"/>
      <c r="C125" s="293"/>
      <c r="D125" s="293"/>
      <c r="E125" s="281"/>
      <c r="F125" s="281"/>
      <c r="G125" s="281"/>
      <c r="H125" s="281"/>
      <c r="I125" s="295">
        <f>SUMPRODUCT($I$27:$X$27,$I$118:$X$118)</f>
        <v>22866962.842849605</v>
      </c>
      <c r="J125" s="164"/>
      <c r="K125" s="164"/>
      <c r="L125" s="164"/>
      <c r="M125" s="165"/>
      <c r="N125" s="165"/>
      <c r="O125" s="165"/>
      <c r="P125" s="148"/>
      <c r="Q125" s="148"/>
      <c r="R125" s="148"/>
      <c r="S125" s="148"/>
      <c r="T125" s="148"/>
      <c r="U125" s="148"/>
      <c r="V125" s="148"/>
      <c r="W125" s="148"/>
      <c r="X125" s="148"/>
    </row>
    <row r="126" spans="1:24" ht="17.25" customHeight="1" x14ac:dyDescent="0.25">
      <c r="A126" s="293" t="s">
        <v>352</v>
      </c>
      <c r="B126" s="293"/>
      <c r="C126" s="293"/>
      <c r="D126" s="293"/>
      <c r="E126" s="281"/>
      <c r="F126" s="281"/>
      <c r="G126" s="281"/>
      <c r="H126" s="281"/>
      <c r="I126" s="296">
        <f>I$125/I$124</f>
        <v>0.25930397579657077</v>
      </c>
      <c r="J126" s="148"/>
      <c r="K126" s="148"/>
      <c r="L126" s="148"/>
      <c r="M126" s="164"/>
      <c r="N126" s="148"/>
      <c r="O126" s="148"/>
      <c r="P126" s="148"/>
      <c r="Q126" s="148"/>
      <c r="R126" s="148"/>
      <c r="S126" s="148"/>
      <c r="T126" s="148"/>
      <c r="U126" s="148"/>
      <c r="V126" s="148"/>
      <c r="W126" s="148"/>
      <c r="X126" s="148"/>
    </row>
  </sheetData>
  <mergeCells count="1">
    <mergeCell ref="A2:X2"/>
  </mergeCells>
  <printOptions horizontalCentered="1"/>
  <pageMargins left="0.70866141732283472" right="0.70866141732283472" top="0.74803149606299213" bottom="0.74803149606299213" header="0.31496062992125984" footer="0.31496062992125984"/>
  <pageSetup paperSize="8"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CoverSheet</vt:lpstr>
      <vt:lpstr>Table of Contents</vt:lpstr>
      <vt:lpstr>Description</vt:lpstr>
      <vt:lpstr>Equivalence calculations</vt:lpstr>
      <vt:lpstr>IRIS Capex incentives</vt:lpstr>
      <vt:lpstr>IRIS Opex incentives</vt:lpstr>
      <vt:lpstr>IRIS Opex permanent saving</vt:lpstr>
      <vt:lpstr>CoverSheet!Print_Area</vt:lpstr>
      <vt:lpstr>'Equivalence calculations'!Print_Area</vt:lpstr>
      <vt:lpstr>'IRIS Capex incentives'!Print_Area</vt:lpstr>
      <vt:lpstr>'IRIS Opex incentives'!Print_Area</vt:lpstr>
      <vt:lpstr>'IRIS Opex permanent saving'!Print_Area</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2019-07-02T03:23:17Z</dcterms:created>
  <dcterms:modified xsi:type="dcterms:W3CDTF">2019-07-02T04:57:49Z</dcterms:modified>
</cp:coreProperties>
</file>