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B7FD0D2C-B222-45D1-A707-65E1FCF2138C}" xr6:coauthVersionLast="47" xr6:coauthVersionMax="47" xr10:uidLastSave="{00000000-0000-0000-0000-000000000000}"/>
  <bookViews>
    <workbookView xWindow="1230" yWindow="8002" windowWidth="22695" windowHeight="14476" tabRatio="885" xr2:uid="{00000000-000D-0000-FFFF-FFFF00000000}"/>
  </bookViews>
  <sheets>
    <sheet name="CoverSheet" sheetId="63" r:id="rId1"/>
    <sheet name="Description" sheetId="46" r:id="rId2"/>
    <sheet name="Table of Contents" sheetId="47" r:id="rId3"/>
    <sheet name="Inputs" sheetId="15" r:id="rId4"/>
    <sheet name="EDB select" sheetId="44" r:id="rId5"/>
    <sheet name="Capex incentives" sheetId="16" r:id="rId6"/>
    <sheet name="Opex incentives" sheetId="42" r:id="rId7"/>
    <sheet name="General analysis" sheetId="43" r:id="rId8"/>
    <sheet name="Outputs" sheetId="35" r:id="rId9"/>
    <sheet name="Supplementary analysis" sheetId="48" r:id="rId10"/>
    <sheet name="Supp analysis outputs" sheetId="40" r:id="rId11"/>
    <sheet name="Financial models &gt;&gt;&gt; " sheetId="51" r:id="rId12"/>
    <sheet name="Inputs (DPP)" sheetId="52" r:id="rId13"/>
    <sheet name="EDB data (DPP)" sheetId="53" r:id="rId14"/>
    <sheet name="TIMING (DPP)" sheetId="54" r:id="rId15"/>
    <sheet name="RAB (DPP)" sheetId="55" r:id="rId16"/>
    <sheet name="TAX (DPP)" sheetId="56" r:id="rId17"/>
    <sheet name="BBAR (DPP)" sheetId="57" r:id="rId18"/>
    <sheet name="EDB data (update)" sheetId="59" r:id="rId19"/>
    <sheet name="TIMING (update)" sheetId="60" r:id="rId20"/>
    <sheet name="RAB (update)" sheetId="49" r:id="rId21"/>
    <sheet name="TAX (update)" sheetId="62" r:id="rId22"/>
    <sheet name="BBAR (update)" sheetId="31" r:id="rId23"/>
  </sheets>
  <externalReferences>
    <externalReference r:id="rId24"/>
    <externalReference r:id="rId25"/>
    <externalReference r:id="rId26"/>
    <externalReference r:id="rId27"/>
    <externalReference r:id="rId28"/>
  </externalReferences>
  <definedNames>
    <definedName name="EDB_Name" localSheetId="0">'EDB select'!$B$5</definedName>
    <definedName name="EDB_Name" localSheetId="12">'EDB select'!$B$5</definedName>
    <definedName name="EDB_Name" localSheetId="20">'EDB data (DPP)'!$C$6</definedName>
    <definedName name="EDB_Name">'EDB data (DPP)'!$C$6</definedName>
    <definedName name="Indiv_Data" localSheetId="12">'Inputs (DPP)'!$B$2:$S$58</definedName>
    <definedName name="Indiv_Data" localSheetId="20">'Inputs (DPP)'!$B$2:$S$58</definedName>
    <definedName name="Indiv_Data">'Inputs (DPP)'!$B$2:$S$58</definedName>
    <definedName name="Leverage">'EDB data (DPP)'!$B$13</definedName>
    <definedName name="_xlnm.Print_Area" localSheetId="17">'BBAR (DPP)'!$A$1:$M$60</definedName>
    <definedName name="_xlnm.Print_Area" localSheetId="22">'BBAR (update)'!$A$1:$K$59</definedName>
    <definedName name="_xlnm.Print_Area" localSheetId="5">'Capex incentives'!$A$1:$P$71</definedName>
    <definedName name="_xlnm.Print_Area" localSheetId="0">CoverSheet!$A$1:$D$16</definedName>
    <definedName name="_xlnm.Print_Area" localSheetId="1">Description!$A$1:$D$67</definedName>
    <definedName name="_xlnm.Print_Area" localSheetId="13">'EDB data (DPP)'!$A$1:$I$66</definedName>
    <definedName name="_xlnm.Print_Area" localSheetId="18">'EDB data (update)'!$A$1:$I$67</definedName>
    <definedName name="_xlnm.Print_Area" localSheetId="4">'EDB select'!$A$1:$C$8</definedName>
    <definedName name="_xlnm.Print_Area" localSheetId="7">'General analysis'!$A$1:$J$59</definedName>
    <definedName name="_xlnm.Print_Area" localSheetId="3">Inputs!$A$1:$K$180</definedName>
    <definedName name="_xlnm.Print_Area" localSheetId="12">'Inputs (DPP)'!$A$1:$T$59</definedName>
    <definedName name="_xlnm.Print_Area" localSheetId="6">'Opex incentives'!$A$1:$P$51</definedName>
    <definedName name="_xlnm.Print_Area" localSheetId="8">Outputs!$A$1:$S$70</definedName>
    <definedName name="_xlnm.Print_Area" localSheetId="15">'RAB (DPP)'!$A$1:$M$110</definedName>
    <definedName name="_xlnm.Print_Area" localSheetId="20">'RAB (update)'!$A$1:$K$95</definedName>
    <definedName name="_xlnm.Print_Area" localSheetId="10">'Supp analysis outputs'!$A$1:$R$43</definedName>
    <definedName name="_xlnm.Print_Area" localSheetId="9">'Supplementary analysis'!$A$1:$K$186</definedName>
    <definedName name="_xlnm.Print_Area" localSheetId="2">'Table of Contents'!$A$1:$D$66</definedName>
    <definedName name="_xlnm.Print_Area" localSheetId="16">'TAX (DPP)'!$A$1:$M$110</definedName>
    <definedName name="_xlnm.Print_Area" localSheetId="21">'TAX (update)'!$A$1:$M$111</definedName>
    <definedName name="_xlnm.Print_Area" localSheetId="14">'TIMING (DPP)'!$A$1:$P$44</definedName>
    <definedName name="_xlnm.Print_Area" localSheetId="19">'TIMING (update)'!$A$1:$P$44</definedName>
    <definedName name="rEDBNames" localSheetId="12">'Inputs (DPP)'!$B$21:$Q$21</definedName>
    <definedName name="WACC" localSheetId="12">'EDB data (DPP)'!$B$11</definedName>
    <definedName name="XfactorAnchor">'Inputs (DPP)'!$A$36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8" i="42" l="1"/>
  <c r="G52" i="15"/>
  <c r="H52" i="15"/>
  <c r="G53" i="15"/>
  <c r="H53" i="15"/>
  <c r="G54" i="15"/>
  <c r="H54" i="15"/>
  <c r="G55" i="15"/>
  <c r="H55" i="15"/>
  <c r="G56" i="15"/>
  <c r="H56" i="15"/>
  <c r="G57" i="15"/>
  <c r="H57" i="15"/>
  <c r="G58" i="15"/>
  <c r="H58" i="15"/>
  <c r="G59" i="15"/>
  <c r="H59" i="15"/>
  <c r="G60" i="15"/>
  <c r="H60" i="15"/>
  <c r="G61" i="15"/>
  <c r="H61" i="15"/>
  <c r="G62" i="15"/>
  <c r="H62" i="15"/>
  <c r="G63" i="15"/>
  <c r="H63" i="15"/>
  <c r="G64" i="15"/>
  <c r="H64" i="15"/>
  <c r="G65" i="15"/>
  <c r="H65" i="15"/>
  <c r="G66" i="15"/>
  <c r="H66" i="15"/>
  <c r="H51" i="15"/>
  <c r="G51" i="15"/>
  <c r="D34" i="15"/>
  <c r="E34" i="15"/>
  <c r="F34" i="15"/>
  <c r="D35" i="15"/>
  <c r="E35" i="15"/>
  <c r="F35" i="15"/>
  <c r="D36" i="15"/>
  <c r="E36" i="15"/>
  <c r="F36" i="15"/>
  <c r="D37" i="15"/>
  <c r="E37" i="15"/>
  <c r="F37" i="15"/>
  <c r="D38" i="15"/>
  <c r="E38" i="15"/>
  <c r="F38" i="15"/>
  <c r="D39" i="15"/>
  <c r="E39" i="15"/>
  <c r="F39" i="15"/>
  <c r="D40" i="15"/>
  <c r="E40" i="15"/>
  <c r="F40" i="15"/>
  <c r="D41" i="15"/>
  <c r="E41" i="15"/>
  <c r="F41" i="15"/>
  <c r="D42" i="15"/>
  <c r="E42" i="15"/>
  <c r="F42" i="15"/>
  <c r="D43" i="15"/>
  <c r="E43" i="15"/>
  <c r="F43" i="15"/>
  <c r="D44" i="15"/>
  <c r="E44" i="15"/>
  <c r="F44" i="15"/>
  <c r="D45" i="15"/>
  <c r="E45" i="15"/>
  <c r="F45" i="15"/>
  <c r="D46" i="15"/>
  <c r="E46" i="15"/>
  <c r="F46" i="15"/>
  <c r="D47" i="15"/>
  <c r="E47" i="15"/>
  <c r="F47" i="15"/>
  <c r="D48" i="15"/>
  <c r="E48" i="15"/>
  <c r="F48" i="15"/>
  <c r="F33" i="15"/>
  <c r="E33" i="15"/>
  <c r="D33" i="15"/>
  <c r="D25" i="48"/>
  <c r="E25" i="48"/>
  <c r="I6" i="48"/>
  <c r="I24" i="48"/>
  <c r="E27" i="62"/>
  <c r="F27" i="62"/>
  <c r="A35" i="62" s="1"/>
  <c r="G27" i="62"/>
  <c r="A41" i="62" s="1"/>
  <c r="H27" i="62"/>
  <c r="A47" i="62" s="1"/>
  <c r="I27" i="62"/>
  <c r="A53" i="62" s="1"/>
  <c r="J27" i="62"/>
  <c r="D27" i="62"/>
  <c r="D68" i="62" s="1"/>
  <c r="E27" i="56"/>
  <c r="F27" i="56"/>
  <c r="G27" i="56"/>
  <c r="A41" i="56" s="1"/>
  <c r="H27" i="56"/>
  <c r="A47" i="56" s="1"/>
  <c r="I27" i="56"/>
  <c r="J27" i="56"/>
  <c r="D27" i="56"/>
  <c r="D68" i="56" s="1"/>
  <c r="A68" i="55"/>
  <c r="A61" i="55"/>
  <c r="A54" i="55"/>
  <c r="A47" i="55"/>
  <c r="A40" i="55"/>
  <c r="A33" i="55"/>
  <c r="C165" i="15" a="1"/>
  <c r="C165" i="15" s="1"/>
  <c r="C166" i="15" a="1"/>
  <c r="C166" i="15" s="1"/>
  <c r="C167" i="15" a="1"/>
  <c r="C167" i="15" s="1"/>
  <c r="C168" i="15" a="1"/>
  <c r="C168" i="15" s="1"/>
  <c r="C169" i="15" a="1"/>
  <c r="C169" i="15" s="1"/>
  <c r="C170" i="15" a="1"/>
  <c r="C170" i="15" s="1"/>
  <c r="C171" i="15" a="1"/>
  <c r="C171" i="15" s="1"/>
  <c r="C172" i="15" a="1"/>
  <c r="C172" i="15" s="1"/>
  <c r="C173" i="15" a="1"/>
  <c r="C173" i="15" s="1"/>
  <c r="C174" i="15" a="1"/>
  <c r="C174" i="15" s="1"/>
  <c r="C175" i="15" a="1"/>
  <c r="C175" i="15" s="1"/>
  <c r="C176" i="15" a="1"/>
  <c r="C176" i="15" s="1"/>
  <c r="C177" i="15" a="1"/>
  <c r="C177" i="15" s="1"/>
  <c r="C178" i="15" a="1"/>
  <c r="C178" i="15" s="1"/>
  <c r="C179" i="15" a="1"/>
  <c r="C179" i="15" s="1"/>
  <c r="C164" i="15" a="1"/>
  <c r="C164" i="15" s="1"/>
  <c r="E68" i="62" l="1"/>
  <c r="A29" i="62"/>
  <c r="J68" i="62"/>
  <c r="A59" i="62"/>
  <c r="I68" i="56"/>
  <c r="A53" i="56"/>
  <c r="J68" i="56"/>
  <c r="A59" i="56"/>
  <c r="H68" i="62"/>
  <c r="F68" i="56"/>
  <c r="A35" i="56"/>
  <c r="E68" i="56"/>
  <c r="A29" i="56"/>
  <c r="I68" i="62"/>
  <c r="G68" i="62"/>
  <c r="F68" i="62"/>
  <c r="H68" i="56"/>
  <c r="G68" i="56"/>
  <c r="G128" i="15"/>
  <c r="H128" i="15"/>
  <c r="G129" i="15"/>
  <c r="H129" i="15"/>
  <c r="G130" i="15"/>
  <c r="H130" i="15"/>
  <c r="G131" i="15"/>
  <c r="H131" i="15"/>
  <c r="G132" i="15"/>
  <c r="H132" i="15"/>
  <c r="G133" i="15"/>
  <c r="H133" i="15"/>
  <c r="G134" i="15"/>
  <c r="H134" i="15"/>
  <c r="G135" i="15"/>
  <c r="H135" i="15"/>
  <c r="G136" i="15"/>
  <c r="H136" i="15"/>
  <c r="G137" i="15"/>
  <c r="H137" i="15"/>
  <c r="G138" i="15"/>
  <c r="H138" i="15"/>
  <c r="G139" i="15"/>
  <c r="H139" i="15"/>
  <c r="G140" i="15"/>
  <c r="H140" i="15"/>
  <c r="G141" i="15"/>
  <c r="H141" i="15"/>
  <c r="H127" i="15"/>
  <c r="G127" i="15"/>
  <c r="H126" i="15"/>
  <c r="G126" i="15"/>
  <c r="D109" i="15"/>
  <c r="E109" i="15"/>
  <c r="F109" i="15"/>
  <c r="D110" i="15"/>
  <c r="E110" i="15"/>
  <c r="F110" i="15"/>
  <c r="D111" i="15"/>
  <c r="E111" i="15"/>
  <c r="F111" i="15"/>
  <c r="D112" i="15"/>
  <c r="E112" i="15"/>
  <c r="F112" i="15"/>
  <c r="D113" i="15"/>
  <c r="E113" i="15"/>
  <c r="F113" i="15"/>
  <c r="D114" i="15"/>
  <c r="E114" i="15"/>
  <c r="F114" i="15"/>
  <c r="D115" i="15"/>
  <c r="E115" i="15"/>
  <c r="F115" i="15"/>
  <c r="D116" i="15"/>
  <c r="E116" i="15"/>
  <c r="F116" i="15"/>
  <c r="D117" i="15"/>
  <c r="E117" i="15"/>
  <c r="F117" i="15"/>
  <c r="D118" i="15"/>
  <c r="E118" i="15"/>
  <c r="F118" i="15"/>
  <c r="D119" i="15"/>
  <c r="E119" i="15"/>
  <c r="F119" i="15"/>
  <c r="D120" i="15"/>
  <c r="E120" i="15"/>
  <c r="F120" i="15"/>
  <c r="D121" i="15"/>
  <c r="E121" i="15"/>
  <c r="F121" i="15"/>
  <c r="D122" i="15"/>
  <c r="E122" i="15"/>
  <c r="F122" i="15"/>
  <c r="D123" i="15"/>
  <c r="E123" i="15"/>
  <c r="F123" i="15"/>
  <c r="F108" i="15"/>
  <c r="E108" i="15"/>
  <c r="D108" i="15"/>
  <c r="D45" i="62" l="1"/>
  <c r="D63" i="62"/>
  <c r="D57" i="62"/>
  <c r="D39" i="62"/>
  <c r="D51" i="62" l="1"/>
  <c r="N38" i="42" l="1"/>
  <c r="Q46" i="52" l="1" a="1"/>
  <c r="Q46" i="52" s="1"/>
  <c r="C46" i="52" a="1"/>
  <c r="C46" i="52" s="1"/>
  <c r="L46" i="52" a="1"/>
  <c r="L46" i="52" s="1"/>
  <c r="J6" i="40"/>
  <c r="K6" i="40"/>
  <c r="L6" i="40"/>
  <c r="M6" i="40"/>
  <c r="N6" i="40"/>
  <c r="O6" i="40"/>
  <c r="P6" i="40"/>
  <c r="Q6" i="40"/>
  <c r="J7" i="40"/>
  <c r="K7" i="40"/>
  <c r="L7" i="40"/>
  <c r="M7" i="40"/>
  <c r="N7" i="40"/>
  <c r="O7" i="40"/>
  <c r="P7" i="40"/>
  <c r="Q7" i="40"/>
  <c r="J8" i="40"/>
  <c r="K8" i="40"/>
  <c r="L8" i="40"/>
  <c r="M8" i="40"/>
  <c r="N8" i="40"/>
  <c r="O8" i="40"/>
  <c r="P8" i="40"/>
  <c r="Q8" i="40"/>
  <c r="J9" i="40"/>
  <c r="K9" i="40"/>
  <c r="L9" i="40"/>
  <c r="M9" i="40"/>
  <c r="N9" i="40"/>
  <c r="O9" i="40"/>
  <c r="P9" i="40"/>
  <c r="Q9" i="40"/>
  <c r="J10" i="40"/>
  <c r="K10" i="40"/>
  <c r="L10" i="40"/>
  <c r="M10" i="40"/>
  <c r="N10" i="40"/>
  <c r="O10" i="40"/>
  <c r="P10" i="40"/>
  <c r="Q10" i="40"/>
  <c r="J13" i="40"/>
  <c r="K13" i="40"/>
  <c r="L13" i="40"/>
  <c r="M13" i="40"/>
  <c r="N13" i="40"/>
  <c r="O13" i="40"/>
  <c r="P13" i="40"/>
  <c r="Q13" i="40"/>
  <c r="J16" i="40"/>
  <c r="K16" i="40"/>
  <c r="L16" i="40"/>
  <c r="M16" i="40"/>
  <c r="N16" i="40"/>
  <c r="O16" i="40"/>
  <c r="P16" i="40"/>
  <c r="Q16" i="40"/>
  <c r="J17" i="40"/>
  <c r="K17" i="40"/>
  <c r="L17" i="40"/>
  <c r="M17" i="40"/>
  <c r="N17" i="40"/>
  <c r="O17" i="40"/>
  <c r="P17" i="40"/>
  <c r="Q17" i="40"/>
  <c r="J18" i="40"/>
  <c r="K18" i="40"/>
  <c r="L18" i="40"/>
  <c r="M18" i="40"/>
  <c r="N18" i="40"/>
  <c r="O18" i="40"/>
  <c r="P18" i="40"/>
  <c r="Q18" i="40"/>
  <c r="J19" i="40"/>
  <c r="K19" i="40"/>
  <c r="L19" i="40"/>
  <c r="M19" i="40"/>
  <c r="N19" i="40"/>
  <c r="O19" i="40"/>
  <c r="P19" i="40"/>
  <c r="Q19" i="40"/>
  <c r="J20" i="40"/>
  <c r="K20" i="40"/>
  <c r="L20" i="40"/>
  <c r="M20" i="40"/>
  <c r="N20" i="40"/>
  <c r="O20" i="40"/>
  <c r="P20" i="40"/>
  <c r="Q20" i="40"/>
  <c r="J23" i="40"/>
  <c r="K23" i="40"/>
  <c r="L23" i="40"/>
  <c r="M23" i="40"/>
  <c r="N23" i="40"/>
  <c r="O23" i="40"/>
  <c r="P23" i="40"/>
  <c r="Q23" i="40"/>
  <c r="B6" i="40"/>
  <c r="D3" i="40"/>
  <c r="E3" i="40"/>
  <c r="F3" i="40"/>
  <c r="G3" i="40"/>
  <c r="H3" i="40"/>
  <c r="I3" i="40"/>
  <c r="J3" i="40"/>
  <c r="K3" i="40"/>
  <c r="L3" i="40"/>
  <c r="M3" i="40"/>
  <c r="N3" i="40"/>
  <c r="O3" i="40"/>
  <c r="P3" i="40"/>
  <c r="Q3" i="40"/>
  <c r="D7" i="48"/>
  <c r="E7" i="48"/>
  <c r="F7" i="48"/>
  <c r="G7" i="48"/>
  <c r="H7" i="48"/>
  <c r="B7" i="44" l="1"/>
  <c r="D76" i="49" l="1"/>
  <c r="E75" i="62" l="1"/>
  <c r="E82" i="62" s="1"/>
  <c r="E87" i="62" s="1"/>
  <c r="E100" i="62" s="1"/>
  <c r="F75" i="62"/>
  <c r="F82" i="62" s="1"/>
  <c r="F87" i="62" s="1"/>
  <c r="F100" i="62" s="1"/>
  <c r="G75" i="62"/>
  <c r="G82" i="62" s="1"/>
  <c r="G87" i="62" s="1"/>
  <c r="G100" i="62" s="1"/>
  <c r="H75" i="62"/>
  <c r="H82" i="62" s="1"/>
  <c r="H87" i="62" s="1"/>
  <c r="H100" i="62" s="1"/>
  <c r="I75" i="62"/>
  <c r="I82" i="62" s="1"/>
  <c r="I87" i="62" s="1"/>
  <c r="I100" i="62" s="1"/>
  <c r="J75" i="62"/>
  <c r="J82" i="62" s="1"/>
  <c r="J87" i="62" s="1"/>
  <c r="J100" i="62" s="1"/>
  <c r="D75" i="62"/>
  <c r="D82" i="62" s="1"/>
  <c r="D87" i="62" s="1"/>
  <c r="D100" i="62" s="1"/>
  <c r="E89" i="49"/>
  <c r="F89" i="49"/>
  <c r="G89" i="49"/>
  <c r="H89" i="49"/>
  <c r="I89" i="49"/>
  <c r="J89" i="49"/>
  <c r="E17" i="49"/>
  <c r="E27" i="49" s="1"/>
  <c r="F17" i="49"/>
  <c r="F27" i="49" s="1"/>
  <c r="G17" i="49"/>
  <c r="G27" i="49" s="1"/>
  <c r="H17" i="49"/>
  <c r="H27" i="49" s="1"/>
  <c r="I17" i="49"/>
  <c r="I27" i="49" s="1"/>
  <c r="J17" i="49"/>
  <c r="J27" i="49" s="1"/>
  <c r="D17" i="49"/>
  <c r="D27" i="49" s="1"/>
  <c r="E28" i="57"/>
  <c r="E35" i="57" s="1"/>
  <c r="E39" i="57" s="1"/>
  <c r="E49" i="57" s="1"/>
  <c r="E55" i="57" s="1"/>
  <c r="F28" i="57"/>
  <c r="F35" i="57" s="1"/>
  <c r="F39" i="57" s="1"/>
  <c r="F49" i="57" s="1"/>
  <c r="F55" i="57" s="1"/>
  <c r="G28" i="57"/>
  <c r="G35" i="57" s="1"/>
  <c r="G39" i="57" s="1"/>
  <c r="G49" i="57" s="1"/>
  <c r="G55" i="57" s="1"/>
  <c r="H28" i="57"/>
  <c r="H35" i="57" s="1"/>
  <c r="H39" i="57" s="1"/>
  <c r="H49" i="57" s="1"/>
  <c r="H55" i="57" s="1"/>
  <c r="I28" i="57"/>
  <c r="I35" i="57" s="1"/>
  <c r="I39" i="57" s="1"/>
  <c r="I49" i="57" s="1"/>
  <c r="I55" i="57" s="1"/>
  <c r="J28" i="57"/>
  <c r="J35" i="57" s="1"/>
  <c r="J39" i="57" s="1"/>
  <c r="J49" i="57" s="1"/>
  <c r="J55" i="57" s="1"/>
  <c r="D28" i="57"/>
  <c r="D35" i="57" s="1"/>
  <c r="D39" i="57" s="1"/>
  <c r="D49" i="57" s="1"/>
  <c r="D55" i="57" s="1"/>
  <c r="E75" i="56"/>
  <c r="E82" i="56" s="1"/>
  <c r="E87" i="56" s="1"/>
  <c r="E99" i="56" s="1"/>
  <c r="F75" i="56"/>
  <c r="F82" i="56" s="1"/>
  <c r="F87" i="56" s="1"/>
  <c r="F99" i="56" s="1"/>
  <c r="G75" i="56"/>
  <c r="G82" i="56" s="1"/>
  <c r="G87" i="56" s="1"/>
  <c r="G99" i="56" s="1"/>
  <c r="H75" i="56"/>
  <c r="H82" i="56" s="1"/>
  <c r="H87" i="56" s="1"/>
  <c r="H99" i="56" s="1"/>
  <c r="I75" i="56"/>
  <c r="I82" i="56" s="1"/>
  <c r="I87" i="56" s="1"/>
  <c r="I99" i="56" s="1"/>
  <c r="J75" i="56"/>
  <c r="J82" i="56" s="1"/>
  <c r="J87" i="56" s="1"/>
  <c r="J99" i="56" s="1"/>
  <c r="D75" i="56"/>
  <c r="D82" i="56" s="1"/>
  <c r="D87" i="56" s="1"/>
  <c r="D99" i="56" s="1"/>
  <c r="C5" i="59"/>
  <c r="C7" i="59"/>
  <c r="C6" i="53" l="1"/>
  <c r="D89" i="49" l="1"/>
  <c r="J2" i="62" l="1"/>
  <c r="H26" i="59"/>
  <c r="J7" i="31" s="1"/>
  <c r="G26" i="59"/>
  <c r="I7" i="31" s="1"/>
  <c r="F26" i="59"/>
  <c r="H7" i="31" s="1"/>
  <c r="E26" i="59"/>
  <c r="D26" i="59"/>
  <c r="C26" i="59"/>
  <c r="E7" i="31" s="1"/>
  <c r="B26" i="59"/>
  <c r="D7" i="31" s="1"/>
  <c r="H25" i="59"/>
  <c r="G25" i="59"/>
  <c r="F25" i="59"/>
  <c r="E25" i="59"/>
  <c r="D25" i="59"/>
  <c r="H24" i="59"/>
  <c r="G24" i="59"/>
  <c r="F24" i="59"/>
  <c r="E24" i="59"/>
  <c r="D24" i="59"/>
  <c r="C24" i="59"/>
  <c r="B24" i="59"/>
  <c r="H23" i="59"/>
  <c r="J6" i="31" s="1"/>
  <c r="G23" i="59"/>
  <c r="I6" i="31" s="1"/>
  <c r="F23" i="59"/>
  <c r="H6" i="31" s="1"/>
  <c r="E23" i="59"/>
  <c r="G6" i="31" s="1"/>
  <c r="D23" i="59"/>
  <c r="F6" i="31" s="1"/>
  <c r="H22" i="59"/>
  <c r="J7" i="62" s="1"/>
  <c r="C60" i="62" s="1"/>
  <c r="G22" i="59"/>
  <c r="I7" i="62" s="1"/>
  <c r="C54" i="62" s="1"/>
  <c r="F22" i="59"/>
  <c r="H7" i="62" s="1"/>
  <c r="C48" i="62" s="1"/>
  <c r="E22" i="59"/>
  <c r="G7" i="62" s="1"/>
  <c r="C42" i="62" s="1"/>
  <c r="D22" i="59"/>
  <c r="F7" i="62" s="1"/>
  <c r="C36" i="62" s="1"/>
  <c r="C22" i="59"/>
  <c r="E7" i="62" s="1"/>
  <c r="C30" i="62" s="1"/>
  <c r="B22" i="59"/>
  <c r="D7" i="62" s="1"/>
  <c r="B18" i="59"/>
  <c r="C6" i="60" s="1"/>
  <c r="A40" i="60" s="1"/>
  <c r="B17" i="59"/>
  <c r="C9" i="60" s="1"/>
  <c r="B16" i="59"/>
  <c r="C8" i="60" s="1"/>
  <c r="B15" i="59"/>
  <c r="C7" i="60" s="1"/>
  <c r="B14" i="59"/>
  <c r="B13" i="59"/>
  <c r="D10" i="62" s="1"/>
  <c r="B12" i="59"/>
  <c r="D19" i="62" s="1"/>
  <c r="B11" i="59"/>
  <c r="D18" i="62" s="1"/>
  <c r="B10" i="59"/>
  <c r="H2" i="59"/>
  <c r="C14" i="60" l="1"/>
  <c r="D36" i="60" s="1"/>
  <c r="A42" i="60" s="1"/>
  <c r="D13" i="49"/>
  <c r="F8" i="62"/>
  <c r="F7" i="31"/>
  <c r="C11" i="31"/>
  <c r="E13" i="49"/>
  <c r="G7" i="31"/>
  <c r="F13" i="49"/>
  <c r="G13" i="49"/>
  <c r="J13" i="49"/>
  <c r="H13" i="49"/>
  <c r="I13" i="49"/>
  <c r="D64" i="62"/>
  <c r="E61" i="62" s="1"/>
  <c r="E63" i="62" s="1"/>
  <c r="C13" i="60"/>
  <c r="C17" i="60" s="1"/>
  <c r="H8" i="62"/>
  <c r="I8" i="62"/>
  <c r="C32" i="60"/>
  <c r="J8" i="62"/>
  <c r="D8" i="62"/>
  <c r="G8" i="62"/>
  <c r="D32" i="62"/>
  <c r="E8" i="62"/>
  <c r="C10" i="60"/>
  <c r="C19" i="60" l="1"/>
  <c r="C15" i="60"/>
  <c r="C16" i="60"/>
  <c r="C18" i="60"/>
  <c r="D40" i="62"/>
  <c r="E37" i="62" s="1"/>
  <c r="E39" i="62" s="1"/>
  <c r="D33" i="62"/>
  <c r="E32" i="62"/>
  <c r="F32" i="62" s="1"/>
  <c r="G32" i="62" s="1"/>
  <c r="H32" i="62" s="1"/>
  <c r="I32" i="62" s="1"/>
  <c r="J32" i="62" s="1"/>
  <c r="D52" i="62"/>
  <c r="E49" i="62" s="1"/>
  <c r="E51" i="62" s="1"/>
  <c r="C20" i="60"/>
  <c r="C21" i="60"/>
  <c r="C27" i="60" s="1"/>
  <c r="D58" i="62"/>
  <c r="E55" i="62" s="1"/>
  <c r="E57" i="62" s="1"/>
  <c r="D46" i="62"/>
  <c r="E43" i="62" s="1"/>
  <c r="E45" i="62" s="1"/>
  <c r="C36" i="60"/>
  <c r="C41" i="60" s="1"/>
  <c r="D32" i="60"/>
  <c r="E32" i="60" s="1"/>
  <c r="F32" i="60" s="1"/>
  <c r="G32" i="60" s="1"/>
  <c r="H32" i="60" s="1"/>
  <c r="I32" i="60" s="1"/>
  <c r="J32" i="60" s="1"/>
  <c r="K32" i="60" s="1"/>
  <c r="L32" i="60" s="1"/>
  <c r="M32" i="60" s="1"/>
  <c r="N32" i="60" s="1"/>
  <c r="O32" i="60" s="1"/>
  <c r="E64" i="62" l="1"/>
  <c r="F61" i="62" s="1"/>
  <c r="C15" i="31"/>
  <c r="D66" i="62"/>
  <c r="D34" i="62"/>
  <c r="E31" i="62" s="1"/>
  <c r="E52" i="62"/>
  <c r="F49" i="62" s="1"/>
  <c r="F51" i="62" s="1"/>
  <c r="E46" i="62"/>
  <c r="F43" i="62" s="1"/>
  <c r="F45" i="62" s="1"/>
  <c r="E40" i="62"/>
  <c r="F37" i="62" s="1"/>
  <c r="C40" i="60"/>
  <c r="C42" i="60" s="1"/>
  <c r="C43" i="60" s="1"/>
  <c r="E58" i="62"/>
  <c r="F55" i="62" s="1"/>
  <c r="F57" i="62" s="1"/>
  <c r="C25" i="60"/>
  <c r="C26" i="60"/>
  <c r="C24" i="60"/>
  <c r="F63" i="62" l="1"/>
  <c r="F64" i="62" s="1"/>
  <c r="G61" i="62" s="1"/>
  <c r="C14" i="31"/>
  <c r="C13" i="31"/>
  <c r="C12" i="31"/>
  <c r="F46" i="62"/>
  <c r="G43" i="62" s="1"/>
  <c r="F52" i="62"/>
  <c r="G49" i="62" s="1"/>
  <c r="G51" i="62" s="1"/>
  <c r="F58" i="62"/>
  <c r="G55" i="62" s="1"/>
  <c r="G57" i="62" s="1"/>
  <c r="E33" i="62"/>
  <c r="E66" i="62" s="1"/>
  <c r="D101" i="62"/>
  <c r="G63" i="62" l="1"/>
  <c r="G64" i="62" s="1"/>
  <c r="H61" i="62" s="1"/>
  <c r="G58" i="62"/>
  <c r="H55" i="62" s="1"/>
  <c r="H57" i="62" s="1"/>
  <c r="G52" i="62"/>
  <c r="H49" i="62" s="1"/>
  <c r="E101" i="62"/>
  <c r="H63" i="62" l="1"/>
  <c r="H64" i="62" s="1"/>
  <c r="I61" i="62" s="1"/>
  <c r="I63" i="62" s="1"/>
  <c r="I64" i="62" s="1"/>
  <c r="J61" i="62" s="1"/>
  <c r="H58" i="62"/>
  <c r="I55" i="62" s="1"/>
  <c r="C26" i="53" l="1"/>
  <c r="D26" i="53"/>
  <c r="E26" i="53"/>
  <c r="F26" i="53"/>
  <c r="G26" i="53"/>
  <c r="H26" i="53"/>
  <c r="B26" i="53"/>
  <c r="E25" i="53"/>
  <c r="F25" i="53"/>
  <c r="G25" i="53"/>
  <c r="H25" i="53"/>
  <c r="D25" i="53"/>
  <c r="C24" i="53"/>
  <c r="D24" i="53"/>
  <c r="E24" i="53"/>
  <c r="F24" i="53"/>
  <c r="G24" i="53"/>
  <c r="H24" i="53"/>
  <c r="B24" i="53"/>
  <c r="E23" i="53" l="1"/>
  <c r="F23" i="53"/>
  <c r="G23" i="53"/>
  <c r="H23" i="53"/>
  <c r="D23" i="53"/>
  <c r="C22" i="53"/>
  <c r="D22" i="53"/>
  <c r="E22" i="53"/>
  <c r="F22" i="53"/>
  <c r="G22" i="53"/>
  <c r="H22" i="53"/>
  <c r="B22" i="53"/>
  <c r="B19" i="53"/>
  <c r="B17" i="53"/>
  <c r="B18" i="53"/>
  <c r="B16" i="53"/>
  <c r="B15" i="53"/>
  <c r="B14" i="53"/>
  <c r="B12" i="53"/>
  <c r="B13" i="53"/>
  <c r="B11" i="53"/>
  <c r="C10" i="54" l="1"/>
  <c r="C11" i="57"/>
  <c r="A53" i="57" l="1"/>
  <c r="D78" i="55"/>
  <c r="E30" i="55"/>
  <c r="F30" i="55" s="1"/>
  <c r="C41" i="55" s="1"/>
  <c r="G14" i="55"/>
  <c r="G31" i="55" s="1"/>
  <c r="F7" i="57"/>
  <c r="D7" i="57"/>
  <c r="J14" i="55"/>
  <c r="J31" i="55" s="1"/>
  <c r="I14" i="55"/>
  <c r="I31" i="55" s="1"/>
  <c r="H14" i="55"/>
  <c r="H31" i="55" s="1"/>
  <c r="F14" i="55"/>
  <c r="F31" i="55" s="1"/>
  <c r="E14" i="55"/>
  <c r="E31" i="55" s="1"/>
  <c r="D14" i="55"/>
  <c r="D31" i="55" s="1"/>
  <c r="J6" i="57"/>
  <c r="J50" i="57" s="1"/>
  <c r="I6" i="57"/>
  <c r="I50" i="57" s="1"/>
  <c r="H6" i="57"/>
  <c r="H50" i="57" s="1"/>
  <c r="G6" i="57"/>
  <c r="G50" i="57" s="1"/>
  <c r="F6" i="57"/>
  <c r="F50" i="57" s="1"/>
  <c r="J7" i="56"/>
  <c r="C60" i="56" s="1"/>
  <c r="I7" i="56"/>
  <c r="C54" i="56" s="1"/>
  <c r="H7" i="56"/>
  <c r="C48" i="56" s="1"/>
  <c r="G7" i="56"/>
  <c r="C42" i="56" s="1"/>
  <c r="F7" i="56"/>
  <c r="C36" i="56" s="1"/>
  <c r="E7" i="56"/>
  <c r="C30" i="56" s="1"/>
  <c r="D7" i="56"/>
  <c r="C6" i="54"/>
  <c r="C9" i="54"/>
  <c r="C8" i="54"/>
  <c r="C7" i="54"/>
  <c r="D10" i="56"/>
  <c r="D19" i="56"/>
  <c r="D18" i="56"/>
  <c r="C21" i="54" l="1"/>
  <c r="C20" i="54"/>
  <c r="D38" i="56"/>
  <c r="E38" i="56" s="1"/>
  <c r="F38" i="56" s="1"/>
  <c r="G38" i="56" s="1"/>
  <c r="H38" i="56" s="1"/>
  <c r="I38" i="56" s="1"/>
  <c r="J38" i="56" s="1"/>
  <c r="A57" i="57"/>
  <c r="D65" i="55"/>
  <c r="D51" i="55"/>
  <c r="D37" i="55"/>
  <c r="D72" i="55"/>
  <c r="D58" i="55"/>
  <c r="D44" i="55"/>
  <c r="C32" i="54"/>
  <c r="A40" i="54"/>
  <c r="C14" i="54"/>
  <c r="D36" i="54" s="1"/>
  <c r="A42" i="54" s="1"/>
  <c r="C13" i="54"/>
  <c r="H7" i="57"/>
  <c r="H8" i="56"/>
  <c r="G30" i="55"/>
  <c r="I7" i="57"/>
  <c r="I8" i="56"/>
  <c r="C12" i="55"/>
  <c r="C34" i="55"/>
  <c r="D32" i="49" s="1"/>
  <c r="D8" i="56"/>
  <c r="J7" i="57"/>
  <c r="J8" i="56"/>
  <c r="F8" i="56"/>
  <c r="A52" i="57"/>
  <c r="G7" i="57"/>
  <c r="G8" i="56"/>
  <c r="D44" i="56"/>
  <c r="D62" i="56"/>
  <c r="D32" i="56"/>
  <c r="D50" i="56"/>
  <c r="D56" i="56"/>
  <c r="E7" i="57"/>
  <c r="E8" i="56"/>
  <c r="U5" i="52"/>
  <c r="D39" i="56" l="1"/>
  <c r="D40" i="56" s="1"/>
  <c r="E37" i="56" s="1"/>
  <c r="E39" i="56" s="1"/>
  <c r="E40" i="56" s="1"/>
  <c r="F37" i="56" s="1"/>
  <c r="D45" i="56"/>
  <c r="D46" i="56" s="1"/>
  <c r="E43" i="56" s="1"/>
  <c r="E44" i="56"/>
  <c r="F44" i="56" s="1"/>
  <c r="G44" i="56" s="1"/>
  <c r="H44" i="56" s="1"/>
  <c r="I44" i="56" s="1"/>
  <c r="J44" i="56" s="1"/>
  <c r="D36" i="55"/>
  <c r="D43" i="55"/>
  <c r="C36" i="54"/>
  <c r="C41" i="54" s="1"/>
  <c r="D32" i="54"/>
  <c r="E32" i="54" s="1"/>
  <c r="F32" i="54" s="1"/>
  <c r="G32" i="54" s="1"/>
  <c r="H32" i="54" s="1"/>
  <c r="I32" i="54" s="1"/>
  <c r="J32" i="54" s="1"/>
  <c r="K32" i="54" s="1"/>
  <c r="L32" i="54" s="1"/>
  <c r="M32" i="54" s="1"/>
  <c r="N32" i="54" s="1"/>
  <c r="O32" i="54" s="1"/>
  <c r="E62" i="56"/>
  <c r="F62" i="56" s="1"/>
  <c r="G62" i="56" s="1"/>
  <c r="H62" i="56" s="1"/>
  <c r="I62" i="56" s="1"/>
  <c r="J62" i="56" s="1"/>
  <c r="D63" i="56"/>
  <c r="D64" i="56" s="1"/>
  <c r="E61" i="56" s="1"/>
  <c r="D79" i="55"/>
  <c r="H30" i="55"/>
  <c r="C48" i="55"/>
  <c r="D50" i="55" s="1"/>
  <c r="E32" i="56"/>
  <c r="F32" i="56" s="1"/>
  <c r="G32" i="56" s="1"/>
  <c r="H32" i="56" s="1"/>
  <c r="I32" i="56" s="1"/>
  <c r="J32" i="56" s="1"/>
  <c r="D33" i="56"/>
  <c r="D57" i="56"/>
  <c r="D58" i="56" s="1"/>
  <c r="E55" i="56" s="1"/>
  <c r="E56" i="56"/>
  <c r="F56" i="56" s="1"/>
  <c r="G56" i="56" s="1"/>
  <c r="H56" i="56" s="1"/>
  <c r="I56" i="56" s="1"/>
  <c r="J56" i="56" s="1"/>
  <c r="E50" i="56"/>
  <c r="F50" i="56" s="1"/>
  <c r="G50" i="56" s="1"/>
  <c r="H50" i="56" s="1"/>
  <c r="I50" i="56" s="1"/>
  <c r="J50" i="56" s="1"/>
  <c r="D51" i="56"/>
  <c r="D52" i="56" s="1"/>
  <c r="E49" i="56" s="1"/>
  <c r="C18" i="54"/>
  <c r="C17" i="54"/>
  <c r="C16" i="54"/>
  <c r="C15" i="54"/>
  <c r="C19" i="54"/>
  <c r="U6" i="52"/>
  <c r="C40" i="54" l="1"/>
  <c r="C42" i="54" s="1"/>
  <c r="C43" i="54" s="1"/>
  <c r="D52" i="55"/>
  <c r="D53" i="55" s="1"/>
  <c r="E49" i="55" s="1"/>
  <c r="E50" i="55"/>
  <c r="F50" i="55" s="1"/>
  <c r="G50" i="55" s="1"/>
  <c r="H50" i="55" s="1"/>
  <c r="I50" i="55" s="1"/>
  <c r="J50" i="55" s="1"/>
  <c r="F39" i="56"/>
  <c r="E43" i="55"/>
  <c r="F43" i="55" s="1"/>
  <c r="G43" i="55" s="1"/>
  <c r="H43" i="55" s="1"/>
  <c r="I43" i="55" s="1"/>
  <c r="J43" i="55" s="1"/>
  <c r="D45" i="55"/>
  <c r="D46" i="55" s="1"/>
  <c r="E42" i="55" s="1"/>
  <c r="E57" i="56"/>
  <c r="E58" i="56" s="1"/>
  <c r="F55" i="56" s="1"/>
  <c r="I30" i="55"/>
  <c r="C55" i="55"/>
  <c r="D57" i="55" s="1"/>
  <c r="E63" i="56"/>
  <c r="E64" i="56" s="1"/>
  <c r="F61" i="56" s="1"/>
  <c r="E45" i="56"/>
  <c r="E46" i="56" s="1"/>
  <c r="F43" i="56" s="1"/>
  <c r="E51" i="56"/>
  <c r="E52" i="56" s="1"/>
  <c r="F49" i="56" s="1"/>
  <c r="E36" i="55"/>
  <c r="D38" i="55"/>
  <c r="D66" i="56"/>
  <c r="D34" i="56"/>
  <c r="E31" i="56" s="1"/>
  <c r="U7" i="52"/>
  <c r="F36" i="55" l="1"/>
  <c r="G36" i="55" s="1"/>
  <c r="H36" i="55" s="1"/>
  <c r="I36" i="55" s="1"/>
  <c r="J36" i="55" s="1"/>
  <c r="E34" i="49"/>
  <c r="F57" i="56"/>
  <c r="F58" i="56" s="1"/>
  <c r="G55" i="56" s="1"/>
  <c r="F45" i="56"/>
  <c r="F46" i="56" s="1"/>
  <c r="G43" i="56" s="1"/>
  <c r="D39" i="55"/>
  <c r="F63" i="56"/>
  <c r="F64" i="56" s="1"/>
  <c r="G61" i="56" s="1"/>
  <c r="C62" i="55"/>
  <c r="D64" i="55" s="1"/>
  <c r="J30" i="55"/>
  <c r="C69" i="55" s="1"/>
  <c r="D71" i="55" s="1"/>
  <c r="E33" i="56"/>
  <c r="E66" i="56" s="1"/>
  <c r="D100" i="56"/>
  <c r="E45" i="55"/>
  <c r="E44" i="55"/>
  <c r="F51" i="56"/>
  <c r="F52" i="56" s="1"/>
  <c r="G49" i="56" s="1"/>
  <c r="E57" i="55"/>
  <c r="F57" i="55" s="1"/>
  <c r="G57" i="55" s="1"/>
  <c r="H57" i="55" s="1"/>
  <c r="I57" i="55" s="1"/>
  <c r="J57" i="55" s="1"/>
  <c r="D59" i="55"/>
  <c r="D60" i="55" s="1"/>
  <c r="E56" i="55" s="1"/>
  <c r="E51" i="55"/>
  <c r="E52" i="55"/>
  <c r="U12" i="52"/>
  <c r="U8" i="52"/>
  <c r="F34" i="49" l="1"/>
  <c r="E46" i="55"/>
  <c r="F42" i="55" s="1"/>
  <c r="F44" i="55" s="1"/>
  <c r="E53" i="55"/>
  <c r="F49" i="55" s="1"/>
  <c r="F51" i="55" s="1"/>
  <c r="G57" i="56"/>
  <c r="G58" i="56" s="1"/>
  <c r="H55" i="56" s="1"/>
  <c r="G63" i="56"/>
  <c r="G64" i="56" s="1"/>
  <c r="H61" i="56" s="1"/>
  <c r="G51" i="56"/>
  <c r="G52" i="56" s="1"/>
  <c r="H49" i="56" s="1"/>
  <c r="E100" i="56"/>
  <c r="E71" i="55"/>
  <c r="F71" i="55" s="1"/>
  <c r="G71" i="55" s="1"/>
  <c r="H71" i="55" s="1"/>
  <c r="I71" i="55" s="1"/>
  <c r="J71" i="55" s="1"/>
  <c r="D73" i="55"/>
  <c r="D74" i="55" s="1"/>
  <c r="E70" i="55" s="1"/>
  <c r="E35" i="55"/>
  <c r="D66" i="55"/>
  <c r="D67" i="55" s="1"/>
  <c r="E63" i="55" s="1"/>
  <c r="E64" i="55"/>
  <c r="F64" i="55" s="1"/>
  <c r="G64" i="55" s="1"/>
  <c r="H64" i="55" s="1"/>
  <c r="I64" i="55" s="1"/>
  <c r="J64" i="55" s="1"/>
  <c r="G45" i="56"/>
  <c r="E59" i="55"/>
  <c r="E58" i="55"/>
  <c r="U9" i="52"/>
  <c r="E60" i="55" l="1"/>
  <c r="F56" i="55" s="1"/>
  <c r="F58" i="55" s="1"/>
  <c r="F45" i="55"/>
  <c r="F52" i="55"/>
  <c r="F53" i="55" s="1"/>
  <c r="G49" i="55" s="1"/>
  <c r="H57" i="56"/>
  <c r="H58" i="56" s="1"/>
  <c r="I55" i="56" s="1"/>
  <c r="E73" i="55"/>
  <c r="E72" i="55"/>
  <c r="E65" i="55"/>
  <c r="E66" i="55"/>
  <c r="H51" i="56"/>
  <c r="D80" i="55"/>
  <c r="H63" i="56"/>
  <c r="H64" i="56" s="1"/>
  <c r="I61" i="56" s="1"/>
  <c r="E37" i="55"/>
  <c r="E38" i="55"/>
  <c r="E78" i="55"/>
  <c r="D81" i="55"/>
  <c r="U10" i="52"/>
  <c r="F59" i="55" l="1"/>
  <c r="F60" i="55" s="1"/>
  <c r="G56" i="55" s="1"/>
  <c r="G58" i="55" s="1"/>
  <c r="E74" i="55"/>
  <c r="F70" i="55" s="1"/>
  <c r="F73" i="55" s="1"/>
  <c r="E80" i="55"/>
  <c r="G51" i="55"/>
  <c r="G52" i="55"/>
  <c r="E67" i="55"/>
  <c r="F63" i="55" s="1"/>
  <c r="F65" i="55" s="1"/>
  <c r="I57" i="56"/>
  <c r="E79" i="55"/>
  <c r="I63" i="56"/>
  <c r="I64" i="56" s="1"/>
  <c r="J61" i="56" s="1"/>
  <c r="U11" i="52"/>
  <c r="F72" i="55" l="1"/>
  <c r="F74" i="55" s="1"/>
  <c r="G70" i="55" s="1"/>
  <c r="G72" i="55" s="1"/>
  <c r="G59" i="55"/>
  <c r="G60" i="55" s="1"/>
  <c r="H56" i="55" s="1"/>
  <c r="H58" i="55" s="1"/>
  <c r="F66" i="55"/>
  <c r="F67" i="55" s="1"/>
  <c r="G63" i="55" s="1"/>
  <c r="G65" i="55" s="1"/>
  <c r="J63" i="56"/>
  <c r="G73" i="55" l="1"/>
  <c r="G74" i="55" s="1"/>
  <c r="H70" i="55" s="1"/>
  <c r="H72" i="55" s="1"/>
  <c r="H59" i="55"/>
  <c r="G66" i="55"/>
  <c r="G67" i="55" s="1"/>
  <c r="H63" i="55" s="1"/>
  <c r="H65" i="55" s="1"/>
  <c r="H66" i="55" l="1"/>
  <c r="H67" i="55" s="1"/>
  <c r="I63" i="55" s="1"/>
  <c r="I65" i="55" s="1"/>
  <c r="H73" i="55"/>
  <c r="H74" i="55" s="1"/>
  <c r="I70" i="55" s="1"/>
  <c r="I72" i="55" s="1"/>
  <c r="I66" i="55" l="1"/>
  <c r="I73" i="55"/>
  <c r="I74" i="55" s="1"/>
  <c r="J70" i="55" s="1"/>
  <c r="J73" i="55" s="1"/>
  <c r="J72" i="55" l="1"/>
  <c r="C8" i="53" l="1"/>
  <c r="B7" i="16"/>
  <c r="A145" i="48"/>
  <c r="B145" i="48"/>
  <c r="D145" i="48"/>
  <c r="E145" i="48"/>
  <c r="F145" i="48"/>
  <c r="G145" i="48"/>
  <c r="H145" i="48"/>
  <c r="A146" i="48"/>
  <c r="B146" i="48"/>
  <c r="D146" i="48"/>
  <c r="E146" i="48"/>
  <c r="F146" i="48"/>
  <c r="G146" i="48"/>
  <c r="A147" i="48"/>
  <c r="B147" i="48"/>
  <c r="D147" i="48"/>
  <c r="E147" i="48"/>
  <c r="F147" i="48"/>
  <c r="G147" i="48"/>
  <c r="H147" i="48"/>
  <c r="A148" i="48"/>
  <c r="B148" i="48"/>
  <c r="D148" i="48"/>
  <c r="E148" i="48"/>
  <c r="F148" i="48"/>
  <c r="G148" i="48"/>
  <c r="A149" i="48"/>
  <c r="B149" i="48"/>
  <c r="D149" i="48"/>
  <c r="E149" i="48"/>
  <c r="F149" i="48"/>
  <c r="G149" i="48"/>
  <c r="A150" i="48"/>
  <c r="B150" i="48"/>
  <c r="D150" i="48"/>
  <c r="E150" i="48"/>
  <c r="F150" i="48"/>
  <c r="G150" i="48"/>
  <c r="A151" i="48"/>
  <c r="B151" i="48"/>
  <c r="D151" i="48"/>
  <c r="E151" i="48"/>
  <c r="F151" i="48"/>
  <c r="G151" i="48"/>
  <c r="A152" i="48"/>
  <c r="B152" i="48"/>
  <c r="D152" i="48"/>
  <c r="E152" i="48"/>
  <c r="F152" i="48"/>
  <c r="G152" i="48"/>
  <c r="H152" i="48"/>
  <c r="A129" i="48"/>
  <c r="B129" i="48"/>
  <c r="D129" i="48"/>
  <c r="E129" i="48"/>
  <c r="F129" i="48"/>
  <c r="G129" i="48"/>
  <c r="H129" i="48"/>
  <c r="A122" i="48"/>
  <c r="B122" i="48"/>
  <c r="D122" i="48"/>
  <c r="E122" i="48"/>
  <c r="F122" i="48"/>
  <c r="G122" i="48"/>
  <c r="H122" i="48"/>
  <c r="A123" i="48"/>
  <c r="B123" i="48"/>
  <c r="D123" i="48"/>
  <c r="E123" i="48"/>
  <c r="F123" i="48"/>
  <c r="G123" i="48"/>
  <c r="H123" i="48"/>
  <c r="A124" i="48"/>
  <c r="B124" i="48"/>
  <c r="D124" i="48"/>
  <c r="E124" i="48"/>
  <c r="F124" i="48"/>
  <c r="G124" i="48"/>
  <c r="H124" i="48"/>
  <c r="A125" i="48"/>
  <c r="B125" i="48"/>
  <c r="D125" i="48"/>
  <c r="E125" i="48"/>
  <c r="F125" i="48"/>
  <c r="G125" i="48"/>
  <c r="H125" i="48"/>
  <c r="A126" i="48"/>
  <c r="B126" i="48"/>
  <c r="D126" i="48"/>
  <c r="E126" i="48"/>
  <c r="F126" i="48"/>
  <c r="G126" i="48"/>
  <c r="H126" i="48"/>
  <c r="A127" i="48"/>
  <c r="B127" i="48"/>
  <c r="D127" i="48"/>
  <c r="E127" i="48"/>
  <c r="F127" i="48"/>
  <c r="G127" i="48"/>
  <c r="H127" i="48"/>
  <c r="A128" i="48"/>
  <c r="B128" i="48"/>
  <c r="D128" i="48"/>
  <c r="E128" i="48"/>
  <c r="F128" i="48"/>
  <c r="G128" i="48"/>
  <c r="H128" i="48"/>
  <c r="A98" i="48"/>
  <c r="B98" i="48"/>
  <c r="D98" i="48"/>
  <c r="E98" i="48"/>
  <c r="F98" i="48"/>
  <c r="G98" i="48"/>
  <c r="H98" i="48"/>
  <c r="A99" i="48"/>
  <c r="B99" i="48"/>
  <c r="D99" i="48"/>
  <c r="E99" i="48"/>
  <c r="F99" i="48"/>
  <c r="G99" i="48"/>
  <c r="H99" i="48"/>
  <c r="A100" i="48"/>
  <c r="B100" i="48"/>
  <c r="D100" i="48"/>
  <c r="E100" i="48"/>
  <c r="F100" i="48"/>
  <c r="G100" i="48"/>
  <c r="H100" i="48"/>
  <c r="A101" i="48"/>
  <c r="B101" i="48"/>
  <c r="D101" i="48"/>
  <c r="E101" i="48"/>
  <c r="F101" i="48"/>
  <c r="G101" i="48"/>
  <c r="H101" i="48"/>
  <c r="A102" i="48"/>
  <c r="B102" i="48"/>
  <c r="D102" i="48"/>
  <c r="E102" i="48"/>
  <c r="F102" i="48"/>
  <c r="G102" i="48"/>
  <c r="H102" i="48"/>
  <c r="A103" i="48"/>
  <c r="B103" i="48"/>
  <c r="D103" i="48"/>
  <c r="E103" i="48"/>
  <c r="F103" i="48"/>
  <c r="G103" i="48"/>
  <c r="H103" i="48"/>
  <c r="A104" i="48"/>
  <c r="B104" i="48"/>
  <c r="D104" i="48"/>
  <c r="E104" i="48"/>
  <c r="F104" i="48"/>
  <c r="G104" i="48"/>
  <c r="H104" i="48"/>
  <c r="A105" i="48"/>
  <c r="B105" i="48"/>
  <c r="D105" i="48"/>
  <c r="E105" i="48"/>
  <c r="F105" i="48"/>
  <c r="G105" i="48"/>
  <c r="H105" i="48"/>
  <c r="A58" i="48"/>
  <c r="B58" i="48"/>
  <c r="D58" i="48"/>
  <c r="E58" i="48"/>
  <c r="F58" i="48"/>
  <c r="G58" i="48"/>
  <c r="H58" i="48"/>
  <c r="A59" i="48"/>
  <c r="B59" i="48"/>
  <c r="D59" i="48"/>
  <c r="E59" i="48"/>
  <c r="F59" i="48"/>
  <c r="G59" i="48"/>
  <c r="H59" i="48"/>
  <c r="A60" i="48"/>
  <c r="B60" i="48"/>
  <c r="D60" i="48"/>
  <c r="E60" i="48"/>
  <c r="F60" i="48"/>
  <c r="G60" i="48"/>
  <c r="H60" i="48"/>
  <c r="A61" i="48"/>
  <c r="B61" i="48"/>
  <c r="D61" i="48"/>
  <c r="E61" i="48"/>
  <c r="F61" i="48"/>
  <c r="G61" i="48"/>
  <c r="H61" i="48"/>
  <c r="A62" i="48"/>
  <c r="B62" i="48"/>
  <c r="D62" i="48"/>
  <c r="E62" i="48"/>
  <c r="F62" i="48"/>
  <c r="G62" i="48"/>
  <c r="H62" i="48"/>
  <c r="A63" i="48"/>
  <c r="B63" i="48"/>
  <c r="D63" i="48"/>
  <c r="E63" i="48"/>
  <c r="F63" i="48"/>
  <c r="G63" i="48"/>
  <c r="H63" i="48"/>
  <c r="A64" i="48"/>
  <c r="B64" i="48"/>
  <c r="D64" i="48"/>
  <c r="E64" i="48"/>
  <c r="F64" i="48"/>
  <c r="G64" i="48"/>
  <c r="H64" i="48"/>
  <c r="A65" i="48"/>
  <c r="B65" i="48"/>
  <c r="D65" i="48"/>
  <c r="E65" i="48"/>
  <c r="F65" i="48"/>
  <c r="G65" i="48"/>
  <c r="H65" i="48"/>
  <c r="A66" i="48"/>
  <c r="B66" i="48"/>
  <c r="D66" i="48"/>
  <c r="E66" i="48"/>
  <c r="F66" i="48"/>
  <c r="G66" i="48"/>
  <c r="H66" i="48"/>
  <c r="A40" i="48"/>
  <c r="B40" i="48"/>
  <c r="D40" i="48"/>
  <c r="E40" i="48"/>
  <c r="F40" i="48"/>
  <c r="G40" i="48"/>
  <c r="H40" i="48"/>
  <c r="A41" i="48"/>
  <c r="B41" i="48"/>
  <c r="D41" i="48"/>
  <c r="E41" i="48"/>
  <c r="F41" i="48"/>
  <c r="G41" i="48"/>
  <c r="H41" i="48"/>
  <c r="A42" i="48"/>
  <c r="B42" i="48"/>
  <c r="D42" i="48"/>
  <c r="E42" i="48"/>
  <c r="F42" i="48"/>
  <c r="G42" i="48"/>
  <c r="H42" i="48"/>
  <c r="A43" i="48"/>
  <c r="B43" i="48"/>
  <c r="D43" i="48"/>
  <c r="E43" i="48"/>
  <c r="F43" i="48"/>
  <c r="G43" i="48"/>
  <c r="H43" i="48"/>
  <c r="A44" i="48"/>
  <c r="B44" i="48"/>
  <c r="D44" i="48"/>
  <c r="E44" i="48"/>
  <c r="F44" i="48"/>
  <c r="G44" i="48"/>
  <c r="H44" i="48"/>
  <c r="A38" i="48"/>
  <c r="B38" i="48"/>
  <c r="D38" i="48"/>
  <c r="E38" i="48"/>
  <c r="F38" i="48"/>
  <c r="G38" i="48"/>
  <c r="H38" i="48"/>
  <c r="A39" i="48"/>
  <c r="B39" i="48"/>
  <c r="D39" i="48"/>
  <c r="E39" i="48"/>
  <c r="F39" i="48"/>
  <c r="G39" i="48"/>
  <c r="H39" i="48"/>
  <c r="A37" i="48"/>
  <c r="B37" i="48"/>
  <c r="D37" i="48"/>
  <c r="E37" i="48"/>
  <c r="F37" i="48"/>
  <c r="G37" i="48"/>
  <c r="H37" i="48"/>
  <c r="A16" i="48"/>
  <c r="B16" i="48"/>
  <c r="D16" i="48"/>
  <c r="E16" i="48"/>
  <c r="F16" i="48"/>
  <c r="G16" i="48"/>
  <c r="H16" i="48"/>
  <c r="A14" i="48"/>
  <c r="B14" i="48"/>
  <c r="D14" i="48"/>
  <c r="E14" i="48"/>
  <c r="F14" i="48"/>
  <c r="G14" i="48"/>
  <c r="H14" i="48"/>
  <c r="A21" i="48"/>
  <c r="B21" i="48"/>
  <c r="D21" i="48"/>
  <c r="E21" i="48"/>
  <c r="F21" i="48"/>
  <c r="G21" i="48"/>
  <c r="H21" i="48"/>
  <c r="B15" i="48"/>
  <c r="B17" i="48"/>
  <c r="B18" i="48"/>
  <c r="B19" i="48"/>
  <c r="B20" i="48"/>
  <c r="D79" i="49" l="1"/>
  <c r="D78" i="49"/>
  <c r="D77" i="49"/>
  <c r="E33" i="49"/>
  <c r="E36" i="49" s="1"/>
  <c r="E28" i="49"/>
  <c r="F28" i="49" s="1"/>
  <c r="G28" i="49" s="1"/>
  <c r="H28" i="49" s="1"/>
  <c r="I28" i="49" s="1"/>
  <c r="J28" i="49" s="1"/>
  <c r="J2" i="49"/>
  <c r="E76" i="49" l="1"/>
  <c r="A182" i="48" l="1"/>
  <c r="A27" i="40" s="1"/>
  <c r="A176" i="48"/>
  <c r="A36" i="40" s="1"/>
  <c r="A42" i="40"/>
  <c r="A41" i="40"/>
  <c r="A40" i="40"/>
  <c r="A39" i="40"/>
  <c r="A80" i="48"/>
  <c r="A85" i="48" s="1"/>
  <c r="A180" i="48" s="1"/>
  <c r="C28" i="40" s="1"/>
  <c r="A79" i="48"/>
  <c r="A84" i="48" s="1"/>
  <c r="A179" i="48" s="1"/>
  <c r="B28" i="40" s="1"/>
  <c r="A78" i="48"/>
  <c r="A83" i="48" s="1"/>
  <c r="A178" i="48" s="1"/>
  <c r="A33" i="40"/>
  <c r="A32" i="40"/>
  <c r="A31" i="40"/>
  <c r="A30" i="40"/>
  <c r="A29" i="40"/>
  <c r="A165" i="48"/>
  <c r="A170" i="48" s="1"/>
  <c r="A183" i="48" s="1"/>
  <c r="A167" i="48"/>
  <c r="A172" i="48" s="1"/>
  <c r="A185" i="48" s="1"/>
  <c r="C37" i="40" s="1"/>
  <c r="A166" i="48"/>
  <c r="A171" i="48" s="1"/>
  <c r="A184" i="48" s="1"/>
  <c r="B37" i="40" s="1"/>
  <c r="G144" i="48"/>
  <c r="F144" i="48"/>
  <c r="E144" i="48"/>
  <c r="D144" i="48"/>
  <c r="B144" i="48"/>
  <c r="G143" i="48"/>
  <c r="F143" i="48"/>
  <c r="E143" i="48"/>
  <c r="D143" i="48"/>
  <c r="B143" i="48"/>
  <c r="G142" i="48"/>
  <c r="F142" i="48"/>
  <c r="E142" i="48"/>
  <c r="D142" i="48"/>
  <c r="B142" i="48"/>
  <c r="G140" i="48"/>
  <c r="F140" i="48"/>
  <c r="E140" i="48"/>
  <c r="D140" i="48"/>
  <c r="B140" i="48"/>
  <c r="G139" i="48"/>
  <c r="F139" i="48"/>
  <c r="E139" i="48"/>
  <c r="D139" i="48"/>
  <c r="B139" i="48"/>
  <c r="G141" i="48"/>
  <c r="F141" i="48"/>
  <c r="E141" i="48"/>
  <c r="D141" i="48"/>
  <c r="B141" i="48"/>
  <c r="G138" i="48"/>
  <c r="F138" i="48"/>
  <c r="E138" i="48"/>
  <c r="D138" i="48"/>
  <c r="B138" i="48"/>
  <c r="G137" i="48"/>
  <c r="F137" i="48"/>
  <c r="E137" i="48"/>
  <c r="D137" i="48"/>
  <c r="B137" i="48"/>
  <c r="A136" i="48"/>
  <c r="H121" i="48"/>
  <c r="B121" i="48"/>
  <c r="H120" i="48"/>
  <c r="B120" i="48"/>
  <c r="H119" i="48"/>
  <c r="B119" i="48"/>
  <c r="H117" i="48"/>
  <c r="B117" i="48"/>
  <c r="H116" i="48"/>
  <c r="B116" i="48"/>
  <c r="H118" i="48"/>
  <c r="B118" i="48"/>
  <c r="H115" i="48"/>
  <c r="B115" i="48"/>
  <c r="H114" i="48"/>
  <c r="B114" i="48"/>
  <c r="A113" i="48"/>
  <c r="H97" i="48"/>
  <c r="G97" i="48"/>
  <c r="F97" i="48"/>
  <c r="E97" i="48"/>
  <c r="D97" i="48"/>
  <c r="B97" i="48"/>
  <c r="H96" i="48"/>
  <c r="G96" i="48"/>
  <c r="F96" i="48"/>
  <c r="E96" i="48"/>
  <c r="D96" i="48"/>
  <c r="B96" i="48"/>
  <c r="H95" i="48"/>
  <c r="G95" i="48"/>
  <c r="F95" i="48"/>
  <c r="E95" i="48"/>
  <c r="D95" i="48"/>
  <c r="B95" i="48"/>
  <c r="H93" i="48"/>
  <c r="G93" i="48"/>
  <c r="F93" i="48"/>
  <c r="E93" i="48"/>
  <c r="D93" i="48"/>
  <c r="B93" i="48"/>
  <c r="H92" i="48"/>
  <c r="G92" i="48"/>
  <c r="F92" i="48"/>
  <c r="E92" i="48"/>
  <c r="D92" i="48"/>
  <c r="B92" i="48"/>
  <c r="H94" i="48"/>
  <c r="G94" i="48"/>
  <c r="F94" i="48"/>
  <c r="E94" i="48"/>
  <c r="D94" i="48"/>
  <c r="B94" i="48"/>
  <c r="H91" i="48"/>
  <c r="G91" i="48"/>
  <c r="F91" i="48"/>
  <c r="E91" i="48"/>
  <c r="D91" i="48"/>
  <c r="B91" i="48"/>
  <c r="H90" i="48"/>
  <c r="G90" i="48"/>
  <c r="F90" i="48"/>
  <c r="E90" i="48"/>
  <c r="D90" i="48"/>
  <c r="B90" i="48"/>
  <c r="A88" i="48"/>
  <c r="H57" i="48"/>
  <c r="G57" i="48"/>
  <c r="F57" i="48"/>
  <c r="E57" i="48"/>
  <c r="D57" i="48"/>
  <c r="B57" i="48"/>
  <c r="H56" i="48"/>
  <c r="G56" i="48"/>
  <c r="F56" i="48"/>
  <c r="E56" i="48"/>
  <c r="D56" i="48"/>
  <c r="B56" i="48"/>
  <c r="H54" i="48"/>
  <c r="G54" i="48"/>
  <c r="F54" i="48"/>
  <c r="E54" i="48"/>
  <c r="D54" i="48"/>
  <c r="B54" i="48"/>
  <c r="H53" i="48"/>
  <c r="G53" i="48"/>
  <c r="F53" i="48"/>
  <c r="E53" i="48"/>
  <c r="D53" i="48"/>
  <c r="B53" i="48"/>
  <c r="H55" i="48"/>
  <c r="G55" i="48"/>
  <c r="F55" i="48"/>
  <c r="E55" i="48"/>
  <c r="D55" i="48"/>
  <c r="B55" i="48"/>
  <c r="H52" i="48"/>
  <c r="G52" i="48"/>
  <c r="F52" i="48"/>
  <c r="E52" i="48"/>
  <c r="D52" i="48"/>
  <c r="B52" i="48"/>
  <c r="H51" i="48"/>
  <c r="G51" i="48"/>
  <c r="F51" i="48"/>
  <c r="E51" i="48"/>
  <c r="D51" i="48"/>
  <c r="B51" i="48"/>
  <c r="A50" i="48"/>
  <c r="H36" i="48"/>
  <c r="G36" i="48"/>
  <c r="F36" i="48"/>
  <c r="E36" i="48"/>
  <c r="D36" i="48"/>
  <c r="B36" i="48"/>
  <c r="H35" i="48"/>
  <c r="G35" i="48"/>
  <c r="F35" i="48"/>
  <c r="E35" i="48"/>
  <c r="D35" i="48"/>
  <c r="B35" i="48"/>
  <c r="H34" i="48"/>
  <c r="G34" i="48"/>
  <c r="F34" i="48"/>
  <c r="E34" i="48"/>
  <c r="D34" i="48"/>
  <c r="B34" i="48"/>
  <c r="H32" i="48"/>
  <c r="G32" i="48"/>
  <c r="F32" i="48"/>
  <c r="E32" i="48"/>
  <c r="D32" i="48"/>
  <c r="B32" i="48"/>
  <c r="H31" i="48"/>
  <c r="G31" i="48"/>
  <c r="F31" i="48"/>
  <c r="E31" i="48"/>
  <c r="D31" i="48"/>
  <c r="B31" i="48"/>
  <c r="H33" i="48"/>
  <c r="G33" i="48"/>
  <c r="F33" i="48"/>
  <c r="E33" i="48"/>
  <c r="D33" i="48"/>
  <c r="B33" i="48"/>
  <c r="H30" i="48"/>
  <c r="G30" i="48"/>
  <c r="F30" i="48"/>
  <c r="E30" i="48"/>
  <c r="D30" i="48"/>
  <c r="B30" i="48"/>
  <c r="H29" i="48"/>
  <c r="G29" i="48"/>
  <c r="F29" i="48"/>
  <c r="E29" i="48"/>
  <c r="D29" i="48"/>
  <c r="B29" i="48"/>
  <c r="A28" i="48"/>
  <c r="H20" i="48"/>
  <c r="G20" i="48"/>
  <c r="F20" i="48"/>
  <c r="E20" i="48"/>
  <c r="D20" i="48"/>
  <c r="A20" i="48"/>
  <c r="H19" i="48"/>
  <c r="G19" i="48"/>
  <c r="F19" i="48"/>
  <c r="E19" i="48"/>
  <c r="D19" i="48"/>
  <c r="A19" i="48"/>
  <c r="H18" i="48"/>
  <c r="G18" i="48"/>
  <c r="F18" i="48"/>
  <c r="E18" i="48"/>
  <c r="D18" i="48"/>
  <c r="A18" i="48"/>
  <c r="H17" i="48"/>
  <c r="G17" i="48"/>
  <c r="F17" i="48"/>
  <c r="E17" i="48"/>
  <c r="D17" i="48"/>
  <c r="A17" i="48"/>
  <c r="H15" i="48"/>
  <c r="G15" i="48"/>
  <c r="F15" i="48"/>
  <c r="E15" i="48"/>
  <c r="D15" i="48"/>
  <c r="A15" i="48"/>
  <c r="H13" i="48"/>
  <c r="G13" i="48"/>
  <c r="F13" i="48"/>
  <c r="E13" i="48"/>
  <c r="D13" i="48"/>
  <c r="B13" i="48"/>
  <c r="A13" i="48"/>
  <c r="H12" i="48"/>
  <c r="G12" i="48"/>
  <c r="F12" i="48"/>
  <c r="E12" i="48"/>
  <c r="D12" i="48"/>
  <c r="B12" i="48"/>
  <c r="A12" i="48"/>
  <c r="H11" i="48"/>
  <c r="G11" i="48"/>
  <c r="F11" i="48"/>
  <c r="E11" i="48"/>
  <c r="D11" i="48"/>
  <c r="B11" i="48"/>
  <c r="A11" i="48"/>
  <c r="H9" i="48"/>
  <c r="G9" i="48"/>
  <c r="F9" i="48"/>
  <c r="E9" i="48"/>
  <c r="D9" i="48"/>
  <c r="B9" i="48"/>
  <c r="A9" i="48"/>
  <c r="H8" i="48"/>
  <c r="G8" i="48"/>
  <c r="F8" i="48"/>
  <c r="E8" i="48"/>
  <c r="D8" i="48"/>
  <c r="B8" i="48"/>
  <c r="A8" i="48"/>
  <c r="H10" i="48"/>
  <c r="G10" i="48"/>
  <c r="F10" i="48"/>
  <c r="E10" i="48"/>
  <c r="D10" i="48"/>
  <c r="B10" i="48"/>
  <c r="A10" i="48"/>
  <c r="B7" i="48"/>
  <c r="A7" i="48"/>
  <c r="H6" i="48"/>
  <c r="G6" i="48"/>
  <c r="F6" i="48"/>
  <c r="E6" i="48"/>
  <c r="D6" i="48"/>
  <c r="B6" i="48"/>
  <c r="A6" i="48"/>
  <c r="A4" i="48"/>
  <c r="A30" i="48"/>
  <c r="A33" i="48"/>
  <c r="A35" i="48"/>
  <c r="A139" i="48"/>
  <c r="A144" i="48"/>
  <c r="A119" i="48"/>
  <c r="E23" i="43"/>
  <c r="E48" i="43" s="1"/>
  <c r="H23" i="40"/>
  <c r="I23" i="40"/>
  <c r="H16" i="40"/>
  <c r="I16" i="40"/>
  <c r="H17" i="40"/>
  <c r="I17" i="40"/>
  <c r="H18" i="40"/>
  <c r="I18" i="40"/>
  <c r="H19" i="40"/>
  <c r="I19" i="40"/>
  <c r="H20" i="40"/>
  <c r="I20" i="40"/>
  <c r="H13" i="40"/>
  <c r="I13" i="40"/>
  <c r="H6" i="40"/>
  <c r="I6" i="40"/>
  <c r="H7" i="40"/>
  <c r="I7" i="40"/>
  <c r="H8" i="40"/>
  <c r="I8" i="40"/>
  <c r="H9" i="40"/>
  <c r="I9" i="40"/>
  <c r="H10" i="40"/>
  <c r="I10" i="40"/>
  <c r="C6" i="40"/>
  <c r="F6" i="40"/>
  <c r="D6" i="40"/>
  <c r="E6" i="40"/>
  <c r="G6" i="40"/>
  <c r="C7" i="40"/>
  <c r="F7" i="40"/>
  <c r="D7" i="40"/>
  <c r="E7" i="40"/>
  <c r="G7" i="40"/>
  <c r="C8" i="40"/>
  <c r="F8" i="40"/>
  <c r="D8" i="40"/>
  <c r="E8" i="40"/>
  <c r="G8" i="40"/>
  <c r="C9" i="40"/>
  <c r="F9" i="40"/>
  <c r="D9" i="40"/>
  <c r="E9" i="40"/>
  <c r="G9" i="40"/>
  <c r="C10" i="40"/>
  <c r="F10" i="40"/>
  <c r="D10" i="40"/>
  <c r="E10" i="40"/>
  <c r="G10" i="40"/>
  <c r="B4" i="43"/>
  <c r="B6" i="43" s="1"/>
  <c r="B5" i="42"/>
  <c r="B7" i="42" s="1"/>
  <c r="B5" i="16"/>
  <c r="C25" i="16"/>
  <c r="A23" i="40"/>
  <c r="B23" i="40"/>
  <c r="C23" i="40"/>
  <c r="F23" i="40"/>
  <c r="D23" i="40"/>
  <c r="E23" i="40"/>
  <c r="G23" i="40"/>
  <c r="A16" i="40"/>
  <c r="B16" i="40"/>
  <c r="C16" i="40"/>
  <c r="F16" i="40"/>
  <c r="D16" i="40"/>
  <c r="E16" i="40"/>
  <c r="G16" i="40"/>
  <c r="A17" i="40"/>
  <c r="B17" i="40"/>
  <c r="C17" i="40"/>
  <c r="F17" i="40"/>
  <c r="D17" i="40"/>
  <c r="E17" i="40"/>
  <c r="G17" i="40"/>
  <c r="A18" i="40"/>
  <c r="B18" i="40"/>
  <c r="C18" i="40"/>
  <c r="F18" i="40"/>
  <c r="D18" i="40"/>
  <c r="E18" i="40"/>
  <c r="G18" i="40"/>
  <c r="A19" i="40"/>
  <c r="B19" i="40"/>
  <c r="C19" i="40"/>
  <c r="F19" i="40"/>
  <c r="D19" i="40"/>
  <c r="E19" i="40"/>
  <c r="G19" i="40"/>
  <c r="A20" i="40"/>
  <c r="B20" i="40"/>
  <c r="C20" i="40"/>
  <c r="F20" i="40"/>
  <c r="D20" i="40"/>
  <c r="E20" i="40"/>
  <c r="G20" i="40"/>
  <c r="A13" i="40"/>
  <c r="B13" i="40"/>
  <c r="C13" i="40"/>
  <c r="F13" i="40"/>
  <c r="D13" i="40"/>
  <c r="E13" i="40"/>
  <c r="G13" i="40"/>
  <c r="A7" i="40"/>
  <c r="A8" i="40"/>
  <c r="A9" i="40"/>
  <c r="A10" i="40"/>
  <c r="A6" i="40"/>
  <c r="B7" i="40"/>
  <c r="B8" i="40"/>
  <c r="B9" i="40"/>
  <c r="B10" i="40"/>
  <c r="C3" i="40"/>
  <c r="B3" i="40"/>
  <c r="E28" i="16"/>
  <c r="F28" i="16"/>
  <c r="G28" i="16"/>
  <c r="H28" i="16"/>
  <c r="I28" i="16"/>
  <c r="C27" i="16"/>
  <c r="B70" i="35"/>
  <c r="B63" i="35"/>
  <c r="B62" i="35"/>
  <c r="B55" i="35"/>
  <c r="B54" i="35"/>
  <c r="B45" i="35"/>
  <c r="C23" i="16"/>
  <c r="E35" i="16" s="1"/>
  <c r="B24" i="35"/>
  <c r="B10" i="35"/>
  <c r="B13" i="35"/>
  <c r="B18" i="35"/>
  <c r="B23" i="35"/>
  <c r="B29" i="35"/>
  <c r="B35" i="35"/>
  <c r="B41" i="35"/>
  <c r="J29" i="49"/>
  <c r="J70" i="49" s="1"/>
  <c r="I29" i="49"/>
  <c r="I63" i="49" s="1"/>
  <c r="H29" i="49"/>
  <c r="H56" i="49" s="1"/>
  <c r="G29" i="49"/>
  <c r="G49" i="49" s="1"/>
  <c r="F29" i="49"/>
  <c r="F42" i="49" s="1"/>
  <c r="E29" i="49"/>
  <c r="D29" i="49"/>
  <c r="J49" i="31"/>
  <c r="I49" i="31"/>
  <c r="H49" i="31"/>
  <c r="G49" i="31"/>
  <c r="F49" i="31"/>
  <c r="G68" i="48" l="1"/>
  <c r="G69" i="48"/>
  <c r="H68" i="48"/>
  <c r="D24" i="48"/>
  <c r="G155" i="48"/>
  <c r="D155" i="48"/>
  <c r="F155" i="48"/>
  <c r="H132" i="48"/>
  <c r="E155" i="48"/>
  <c r="E109" i="48"/>
  <c r="D109" i="48"/>
  <c r="F109" i="48"/>
  <c r="G109" i="48"/>
  <c r="H109" i="48"/>
  <c r="H46" i="48"/>
  <c r="E24" i="48"/>
  <c r="D46" i="48"/>
  <c r="D73" i="48" s="1"/>
  <c r="D78" i="48" s="1"/>
  <c r="F24" i="48"/>
  <c r="E46" i="48"/>
  <c r="D68" i="48"/>
  <c r="F46" i="48"/>
  <c r="E68" i="48"/>
  <c r="G24" i="48"/>
  <c r="H24" i="48"/>
  <c r="G46" i="48"/>
  <c r="F68" i="48"/>
  <c r="A38" i="40"/>
  <c r="E35" i="49"/>
  <c r="E77" i="49" s="1"/>
  <c r="D27" i="59"/>
  <c r="E27" i="59"/>
  <c r="H35" i="16"/>
  <c r="G35" i="16"/>
  <c r="I35" i="16"/>
  <c r="F35" i="16"/>
  <c r="H27" i="59"/>
  <c r="F27" i="59"/>
  <c r="G27" i="59"/>
  <c r="C5" i="35"/>
  <c r="N1" i="16"/>
  <c r="C4" i="35"/>
  <c r="I1" i="43"/>
  <c r="A97" i="48"/>
  <c r="A32" i="48"/>
  <c r="A93" i="48"/>
  <c r="A91" i="48"/>
  <c r="A53" i="48"/>
  <c r="N1" i="42"/>
  <c r="A121" i="48"/>
  <c r="A116" i="48"/>
  <c r="A29" i="48"/>
  <c r="A141" i="48"/>
  <c r="A52" i="48"/>
  <c r="A120" i="48"/>
  <c r="A118" i="48"/>
  <c r="A51" i="48"/>
  <c r="A92" i="48"/>
  <c r="A96" i="48"/>
  <c r="A137" i="48"/>
  <c r="A143" i="48"/>
  <c r="A95" i="48"/>
  <c r="A34" i="48"/>
  <c r="A117" i="48"/>
  <c r="A114" i="48"/>
  <c r="A56" i="48"/>
  <c r="A36" i="48"/>
  <c r="A31" i="48"/>
  <c r="A54" i="48"/>
  <c r="A90" i="48"/>
  <c r="A94" i="48"/>
  <c r="A115" i="48"/>
  <c r="A142" i="48"/>
  <c r="A55" i="48"/>
  <c r="A57" i="48"/>
  <c r="A138" i="48"/>
  <c r="A140" i="48"/>
  <c r="C22" i="42"/>
  <c r="C24" i="16"/>
  <c r="C21" i="43"/>
  <c r="E49" i="43" s="1"/>
  <c r="C23" i="42"/>
  <c r="C46" i="42" s="1"/>
  <c r="K48" i="42" s="1"/>
  <c r="C26" i="16"/>
  <c r="C64" i="16" s="1"/>
  <c r="N48" i="42" l="1"/>
  <c r="M48" i="42"/>
  <c r="G11" i="49"/>
  <c r="G48" i="49" s="1"/>
  <c r="G24" i="62"/>
  <c r="G44" i="62" s="1"/>
  <c r="F11" i="49"/>
  <c r="F41" i="49" s="1"/>
  <c r="G41" i="49" s="1"/>
  <c r="H41" i="49" s="1"/>
  <c r="I41" i="49" s="1"/>
  <c r="J41" i="49" s="1"/>
  <c r="F24" i="62"/>
  <c r="F38" i="62" s="1"/>
  <c r="I11" i="49"/>
  <c r="I62" i="49" s="1"/>
  <c r="I24" i="62"/>
  <c r="I56" i="62" s="1"/>
  <c r="H11" i="49"/>
  <c r="H55" i="49" s="1"/>
  <c r="H24" i="62"/>
  <c r="H50" i="62" s="1"/>
  <c r="J11" i="49"/>
  <c r="J69" i="49" s="1"/>
  <c r="J71" i="49" s="1"/>
  <c r="J24" i="62"/>
  <c r="J62" i="62" s="1"/>
  <c r="J63" i="62" s="1"/>
  <c r="N66" i="16"/>
  <c r="M66" i="16"/>
  <c r="K66" i="16"/>
  <c r="L66" i="16"/>
  <c r="I90" i="48"/>
  <c r="J17" i="48"/>
  <c r="J90" i="48"/>
  <c r="J20" i="48"/>
  <c r="G73" i="48"/>
  <c r="G78" i="48" s="1"/>
  <c r="G83" i="48" s="1"/>
  <c r="G178" i="48" s="1"/>
  <c r="J18" i="48"/>
  <c r="J96" i="48"/>
  <c r="I109" i="48"/>
  <c r="E73" i="48"/>
  <c r="E78" i="48" s="1"/>
  <c r="E83" i="48" s="1"/>
  <c r="E178" i="48" s="1"/>
  <c r="J6" i="48"/>
  <c r="J19" i="48"/>
  <c r="J15" i="48"/>
  <c r="J9" i="48"/>
  <c r="J16" i="48"/>
  <c r="J14" i="48"/>
  <c r="J21" i="48"/>
  <c r="J8" i="48"/>
  <c r="C27" i="54"/>
  <c r="C15" i="57" s="1"/>
  <c r="J2" i="31"/>
  <c r="H3" i="53"/>
  <c r="J2" i="56"/>
  <c r="J2" i="57"/>
  <c r="J2" i="55"/>
  <c r="I98" i="48"/>
  <c r="I105" i="48"/>
  <c r="J105" i="48"/>
  <c r="I103" i="48"/>
  <c r="J104" i="48"/>
  <c r="I99" i="48"/>
  <c r="I104" i="48"/>
  <c r="J99" i="48"/>
  <c r="I102" i="48"/>
  <c r="J103" i="48"/>
  <c r="J102" i="48"/>
  <c r="J101" i="48"/>
  <c r="J100" i="48"/>
  <c r="I101" i="48"/>
  <c r="J98" i="48"/>
  <c r="I100" i="48"/>
  <c r="I14" i="48"/>
  <c r="I16" i="48"/>
  <c r="I21" i="48"/>
  <c r="H73" i="48"/>
  <c r="H78" i="48" s="1"/>
  <c r="H83" i="48" s="1"/>
  <c r="H178" i="48" s="1"/>
  <c r="J93" i="48"/>
  <c r="J11" i="48"/>
  <c r="I9" i="48"/>
  <c r="J13" i="48"/>
  <c r="J10" i="48"/>
  <c r="I10" i="48"/>
  <c r="I8" i="48"/>
  <c r="I94" i="48"/>
  <c r="I97" i="48"/>
  <c r="I95" i="48"/>
  <c r="J95" i="48"/>
  <c r="I15" i="48"/>
  <c r="I19" i="48"/>
  <c r="I91" i="48"/>
  <c r="I20" i="48"/>
  <c r="I96" i="48"/>
  <c r="B9" i="35"/>
  <c r="B5" i="43"/>
  <c r="B6" i="44"/>
  <c r="B53" i="35"/>
  <c r="B6" i="42"/>
  <c r="J94" i="48"/>
  <c r="I13" i="48"/>
  <c r="I17" i="48"/>
  <c r="I93" i="48"/>
  <c r="J97" i="48"/>
  <c r="J12" i="48"/>
  <c r="I12" i="48"/>
  <c r="I7" i="48"/>
  <c r="I92" i="48"/>
  <c r="F73" i="48"/>
  <c r="F78" i="48" s="1"/>
  <c r="F83" i="48" s="1"/>
  <c r="F178" i="48" s="1"/>
  <c r="I11" i="48"/>
  <c r="J92" i="48"/>
  <c r="I18" i="48"/>
  <c r="G156" i="48" l="1"/>
  <c r="E70" i="48"/>
  <c r="D26" i="48"/>
  <c r="G157" i="48"/>
  <c r="F43" i="49"/>
  <c r="J56" i="62"/>
  <c r="I57" i="62"/>
  <c r="I50" i="62"/>
  <c r="J50" i="62" s="1"/>
  <c r="H51" i="62"/>
  <c r="G38" i="62"/>
  <c r="H38" i="62" s="1"/>
  <c r="I38" i="62" s="1"/>
  <c r="J38" i="62" s="1"/>
  <c r="F39" i="62"/>
  <c r="H44" i="62"/>
  <c r="I44" i="62" s="1"/>
  <c r="J44" i="62" s="1"/>
  <c r="G45" i="62"/>
  <c r="H13" i="43"/>
  <c r="H27" i="43" s="1"/>
  <c r="H15" i="43"/>
  <c r="H17" i="43"/>
  <c r="I15" i="43"/>
  <c r="I17" i="43"/>
  <c r="F16" i="43"/>
  <c r="F29" i="43" s="1"/>
  <c r="F15" i="43"/>
  <c r="G13" i="43"/>
  <c r="G27" i="43" s="1"/>
  <c r="I13" i="43"/>
  <c r="I27" i="43" s="1"/>
  <c r="F17" i="43"/>
  <c r="F14" i="43"/>
  <c r="F18" i="43"/>
  <c r="G17" i="43"/>
  <c r="G14" i="43"/>
  <c r="G16" i="43"/>
  <c r="G29" i="43" s="1"/>
  <c r="G18" i="43"/>
  <c r="H14" i="43"/>
  <c r="H16" i="43"/>
  <c r="H29" i="43" s="1"/>
  <c r="H18" i="43"/>
  <c r="I14" i="43"/>
  <c r="I16" i="43"/>
  <c r="I29" i="43" s="1"/>
  <c r="I18" i="43"/>
  <c r="F13" i="43"/>
  <c r="F27" i="43" s="1"/>
  <c r="G15" i="43"/>
  <c r="E17" i="43"/>
  <c r="E18" i="43"/>
  <c r="E15" i="43"/>
  <c r="E16" i="43"/>
  <c r="E29" i="43" s="1"/>
  <c r="E13" i="43"/>
  <c r="E27" i="43" s="1"/>
  <c r="E14" i="43"/>
  <c r="E28" i="43" s="1"/>
  <c r="F17" i="42"/>
  <c r="G17" i="42"/>
  <c r="I17" i="42"/>
  <c r="I19" i="42" s="1"/>
  <c r="H17" i="42"/>
  <c r="H19" i="42" s="1"/>
  <c r="E17" i="42"/>
  <c r="F18" i="42"/>
  <c r="F20" i="42" s="1"/>
  <c r="G18" i="42"/>
  <c r="G20" i="42" s="1"/>
  <c r="H18" i="42"/>
  <c r="I18" i="42"/>
  <c r="E18" i="42"/>
  <c r="E20" i="42" s="1"/>
  <c r="E16" i="42"/>
  <c r="E26" i="42" s="1"/>
  <c r="G16" i="42"/>
  <c r="G26" i="42" s="1"/>
  <c r="H16" i="42"/>
  <c r="H26" i="42" s="1"/>
  <c r="I16" i="42"/>
  <c r="I26" i="42" s="1"/>
  <c r="F16" i="42"/>
  <c r="F26" i="42" s="1"/>
  <c r="E15" i="42"/>
  <c r="F15" i="42"/>
  <c r="H15" i="42"/>
  <c r="I15" i="42"/>
  <c r="G15" i="42"/>
  <c r="E156" i="48"/>
  <c r="D156" i="48"/>
  <c r="H134" i="48"/>
  <c r="F157" i="48"/>
  <c r="D157" i="48"/>
  <c r="E157" i="48"/>
  <c r="F156" i="48"/>
  <c r="H133" i="48"/>
  <c r="G110" i="48"/>
  <c r="H110" i="48"/>
  <c r="D110" i="48"/>
  <c r="F110" i="48"/>
  <c r="E110" i="48"/>
  <c r="D111" i="48"/>
  <c r="F111" i="48"/>
  <c r="E111" i="48"/>
  <c r="G111" i="48"/>
  <c r="H111" i="48"/>
  <c r="H47" i="48"/>
  <c r="F69" i="48"/>
  <c r="D69" i="48"/>
  <c r="E69" i="48"/>
  <c r="E47" i="48"/>
  <c r="H69" i="48"/>
  <c r="F47" i="48"/>
  <c r="D47" i="48"/>
  <c r="G47" i="48"/>
  <c r="G74" i="48" s="1"/>
  <c r="D83" i="48"/>
  <c r="D178" i="48" s="1"/>
  <c r="D70" i="48"/>
  <c r="G70" i="48"/>
  <c r="H70" i="48"/>
  <c r="F70" i="48"/>
  <c r="G48" i="48"/>
  <c r="E48" i="48"/>
  <c r="F48" i="48"/>
  <c r="D48" i="48"/>
  <c r="H48" i="48"/>
  <c r="E26" i="48"/>
  <c r="F26" i="48"/>
  <c r="G26" i="48"/>
  <c r="H26" i="48"/>
  <c r="F25" i="48"/>
  <c r="G25" i="48"/>
  <c r="H25" i="48"/>
  <c r="C6" i="59"/>
  <c r="B6" i="16"/>
  <c r="I64" i="49"/>
  <c r="J62" i="49"/>
  <c r="H57" i="49"/>
  <c r="I55" i="49"/>
  <c r="J55" i="49" s="1"/>
  <c r="H48" i="49"/>
  <c r="I48" i="49" s="1"/>
  <c r="J48" i="49" s="1"/>
  <c r="G50" i="49"/>
  <c r="C7" i="53"/>
  <c r="B29" i="53" s="1" a="1"/>
  <c r="B29" i="53" s="1"/>
  <c r="C24" i="54"/>
  <c r="C12" i="57" s="1"/>
  <c r="C25" i="54"/>
  <c r="C13" i="57" s="1"/>
  <c r="C26" i="54"/>
  <c r="C14" i="57" s="1"/>
  <c r="I73" i="48"/>
  <c r="I78" i="48" s="1"/>
  <c r="I83" i="48" s="1"/>
  <c r="D74" i="48" l="1"/>
  <c r="D79" i="48" s="1"/>
  <c r="D75" i="48"/>
  <c r="H20" i="42"/>
  <c r="H27" i="42" s="1"/>
  <c r="F28" i="43"/>
  <c r="F37" i="43" s="1"/>
  <c r="F38" i="43" s="1"/>
  <c r="B57" i="35" s="1"/>
  <c r="E19" i="16"/>
  <c r="G19" i="16"/>
  <c r="I19" i="16"/>
  <c r="F19" i="16"/>
  <c r="H19" i="16"/>
  <c r="H18" i="16"/>
  <c r="G18" i="16"/>
  <c r="I18" i="16"/>
  <c r="F18" i="16"/>
  <c r="I17" i="16"/>
  <c r="I36" i="16" s="1"/>
  <c r="I57" i="16" s="1"/>
  <c r="E18" i="16"/>
  <c r="E17" i="16"/>
  <c r="E36" i="16" s="1"/>
  <c r="E57" i="16" s="1"/>
  <c r="G17" i="16"/>
  <c r="G36" i="16" s="1"/>
  <c r="G57" i="16" s="1"/>
  <c r="H17" i="16"/>
  <c r="F17" i="16"/>
  <c r="F36" i="16" s="1"/>
  <c r="F57" i="16" s="1"/>
  <c r="E16" i="16"/>
  <c r="G16" i="16"/>
  <c r="H16" i="16"/>
  <c r="I16" i="16"/>
  <c r="F16" i="16"/>
  <c r="I111" i="48"/>
  <c r="I110" i="48"/>
  <c r="I25" i="48"/>
  <c r="I26" i="48"/>
  <c r="G19" i="42"/>
  <c r="G27" i="42" s="1"/>
  <c r="E19" i="42"/>
  <c r="E27" i="42" s="1"/>
  <c r="E34" i="42" s="1"/>
  <c r="F19" i="42"/>
  <c r="F27" i="42" s="1"/>
  <c r="I20" i="42"/>
  <c r="I27" i="42" s="1"/>
  <c r="B59" i="53" a="1"/>
  <c r="B59" i="53" s="1"/>
  <c r="B61" i="59" s="1"/>
  <c r="B64" i="53" a="1"/>
  <c r="B64" i="53" s="1"/>
  <c r="B66" i="59" s="1"/>
  <c r="B65" i="53" a="1"/>
  <c r="B65" i="53" s="1"/>
  <c r="B60" i="53" a="1"/>
  <c r="B60" i="53" s="1"/>
  <c r="B62" i="59" s="1"/>
  <c r="B61" i="53" a="1"/>
  <c r="B61" i="53" s="1"/>
  <c r="B62" i="53" a="1"/>
  <c r="B62" i="53" s="1"/>
  <c r="B63" i="53" a="1"/>
  <c r="B63" i="53" s="1"/>
  <c r="B53" i="53" a="1"/>
  <c r="B53" i="53" s="1"/>
  <c r="B50" i="53" a="1"/>
  <c r="B50" i="53" s="1"/>
  <c r="B52" i="59" s="1"/>
  <c r="B52" i="53" a="1"/>
  <c r="B52" i="53" s="1"/>
  <c r="B55" i="53" a="1"/>
  <c r="B55" i="53" s="1"/>
  <c r="B56" i="53" a="1"/>
  <c r="B56" i="53" s="1"/>
  <c r="B51" i="53" a="1"/>
  <c r="B51" i="53" s="1"/>
  <c r="B53" i="59" s="1"/>
  <c r="B54" i="53" a="1"/>
  <c r="B54" i="53" s="1"/>
  <c r="B44" i="53" a="1"/>
  <c r="B44" i="53" s="1"/>
  <c r="B43" i="53" a="1"/>
  <c r="B43" i="53" s="1"/>
  <c r="B45" i="53" a="1"/>
  <c r="B45" i="53" s="1"/>
  <c r="B47" i="53" a="1"/>
  <c r="B47" i="53" s="1"/>
  <c r="B48" i="59" s="1"/>
  <c r="B46" i="53" a="1"/>
  <c r="B46" i="53" s="1"/>
  <c r="B47" i="59" s="1"/>
  <c r="B30" i="59"/>
  <c r="C6" i="49" s="1"/>
  <c r="B40" i="53" a="1"/>
  <c r="B40" i="53" s="1"/>
  <c r="B41" i="59" s="1"/>
  <c r="B34" i="53" a="1"/>
  <c r="B34" i="53" s="1"/>
  <c r="B35" i="59" s="1"/>
  <c r="D15" i="62" s="1"/>
  <c r="D78" i="62" s="1"/>
  <c r="B41" i="53" a="1"/>
  <c r="B41" i="53" s="1"/>
  <c r="B42" i="59" s="1"/>
  <c r="B35" i="53" a="1"/>
  <c r="B35" i="53" s="1"/>
  <c r="B36" i="59" s="1"/>
  <c r="D16" i="62" s="1"/>
  <c r="D77" i="62" s="1"/>
  <c r="D107" i="62" s="1"/>
  <c r="B30" i="53" a="1"/>
  <c r="B30" i="53" s="1"/>
  <c r="B31" i="59" s="1"/>
  <c r="B36" i="53" a="1"/>
  <c r="B36" i="53" s="1"/>
  <c r="B37" i="59" s="1"/>
  <c r="D11" i="62" s="1"/>
  <c r="D90" i="62" s="1"/>
  <c r="E90" i="62" s="1"/>
  <c r="B31" i="53" a="1"/>
  <c r="B31" i="53" s="1"/>
  <c r="B32" i="59" s="1"/>
  <c r="B32" i="53" a="1"/>
  <c r="B32" i="53" s="1"/>
  <c r="B33" i="59" s="1"/>
  <c r="D13" i="62" s="1"/>
  <c r="D69" i="62" s="1"/>
  <c r="D105" i="62" s="1"/>
  <c r="B37" i="53" a="1"/>
  <c r="B37" i="53" s="1"/>
  <c r="B38" i="59" s="1"/>
  <c r="D8" i="31" s="1"/>
  <c r="D26" i="31" s="1"/>
  <c r="B38" i="53" a="1"/>
  <c r="B38" i="53" s="1"/>
  <c r="B39" i="59" s="1"/>
  <c r="D17" i="62" s="1"/>
  <c r="D88" i="62" s="1"/>
  <c r="D102" i="62" s="1"/>
  <c r="B33" i="53" a="1"/>
  <c r="B33" i="53" s="1"/>
  <c r="B34" i="59" s="1"/>
  <c r="D14" i="62" s="1"/>
  <c r="D71" i="62" s="1"/>
  <c r="D110" i="62" s="1"/>
  <c r="B39" i="53" a="1"/>
  <c r="B39" i="53" s="1"/>
  <c r="B40" i="59" s="1"/>
  <c r="H28" i="43"/>
  <c r="H37" i="43" s="1"/>
  <c r="H38" i="43" s="1"/>
  <c r="B59" i="35" s="1"/>
  <c r="G28" i="43"/>
  <c r="G37" i="43" s="1"/>
  <c r="G38" i="43" s="1"/>
  <c r="B58" i="35" s="1"/>
  <c r="H75" i="48"/>
  <c r="H80" i="48" s="1"/>
  <c r="H85" i="48" s="1"/>
  <c r="H180" i="48" s="1"/>
  <c r="G79" i="48"/>
  <c r="G84" i="48" s="1"/>
  <c r="G179" i="48" s="1"/>
  <c r="E75" i="48"/>
  <c r="E80" i="48" s="1"/>
  <c r="E85" i="48" s="1"/>
  <c r="E180" i="48" s="1"/>
  <c r="F75" i="48"/>
  <c r="F80" i="48" s="1"/>
  <c r="F85" i="48" s="1"/>
  <c r="F180" i="48" s="1"/>
  <c r="H74" i="48"/>
  <c r="H79" i="48" s="1"/>
  <c r="H84" i="48" s="1"/>
  <c r="H179" i="48" s="1"/>
  <c r="F74" i="48"/>
  <c r="F79" i="48" s="1"/>
  <c r="F84" i="48" s="1"/>
  <c r="F179" i="48" s="1"/>
  <c r="G75" i="48"/>
  <c r="G80" i="48" s="1"/>
  <c r="G85" i="48" s="1"/>
  <c r="G180" i="48" s="1"/>
  <c r="E37" i="43"/>
  <c r="E38" i="43" s="1"/>
  <c r="B56" i="35" s="1"/>
  <c r="C29" i="43"/>
  <c r="I28" i="43"/>
  <c r="I37" i="43" s="1"/>
  <c r="I38" i="43" s="1"/>
  <c r="B60" i="35" s="1"/>
  <c r="E74" i="48"/>
  <c r="E79" i="48" s="1"/>
  <c r="E84" i="48" s="1"/>
  <c r="E179" i="48" s="1"/>
  <c r="C26" i="42"/>
  <c r="C27" i="43"/>
  <c r="C42" i="42" l="1"/>
  <c r="C44" i="42" s="1"/>
  <c r="K49" i="42" s="1"/>
  <c r="F37" i="16"/>
  <c r="B55" i="59" s="1"/>
  <c r="F35" i="42"/>
  <c r="H21" i="16"/>
  <c r="F20" i="16"/>
  <c r="F38" i="16" s="1"/>
  <c r="G20" i="16"/>
  <c r="G38" i="16" s="1"/>
  <c r="I21" i="16"/>
  <c r="E20" i="16"/>
  <c r="E38" i="16" s="1"/>
  <c r="G21" i="16"/>
  <c r="F21" i="16"/>
  <c r="E21" i="16"/>
  <c r="I20" i="16"/>
  <c r="H20" i="16"/>
  <c r="H36" i="16"/>
  <c r="H57" i="16" s="1"/>
  <c r="H35" i="42"/>
  <c r="M38" i="42" s="1"/>
  <c r="G35" i="42"/>
  <c r="E37" i="16"/>
  <c r="B54" i="59" s="1"/>
  <c r="H37" i="16"/>
  <c r="B57" i="59" s="1"/>
  <c r="I37" i="16"/>
  <c r="B58" i="59" s="1"/>
  <c r="G37" i="16"/>
  <c r="B56" i="59" s="1"/>
  <c r="D36" i="31"/>
  <c r="D37" i="31" s="1"/>
  <c r="E36" i="31"/>
  <c r="E37" i="31" s="1"/>
  <c r="I10" i="57"/>
  <c r="I36" i="57" s="1"/>
  <c r="I37" i="57" s="1"/>
  <c r="E12" i="56"/>
  <c r="E70" i="56" s="1"/>
  <c r="I12" i="56"/>
  <c r="I70" i="56" s="1"/>
  <c r="J10" i="57"/>
  <c r="J36" i="57" s="1"/>
  <c r="J37" i="57" s="1"/>
  <c r="F12" i="56"/>
  <c r="F70" i="56" s="1"/>
  <c r="B63" i="59"/>
  <c r="E9" i="49"/>
  <c r="E20" i="49" s="1"/>
  <c r="E12" i="62"/>
  <c r="E70" i="62" s="1"/>
  <c r="J12" i="56"/>
  <c r="J70" i="56" s="1"/>
  <c r="B67" i="59"/>
  <c r="I9" i="49"/>
  <c r="I20" i="49" s="1"/>
  <c r="I12" i="62"/>
  <c r="I70" i="62" s="1"/>
  <c r="H12" i="56"/>
  <c r="H70" i="56" s="1"/>
  <c r="B65" i="59"/>
  <c r="G12" i="56"/>
  <c r="G70" i="56" s="1"/>
  <c r="B64" i="59"/>
  <c r="D9" i="49"/>
  <c r="D12" i="62"/>
  <c r="D70" i="62" s="1"/>
  <c r="E10" i="49"/>
  <c r="E30" i="49" s="1"/>
  <c r="E9" i="62"/>
  <c r="D9" i="62"/>
  <c r="D10" i="49"/>
  <c r="D30" i="49" s="1"/>
  <c r="H10" i="57"/>
  <c r="H36" i="57" s="1"/>
  <c r="H37" i="57" s="1"/>
  <c r="B46" i="59"/>
  <c r="G10" i="57"/>
  <c r="G36" i="57" s="1"/>
  <c r="G37" i="57" s="1"/>
  <c r="B45" i="59"/>
  <c r="F10" i="57"/>
  <c r="F36" i="57" s="1"/>
  <c r="F37" i="57" s="1"/>
  <c r="B44" i="59"/>
  <c r="D109" i="62"/>
  <c r="D83" i="62"/>
  <c r="D10" i="55" a="1"/>
  <c r="D12" i="56"/>
  <c r="D70" i="56" s="1"/>
  <c r="D95" i="62"/>
  <c r="D108" i="62" s="1"/>
  <c r="C7" i="49"/>
  <c r="D84" i="49" s="1"/>
  <c r="D91" i="49" s="1"/>
  <c r="C76" i="62"/>
  <c r="C8" i="49"/>
  <c r="D23" i="49" s="1"/>
  <c r="E19" i="49" s="1"/>
  <c r="E82" i="49" s="1"/>
  <c r="E9" i="56"/>
  <c r="E9" i="57"/>
  <c r="I9" i="56"/>
  <c r="I9" i="57"/>
  <c r="I30" i="57" s="1"/>
  <c r="J9" i="57"/>
  <c r="J30" i="57" s="1"/>
  <c r="J9" i="56"/>
  <c r="H9" i="56"/>
  <c r="H9" i="57"/>
  <c r="H30" i="57" s="1"/>
  <c r="F9" i="57"/>
  <c r="F30" i="57" s="1"/>
  <c r="F9" i="56"/>
  <c r="G9" i="57"/>
  <c r="G30" i="57" s="1"/>
  <c r="G9" i="56"/>
  <c r="D9" i="57"/>
  <c r="D9" i="56"/>
  <c r="D11" i="55" a="1"/>
  <c r="D13" i="56"/>
  <c r="D69" i="56" s="1"/>
  <c r="D104" i="56" s="1"/>
  <c r="D11" i="56"/>
  <c r="D90" i="56" s="1"/>
  <c r="D94" i="56" s="1"/>
  <c r="D107" i="56" s="1"/>
  <c r="C8" i="55"/>
  <c r="D88" i="55" s="1"/>
  <c r="D95" i="55" s="1"/>
  <c r="D21" i="56" s="1"/>
  <c r="C15" i="55"/>
  <c r="D16" i="56"/>
  <c r="D77" i="56" s="1"/>
  <c r="D106" i="56" s="1"/>
  <c r="D14" i="56"/>
  <c r="D71" i="56" s="1"/>
  <c r="D109" i="56" s="1"/>
  <c r="D17" i="56"/>
  <c r="D88" i="56" s="1"/>
  <c r="D108" i="56" s="1"/>
  <c r="D15" i="56"/>
  <c r="C9" i="55"/>
  <c r="D26" i="55" s="1"/>
  <c r="D89" i="55" s="1"/>
  <c r="D98" i="55" s="1"/>
  <c r="C7" i="55"/>
  <c r="D86" i="55" s="1"/>
  <c r="D96" i="55" s="1"/>
  <c r="D16" i="57" s="1"/>
  <c r="C13" i="55"/>
  <c r="C12" i="49"/>
  <c r="D19" i="31"/>
  <c r="D84" i="62"/>
  <c r="D106" i="62"/>
  <c r="E95" i="62"/>
  <c r="E108" i="62" s="1"/>
  <c r="F90" i="62"/>
  <c r="G34" i="49"/>
  <c r="H34" i="49" s="1"/>
  <c r="I34" i="49" s="1"/>
  <c r="J34" i="49" s="1"/>
  <c r="E78" i="49"/>
  <c r="D93" i="49"/>
  <c r="D17" i="31" s="1"/>
  <c r="D32" i="31" s="1"/>
  <c r="D82" i="49"/>
  <c r="D92" i="49" s="1"/>
  <c r="C28" i="43"/>
  <c r="C37" i="43" s="1"/>
  <c r="D80" i="48"/>
  <c r="D85" i="48" s="1"/>
  <c r="D180" i="48" s="1"/>
  <c r="I75" i="48"/>
  <c r="I80" i="48" s="1"/>
  <c r="I85" i="48" s="1"/>
  <c r="I74" i="48"/>
  <c r="I79" i="48" s="1"/>
  <c r="I84" i="48" s="1"/>
  <c r="D84" i="48"/>
  <c r="D179" i="48" s="1"/>
  <c r="D57" i="31"/>
  <c r="D31" i="31"/>
  <c r="C38" i="43" l="1"/>
  <c r="B61" i="35" s="1"/>
  <c r="N49" i="42"/>
  <c r="M49" i="42"/>
  <c r="L49" i="42"/>
  <c r="J38" i="42"/>
  <c r="J50" i="42" s="1"/>
  <c r="L38" i="42"/>
  <c r="K38" i="42"/>
  <c r="K50" i="42" s="1"/>
  <c r="I38" i="16"/>
  <c r="C36" i="16"/>
  <c r="E58" i="16"/>
  <c r="E59" i="16" s="1"/>
  <c r="E60" i="16" s="1"/>
  <c r="H38" i="16"/>
  <c r="H58" i="16" s="1"/>
  <c r="H59" i="16" s="1"/>
  <c r="H60" i="16" s="1"/>
  <c r="F58" i="16"/>
  <c r="F59" i="16" s="1"/>
  <c r="F60" i="16" s="1"/>
  <c r="I10" i="49"/>
  <c r="I30" i="49" s="1"/>
  <c r="I65" i="49" s="1"/>
  <c r="J61" i="49" s="1"/>
  <c r="J64" i="49" s="1"/>
  <c r="I9" i="62"/>
  <c r="I28" i="62" s="1"/>
  <c r="I58" i="62" s="1"/>
  <c r="J55" i="62" s="1"/>
  <c r="J57" i="62" s="1"/>
  <c r="G10" i="49"/>
  <c r="G30" i="49" s="1"/>
  <c r="G51" i="49" s="1"/>
  <c r="H47" i="49" s="1"/>
  <c r="H50" i="49" s="1"/>
  <c r="G9" i="62"/>
  <c r="G28" i="62" s="1"/>
  <c r="G46" i="62" s="1"/>
  <c r="H43" i="62" s="1"/>
  <c r="H45" i="62" s="1"/>
  <c r="E37" i="49"/>
  <c r="E79" i="49" s="1"/>
  <c r="D99" i="55"/>
  <c r="D8" i="57" s="1"/>
  <c r="D85" i="62"/>
  <c r="D89" i="62" s="1"/>
  <c r="D91" i="62" s="1"/>
  <c r="D103" i="62" s="1"/>
  <c r="D20" i="31" s="1"/>
  <c r="G58" i="16"/>
  <c r="G59" i="16" s="1"/>
  <c r="G60" i="16" s="1"/>
  <c r="H12" i="62"/>
  <c r="H70" i="62" s="1"/>
  <c r="H9" i="49"/>
  <c r="H20" i="49" s="1"/>
  <c r="F12" i="62"/>
  <c r="F70" i="62" s="1"/>
  <c r="F9" i="49"/>
  <c r="F20" i="49" s="1"/>
  <c r="G12" i="62"/>
  <c r="G70" i="62" s="1"/>
  <c r="G9" i="49"/>
  <c r="G20" i="49" s="1"/>
  <c r="J12" i="62"/>
  <c r="J70" i="62" s="1"/>
  <c r="J9" i="49"/>
  <c r="J20" i="49" s="1"/>
  <c r="E28" i="62"/>
  <c r="E34" i="62" s="1"/>
  <c r="F31" i="62" s="1"/>
  <c r="E79" i="62"/>
  <c r="D72" i="62"/>
  <c r="D73" i="62" s="1"/>
  <c r="E69" i="62" s="1"/>
  <c r="E105" i="62" s="1"/>
  <c r="D28" i="62"/>
  <c r="D79" i="62"/>
  <c r="D80" i="62" s="1"/>
  <c r="E77" i="62" s="1"/>
  <c r="E107" i="62" s="1"/>
  <c r="F10" i="31" a="1"/>
  <c r="H9" i="62"/>
  <c r="H28" i="62" s="1"/>
  <c r="H52" i="62" s="1"/>
  <c r="I49" i="62" s="1"/>
  <c r="H10" i="49"/>
  <c r="H30" i="49" s="1"/>
  <c r="D18" i="49"/>
  <c r="D90" i="49" s="1"/>
  <c r="H23" i="55"/>
  <c r="E23" i="55"/>
  <c r="J23" i="55"/>
  <c r="G23" i="55"/>
  <c r="I23" i="55"/>
  <c r="D10" i="55"/>
  <c r="F23" i="55"/>
  <c r="D21" i="62"/>
  <c r="D97" i="62" s="1"/>
  <c r="D18" i="31"/>
  <c r="H79" i="56"/>
  <c r="H28" i="56"/>
  <c r="H52" i="56" s="1"/>
  <c r="I49" i="56" s="1"/>
  <c r="I51" i="56" s="1"/>
  <c r="I52" i="56" s="1"/>
  <c r="J49" i="56" s="1"/>
  <c r="J51" i="56" s="1"/>
  <c r="J52" i="56" s="1"/>
  <c r="J28" i="56"/>
  <c r="J64" i="56" s="1"/>
  <c r="J79" i="56"/>
  <c r="G79" i="56"/>
  <c r="G28" i="56"/>
  <c r="G46" i="56" s="1"/>
  <c r="H43" i="56" s="1"/>
  <c r="H45" i="56" s="1"/>
  <c r="H46" i="56" s="1"/>
  <c r="I43" i="56" s="1"/>
  <c r="I45" i="56" s="1"/>
  <c r="I46" i="56" s="1"/>
  <c r="J43" i="56" s="1"/>
  <c r="J45" i="56" s="1"/>
  <c r="J46" i="56" s="1"/>
  <c r="I28" i="56"/>
  <c r="I58" i="56" s="1"/>
  <c r="J55" i="56" s="1"/>
  <c r="J57" i="56" s="1"/>
  <c r="J58" i="56" s="1"/>
  <c r="I79" i="56"/>
  <c r="F79" i="56"/>
  <c r="F28" i="56"/>
  <c r="F40" i="56" s="1"/>
  <c r="G37" i="56" s="1"/>
  <c r="G39" i="56" s="1"/>
  <c r="G40" i="56" s="1"/>
  <c r="H37" i="56" s="1"/>
  <c r="H39" i="56" s="1"/>
  <c r="H40" i="56" s="1"/>
  <c r="I37" i="56" s="1"/>
  <c r="I39" i="56" s="1"/>
  <c r="I40" i="56" s="1"/>
  <c r="J37" i="56" s="1"/>
  <c r="J39" i="56" s="1"/>
  <c r="J40" i="56" s="1"/>
  <c r="E28" i="56"/>
  <c r="E34" i="56" s="1"/>
  <c r="F31" i="56" s="1"/>
  <c r="E79" i="56"/>
  <c r="E22" i="55"/>
  <c r="E86" i="55" s="1"/>
  <c r="E96" i="55" s="1"/>
  <c r="D11" i="55"/>
  <c r="D32" i="55" s="1"/>
  <c r="H32" i="55"/>
  <c r="H60" i="55" s="1"/>
  <c r="I56" i="55" s="1"/>
  <c r="F32" i="55"/>
  <c r="F46" i="55" s="1"/>
  <c r="G42" i="55" s="1"/>
  <c r="E32" i="55"/>
  <c r="E39" i="55" s="1"/>
  <c r="I32" i="55"/>
  <c r="I67" i="55" s="1"/>
  <c r="J63" i="55" s="1"/>
  <c r="J32" i="55"/>
  <c r="J74" i="55" s="1"/>
  <c r="G32" i="55"/>
  <c r="G53" i="55" s="1"/>
  <c r="H49" i="55" s="1"/>
  <c r="D72" i="56"/>
  <c r="D73" i="56" s="1"/>
  <c r="E69" i="56" s="1"/>
  <c r="E104" i="56" s="1"/>
  <c r="D79" i="56"/>
  <c r="D28" i="56"/>
  <c r="E90" i="56"/>
  <c r="E94" i="56" s="1"/>
  <c r="E107" i="56" s="1"/>
  <c r="D85" i="49"/>
  <c r="D94" i="49" s="1"/>
  <c r="F21" i="55"/>
  <c r="F94" i="55" s="1"/>
  <c r="F20" i="56" s="1"/>
  <c r="E21" i="55"/>
  <c r="C76" i="56"/>
  <c r="D101" i="56"/>
  <c r="D19" i="57" s="1"/>
  <c r="D29" i="57" s="1"/>
  <c r="D56" i="57" s="1"/>
  <c r="D23" i="56" s="1"/>
  <c r="D83" i="56"/>
  <c r="D96" i="56" s="1"/>
  <c r="D78" i="56"/>
  <c r="D105" i="56" s="1"/>
  <c r="D25" i="57"/>
  <c r="D95" i="49"/>
  <c r="D22" i="62" s="1"/>
  <c r="D23" i="62"/>
  <c r="D94" i="62" s="1"/>
  <c r="D16" i="31"/>
  <c r="G90" i="62"/>
  <c r="F95" i="62"/>
  <c r="F108" i="62" s="1"/>
  <c r="E21" i="49"/>
  <c r="B38" i="40" a="1"/>
  <c r="B41" i="40" s="1"/>
  <c r="E94" i="55" l="1"/>
  <c r="E20" i="56" s="1"/>
  <c r="E71" i="56" s="1"/>
  <c r="E83" i="56" s="1"/>
  <c r="H46" i="62"/>
  <c r="I43" i="62" s="1"/>
  <c r="I45" i="62" s="1"/>
  <c r="J58" i="62"/>
  <c r="I51" i="62"/>
  <c r="I52" i="62" s="1"/>
  <c r="J49" i="62" s="1"/>
  <c r="I79" i="62"/>
  <c r="C38" i="16"/>
  <c r="I58" i="16"/>
  <c r="I59" i="16" s="1"/>
  <c r="I60" i="16" s="1"/>
  <c r="C60" i="16" s="1"/>
  <c r="G79" i="62"/>
  <c r="J10" i="49"/>
  <c r="J30" i="49" s="1"/>
  <c r="J72" i="49" s="1"/>
  <c r="J9" i="62"/>
  <c r="J28" i="62" s="1"/>
  <c r="J64" i="62" s="1"/>
  <c r="D9" i="31" a="1"/>
  <c r="D9" i="31" s="1"/>
  <c r="D30" i="31" s="1"/>
  <c r="F10" i="49"/>
  <c r="F30" i="49" s="1"/>
  <c r="F44" i="49" s="1"/>
  <c r="G40" i="49" s="1"/>
  <c r="G42" i="49" s="1"/>
  <c r="F9" i="62"/>
  <c r="H49" i="49"/>
  <c r="H51" i="49" s="1"/>
  <c r="I47" i="49" s="1"/>
  <c r="I50" i="49" s="1"/>
  <c r="D25" i="31"/>
  <c r="D29" i="31"/>
  <c r="D55" i="31" s="1"/>
  <c r="H58" i="49"/>
  <c r="I54" i="49" s="1"/>
  <c r="E83" i="49"/>
  <c r="E93" i="49" s="1"/>
  <c r="E17" i="31" s="1"/>
  <c r="E32" i="31" s="1"/>
  <c r="E88" i="62"/>
  <c r="E102" i="62" s="1"/>
  <c r="H79" i="62"/>
  <c r="E18" i="49"/>
  <c r="E90" i="49" s="1"/>
  <c r="E78" i="62"/>
  <c r="E80" i="62" s="1"/>
  <c r="F77" i="62" s="1"/>
  <c r="F78" i="62" s="1"/>
  <c r="F33" i="62"/>
  <c r="F66" i="62" s="1"/>
  <c r="F101" i="62" s="1"/>
  <c r="F10" i="31"/>
  <c r="F36" i="31" s="1"/>
  <c r="F37" i="31" s="1"/>
  <c r="J36" i="31"/>
  <c r="J37" i="31" s="1"/>
  <c r="I36" i="31"/>
  <c r="I37" i="31" s="1"/>
  <c r="G36" i="31"/>
  <c r="G37" i="31" s="1"/>
  <c r="H36" i="31"/>
  <c r="H37" i="31" s="1"/>
  <c r="E24" i="55"/>
  <c r="E87" i="55" s="1"/>
  <c r="E97" i="55" s="1"/>
  <c r="F90" i="56"/>
  <c r="G90" i="56" s="1"/>
  <c r="F33" i="56"/>
  <c r="F66" i="56" s="1"/>
  <c r="F100" i="56" s="1"/>
  <c r="D22" i="56"/>
  <c r="D95" i="56" s="1"/>
  <c r="H51" i="55"/>
  <c r="H52" i="55"/>
  <c r="J65" i="55"/>
  <c r="J66" i="55"/>
  <c r="F35" i="55"/>
  <c r="E81" i="55"/>
  <c r="G44" i="55"/>
  <c r="G45" i="55"/>
  <c r="E25" i="55"/>
  <c r="E88" i="55" s="1"/>
  <c r="E95" i="55" s="1"/>
  <c r="E21" i="56" s="1"/>
  <c r="I59" i="55"/>
  <c r="I58" i="55"/>
  <c r="G21" i="55"/>
  <c r="G94" i="55" s="1"/>
  <c r="G20" i="56" s="1"/>
  <c r="D80" i="56"/>
  <c r="E77" i="56" s="1"/>
  <c r="E106" i="56" s="1"/>
  <c r="D84" i="56"/>
  <c r="D85" i="56" s="1"/>
  <c r="D89" i="56" s="1"/>
  <c r="D91" i="56" s="1"/>
  <c r="E88" i="56" s="1"/>
  <c r="E16" i="57"/>
  <c r="E99" i="55"/>
  <c r="D40" i="31"/>
  <c r="D26" i="57"/>
  <c r="D58" i="57"/>
  <c r="J63" i="49"/>
  <c r="J65" i="49" s="1"/>
  <c r="F33" i="49"/>
  <c r="D96" i="62"/>
  <c r="D98" i="62" s="1"/>
  <c r="D104" i="62" s="1"/>
  <c r="D21" i="31" s="1"/>
  <c r="H90" i="62"/>
  <c r="G95" i="62"/>
  <c r="B40" i="40"/>
  <c r="E92" i="49"/>
  <c r="C40" i="40"/>
  <c r="B42" i="40"/>
  <c r="C42" i="40"/>
  <c r="B39" i="40"/>
  <c r="C39" i="40"/>
  <c r="C41" i="40"/>
  <c r="B38" i="40"/>
  <c r="C38" i="40"/>
  <c r="K70" i="16" l="1"/>
  <c r="I46" i="62"/>
  <c r="J43" i="62" s="1"/>
  <c r="J45" i="62" s="1"/>
  <c r="J51" i="62"/>
  <c r="J52" i="62" s="1"/>
  <c r="N70" i="16"/>
  <c r="L70" i="16"/>
  <c r="M70" i="16"/>
  <c r="J79" i="62"/>
  <c r="H30" i="31"/>
  <c r="I30" i="31"/>
  <c r="F30" i="31"/>
  <c r="E30" i="31"/>
  <c r="G30" i="31"/>
  <c r="J30" i="31"/>
  <c r="G43" i="49"/>
  <c r="G44" i="49" s="1"/>
  <c r="H40" i="49" s="1"/>
  <c r="H43" i="49" s="1"/>
  <c r="F79" i="62"/>
  <c r="F80" i="62" s="1"/>
  <c r="G77" i="62" s="1"/>
  <c r="G78" i="62" s="1"/>
  <c r="G84" i="62" s="1"/>
  <c r="F28" i="62"/>
  <c r="F40" i="62" s="1"/>
  <c r="G37" i="62" s="1"/>
  <c r="G39" i="62" s="1"/>
  <c r="I49" i="49"/>
  <c r="I51" i="49" s="1"/>
  <c r="J47" i="49" s="1"/>
  <c r="J50" i="49" s="1"/>
  <c r="I56" i="49"/>
  <c r="I57" i="49"/>
  <c r="F76" i="49"/>
  <c r="D97" i="56"/>
  <c r="D103" i="56" s="1"/>
  <c r="E109" i="62"/>
  <c r="F18" i="49"/>
  <c r="F90" i="49" s="1"/>
  <c r="E22" i="49"/>
  <c r="E84" i="49" s="1"/>
  <c r="E91" i="49" s="1"/>
  <c r="E21" i="62" s="1"/>
  <c r="E106" i="62"/>
  <c r="F107" i="62"/>
  <c r="E84" i="62"/>
  <c r="F34" i="62"/>
  <c r="G31" i="62" s="1"/>
  <c r="G33" i="62" s="1"/>
  <c r="F34" i="56"/>
  <c r="G31" i="56" s="1"/>
  <c r="G33" i="56" s="1"/>
  <c r="G66" i="56" s="1"/>
  <c r="G100" i="56" s="1"/>
  <c r="F94" i="56"/>
  <c r="F107" i="56" s="1"/>
  <c r="G46" i="55"/>
  <c r="H42" i="55" s="1"/>
  <c r="H44" i="55" s="1"/>
  <c r="I60" i="55"/>
  <c r="J56" i="55" s="1"/>
  <c r="J59" i="55" s="1"/>
  <c r="H53" i="55"/>
  <c r="I49" i="55" s="1"/>
  <c r="I51" i="55" s="1"/>
  <c r="J67" i="55"/>
  <c r="E26" i="55"/>
  <c r="F22" i="55" s="1"/>
  <c r="F24" i="55" s="1"/>
  <c r="F38" i="55"/>
  <c r="F80" i="55" s="1"/>
  <c r="F37" i="55"/>
  <c r="F79" i="55" s="1"/>
  <c r="F78" i="55"/>
  <c r="H21" i="55"/>
  <c r="H94" i="55" s="1"/>
  <c r="H20" i="56" s="1"/>
  <c r="E78" i="56"/>
  <c r="E105" i="56" s="1"/>
  <c r="D102" i="56"/>
  <c r="E96" i="56"/>
  <c r="E109" i="56"/>
  <c r="E73" i="56"/>
  <c r="F69" i="56" s="1"/>
  <c r="F104" i="56" s="1"/>
  <c r="H90" i="56"/>
  <c r="G94" i="56"/>
  <c r="E8" i="57"/>
  <c r="E58" i="57" s="1"/>
  <c r="E22" i="56"/>
  <c r="E25" i="57"/>
  <c r="E26" i="57" s="1"/>
  <c r="E101" i="56"/>
  <c r="E19" i="57" s="1"/>
  <c r="E29" i="57" s="1"/>
  <c r="E56" i="57" s="1"/>
  <c r="E23" i="56" s="1"/>
  <c r="E108" i="56"/>
  <c r="D33" i="31"/>
  <c r="F36" i="49"/>
  <c r="F78" i="49" s="1"/>
  <c r="F35" i="49"/>
  <c r="F77" i="49" s="1"/>
  <c r="E19" i="31"/>
  <c r="E95" i="49"/>
  <c r="E22" i="62" s="1"/>
  <c r="E23" i="62"/>
  <c r="E94" i="62" s="1"/>
  <c r="E16" i="31"/>
  <c r="E25" i="31" s="1"/>
  <c r="E20" i="62"/>
  <c r="E71" i="62" s="1"/>
  <c r="F84" i="62"/>
  <c r="F106" i="62"/>
  <c r="H95" i="62"/>
  <c r="I90" i="62"/>
  <c r="J46" i="62" l="1"/>
  <c r="D41" i="31"/>
  <c r="H42" i="49"/>
  <c r="H44" i="49" s="1"/>
  <c r="I40" i="49" s="1"/>
  <c r="I42" i="49" s="1"/>
  <c r="G66" i="62"/>
  <c r="G101" i="62" s="1"/>
  <c r="J49" i="49"/>
  <c r="J51" i="49" s="1"/>
  <c r="I58" i="49"/>
  <c r="J54" i="49" s="1"/>
  <c r="F37" i="49"/>
  <c r="F79" i="49" s="1"/>
  <c r="E26" i="31"/>
  <c r="E57" i="31" s="1"/>
  <c r="E95" i="56"/>
  <c r="E97" i="56" s="1"/>
  <c r="E103" i="56" s="1"/>
  <c r="G18" i="49"/>
  <c r="G90" i="49" s="1"/>
  <c r="E18" i="31"/>
  <c r="E23" i="49"/>
  <c r="G34" i="62"/>
  <c r="H31" i="62" s="1"/>
  <c r="H33" i="62" s="1"/>
  <c r="J58" i="55"/>
  <c r="J60" i="55" s="1"/>
  <c r="I52" i="55"/>
  <c r="I53" i="55" s="1"/>
  <c r="J49" i="55" s="1"/>
  <c r="J51" i="55" s="1"/>
  <c r="H45" i="55"/>
  <c r="H46" i="55" s="1"/>
  <c r="I42" i="55" s="1"/>
  <c r="E89" i="55"/>
  <c r="E98" i="55" s="1"/>
  <c r="F86" i="55"/>
  <c r="F96" i="55" s="1"/>
  <c r="G34" i="56"/>
  <c r="H31" i="56" s="1"/>
  <c r="H33" i="56" s="1"/>
  <c r="H66" i="56" s="1"/>
  <c r="H100" i="56" s="1"/>
  <c r="E80" i="56"/>
  <c r="F77" i="56" s="1"/>
  <c r="F78" i="56" s="1"/>
  <c r="F80" i="56" s="1"/>
  <c r="G77" i="56" s="1"/>
  <c r="F87" i="55"/>
  <c r="F97" i="55" s="1"/>
  <c r="F17" i="57" s="1"/>
  <c r="F32" i="57" s="1"/>
  <c r="F25" i="55"/>
  <c r="F88" i="55" s="1"/>
  <c r="F95" i="55" s="1"/>
  <c r="F21" i="56" s="1"/>
  <c r="E84" i="56"/>
  <c r="E85" i="56" s="1"/>
  <c r="E89" i="56" s="1"/>
  <c r="E91" i="56" s="1"/>
  <c r="F88" i="56" s="1"/>
  <c r="F39" i="55"/>
  <c r="F81" i="55" s="1"/>
  <c r="I21" i="55"/>
  <c r="J21" i="55" s="1"/>
  <c r="J94" i="55" s="1"/>
  <c r="J20" i="56" s="1"/>
  <c r="F71" i="56"/>
  <c r="F109" i="56" s="1"/>
  <c r="H94" i="56"/>
  <c r="I90" i="56"/>
  <c r="E29" i="31"/>
  <c r="E55" i="31" s="1"/>
  <c r="E96" i="62"/>
  <c r="F20" i="62"/>
  <c r="E83" i="62"/>
  <c r="E73" i="62"/>
  <c r="F69" i="62" s="1"/>
  <c r="E110" i="62"/>
  <c r="G80" i="62"/>
  <c r="H77" i="62" s="1"/>
  <c r="H78" i="62" s="1"/>
  <c r="H84" i="62" s="1"/>
  <c r="J90" i="62"/>
  <c r="J95" i="62" s="1"/>
  <c r="I95" i="62"/>
  <c r="D42" i="31" l="1"/>
  <c r="D43" i="31" s="1"/>
  <c r="D58" i="31"/>
  <c r="B22" i="35"/>
  <c r="B20" i="35"/>
  <c r="B21" i="35"/>
  <c r="B19" i="35"/>
  <c r="I43" i="49"/>
  <c r="I44" i="49" s="1"/>
  <c r="J40" i="49" s="1"/>
  <c r="J42" i="49" s="1"/>
  <c r="E31" i="31"/>
  <c r="E33" i="31" s="1"/>
  <c r="G40" i="62"/>
  <c r="H37" i="62" s="1"/>
  <c r="H39" i="62" s="1"/>
  <c r="J56" i="49"/>
  <c r="J57" i="49"/>
  <c r="F19" i="49"/>
  <c r="F82" i="49" s="1"/>
  <c r="F92" i="49" s="1"/>
  <c r="E85" i="49"/>
  <c r="E86" i="49" s="1"/>
  <c r="H18" i="49"/>
  <c r="I18" i="49" s="1"/>
  <c r="H34" i="62"/>
  <c r="I31" i="62" s="1"/>
  <c r="I33" i="62" s="1"/>
  <c r="E90" i="55"/>
  <c r="F106" i="56"/>
  <c r="G35" i="55"/>
  <c r="G78" i="55" s="1"/>
  <c r="H34" i="56"/>
  <c r="I31" i="56" s="1"/>
  <c r="I33" i="56" s="1"/>
  <c r="I66" i="56" s="1"/>
  <c r="I100" i="56" s="1"/>
  <c r="F18" i="57"/>
  <c r="E102" i="56"/>
  <c r="F26" i="55"/>
  <c r="F89" i="55" s="1"/>
  <c r="J52" i="55"/>
  <c r="J53" i="55" s="1"/>
  <c r="I94" i="55"/>
  <c r="I20" i="56" s="1"/>
  <c r="I44" i="55"/>
  <c r="I45" i="55"/>
  <c r="F73" i="56"/>
  <c r="G69" i="56" s="1"/>
  <c r="F83" i="56"/>
  <c r="F96" i="56" s="1"/>
  <c r="G33" i="49"/>
  <c r="I94" i="56"/>
  <c r="J90" i="56"/>
  <c r="J94" i="56" s="1"/>
  <c r="G78" i="56"/>
  <c r="G84" i="56" s="1"/>
  <c r="F105" i="56"/>
  <c r="F84" i="56"/>
  <c r="F101" i="56"/>
  <c r="F19" i="57" s="1"/>
  <c r="F108" i="56"/>
  <c r="F99" i="55"/>
  <c r="F16" i="57"/>
  <c r="G20" i="62"/>
  <c r="F71" i="62"/>
  <c r="F73" i="62" s="1"/>
  <c r="G69" i="62" s="1"/>
  <c r="F105" i="62"/>
  <c r="E97" i="62"/>
  <c r="E98" i="62" s="1"/>
  <c r="E104" i="62" s="1"/>
  <c r="E21" i="31" s="1"/>
  <c r="E85" i="62"/>
  <c r="E89" i="62" s="1"/>
  <c r="E91" i="62" s="1"/>
  <c r="H80" i="62"/>
  <c r="I77" i="62" s="1"/>
  <c r="I78" i="62" s="1"/>
  <c r="I84" i="62" s="1"/>
  <c r="H66" i="62" l="1"/>
  <c r="H101" i="62" s="1"/>
  <c r="D44" i="31"/>
  <c r="D45" i="31" s="1"/>
  <c r="J43" i="49"/>
  <c r="J44" i="49" s="1"/>
  <c r="F22" i="49"/>
  <c r="F84" i="49" s="1"/>
  <c r="F91" i="49" s="1"/>
  <c r="F21" i="49"/>
  <c r="J58" i="49"/>
  <c r="E94" i="49"/>
  <c r="G76" i="49"/>
  <c r="H90" i="49"/>
  <c r="I34" i="62"/>
  <c r="J31" i="62" s="1"/>
  <c r="G38" i="55"/>
  <c r="G80" i="55" s="1"/>
  <c r="G37" i="55"/>
  <c r="G79" i="55" s="1"/>
  <c r="G22" i="55"/>
  <c r="G25" i="55" s="1"/>
  <c r="I34" i="56"/>
  <c r="J31" i="56" s="1"/>
  <c r="J33" i="56" s="1"/>
  <c r="J66" i="56" s="1"/>
  <c r="J100" i="56" s="1"/>
  <c r="G36" i="49"/>
  <c r="G78" i="49" s="1"/>
  <c r="I46" i="55"/>
  <c r="J42" i="55" s="1"/>
  <c r="J44" i="55" s="1"/>
  <c r="G71" i="56"/>
  <c r="G83" i="56" s="1"/>
  <c r="G85" i="56" s="1"/>
  <c r="G89" i="56" s="1"/>
  <c r="F85" i="56"/>
  <c r="F89" i="56" s="1"/>
  <c r="F91" i="56" s="1"/>
  <c r="F102" i="56" s="1"/>
  <c r="F20" i="57" s="1"/>
  <c r="F40" i="57" s="1"/>
  <c r="G80" i="56"/>
  <c r="H77" i="56" s="1"/>
  <c r="H78" i="56" s="1"/>
  <c r="H84" i="56" s="1"/>
  <c r="G35" i="49"/>
  <c r="G77" i="49" s="1"/>
  <c r="F98" i="55"/>
  <c r="F90" i="55"/>
  <c r="F25" i="57"/>
  <c r="F26" i="57" s="1"/>
  <c r="F29" i="57"/>
  <c r="F22" i="56"/>
  <c r="F8" i="57"/>
  <c r="F58" i="57" s="1"/>
  <c r="F88" i="62"/>
  <c r="E103" i="62"/>
  <c r="E20" i="31" s="1"/>
  <c r="E40" i="31" s="1"/>
  <c r="E41" i="31" s="1"/>
  <c r="E42" i="31" s="1"/>
  <c r="G71" i="62"/>
  <c r="G83" i="62" s="1"/>
  <c r="G85" i="62" s="1"/>
  <c r="G89" i="62" s="1"/>
  <c r="F110" i="62"/>
  <c r="F83" i="62"/>
  <c r="I80" i="62"/>
  <c r="J77" i="62" s="1"/>
  <c r="J78" i="62" s="1"/>
  <c r="J84" i="62" s="1"/>
  <c r="I90" i="49"/>
  <c r="J18" i="49"/>
  <c r="J90" i="49" s="1"/>
  <c r="H40" i="62" l="1"/>
  <c r="I37" i="62" s="1"/>
  <c r="I39" i="62" s="1"/>
  <c r="I66" i="62" s="1"/>
  <c r="I101" i="62" s="1"/>
  <c r="D46" i="31"/>
  <c r="F23" i="49"/>
  <c r="G19" i="49" s="1"/>
  <c r="G82" i="49" s="1"/>
  <c r="F83" i="49"/>
  <c r="F93" i="49" s="1"/>
  <c r="F17" i="31" s="1"/>
  <c r="F32" i="31" s="1"/>
  <c r="G37" i="49"/>
  <c r="G79" i="49" s="1"/>
  <c r="F21" i="62"/>
  <c r="F97" i="62" s="1"/>
  <c r="F18" i="31"/>
  <c r="H20" i="62"/>
  <c r="G86" i="55"/>
  <c r="G96" i="55" s="1"/>
  <c r="J33" i="62"/>
  <c r="G88" i="55"/>
  <c r="G95" i="55" s="1"/>
  <c r="G18" i="57" s="1"/>
  <c r="G39" i="55"/>
  <c r="H35" i="55" s="1"/>
  <c r="G24" i="55"/>
  <c r="G26" i="55" s="1"/>
  <c r="J45" i="55"/>
  <c r="J46" i="55" s="1"/>
  <c r="J34" i="56"/>
  <c r="G88" i="56"/>
  <c r="G101" i="56" s="1"/>
  <c r="G19" i="57" s="1"/>
  <c r="G73" i="56"/>
  <c r="H69" i="56" s="1"/>
  <c r="H80" i="56"/>
  <c r="I77" i="56" s="1"/>
  <c r="I78" i="56" s="1"/>
  <c r="F31" i="57"/>
  <c r="F56" i="57"/>
  <c r="F23" i="56" s="1"/>
  <c r="E58" i="31"/>
  <c r="F95" i="49"/>
  <c r="F22" i="62" s="1"/>
  <c r="F23" i="62"/>
  <c r="F94" i="62" s="1"/>
  <c r="F16" i="31"/>
  <c r="F25" i="31" s="1"/>
  <c r="F26" i="31" s="1"/>
  <c r="F57" i="31" s="1"/>
  <c r="I20" i="62"/>
  <c r="J20" i="62"/>
  <c r="F85" i="62"/>
  <c r="F89" i="62" s="1"/>
  <c r="F91" i="62" s="1"/>
  <c r="G73" i="62"/>
  <c r="H69" i="62" s="1"/>
  <c r="F109" i="62"/>
  <c r="F102" i="62"/>
  <c r="J80" i="62"/>
  <c r="I40" i="62" l="1"/>
  <c r="J37" i="62" s="1"/>
  <c r="J39" i="62" s="1"/>
  <c r="J66" i="62" s="1"/>
  <c r="J101" i="62" s="1"/>
  <c r="G21" i="49"/>
  <c r="G83" i="49" s="1"/>
  <c r="G93" i="49" s="1"/>
  <c r="G17" i="31" s="1"/>
  <c r="G22" i="49"/>
  <c r="G84" i="49" s="1"/>
  <c r="G91" i="49" s="1"/>
  <c r="G21" i="62" s="1"/>
  <c r="G97" i="62" s="1"/>
  <c r="F85" i="49"/>
  <c r="F94" i="49" s="1"/>
  <c r="F95" i="56"/>
  <c r="J34" i="62"/>
  <c r="G81" i="55"/>
  <c r="G89" i="55" s="1"/>
  <c r="G98" i="55" s="1"/>
  <c r="G21" i="56"/>
  <c r="G96" i="56" s="1"/>
  <c r="G87" i="55"/>
  <c r="G97" i="55" s="1"/>
  <c r="G17" i="57" s="1"/>
  <c r="G32" i="57" s="1"/>
  <c r="H33" i="49"/>
  <c r="H76" i="49" s="1"/>
  <c r="G91" i="56"/>
  <c r="G102" i="56" s="1"/>
  <c r="G20" i="57" s="1"/>
  <c r="G40" i="57" s="1"/>
  <c r="H38" i="55"/>
  <c r="H80" i="55" s="1"/>
  <c r="H37" i="55"/>
  <c r="H79" i="55" s="1"/>
  <c r="H78" i="55"/>
  <c r="H71" i="56"/>
  <c r="H83" i="56" s="1"/>
  <c r="H85" i="56" s="1"/>
  <c r="H89" i="56" s="1"/>
  <c r="I84" i="56"/>
  <c r="I80" i="56"/>
  <c r="J77" i="56" s="1"/>
  <c r="J78" i="56" s="1"/>
  <c r="J84" i="56" s="1"/>
  <c r="F33" i="57"/>
  <c r="H22" i="55"/>
  <c r="G16" i="57"/>
  <c r="G99" i="55"/>
  <c r="F96" i="62"/>
  <c r="F98" i="62" s="1"/>
  <c r="F104" i="62" s="1"/>
  <c r="F31" i="31"/>
  <c r="F19" i="31"/>
  <c r="G88" i="62"/>
  <c r="F103" i="62"/>
  <c r="H71" i="62"/>
  <c r="H83" i="62" s="1"/>
  <c r="H85" i="62" s="1"/>
  <c r="H89" i="62" s="1"/>
  <c r="G92" i="49"/>
  <c r="J40" i="62" l="1"/>
  <c r="E43" i="31"/>
  <c r="E44" i="31" s="1"/>
  <c r="G18" i="31"/>
  <c r="G23" i="49"/>
  <c r="H19" i="49" s="1"/>
  <c r="H21" i="49" s="1"/>
  <c r="F86" i="49"/>
  <c r="F97" i="56"/>
  <c r="F103" i="56" s="1"/>
  <c r="F21" i="57" s="1"/>
  <c r="F42" i="57" s="1"/>
  <c r="F43" i="57" s="1"/>
  <c r="H35" i="49"/>
  <c r="H77" i="49" s="1"/>
  <c r="H36" i="49"/>
  <c r="H78" i="49" s="1"/>
  <c r="H88" i="56"/>
  <c r="H91" i="56" s="1"/>
  <c r="H39" i="55"/>
  <c r="I35" i="55" s="1"/>
  <c r="H73" i="56"/>
  <c r="I69" i="56" s="1"/>
  <c r="I71" i="56" s="1"/>
  <c r="I83" i="56" s="1"/>
  <c r="I85" i="56" s="1"/>
  <c r="I89" i="56" s="1"/>
  <c r="J80" i="56"/>
  <c r="G90" i="55"/>
  <c r="G29" i="57"/>
  <c r="G25" i="57"/>
  <c r="G26" i="57" s="1"/>
  <c r="H24" i="55"/>
  <c r="H87" i="55" s="1"/>
  <c r="H97" i="55" s="1"/>
  <c r="H17" i="57" s="1"/>
  <c r="H32" i="57" s="1"/>
  <c r="H25" i="55"/>
  <c r="H86" i="55"/>
  <c r="G22" i="56"/>
  <c r="G8" i="57"/>
  <c r="F21" i="31"/>
  <c r="F20" i="31"/>
  <c r="F40" i="31" s="1"/>
  <c r="F29" i="31"/>
  <c r="G95" i="49"/>
  <c r="G22" i="62" s="1"/>
  <c r="G23" i="62"/>
  <c r="G94" i="62" s="1"/>
  <c r="G16" i="31"/>
  <c r="G25" i="31" s="1"/>
  <c r="G26" i="31" s="1"/>
  <c r="G57" i="31" s="1"/>
  <c r="H73" i="62"/>
  <c r="I69" i="62" s="1"/>
  <c r="G91" i="62"/>
  <c r="G102" i="62"/>
  <c r="H82" i="49" l="1"/>
  <c r="H92" i="49" s="1"/>
  <c r="H23" i="62" s="1"/>
  <c r="H22" i="49"/>
  <c r="H84" i="49" s="1"/>
  <c r="G85" i="49"/>
  <c r="G94" i="49" s="1"/>
  <c r="F41" i="57"/>
  <c r="F44" i="57"/>
  <c r="F51" i="57" s="1"/>
  <c r="F52" i="57" s="1"/>
  <c r="H83" i="49"/>
  <c r="H93" i="49" s="1"/>
  <c r="H17" i="31" s="1"/>
  <c r="H37" i="49"/>
  <c r="H79" i="49" s="1"/>
  <c r="H101" i="56"/>
  <c r="H19" i="57" s="1"/>
  <c r="H81" i="55"/>
  <c r="I37" i="55"/>
  <c r="I79" i="55" s="1"/>
  <c r="I38" i="55"/>
  <c r="I80" i="55" s="1"/>
  <c r="I78" i="55"/>
  <c r="I73" i="56"/>
  <c r="J69" i="56" s="1"/>
  <c r="J71" i="56" s="1"/>
  <c r="J83" i="56" s="1"/>
  <c r="J85" i="56" s="1"/>
  <c r="J89" i="56" s="1"/>
  <c r="H102" i="56"/>
  <c r="H20" i="57" s="1"/>
  <c r="I88" i="56"/>
  <c r="H96" i="55"/>
  <c r="H26" i="55"/>
  <c r="H88" i="55"/>
  <c r="H95" i="55" s="1"/>
  <c r="G58" i="57"/>
  <c r="G31" i="57"/>
  <c r="G56" i="57"/>
  <c r="G23" i="56" s="1"/>
  <c r="G31" i="31"/>
  <c r="G19" i="31"/>
  <c r="G29" i="31" s="1"/>
  <c r="G55" i="31" s="1"/>
  <c r="F55" i="31"/>
  <c r="F33" i="31"/>
  <c r="G96" i="62"/>
  <c r="G98" i="62" s="1"/>
  <c r="G104" i="62" s="1"/>
  <c r="H88" i="62"/>
  <c r="G103" i="62"/>
  <c r="I71" i="62"/>
  <c r="I83" i="62" s="1"/>
  <c r="I85" i="62" s="1"/>
  <c r="I89" i="62" s="1"/>
  <c r="G32" i="31"/>
  <c r="F41" i="31" l="1"/>
  <c r="F42" i="31" s="1"/>
  <c r="E45" i="31"/>
  <c r="H23" i="49"/>
  <c r="I19" i="49" s="1"/>
  <c r="I21" i="49" s="1"/>
  <c r="G86" i="49"/>
  <c r="H91" i="49"/>
  <c r="H21" i="62" s="1"/>
  <c r="H97" i="62" s="1"/>
  <c r="F45" i="57"/>
  <c r="F59" i="57" s="1"/>
  <c r="G95" i="56"/>
  <c r="I33" i="49"/>
  <c r="I35" i="49" s="1"/>
  <c r="I77" i="49" s="1"/>
  <c r="H40" i="57"/>
  <c r="I39" i="55"/>
  <c r="J35" i="55" s="1"/>
  <c r="J73" i="56"/>
  <c r="I91" i="56"/>
  <c r="I101" i="56"/>
  <c r="I19" i="57" s="1"/>
  <c r="H18" i="57"/>
  <c r="H21" i="56"/>
  <c r="H96" i="56" s="1"/>
  <c r="G33" i="57"/>
  <c r="I22" i="55"/>
  <c r="H89" i="55"/>
  <c r="H98" i="55" s="1"/>
  <c r="H16" i="57"/>
  <c r="H99" i="55"/>
  <c r="G21" i="31"/>
  <c r="G20" i="31"/>
  <c r="G40" i="31" s="1"/>
  <c r="G33" i="31"/>
  <c r="H16" i="31"/>
  <c r="H95" i="49"/>
  <c r="H22" i="62" s="1"/>
  <c r="I73" i="62"/>
  <c r="J69" i="62" s="1"/>
  <c r="H102" i="62"/>
  <c r="H91" i="62"/>
  <c r="H94" i="62"/>
  <c r="H32" i="31"/>
  <c r="G41" i="31" l="1"/>
  <c r="G42" i="31" s="1"/>
  <c r="F58" i="31"/>
  <c r="E46" i="31"/>
  <c r="I22" i="49"/>
  <c r="I23" i="49" s="1"/>
  <c r="H85" i="49"/>
  <c r="H94" i="49" s="1"/>
  <c r="H18" i="31"/>
  <c r="F47" i="57"/>
  <c r="F46" i="57"/>
  <c r="G97" i="56"/>
  <c r="G103" i="56" s="1"/>
  <c r="G21" i="57" s="1"/>
  <c r="G42" i="57" s="1"/>
  <c r="G43" i="57" s="1"/>
  <c r="I36" i="49"/>
  <c r="I78" i="49" s="1"/>
  <c r="I76" i="49"/>
  <c r="I82" i="49" s="1"/>
  <c r="I92" i="49" s="1"/>
  <c r="I23" i="62" s="1"/>
  <c r="I81" i="55"/>
  <c r="J78" i="55"/>
  <c r="J37" i="55"/>
  <c r="J79" i="55" s="1"/>
  <c r="J38" i="55"/>
  <c r="J80" i="55" s="1"/>
  <c r="J88" i="56"/>
  <c r="I102" i="56"/>
  <c r="I20" i="57" s="1"/>
  <c r="I40" i="57" s="1"/>
  <c r="H90" i="55"/>
  <c r="H29" i="57"/>
  <c r="H25" i="57"/>
  <c r="H26" i="57" s="1"/>
  <c r="I24" i="55"/>
  <c r="I87" i="55" s="1"/>
  <c r="I97" i="55" s="1"/>
  <c r="I17" i="57" s="1"/>
  <c r="I32" i="57" s="1"/>
  <c r="I25" i="55"/>
  <c r="I86" i="55"/>
  <c r="H22" i="56"/>
  <c r="H8" i="57"/>
  <c r="H19" i="31"/>
  <c r="H29" i="31" s="1"/>
  <c r="H96" i="62"/>
  <c r="H98" i="62" s="1"/>
  <c r="H104" i="62" s="1"/>
  <c r="I88" i="62"/>
  <c r="H103" i="62"/>
  <c r="J71" i="62"/>
  <c r="J83" i="62" s="1"/>
  <c r="J85" i="62" s="1"/>
  <c r="J89" i="62" s="1"/>
  <c r="I83" i="49"/>
  <c r="I93" i="49" s="1"/>
  <c r="I17" i="31" s="1"/>
  <c r="H25" i="31"/>
  <c r="H26" i="31" s="1"/>
  <c r="F43" i="31" l="1"/>
  <c r="F44" i="31" s="1"/>
  <c r="G58" i="31"/>
  <c r="H86" i="49"/>
  <c r="I84" i="49"/>
  <c r="I91" i="49" s="1"/>
  <c r="I18" i="31" s="1"/>
  <c r="G41" i="57"/>
  <c r="I37" i="49"/>
  <c r="I79" i="49" s="1"/>
  <c r="J39" i="55"/>
  <c r="J81" i="55" s="1"/>
  <c r="J101" i="56"/>
  <c r="J19" i="57" s="1"/>
  <c r="J91" i="56"/>
  <c r="J102" i="56" s="1"/>
  <c r="J20" i="57" s="1"/>
  <c r="G44" i="57"/>
  <c r="G51" i="57" s="1"/>
  <c r="G52" i="57" s="1"/>
  <c r="I96" i="55"/>
  <c r="I26" i="55"/>
  <c r="I88" i="55"/>
  <c r="I95" i="55" s="1"/>
  <c r="H58" i="57"/>
  <c r="H31" i="57"/>
  <c r="H56" i="57"/>
  <c r="H23" i="56" s="1"/>
  <c r="H21" i="31"/>
  <c r="H20" i="31"/>
  <c r="H40" i="31" s="1"/>
  <c r="I16" i="31"/>
  <c r="I95" i="49"/>
  <c r="I22" i="62" s="1"/>
  <c r="J73" i="62"/>
  <c r="I94" i="62"/>
  <c r="I102" i="62"/>
  <c r="I91" i="62"/>
  <c r="J19" i="49"/>
  <c r="H31" i="31"/>
  <c r="H33" i="31" s="1"/>
  <c r="H57" i="31"/>
  <c r="H55" i="31"/>
  <c r="H41" i="31" l="1"/>
  <c r="H42" i="31" s="1"/>
  <c r="G43" i="31"/>
  <c r="G44" i="31" s="1"/>
  <c r="J33" i="49"/>
  <c r="J36" i="49" s="1"/>
  <c r="J78" i="49" s="1"/>
  <c r="I21" i="62"/>
  <c r="I97" i="62" s="1"/>
  <c r="I85" i="49"/>
  <c r="I94" i="49" s="1"/>
  <c r="H95" i="56"/>
  <c r="J40" i="57"/>
  <c r="G45" i="57"/>
  <c r="G59" i="57" s="1"/>
  <c r="I18" i="57"/>
  <c r="I21" i="56"/>
  <c r="I96" i="56" s="1"/>
  <c r="J22" i="55"/>
  <c r="I89" i="55"/>
  <c r="I98" i="55" s="1"/>
  <c r="H33" i="57"/>
  <c r="I99" i="55"/>
  <c r="I16" i="57"/>
  <c r="I19" i="31"/>
  <c r="I29" i="31" s="1"/>
  <c r="I55" i="31" s="1"/>
  <c r="I96" i="62"/>
  <c r="J88" i="62"/>
  <c r="I103" i="62"/>
  <c r="J22" i="49"/>
  <c r="J21" i="49"/>
  <c r="I32" i="31"/>
  <c r="F50" i="31" l="1"/>
  <c r="F45" i="31"/>
  <c r="J35" i="49"/>
  <c r="J77" i="49" s="1"/>
  <c r="J83" i="49" s="1"/>
  <c r="J93" i="49" s="1"/>
  <c r="J17" i="31" s="1"/>
  <c r="J76" i="49"/>
  <c r="J82" i="49" s="1"/>
  <c r="J92" i="49" s="1"/>
  <c r="J23" i="62" s="1"/>
  <c r="I98" i="62"/>
  <c r="I104" i="62" s="1"/>
  <c r="I21" i="31" s="1"/>
  <c r="I86" i="49"/>
  <c r="G47" i="57"/>
  <c r="H97" i="56"/>
  <c r="H103" i="56" s="1"/>
  <c r="H21" i="57" s="1"/>
  <c r="H42" i="57" s="1"/>
  <c r="H43" i="57" s="1"/>
  <c r="G46" i="57"/>
  <c r="I90" i="55"/>
  <c r="I8" i="57"/>
  <c r="I22" i="56"/>
  <c r="I29" i="57"/>
  <c r="I25" i="57"/>
  <c r="I26" i="57" s="1"/>
  <c r="J25" i="55"/>
  <c r="J88" i="55" s="1"/>
  <c r="J95" i="55" s="1"/>
  <c r="J24" i="55"/>
  <c r="J86" i="55"/>
  <c r="I20" i="31"/>
  <c r="I40" i="31" s="1"/>
  <c r="J102" i="62"/>
  <c r="J91" i="62"/>
  <c r="J103" i="62" s="1"/>
  <c r="J84" i="49"/>
  <c r="J91" i="49" s="1"/>
  <c r="J23" i="49"/>
  <c r="I25" i="31"/>
  <c r="I26" i="31" s="1"/>
  <c r="I57" i="31" s="1"/>
  <c r="H58" i="31"/>
  <c r="F51" i="31" l="1"/>
  <c r="H43" i="31"/>
  <c r="H44" i="31" s="1"/>
  <c r="G45" i="31"/>
  <c r="G50" i="31"/>
  <c r="G51" i="31" s="1"/>
  <c r="F46" i="31"/>
  <c r="J37" i="49"/>
  <c r="J79" i="49" s="1"/>
  <c r="J85" i="49" s="1"/>
  <c r="J94" i="49" s="1"/>
  <c r="H41" i="57"/>
  <c r="J26" i="55"/>
  <c r="J89" i="55" s="1"/>
  <c r="J98" i="55" s="1"/>
  <c r="J87" i="55"/>
  <c r="J97" i="55" s="1"/>
  <c r="J17" i="57" s="1"/>
  <c r="J32" i="57" s="1"/>
  <c r="H44" i="57"/>
  <c r="I56" i="57"/>
  <c r="I23" i="56" s="1"/>
  <c r="J21" i="56"/>
  <c r="J96" i="56" s="1"/>
  <c r="J18" i="57"/>
  <c r="J96" i="55"/>
  <c r="I58" i="57"/>
  <c r="I31" i="57"/>
  <c r="J20" i="31"/>
  <c r="J19" i="31"/>
  <c r="J16" i="31"/>
  <c r="J95" i="49"/>
  <c r="J22" i="62" s="1"/>
  <c r="J18" i="31"/>
  <c r="J21" i="62"/>
  <c r="J97" i="62" s="1"/>
  <c r="J94" i="62"/>
  <c r="I31" i="31"/>
  <c r="I33" i="31" s="1"/>
  <c r="I41" i="31" l="1"/>
  <c r="I42" i="31" s="1"/>
  <c r="G46" i="31"/>
  <c r="I95" i="56"/>
  <c r="J90" i="55"/>
  <c r="I33" i="57"/>
  <c r="H45" i="57"/>
  <c r="H47" i="57" s="1"/>
  <c r="H51" i="57"/>
  <c r="H52" i="57" s="1"/>
  <c r="J99" i="55"/>
  <c r="J16" i="57"/>
  <c r="J40" i="31"/>
  <c r="J29" i="31"/>
  <c r="J55" i="31" s="1"/>
  <c r="J96" i="62"/>
  <c r="J98" i="62" s="1"/>
  <c r="J104" i="62" s="1"/>
  <c r="J86" i="49"/>
  <c r="J25" i="31"/>
  <c r="J26" i="31" s="1"/>
  <c r="J31" i="31" s="1"/>
  <c r="H45" i="31" l="1"/>
  <c r="H50" i="31"/>
  <c r="H51" i="31" s="1"/>
  <c r="I97" i="56"/>
  <c r="I103" i="56" s="1"/>
  <c r="I21" i="57" s="1"/>
  <c r="I42" i="57" s="1"/>
  <c r="I43" i="57" s="1"/>
  <c r="J29" i="57"/>
  <c r="J25" i="57"/>
  <c r="J26" i="57" s="1"/>
  <c r="J22" i="56"/>
  <c r="J8" i="57"/>
  <c r="H46" i="57"/>
  <c r="H59" i="57"/>
  <c r="J21" i="31"/>
  <c r="I58" i="31"/>
  <c r="J57" i="31"/>
  <c r="J32" i="31"/>
  <c r="J33" i="31" s="1"/>
  <c r="J41" i="31" l="1"/>
  <c r="J42" i="31" s="1"/>
  <c r="I43" i="31"/>
  <c r="I44" i="31" s="1"/>
  <c r="H46" i="31"/>
  <c r="I41" i="57"/>
  <c r="I44" i="57"/>
  <c r="I45" i="57" s="1"/>
  <c r="J58" i="57"/>
  <c r="J31" i="57"/>
  <c r="J56" i="57"/>
  <c r="J23" i="56" s="1"/>
  <c r="I47" i="57" l="1"/>
  <c r="J95" i="56"/>
  <c r="J33" i="57"/>
  <c r="I51" i="57"/>
  <c r="I52" i="57" s="1"/>
  <c r="I46" i="57"/>
  <c r="I59" i="57"/>
  <c r="J58" i="31"/>
  <c r="I50" i="31" l="1"/>
  <c r="I51" i="31" s="1"/>
  <c r="I45" i="31"/>
  <c r="J43" i="31"/>
  <c r="J44" i="31" s="1"/>
  <c r="J97" i="56"/>
  <c r="J103" i="56" s="1"/>
  <c r="J21" i="57" s="1"/>
  <c r="J42" i="57" s="1"/>
  <c r="J43" i="57" s="1"/>
  <c r="I46" i="31" l="1"/>
  <c r="J41" i="57"/>
  <c r="J44" i="57"/>
  <c r="J51" i="57" s="1"/>
  <c r="J52" i="57" s="1"/>
  <c r="C53" i="57" s="1"/>
  <c r="C57" i="57" s="1"/>
  <c r="C30" i="16" s="1"/>
  <c r="C47" i="16" s="1"/>
  <c r="J45" i="31" l="1"/>
  <c r="J50" i="31"/>
  <c r="J51" i="31" s="1"/>
  <c r="B11" i="35"/>
  <c r="J45" i="57"/>
  <c r="J59" i="57" s="1"/>
  <c r="C52" i="31" l="1"/>
  <c r="C56" i="31" s="1"/>
  <c r="C31" i="16" s="1"/>
  <c r="J46" i="31"/>
  <c r="J47" i="57"/>
  <c r="J46" i="57"/>
  <c r="B12" i="35" l="1"/>
  <c r="C48" i="16"/>
  <c r="C49" i="16" s="1"/>
  <c r="C50" i="16" s="1"/>
  <c r="K69" i="16" s="1"/>
  <c r="L69" i="16" l="1"/>
  <c r="N69" i="16"/>
  <c r="M69" i="16"/>
  <c r="C62" i="16"/>
  <c r="K67" i="16" s="1"/>
  <c r="K71" i="16" s="1"/>
  <c r="C20" i="43"/>
  <c r="L67" i="16" l="1"/>
  <c r="L71" i="16" s="1"/>
  <c r="M67" i="16"/>
  <c r="M71" i="16" s="1"/>
  <c r="N67" i="16"/>
  <c r="N71" i="16" s="1"/>
  <c r="C46" i="43"/>
  <c r="H140" i="48"/>
  <c r="D121" i="48"/>
  <c r="E116" i="48"/>
  <c r="F115" i="48"/>
  <c r="D118" i="48"/>
  <c r="H151" i="48"/>
  <c r="G117" i="48"/>
  <c r="G114" i="48"/>
  <c r="D119" i="48"/>
  <c r="H144" i="48"/>
  <c r="G115" i="48"/>
  <c r="E119" i="48"/>
  <c r="H138" i="48"/>
  <c r="G121" i="48"/>
  <c r="D116" i="48"/>
  <c r="H137" i="48"/>
  <c r="E115" i="48"/>
  <c r="H141" i="48"/>
  <c r="G118" i="48"/>
  <c r="F117" i="48"/>
  <c r="H142" i="48"/>
  <c r="F114" i="48"/>
  <c r="G119" i="48"/>
  <c r="H139" i="48"/>
  <c r="F116" i="48"/>
  <c r="E118" i="48"/>
  <c r="H150" i="48"/>
  <c r="H148" i="48"/>
  <c r="F121" i="48"/>
  <c r="G116" i="48"/>
  <c r="D115" i="48"/>
  <c r="F118" i="48"/>
  <c r="E117" i="48"/>
  <c r="H149" i="48"/>
  <c r="E114" i="48"/>
  <c r="F119" i="48"/>
  <c r="H146" i="48"/>
  <c r="E121" i="48"/>
  <c r="D117" i="48"/>
  <c r="D114" i="48"/>
  <c r="C67" i="16" l="1" a="1"/>
  <c r="C67" i="16" s="1"/>
  <c r="E120" i="48"/>
  <c r="E133" i="48" s="1"/>
  <c r="F30" i="43"/>
  <c r="F40" i="43" s="1"/>
  <c r="F41" i="43" s="1"/>
  <c r="B65" i="35" s="1"/>
  <c r="F120" i="48"/>
  <c r="F134" i="48" s="1"/>
  <c r="G30" i="43"/>
  <c r="G40" i="43" s="1"/>
  <c r="G41" i="43" s="1"/>
  <c r="B66" i="35" s="1"/>
  <c r="D120" i="48"/>
  <c r="D132" i="48" s="1"/>
  <c r="D160" i="48" s="1"/>
  <c r="D165" i="48" s="1"/>
  <c r="E30" i="43"/>
  <c r="E40" i="43" s="1"/>
  <c r="E41" i="43" s="1"/>
  <c r="B64" i="35" s="1"/>
  <c r="H143" i="48"/>
  <c r="H156" i="48" s="1"/>
  <c r="I30" i="43"/>
  <c r="G120" i="48"/>
  <c r="G132" i="48" s="1"/>
  <c r="H30" i="43"/>
  <c r="H40" i="43" s="1"/>
  <c r="H41" i="43" s="1"/>
  <c r="B67" i="35" s="1"/>
  <c r="H155" i="48" l="1"/>
  <c r="H160" i="48" s="1"/>
  <c r="H165" i="48" s="1"/>
  <c r="H170" i="48" s="1"/>
  <c r="H183" i="48" s="1"/>
  <c r="D134" i="48"/>
  <c r="D162" i="48" s="1"/>
  <c r="D167" i="48" s="1"/>
  <c r="D172" i="48" s="1"/>
  <c r="D185" i="48" s="1"/>
  <c r="G134" i="48"/>
  <c r="G162" i="48" s="1"/>
  <c r="G167" i="48" s="1"/>
  <c r="G172" i="48" s="1"/>
  <c r="G185" i="48" s="1"/>
  <c r="E132" i="48"/>
  <c r="E160" i="48" s="1"/>
  <c r="E165" i="48" s="1"/>
  <c r="E170" i="48" s="1"/>
  <c r="E183" i="48" s="1"/>
  <c r="F133" i="48"/>
  <c r="F161" i="48" s="1"/>
  <c r="F166" i="48" s="1"/>
  <c r="F171" i="48" s="1"/>
  <c r="F184" i="48" s="1"/>
  <c r="G160" i="48"/>
  <c r="G165" i="48" s="1"/>
  <c r="G170" i="48" s="1"/>
  <c r="G183" i="48" s="1"/>
  <c r="G133" i="48"/>
  <c r="G161" i="48" s="1"/>
  <c r="G166" i="48" s="1"/>
  <c r="G171" i="48" s="1"/>
  <c r="G184" i="48" s="1"/>
  <c r="E134" i="48"/>
  <c r="E162" i="48" s="1"/>
  <c r="E167" i="48" s="1"/>
  <c r="E172" i="48" s="1"/>
  <c r="E185" i="48" s="1"/>
  <c r="H157" i="48"/>
  <c r="H162" i="48" s="1"/>
  <c r="H167" i="48" s="1"/>
  <c r="H172" i="48" s="1"/>
  <c r="H185" i="48" s="1"/>
  <c r="D133" i="48"/>
  <c r="F132" i="48"/>
  <c r="F160" i="48" s="1"/>
  <c r="F165" i="48" s="1"/>
  <c r="F170" i="48" s="1"/>
  <c r="F183" i="48" s="1"/>
  <c r="E161" i="48"/>
  <c r="E166" i="48" s="1"/>
  <c r="E171" i="48" s="1"/>
  <c r="E184" i="48" s="1"/>
  <c r="H161" i="48"/>
  <c r="H166" i="48" s="1"/>
  <c r="H171" i="48" s="1"/>
  <c r="H184" i="48" s="1"/>
  <c r="F162" i="48"/>
  <c r="F167" i="48" s="1"/>
  <c r="F172" i="48" s="1"/>
  <c r="F185" i="48" s="1"/>
  <c r="C30" i="43"/>
  <c r="C40" i="43" s="1"/>
  <c r="C41" i="43" s="1"/>
  <c r="B69" i="35" s="1"/>
  <c r="I40" i="43"/>
  <c r="I41" i="43" s="1"/>
  <c r="B68" i="35" s="1"/>
  <c r="C27" i="42"/>
  <c r="D161" i="48" l="1"/>
  <c r="D166" i="48" s="1"/>
  <c r="D171" i="48" s="1"/>
  <c r="D184" i="48" s="1"/>
  <c r="B29" i="40" s="1" a="1"/>
  <c r="D170" i="48"/>
  <c r="D183" i="48" s="1"/>
  <c r="I160" i="48"/>
  <c r="I165" i="48" s="1"/>
  <c r="I170" i="48" s="1"/>
  <c r="I162" i="48"/>
  <c r="I167" i="48" s="1"/>
  <c r="I172" i="48" s="1"/>
  <c r="I161" i="48" l="1"/>
  <c r="I166" i="48" s="1"/>
  <c r="I171" i="48" s="1"/>
  <c r="L50" i="42"/>
  <c r="M50" i="42"/>
  <c r="C29" i="40"/>
  <c r="C30" i="40"/>
  <c r="B29" i="40"/>
  <c r="B30" i="40"/>
  <c r="B31" i="40"/>
  <c r="C31" i="40"/>
  <c r="C33" i="40"/>
  <c r="B32" i="40"/>
  <c r="B33" i="40"/>
  <c r="C32" i="40"/>
  <c r="E24" i="43" l="1"/>
  <c r="E53" i="43" s="1"/>
  <c r="E54" i="43" s="1"/>
  <c r="B32" i="35"/>
  <c r="B33" i="35"/>
  <c r="F24" i="43"/>
  <c r="F53" i="43" s="1"/>
  <c r="F54" i="43" s="1"/>
  <c r="G24" i="43"/>
  <c r="G53" i="43" s="1"/>
  <c r="G54" i="43" s="1"/>
  <c r="N50" i="42"/>
  <c r="H24" i="43"/>
  <c r="H53" i="43" s="1"/>
  <c r="H54" i="43" s="1"/>
  <c r="B30" i="35"/>
  <c r="B31" i="35"/>
  <c r="B36" i="35" l="1"/>
  <c r="I24" i="43"/>
  <c r="I53" i="43" s="1"/>
  <c r="I54" i="43" s="1"/>
  <c r="C54" i="43" s="1"/>
  <c r="C55" i="43" s="1"/>
  <c r="B47" i="35" s="1"/>
  <c r="B34" i="35"/>
  <c r="C53" i="43" l="1"/>
  <c r="B43" i="35" s="1"/>
  <c r="B15" i="35" l="1"/>
  <c r="B14" i="35"/>
  <c r="B16" i="35" l="1"/>
  <c r="B17" i="35"/>
  <c r="B25" i="35"/>
  <c r="F23" i="43"/>
  <c r="F48" i="43" s="1"/>
  <c r="B37" i="35" l="1"/>
  <c r="B27" i="35"/>
  <c r="G23" i="43"/>
  <c r="G48" i="43" s="1"/>
  <c r="G49" i="43" s="1"/>
  <c r="I23" i="43"/>
  <c r="I48" i="43" s="1"/>
  <c r="I49" i="43" s="1"/>
  <c r="F49" i="43"/>
  <c r="B28" i="35"/>
  <c r="H23" i="43"/>
  <c r="H48" i="43" s="1"/>
  <c r="H49" i="43" s="1"/>
  <c r="B26" i="35"/>
  <c r="B40" i="35" l="1"/>
  <c r="B39" i="35"/>
  <c r="B38" i="35"/>
  <c r="C49" i="43"/>
  <c r="C50" i="43" s="1"/>
  <c r="B46" i="35" s="1"/>
  <c r="C48" i="43"/>
  <c r="B42" i="35" s="1"/>
  <c r="B44" i="35" l="1"/>
  <c r="C57" i="43"/>
  <c r="C58" i="43" s="1"/>
  <c r="B48"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E8E799D2-DCE8-4183-A6D9-7614974FA65F}">
      <text>
        <r>
          <rPr>
            <b/>
            <sz val="9"/>
            <color indexed="81"/>
            <rFont val="Tahoma"/>
            <family val="2"/>
          </rPr>
          <t>Author:</t>
        </r>
        <r>
          <rPr>
            <sz val="9"/>
            <color indexed="81"/>
            <rFont val="Tahoma"/>
            <family val="2"/>
          </rPr>
          <t xml:space="preserve">
As Aurora is currently on a CPP, for the purpose of supplementary analysis, these calculations have been done both including, and excluding Aurora</t>
        </r>
      </text>
    </comment>
    <comment ref="A25" authorId="0" shapeId="0" xr:uid="{0396E3CF-4983-4DBE-907B-DA2681CFF1FA}">
      <text>
        <r>
          <rPr>
            <b/>
            <sz val="9"/>
            <color indexed="81"/>
            <rFont val="Tahoma"/>
            <family val="2"/>
          </rPr>
          <t>Author:</t>
        </r>
        <r>
          <rPr>
            <sz val="9"/>
            <color indexed="81"/>
            <rFont val="Tahoma"/>
            <family val="2"/>
          </rPr>
          <t xml:space="preserve">
This calculates a weighted average for each disclosure year, weighted by the capex that each EDB makes up throughout the entire DPP. The purpose of this is to later calculate an average over / under-spend throughout the DPP, weighted by the portion of total capex that each EDB makes up.</t>
        </r>
      </text>
    </comment>
    <comment ref="A110" authorId="0" shapeId="0" xr:uid="{94C30F6E-85FC-4BB2-8441-306317319880}">
      <text>
        <r>
          <rPr>
            <b/>
            <sz val="9"/>
            <color indexed="81"/>
            <rFont val="Tahoma"/>
            <family val="2"/>
          </rPr>
          <t>Author:</t>
        </r>
        <r>
          <rPr>
            <sz val="9"/>
            <color indexed="81"/>
            <rFont val="Tahoma"/>
            <family val="2"/>
          </rPr>
          <t xml:space="preserve">
This calculates a weighted average for each disclosure year, weighted by the opex that each EDB makes up throughout the entire DPP. The purpose of this is to later calculate an average over / under-spend throughout the DPP, weighted by the portion of total opex that each EDB makes 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 authorId="0" shapeId="0" xr:uid="{11ED9AC6-EEC9-4333-8899-ED9DD412F8AD}">
      <text>
        <r>
          <rPr>
            <b/>
            <sz val="9"/>
            <color indexed="81"/>
            <rFont val="Tahoma"/>
            <family val="2"/>
          </rPr>
          <t>Author:</t>
        </r>
        <r>
          <rPr>
            <sz val="9"/>
            <color indexed="81"/>
            <rFont val="Tahoma"/>
            <family val="2"/>
          </rPr>
          <t xml:space="preserve">
In the financial model used in previous price resets, this row heading was "Last day of year 1 of the DPP period". </t>
        </r>
      </text>
    </comment>
    <comment ref="C46" authorId="0" shapeId="0" xr:uid="{B2B391B2-D768-4D0E-8757-D9E61F991542}">
      <text>
        <r>
          <rPr>
            <b/>
            <sz val="9"/>
            <color indexed="81"/>
            <rFont val="Tahoma"/>
            <family val="2"/>
          </rPr>
          <t>Author:</t>
        </r>
        <r>
          <rPr>
            <sz val="9"/>
            <color indexed="81"/>
            <rFont val="Tahoma"/>
            <family val="2"/>
          </rPr>
          <t xml:space="preserve">
These have been taken from the relevant determinations when an EDB has transitioned to / from a DPP / CPP</t>
        </r>
      </text>
    </comment>
    <comment ref="L46" authorId="0" shapeId="0" xr:uid="{AB46B74B-C096-4BF3-8C50-779D0FD1A8B0}">
      <text>
        <r>
          <rPr>
            <b/>
            <sz val="9"/>
            <color indexed="81"/>
            <rFont val="Tahoma"/>
            <family val="2"/>
          </rPr>
          <t>Author:</t>
        </r>
        <r>
          <rPr>
            <sz val="9"/>
            <color indexed="81"/>
            <rFont val="Tahoma"/>
            <family val="2"/>
          </rPr>
          <t xml:space="preserve">
These have been taken from the relevant determinations when an EDB has transitioned to / from a DPP / CPP</t>
        </r>
      </text>
    </comment>
    <comment ref="Q46" authorId="0" shapeId="0" xr:uid="{30CFB6EB-A8F3-4541-8EDD-A45DBB395700}">
      <text>
        <r>
          <rPr>
            <b/>
            <sz val="9"/>
            <color indexed="81"/>
            <rFont val="Tahoma"/>
            <family val="2"/>
          </rPr>
          <t>Author:</t>
        </r>
        <r>
          <rPr>
            <sz val="9"/>
            <color indexed="81"/>
            <rFont val="Tahoma"/>
            <family val="2"/>
          </rPr>
          <t xml:space="preserve">
These have been taken from the relevant determinations when an EDB has transitioned to / from a DPP / CPP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20" authorId="0" shapeId="0" xr:uid="{EE77EC2E-3A91-4329-BCE9-136B5A6E5289}">
      <text>
        <r>
          <rPr>
            <b/>
            <sz val="9"/>
            <color indexed="81"/>
            <rFont val="Tahoma"/>
            <family val="2"/>
          </rPr>
          <t>Author:</t>
        </r>
        <r>
          <rPr>
            <sz val="9"/>
            <color indexed="81"/>
            <rFont val="Tahoma"/>
            <family val="2"/>
          </rPr>
          <t xml:space="preserve">
This column of references include references to the IM paragraph that specifies the formula in the row.
Hovering the mouse pointer over a reference displays verbatim the IM paragraph text.</t>
        </r>
      </text>
    </comment>
    <comment ref="E21" authorId="0" shapeId="0" xr:uid="{C865FEA3-5577-485B-8C13-0B6665AA4E0A}">
      <text>
        <r>
          <rPr>
            <b/>
            <sz val="9"/>
            <color indexed="81"/>
            <rFont val="Tahoma"/>
            <family val="2"/>
          </rPr>
          <t>Author:</t>
        </r>
        <r>
          <rPr>
            <sz val="9"/>
            <color indexed="81"/>
            <rFont val="Tahoma"/>
            <family val="2"/>
          </rPr>
          <t xml:space="preserve">
This cell calculates the remaining life in the base year using an adjustment factor of 100% and then subtracts 1 from the result. This implements the IM change to not adjust the remaining life for the gap year.</t>
        </r>
      </text>
    </comment>
    <comment ref="F21" authorId="0" shapeId="0" xr:uid="{FBCAFBF3-35CC-43A6-8D11-9EC916F350FC}">
      <text>
        <r>
          <rPr>
            <b/>
            <sz val="9"/>
            <color indexed="81"/>
            <rFont val="Tahoma"/>
            <family val="2"/>
          </rPr>
          <t>Author:</t>
        </r>
        <r>
          <rPr>
            <sz val="9"/>
            <color indexed="81"/>
            <rFont val="Tahoma"/>
            <family val="2"/>
          </rPr>
          <t xml:space="preserve">
This cell subtracts 2 from the remaining life in the base year. "2" is the number of years between the base year and this year. This implements the IM change in relation to accelerated depreciation.</t>
        </r>
      </text>
    </comment>
    <comment ref="G21" authorId="0" shapeId="0" xr:uid="{F9318BA6-A16D-4529-A42E-363F8468BD7A}">
      <text>
        <r>
          <rPr>
            <b/>
            <sz val="9"/>
            <color indexed="81"/>
            <rFont val="Tahoma"/>
            <family val="2"/>
          </rPr>
          <t>Author:</t>
        </r>
        <r>
          <rPr>
            <sz val="9"/>
            <color indexed="81"/>
            <rFont val="Tahoma"/>
            <family val="2"/>
          </rPr>
          <t xml:space="preserve">
For this and the remaining years of the regulatory period, the remaining life is set as the previous year's remaining life less 1. This is in effect what the IM amendment in relation to accelerated depreciation requires.</t>
        </r>
      </text>
    </comment>
    <comment ref="L21" authorId="0" shapeId="0" xr:uid="{68FF80E2-0295-4326-A8A1-1EBE5E6B1103}">
      <text>
        <r>
          <rPr>
            <b/>
            <sz val="9"/>
            <color indexed="81"/>
            <rFont val="Tahoma"/>
            <family val="2"/>
          </rPr>
          <t>Author:</t>
        </r>
        <r>
          <rPr>
            <sz val="9"/>
            <color indexed="81"/>
            <rFont val="Tahoma"/>
            <family val="2"/>
          </rPr>
          <t xml:space="preserve">
For the purpose of subclause (2)-
(a) 'remaining asset life for existing assets' for a disclosure year means-
(i) the value determined in accordance with the formula-
aggregate opening RAB value for existing assets for the base year ÷ total depreciation for the base year
less the number of disclosure years from the base year to the disclosure year in question; or
(ii) subject to subclauses (4) and (5), the value determined in accordance with the formula–
adjustment factor * (aggregate opening RAB value for existing assets for the base year ÷ total depreciation for the base year)
less the number of disclosure years from the base year to the disclosure year in question;</t>
        </r>
      </text>
    </comment>
    <comment ref="L22" authorId="0" shapeId="0" xr:uid="{9328E3CF-232E-45E0-BA59-59FBB0E78AD1}">
      <text>
        <r>
          <rPr>
            <b/>
            <sz val="9"/>
            <color indexed="81"/>
            <rFont val="Tahoma"/>
            <family val="2"/>
          </rPr>
          <t>Author:</t>
        </r>
        <r>
          <rPr>
            <sz val="9"/>
            <color indexed="81"/>
            <rFont val="Tahoma"/>
            <family val="2"/>
          </rPr>
          <t xml:space="preserve">
Aggregate opening RAB value for existing assets means, for-
(a) the base year, the sum of each 'opening RAB value' for all assets calculated in accordance with Part 2 for that disclosure year; and
(b) each disclosure year thereafter, the aggregate closing RAB value for existing assets for the preceding disclosure year.</t>
        </r>
      </text>
    </comment>
    <comment ref="L24" authorId="0" shapeId="0" xr:uid="{31B4403F-4D51-48A6-AC1C-8AD1F217060A}">
      <text>
        <r>
          <rPr>
            <b/>
            <sz val="9"/>
            <color indexed="81"/>
            <rFont val="Tahoma"/>
            <family val="2"/>
          </rPr>
          <t>Author:</t>
        </r>
        <r>
          <rPr>
            <sz val="9"/>
            <color indexed="81"/>
            <rFont val="Tahoma"/>
            <family val="2"/>
          </rPr>
          <t xml:space="preserve">
For the purpose of subclause (1), 'revaluation' means, subject to subclause (3), in the case of-
(a) existing assets, the value determined in accordance with the formula-
(aggregate opening RAB value for existing assets × 0.999 − forecast aggregate value of disposed assets) × revaluation rate; </t>
        </r>
      </text>
    </comment>
    <comment ref="L25" authorId="0" shapeId="0" xr:uid="{35C70799-B0ED-4768-A168-C92A55AA354B}">
      <text>
        <r>
          <rPr>
            <b/>
            <sz val="9"/>
            <color indexed="81"/>
            <rFont val="Tahoma"/>
            <family val="2"/>
          </rPr>
          <t>Author:</t>
        </r>
        <r>
          <rPr>
            <sz val="9"/>
            <color indexed="81"/>
            <rFont val="Tahoma"/>
            <family val="2"/>
          </rPr>
          <t xml:space="preserve">
For the purpose of subclause (1), 'depreciation' means, subject to subclause (3), in the case of-
(a) existing assets of the EDB, for-
(i) the base year, the sum of all amounts of 'depreciation' determined in accordance with Part 2 for that disclosure year; and
(ii) each disclosure year thereafter, the value determined in accordance with the formula-
[1 ÷ remaining asset life for existing assets] × aggregate opening RAB value for existing assets;</t>
        </r>
      </text>
    </comment>
    <comment ref="L26" authorId="0" shapeId="0" xr:uid="{D50387FA-92E6-4F1B-B802-83535555E1AD}">
      <text>
        <r>
          <rPr>
            <b/>
            <sz val="9"/>
            <color indexed="81"/>
            <rFont val="Tahoma"/>
            <family val="2"/>
          </rPr>
          <t>Author:</t>
        </r>
        <r>
          <rPr>
            <sz val="9"/>
            <color indexed="81"/>
            <rFont val="Tahoma"/>
            <family val="2"/>
          </rPr>
          <t xml:space="preserve">
Aggregate closing RAB value for existing assets means, for-
(a) the base year, the sum of each 'closing RAB value' for all assets calculated in accordance with Part 2 for that disclosure year; and
(b) each disclosure year thereafter, the value determined in accordance with the formula-
aggregate opening RAB value for existing assets − depreciation for existing assets + revaluation for existing assets − forecast aggregate value of disposed assets.</t>
        </r>
      </text>
    </comment>
    <comment ref="L35" authorId="0" shapeId="0" xr:uid="{6439F9EF-D959-460B-939E-D128DC5938EF}">
      <text>
        <r>
          <rPr>
            <b/>
            <sz val="9"/>
            <color indexed="81"/>
            <rFont val="Tahoma"/>
            <family val="2"/>
          </rPr>
          <t>Author:</t>
        </r>
        <r>
          <rPr>
            <sz val="9"/>
            <color indexed="81"/>
            <rFont val="Tahoma"/>
            <family val="2"/>
          </rPr>
          <t xml:space="preserve">
Aggregate opening RAB value for additional assets means the aggregate closing RAB value for additional assets for the preceding disclosure year.</t>
        </r>
      </text>
    </comment>
    <comment ref="L36" authorId="0" shapeId="0" xr:uid="{D964FE84-C2C7-4C9A-A573-40B89A73B56E}">
      <text>
        <r>
          <rPr>
            <b/>
            <sz val="9"/>
            <color indexed="81"/>
            <rFont val="Tahoma"/>
            <family val="2"/>
          </rPr>
          <t>Author:</t>
        </r>
        <r>
          <rPr>
            <sz val="9"/>
            <color indexed="81"/>
            <rFont val="Tahoma"/>
            <family val="2"/>
          </rPr>
          <t xml:space="preserve">
For the purpose of subclause (2)- ...
(b)  for the purposes of subclause (2)(b), ‘remaining asset life for additional assets’ for a disclosure year means 45 years less the number of disclosure years from the disclosure year for which the forecast aggregate value of commissioned assets for the relevant additional assets is determined to the disclosure year in question.</t>
        </r>
      </text>
    </comment>
    <comment ref="L37" authorId="0" shapeId="0" xr:uid="{A9BCF9AC-5BAE-4902-B9B9-FBB9EFE3193E}">
      <text>
        <r>
          <rPr>
            <b/>
            <sz val="9"/>
            <color indexed="81"/>
            <rFont val="Tahoma"/>
            <family val="2"/>
          </rPr>
          <t>Author:</t>
        </r>
        <r>
          <rPr>
            <sz val="9"/>
            <color indexed="81"/>
            <rFont val="Tahoma"/>
            <family val="2"/>
          </rPr>
          <t xml:space="preserve">
(2) For the purpose of subclause (1), 'revaluation' means, subject to subclause (3), in the case of-  ...
(b) additional assets, the value determined in accordance with the formula-
aggregate opening RAB value for additional assets × revaluation rate.</t>
        </r>
      </text>
    </comment>
    <comment ref="L38" authorId="0" shapeId="0" xr:uid="{4190B3C3-D5C5-4F4A-9A71-23501A423549}">
      <text>
        <r>
          <rPr>
            <b/>
            <sz val="9"/>
            <color indexed="81"/>
            <rFont val="Tahoma"/>
            <family val="2"/>
          </rPr>
          <t>Author:</t>
        </r>
        <r>
          <rPr>
            <sz val="9"/>
            <color indexed="81"/>
            <rFont val="Tahoma"/>
            <family val="2"/>
          </rPr>
          <t xml:space="preserve">
(2) For the purpose of subclause (1), 'depreciation' means, subject to subclause (3), in the case of-  ...
(b) additional assets of the EDB, the value determined in accordance with the formula-
[1 ÷ remaining asset life for additional assets] × aggregate opening RAB value for additional assets.</t>
        </r>
      </text>
    </comment>
    <comment ref="L39" authorId="0" shapeId="0" xr:uid="{493000C3-292A-4C23-831D-A96B9F11B162}">
      <text>
        <r>
          <rPr>
            <b/>
            <sz val="9"/>
            <color indexed="81"/>
            <rFont val="Tahoma"/>
            <family val="2"/>
          </rPr>
          <t>Author:</t>
        </r>
        <r>
          <rPr>
            <sz val="9"/>
            <color indexed="81"/>
            <rFont val="Tahoma"/>
            <family val="2"/>
          </rPr>
          <t xml:space="preserve">
(5) Aggregate closing RAB value for additional assets means, for-  ...
(b) additional assets for a disclosure year following that for which their forecast aggregate value of commissioned assets is determined, the value determined for those additional assets in accordance with the formula-
aggregate opening RAB value for additional assets − depreciation for additional assets + revaluation for additional assets.</t>
        </r>
      </text>
    </comment>
    <comment ref="L86" authorId="0" shapeId="0" xr:uid="{D166F201-16BB-4950-98D2-ED23CDBAD269}">
      <text>
        <r>
          <rPr>
            <b/>
            <sz val="9"/>
            <color indexed="81"/>
            <rFont val="Tahoma"/>
            <family val="2"/>
          </rPr>
          <t>Author:</t>
        </r>
        <r>
          <rPr>
            <sz val="9"/>
            <color indexed="81"/>
            <rFont val="Tahoma"/>
            <family val="2"/>
          </rPr>
          <t xml:space="preserve">
4.2.1 RAB values and roll forward
(1) Total opening RAB value for a disclosure year means the sum of-
(a) aggregate opening RAB value for existing assets calculated under subclause (2); and
(b) aggregate opening RAB value for additional assets calculated under subclause (4) for those additional assets which have a forecast aggregate value of commissioned assets determined for a prior disclosure year occurring after the base year.</t>
        </r>
      </text>
    </comment>
    <comment ref="L87" authorId="0" shapeId="0" xr:uid="{BC8063D3-D556-4642-9176-645A34B9CA6B}">
      <text>
        <r>
          <rPr>
            <b/>
            <sz val="9"/>
            <color indexed="81"/>
            <rFont val="Tahoma"/>
            <family val="2"/>
          </rPr>
          <t>Author:</t>
        </r>
        <r>
          <rPr>
            <sz val="9"/>
            <color indexed="81"/>
            <rFont val="Tahoma"/>
            <family val="2"/>
          </rPr>
          <t xml:space="preserve">
4.2.3 Total revaluation
(1) Total revaluation means the sum of revaluation for existing assets and additional assets calculated under subclause (2).</t>
        </r>
      </text>
    </comment>
    <comment ref="L88" authorId="0" shapeId="0" xr:uid="{AA57B19F-F129-4491-95CC-2AEDC6940D1D}">
      <text>
        <r>
          <rPr>
            <b/>
            <sz val="9"/>
            <color indexed="81"/>
            <rFont val="Tahoma"/>
            <family val="2"/>
          </rPr>
          <t>Author:</t>
        </r>
        <r>
          <rPr>
            <sz val="9"/>
            <color indexed="81"/>
            <rFont val="Tahoma"/>
            <family val="2"/>
          </rPr>
          <t xml:space="preserve">
4.2.2 Total depreciation
(1) Total depreciation means the sum of depreciation for existing assets and additional assets calculated under subclause (2).</t>
        </r>
      </text>
    </comment>
    <comment ref="L89" authorId="0" shapeId="0" xr:uid="{7AC2213F-5578-443F-87B7-84D9D64B32C3}">
      <text>
        <r>
          <rPr>
            <b/>
            <sz val="9"/>
            <color indexed="81"/>
            <rFont val="Tahoma"/>
            <family val="2"/>
          </rPr>
          <t>Author:</t>
        </r>
        <r>
          <rPr>
            <sz val="9"/>
            <color indexed="81"/>
            <rFont val="Tahoma"/>
            <family val="2"/>
          </rPr>
          <t xml:space="preserve">
Total opening RAB value for a disclosure year means the sum of-
(a) aggregate opening RAB value for existing assets … ; and
(b) aggregate opening RAB value for additional assets ...</t>
        </r>
      </text>
    </comment>
    <comment ref="L99" authorId="0" shapeId="0" xr:uid="{CF83C74D-6CF2-473C-83D1-674AA8207BBE}">
      <text>
        <r>
          <rPr>
            <b/>
            <sz val="9"/>
            <color indexed="81"/>
            <rFont val="Tahoma"/>
            <family val="2"/>
          </rPr>
          <t>Author:</t>
        </r>
        <r>
          <rPr>
            <sz val="9"/>
            <color indexed="81"/>
            <rFont val="Tahoma"/>
            <family val="2"/>
          </rPr>
          <t xml:space="preserve">
(2) Term credit spread differential allowance for a disclosure year and an EDB is the maximum of nil and the amount determined in accordance with the formula-
a × b ÷ c,
where-
a means the 'term credit spread differential allowance' calculated in accordance with Part 2 for the base year;
b means the total opening RAB value for the disclosure year in question; and
c means the aggregate opening RAB value for existing assets for the base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1" authorId="0" shapeId="0" xr:uid="{338B0AA3-502E-4C46-8503-D240B756B44A}">
      <text>
        <r>
          <rPr>
            <b/>
            <sz val="9"/>
            <color indexed="81"/>
            <rFont val="Tahoma"/>
            <family val="2"/>
          </rPr>
          <t>Author:</t>
        </r>
        <r>
          <rPr>
            <sz val="9"/>
            <color indexed="81"/>
            <rFont val="Tahoma"/>
            <family val="2"/>
          </rPr>
          <t xml:space="preserve">
Aggregate closing RAB value for existing assets means, for-
(a) the base year, the sum of each 'closing RAB value' for all assets calculated in accordance with Part 2 for that disclosure year; and
(b) each disclosure year thereafter, the value determined in accordance with the formula-
3792045 Electricity Distribution Services Input Methodologies Determination 2012 (Consolidated 20 May 2020) 115
aggregate opening RAB value for existing assets − depreciation for existing assets + revaluation for existing assets − forecast aggregate value of disposed assets.
(4) Aggregate opening RAB value for additional assets</t>
        </r>
      </text>
    </comment>
    <comment ref="L32" authorId="0" shapeId="0" xr:uid="{928DB537-653B-4B67-9AD2-C4B362A3A7B6}">
      <text>
        <r>
          <rPr>
            <b/>
            <sz val="9"/>
            <color indexed="81"/>
            <rFont val="Tahoma"/>
            <family val="2"/>
          </rPr>
          <t>Author:</t>
        </r>
        <r>
          <rPr>
            <sz val="9"/>
            <color indexed="81"/>
            <rFont val="Tahoma"/>
            <family val="2"/>
          </rPr>
          <t xml:space="preserve">
for the purposes of subclause (2)(b), ‘remaining asset life for additional assets’ for a disclosure year means 45 years less the number of disclosure years from the disclosure year for which the forecast aggregate value of commissioned assets for the relevant additional assets is determined to the disclosure year in question.</t>
        </r>
      </text>
    </comment>
    <comment ref="L33" authorId="0" shapeId="0" xr:uid="{F4ACCB56-C42D-4526-BDD3-104B46CA4CC1}">
      <text>
        <r>
          <rPr>
            <b/>
            <sz val="9"/>
            <color indexed="81"/>
            <rFont val="Tahoma"/>
            <family val="2"/>
          </rPr>
          <t>Author:</t>
        </r>
        <r>
          <rPr>
            <sz val="9"/>
            <color indexed="81"/>
            <rFont val="Tahoma"/>
            <family val="2"/>
          </rPr>
          <t xml:space="preserve">
2) For the purpose of subclause (1), 'depreciation' means, subject to subclause (3), in the case of-
... ; and
(b) additional assets of the EDB, the value determined in accordance with the formula-
[1 ÷ remaining asset life for additional assets] × aggregate opening RAB value for additional assets.</t>
        </r>
      </text>
    </comment>
    <comment ref="L34" authorId="0" shapeId="0" xr:uid="{0DE2485C-4EA5-4AE5-8119-BB387EE1127F}">
      <text>
        <r>
          <rPr>
            <b/>
            <sz val="9"/>
            <color indexed="81"/>
            <rFont val="Tahoma"/>
            <family val="2"/>
          </rPr>
          <t>Author:</t>
        </r>
        <r>
          <rPr>
            <sz val="9"/>
            <color indexed="81"/>
            <rFont val="Tahoma"/>
            <family val="2"/>
          </rPr>
          <t xml:space="preserve">
Aggregate closing RAB value for additional assets means, for-
(a) additional assets in respect of the disclosure year for which their forecast aggregate value of commissioned assets is determined, the forecast aggregate value of commissioned assets; and
(b) additional assets for a disclosure year following that for which their forecast aggregate value of commissioned assets is determined, the value determined for those additional assets in accordance with the formula-
aggregate opening RAB value for additional assets − depreciation for additional assets + revaluation for additional assets.</t>
        </r>
      </text>
    </comment>
    <comment ref="L69" authorId="0" shapeId="0" xr:uid="{4FD2366F-6FE5-4C10-A72F-FD22014F784D}">
      <text>
        <r>
          <rPr>
            <b/>
            <sz val="9"/>
            <color indexed="81"/>
            <rFont val="Tahoma"/>
            <family val="2"/>
          </rPr>
          <t>Author:</t>
        </r>
        <r>
          <rPr>
            <sz val="9"/>
            <color indexed="81"/>
            <rFont val="Tahoma"/>
            <family val="2"/>
          </rPr>
          <t xml:space="preserve">
Aggregate opening RAB value for existing assets means, for-
(a) the base year, the sum of each 'opening RAB value' for all assets calculated in accordance with Part 2 for that disclosure year; and
(b) each disclosure year thereafter, the aggregate closing RAB value for existing assets for the preceding disclosure year</t>
        </r>
      </text>
    </comment>
    <comment ref="L71" authorId="0" shapeId="0" xr:uid="{DB405B99-A352-45D3-A55C-C44A40923EF3}">
      <text>
        <r>
          <rPr>
            <b/>
            <sz val="9"/>
            <color indexed="81"/>
            <rFont val="Tahoma"/>
            <family val="2"/>
          </rPr>
          <t>Author:</t>
        </r>
        <r>
          <rPr>
            <sz val="9"/>
            <color indexed="81"/>
            <rFont val="Tahoma"/>
            <family val="2"/>
          </rPr>
          <t xml:space="preserve">
For the purpose of subclause (1), 'depreciation' means, subject to subclause (3), in the case of-
(a) existing assets of the EDB, for-
(i) the base year, the sum of all amounts of 'depreciation' determined in accordance with Part 2 for that disclosure year; and
(ii) each disclosure year thereafter, the value determined in accordance with the formula-
[1 ÷ remaining asset life for existing assets] × aggregate opening RAB value for existing assets; and</t>
        </r>
      </text>
    </comment>
    <comment ref="L73" authorId="0" shapeId="0" xr:uid="{A9F98D97-EAF4-4140-A3FC-3E140BB8990B}">
      <text>
        <r>
          <rPr>
            <b/>
            <sz val="9"/>
            <color indexed="81"/>
            <rFont val="Tahoma"/>
            <family val="2"/>
          </rPr>
          <t>Author:</t>
        </r>
        <r>
          <rPr>
            <sz val="9"/>
            <color indexed="81"/>
            <rFont val="Tahoma"/>
            <family val="2"/>
          </rPr>
          <t xml:space="preserve">
Aggregate closing RAB value for existing assets means, for-
(a) the base year, the sum of each 'closing RAB value' for all assets calculated in accordance with Part 2 for that disclosure year; and
(b) each disclosure year thereafter, the value determined in accordance with the formula-
aggregate opening RAB value for existing assets − depreciation for existing assets + revaluation for existing assets − forecast aggregate value of disposed assets.</t>
        </r>
      </text>
    </comment>
    <comment ref="L76" authorId="0" shapeId="0" xr:uid="{3E2A4F8B-DFBF-4F47-9FE6-3CE4AE9DE2A6}">
      <text>
        <r>
          <rPr>
            <b/>
            <sz val="9"/>
            <color indexed="81"/>
            <rFont val="Tahoma"/>
            <family val="2"/>
          </rPr>
          <t>Author:</t>
        </r>
        <r>
          <rPr>
            <sz val="9"/>
            <color indexed="81"/>
            <rFont val="Tahoma"/>
            <family val="2"/>
          </rPr>
          <t xml:space="preserve">
(b) 'average DV rate' is the amount determined in accordance with the formula-
tax depreciation for the base year ÷ total opening regulatory tax asset value for the base year; and</t>
        </r>
      </text>
    </comment>
    <comment ref="L77" authorId="0" shapeId="0" xr:uid="{D31276A5-1AF2-48AB-87DC-B5042BACF2A1}">
      <text>
        <r>
          <rPr>
            <b/>
            <sz val="9"/>
            <color indexed="81"/>
            <rFont val="Tahoma"/>
            <family val="2"/>
          </rPr>
          <t>Author:</t>
        </r>
        <r>
          <rPr>
            <sz val="9"/>
            <color indexed="81"/>
            <rFont val="Tahoma"/>
            <family val="2"/>
          </rPr>
          <t xml:space="preserve">
(3) For the purpose of subclause (2)-
(a) 'total opening regulatory tax asset value' for a disclosure year means, for-
(i) the base year, the sum of each 'regulatory tax asset value' determined in accordance with Part 2 for that disclosure year; and
(ii) each disclosure year thereafter, the total closing regulatory tax asset value for the preceding disclosure year;
</t>
        </r>
      </text>
    </comment>
    <comment ref="L78" authorId="0" shapeId="0" xr:uid="{BC4048FF-3AFA-41C7-8F61-27CB45139810}">
      <text>
        <r>
          <rPr>
            <b/>
            <sz val="9"/>
            <color indexed="81"/>
            <rFont val="Tahoma"/>
            <family val="2"/>
          </rPr>
          <t>Author:</t>
        </r>
        <r>
          <rPr>
            <sz val="9"/>
            <color indexed="81"/>
            <rFont val="Tahoma"/>
            <family val="2"/>
          </rPr>
          <t xml:space="preserve">
'tax depreciation' for a disclosure year means, for-
(a) the base year, the 'tax depreciation' determined in accordance with Part 2 for that disclosure year; and
(b) each disclosure year thereafter, subject to subclause (3), determined in accordance with the formula-
total opening regulatory tax asset value × average DV rate</t>
        </r>
      </text>
    </comment>
    <comment ref="L80" authorId="0" shapeId="0" xr:uid="{84AC4AC3-BA56-41D7-BC1E-9381E4A83C1B}">
      <text>
        <r>
          <rPr>
            <b/>
            <sz val="9"/>
            <color indexed="81"/>
            <rFont val="Tahoma"/>
            <family val="2"/>
          </rPr>
          <t>Author:</t>
        </r>
        <r>
          <rPr>
            <sz val="9"/>
            <color indexed="81"/>
            <rFont val="Tahoma"/>
            <family val="2"/>
          </rPr>
          <t xml:space="preserve">
total opening regulatory tax asset value − tax depreciation + forecast aggregate value of commissioned assets.</t>
        </r>
      </text>
    </comment>
    <comment ref="L83" authorId="0" shapeId="0" xr:uid="{FEE858E4-482B-4E4E-AA99-15B9F1C315D8}">
      <text>
        <r>
          <rPr>
            <b/>
            <sz val="9"/>
            <color indexed="81"/>
            <rFont val="Tahoma"/>
            <family val="2"/>
          </rPr>
          <t>Author:</t>
        </r>
        <r>
          <rPr>
            <sz val="9"/>
            <color indexed="81"/>
            <rFont val="Tahoma"/>
            <family val="2"/>
          </rPr>
          <t xml:space="preserve">
adjusted depreciation means total depreciation for all assets calculated as if no amount of revaluation had been included in the calculation of any opening RAB value following the determination of the initial RAB, where:
(a) any remaining asset lives used in calculating ‘adjusted depreciation’ for the purposes of Part 2 and Part 5 must be consistent with the remaining asset lives used for calculating total depreciation; and
(b) any remaining asset lives for existing assets used in calculating ‘adjusted depreciation’ must be consistent with the remaining asset lives for existing assets used for calculating total depreciation</t>
        </r>
      </text>
    </comment>
    <comment ref="L85" authorId="0" shapeId="0" xr:uid="{7BD1E862-AF08-431B-9FEF-550CD68AD18D}">
      <text>
        <r>
          <rPr>
            <b/>
            <sz val="9"/>
            <color indexed="81"/>
            <rFont val="Tahoma"/>
            <family val="2"/>
          </rPr>
          <t>Author:</t>
        </r>
        <r>
          <rPr>
            <sz val="9"/>
            <color indexed="81"/>
            <rFont val="Tahoma"/>
            <family val="2"/>
          </rPr>
          <t xml:space="preserve">
Depreciation temporary differences means, subject to subclause (2), the amount determined in accordance with the formula-
adjusted depreciation − tax depreciation.</t>
        </r>
      </text>
    </comment>
    <comment ref="L88" authorId="0" shapeId="0" xr:uid="{463A2FD5-59E7-401A-BD66-9A8A1275DCF4}">
      <text>
        <r>
          <rPr>
            <b/>
            <sz val="9"/>
            <color indexed="81"/>
            <rFont val="Tahoma"/>
            <family val="2"/>
          </rPr>
          <t>Author:</t>
        </r>
        <r>
          <rPr>
            <sz val="9"/>
            <color indexed="81"/>
            <rFont val="Tahoma"/>
            <family val="2"/>
          </rPr>
          <t xml:space="preserve">
Opening deferred tax means, for-
(a) the base year, the 'opening deferred tax' determined in accordance with Part 2 for that disclosure year; and
(b) subject to paragraph (c), each disclosure year thereafter, closing deferred tax for the preceding disclosure year; and
(c) each disclosure year after the base year referred to in paragraph (a), for assets for which there is no regulatory tax asset value, the opening deferred tax balance under GAAP for those assets at the date when those assets are forecast to be commissioned.</t>
        </r>
      </text>
    </comment>
    <comment ref="L90" authorId="0" shapeId="0" xr:uid="{2EBA7566-7B53-4801-AD16-D96D5DF1EA98}">
      <text>
        <r>
          <rPr>
            <b/>
            <sz val="9"/>
            <color indexed="81"/>
            <rFont val="Tahoma"/>
            <family val="2"/>
          </rPr>
          <t>Author:</t>
        </r>
        <r>
          <rPr>
            <sz val="9"/>
            <color indexed="81"/>
            <rFont val="Tahoma"/>
            <family val="2"/>
          </rPr>
          <t xml:space="preserve">
For the purpose of subclause (1), 'amortisation of initial differences in asset values' is determined in accordance with Part 2 as of the base year.</t>
        </r>
      </text>
    </comment>
    <comment ref="L91" authorId="0" shapeId="0" xr:uid="{76488BA0-D73D-493C-B45C-7B26D43DF79D}">
      <text>
        <r>
          <rPr>
            <b/>
            <sz val="9"/>
            <color indexed="81"/>
            <rFont val="Tahoma"/>
            <family val="2"/>
          </rPr>
          <t>Author:</t>
        </r>
        <r>
          <rPr>
            <sz val="9"/>
            <color indexed="81"/>
            <rFont val="Tahoma"/>
            <family val="2"/>
          </rPr>
          <t xml:space="preserve">
(2) For the purpose of subclause (1)(b), 'closing deferred tax' is determined in accordance with the formula-
opening deferred tax + tax effect of depreciation temporary differences − tax effect of amortisation of initial differences in asset values.</t>
        </r>
      </text>
    </comment>
    <comment ref="L95" authorId="0" shapeId="0" xr:uid="{3C1B5C46-F2E5-4A7D-9BC4-C364146A04D4}">
      <text>
        <r>
          <rPr>
            <b/>
            <sz val="9"/>
            <color indexed="81"/>
            <rFont val="Tahoma"/>
            <family val="2"/>
          </rPr>
          <t>Author:</t>
        </r>
        <r>
          <rPr>
            <sz val="9"/>
            <color indexed="81"/>
            <rFont val="Tahoma"/>
            <family val="2"/>
          </rPr>
          <t xml:space="preserve">
(2) For the purpose of subclause (1), 'notional deductible interest' means the amount determined in accordance with the formula–
((opening investment value x leverage x cost of debt) + term credit spread differential allowance)
÷
√(1 + cost of debt).
...
(4) For the purpose of subclause (2), 'opening investment value' means the amount obtained in accordance with the formula-
total opening RAB value + opening deferred tax.</t>
        </r>
      </text>
    </comment>
    <comment ref="L96" authorId="0" shapeId="0" xr:uid="{FCDE7265-56B9-429E-B2F7-0B530B208E3D}">
      <text>
        <r>
          <rPr>
            <b/>
            <sz val="9"/>
            <color indexed="81"/>
            <rFont val="Tahoma"/>
            <family val="2"/>
          </rPr>
          <t>Author:</t>
        </r>
        <r>
          <rPr>
            <sz val="9"/>
            <color indexed="81"/>
            <rFont val="Tahoma"/>
            <family val="2"/>
          </rPr>
          <t xml:space="preserve">
(5) For the purpose of subclause (1), 'amortisation of revaluations' in relation to an EDB for a disclosure year is calculated in accordance with the formula-
total depreciation − adjusted depreciation.</t>
        </r>
      </text>
    </comment>
    <comment ref="L97" authorId="0" shapeId="0" xr:uid="{D7CCA6D6-E71C-48BE-934A-EE88985D162E}">
      <text>
        <r>
          <rPr>
            <b/>
            <sz val="9"/>
            <color indexed="81"/>
            <rFont val="Tahoma"/>
            <family val="2"/>
          </rPr>
          <t>Author:</t>
        </r>
        <r>
          <rPr>
            <sz val="9"/>
            <color indexed="81"/>
            <rFont val="Tahoma"/>
            <family val="2"/>
          </rPr>
          <t xml:space="preserve">
Regulatory tax adjustments are determined, as: 
amortisation of initial differences in asset values + amortisation of revaluations − notional deductible interest.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29" authorId="0" shapeId="0" xr:uid="{123BDEC4-52FB-4955-9720-B945056DF9A1}">
      <text>
        <r>
          <rPr>
            <b/>
            <sz val="9"/>
            <color indexed="81"/>
            <rFont val="Tahoma"/>
            <family val="2"/>
          </rPr>
          <t>Author:</t>
        </r>
        <r>
          <rPr>
            <sz val="9"/>
            <color indexed="81"/>
            <rFont val="Tahoma"/>
            <family val="2"/>
          </rPr>
          <t xml:space="preserve">
(4) For the purpose of subclause (2), 'opening investment value' means the amount obtained in accordance with the formula-
total opening RAB value + opening deferred tax.</t>
        </r>
      </text>
    </comment>
    <comment ref="L43" authorId="0" shapeId="0" xr:uid="{4234F386-0A6F-490C-A9E6-D0819A3ACB67}">
      <text>
        <r>
          <rPr>
            <b/>
            <sz val="9"/>
            <color indexed="81"/>
            <rFont val="Tahoma"/>
            <family val="2"/>
          </rPr>
          <t>Author:</t>
        </r>
        <r>
          <rPr>
            <sz val="9"/>
            <color indexed="81"/>
            <rFont val="Tahoma"/>
            <family val="2"/>
          </rPr>
          <t xml:space="preserve">
'regulatory net taxable income' means, subject to subclause (3), regulatory taxable income less utilised tax losses
We do not apply this formula, instead assuming that tax losses will not arise. Should they arise, the result of this row are poisoned with #N/A values that will propagate through all values downstream of this row such at the Outputs sheet will raise the alarm that something is amiss.</t>
        </r>
      </text>
    </comment>
    <comment ref="L46" authorId="0" shapeId="0" xr:uid="{43C324F8-4A80-4DE2-A07E-5AA2DFAE9FE7}">
      <text>
        <r>
          <rPr>
            <b/>
            <sz val="9"/>
            <color indexed="81"/>
            <rFont val="Tahoma"/>
            <family val="2"/>
          </rPr>
          <t>Author:</t>
        </r>
        <r>
          <rPr>
            <sz val="9"/>
            <color indexed="81"/>
            <rFont val="Tahoma"/>
            <family val="2"/>
          </rPr>
          <t xml:space="preserve">
regulatory profit / (loss) before tax' is: allowable revenue before tax + other regulated income − operating expenditure − total depreciation. 
Regulatory tax allowance is the tax effect of this profit value. Other regulated income is not accounted for in this workbook as it is accounted for as part of the wash-up mechanism.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1" authorId="0" shapeId="0" xr:uid="{0B094B74-3C38-4140-A2B6-D33E11993FB4}">
      <text>
        <r>
          <rPr>
            <b/>
            <sz val="9"/>
            <color indexed="81"/>
            <rFont val="Tahoma"/>
            <family val="2"/>
          </rPr>
          <t>Author:</t>
        </r>
        <r>
          <rPr>
            <sz val="9"/>
            <color indexed="81"/>
            <rFont val="Tahoma"/>
            <family val="2"/>
          </rPr>
          <t xml:space="preserve">
Aggregate closing RAB value for existing assets means, for-
(a) the base year, the sum of each 'closing RAB value' for all assets calculated in accordance with Part 2 for that disclosure year; and
(b) each disclosure year thereafter, the value determined in accordance with the formula-
3792045 Electricity Distribution Services Input Methodologies Determination 2012 (Consolidated 20 May 2020) 115
aggregate opening RAB value for existing assets − depreciation for existing assets + revaluation for existing assets − forecast aggregate value of disposed assets.
(4) Aggregate opening RAB value for additional assets</t>
        </r>
      </text>
    </comment>
    <comment ref="L32" authorId="0" shapeId="0" xr:uid="{2E49F3F5-8158-4275-9BE1-94658EFBF671}">
      <text>
        <r>
          <rPr>
            <b/>
            <sz val="9"/>
            <color indexed="81"/>
            <rFont val="Tahoma"/>
            <family val="2"/>
          </rPr>
          <t>Author:</t>
        </r>
        <r>
          <rPr>
            <sz val="9"/>
            <color indexed="81"/>
            <rFont val="Tahoma"/>
            <family val="2"/>
          </rPr>
          <t xml:space="preserve">
for the purposes of subclause (2)(b), ‘remaining asset life for additional assets’ for a disclosure year means 45 years less the number of disclosure years from the disclosure year for which the forecast aggregate value of commissioned assets for the relevant additional assets is determined to the disclosure year in question.</t>
        </r>
      </text>
    </comment>
    <comment ref="L33" authorId="0" shapeId="0" xr:uid="{B07C187F-EBC2-4B48-9489-755087A14D68}">
      <text>
        <r>
          <rPr>
            <b/>
            <sz val="9"/>
            <color indexed="81"/>
            <rFont val="Tahoma"/>
            <family val="2"/>
          </rPr>
          <t>Author:</t>
        </r>
        <r>
          <rPr>
            <sz val="9"/>
            <color indexed="81"/>
            <rFont val="Tahoma"/>
            <family val="2"/>
          </rPr>
          <t xml:space="preserve">
2) For the purpose of subclause (1), 'depreciation' means, subject to subclause (3), in the case of-
... ; and
(b) additional assets of the EDB, the value determined in accordance with the formula-
[1 ÷ remaining asset life for additional assets] × aggregate opening RAB value for additional assets.</t>
        </r>
      </text>
    </comment>
    <comment ref="L34" authorId="0" shapeId="0" xr:uid="{ADC37598-5977-42D7-8893-DD074C33BF3E}">
      <text>
        <r>
          <rPr>
            <b/>
            <sz val="9"/>
            <color indexed="81"/>
            <rFont val="Tahoma"/>
            <family val="2"/>
          </rPr>
          <t>Author:</t>
        </r>
        <r>
          <rPr>
            <sz val="9"/>
            <color indexed="81"/>
            <rFont val="Tahoma"/>
            <family val="2"/>
          </rPr>
          <t xml:space="preserve">
Aggregate closing RAB value for additional assets means, for-
(a) additional assets in respect of the disclosure year for which their forecast aggregate value of commissioned assets is determined, the forecast aggregate value of commissioned assets; and
(b) additional assets for a disclosure year following that for which their forecast aggregate value of commissioned assets is determined, the value determined for those additional assets in accordance with the formula-
aggregate opening RAB value for additional assets − depreciation for additional assets + revaluation for additional assets.</t>
        </r>
      </text>
    </comment>
    <comment ref="L69" authorId="0" shapeId="0" xr:uid="{F0FA3459-7E86-401F-820A-E9FE7787D27E}">
      <text>
        <r>
          <rPr>
            <b/>
            <sz val="9"/>
            <color indexed="81"/>
            <rFont val="Tahoma"/>
            <family val="2"/>
          </rPr>
          <t>Author:</t>
        </r>
        <r>
          <rPr>
            <sz val="9"/>
            <color indexed="81"/>
            <rFont val="Tahoma"/>
            <family val="2"/>
          </rPr>
          <t xml:space="preserve">
Aggregate opening RAB value for existing assets means, for-
(a) the base year, the sum of each 'opening RAB value' for all assets calculated in accordance with Part 2 for that disclosure year; and
(b) each disclosure year thereafter, the aggregate closing RAB value for existing assets for the preceding disclosure year</t>
        </r>
      </text>
    </comment>
    <comment ref="L71" authorId="0" shapeId="0" xr:uid="{BC3BAF06-4AD7-4472-AD8E-48FBB2BF747A}">
      <text>
        <r>
          <rPr>
            <b/>
            <sz val="9"/>
            <color indexed="81"/>
            <rFont val="Tahoma"/>
            <family val="2"/>
          </rPr>
          <t>Author:</t>
        </r>
        <r>
          <rPr>
            <sz val="9"/>
            <color indexed="81"/>
            <rFont val="Tahoma"/>
            <family val="2"/>
          </rPr>
          <t xml:space="preserve">
For the purpose of subclause (1), 'depreciation' means, subject to subclause (3), in the case of-
(a) existing assets of the EDB, for-
(i) the base year, the sum of all amounts of 'depreciation' determined in accordance with Part 2 for that disclosure year; and
(ii) each disclosure year thereafter, the value determined in accordance with the formula-
[1 ÷ remaining asset life for existing assets] × aggregate opening RAB value for existing assets; and</t>
        </r>
      </text>
    </comment>
    <comment ref="L73" authorId="0" shapeId="0" xr:uid="{817159D5-735F-4464-AB0D-8EBD12A65FF2}">
      <text>
        <r>
          <rPr>
            <b/>
            <sz val="9"/>
            <color indexed="81"/>
            <rFont val="Tahoma"/>
            <family val="2"/>
          </rPr>
          <t>Author:</t>
        </r>
        <r>
          <rPr>
            <sz val="9"/>
            <color indexed="81"/>
            <rFont val="Tahoma"/>
            <family val="2"/>
          </rPr>
          <t xml:space="preserve">
Aggregate closing RAB value for existing assets means, for-
(a) the base year, the sum of each 'closing RAB value' for all assets calculated in accordance with Part 2 for that disclosure year; and
(b) each disclosure year thereafter, the value determined in accordance with the formula-
aggregate opening RAB value for existing assets − depreciation for existing assets + revaluation for existing assets − forecast aggregate value of disposed assets.</t>
        </r>
      </text>
    </comment>
    <comment ref="L76" authorId="0" shapeId="0" xr:uid="{118051EE-829F-40E4-8840-A015C0A5534A}">
      <text>
        <r>
          <rPr>
            <b/>
            <sz val="9"/>
            <color indexed="81"/>
            <rFont val="Tahoma"/>
            <family val="2"/>
          </rPr>
          <t>Author:</t>
        </r>
        <r>
          <rPr>
            <sz val="9"/>
            <color indexed="81"/>
            <rFont val="Tahoma"/>
            <family val="2"/>
          </rPr>
          <t xml:space="preserve">
(b) 'average DV rate' is the amount determined in accordance with the formula-
tax depreciation for the base year ÷ total opening regulatory tax asset value for the base year; and</t>
        </r>
      </text>
    </comment>
    <comment ref="L77" authorId="0" shapeId="0" xr:uid="{9DF6933B-3B73-45F6-82FE-0510A9CEB6C0}">
      <text>
        <r>
          <rPr>
            <b/>
            <sz val="9"/>
            <color indexed="81"/>
            <rFont val="Tahoma"/>
            <family val="2"/>
          </rPr>
          <t>Author:</t>
        </r>
        <r>
          <rPr>
            <sz val="9"/>
            <color indexed="81"/>
            <rFont val="Tahoma"/>
            <family val="2"/>
          </rPr>
          <t xml:space="preserve">
(3) For the purpose of subclause (2)-
(a) 'total opening regulatory tax asset value' for a disclosure year means, for-
(i) the base year, the sum of each 'regulatory tax asset value' determined in accordance with Part 2 for that disclosure year; and
(ii) each disclosure year thereafter, the total closing regulatory tax asset value for the preceding disclosure year;
</t>
        </r>
      </text>
    </comment>
    <comment ref="L78" authorId="0" shapeId="0" xr:uid="{F787C3AD-BD00-49C5-AFC5-EB3675DD1ADF}">
      <text>
        <r>
          <rPr>
            <b/>
            <sz val="9"/>
            <color indexed="81"/>
            <rFont val="Tahoma"/>
            <family val="2"/>
          </rPr>
          <t>Author:</t>
        </r>
        <r>
          <rPr>
            <sz val="9"/>
            <color indexed="81"/>
            <rFont val="Tahoma"/>
            <family val="2"/>
          </rPr>
          <t xml:space="preserve">
'tax depreciation' for a disclosure year means, for-
(a) the base year, the 'tax depreciation' determined in accordance with Part 2 for that disclosure year; and
(b) each disclosure year thereafter, subject to subclause (3), determined in accordance with the formula-
total opening regulatory tax asset value × average DV rate</t>
        </r>
      </text>
    </comment>
    <comment ref="L80" authorId="0" shapeId="0" xr:uid="{153F27F6-CAF2-4AE9-AEB2-EA3063FC7E01}">
      <text>
        <r>
          <rPr>
            <b/>
            <sz val="9"/>
            <color indexed="81"/>
            <rFont val="Tahoma"/>
            <family val="2"/>
          </rPr>
          <t>Author:</t>
        </r>
        <r>
          <rPr>
            <sz val="9"/>
            <color indexed="81"/>
            <rFont val="Tahoma"/>
            <family val="2"/>
          </rPr>
          <t xml:space="preserve">
total opening regulatory tax asset value − tax depreciation + forecast aggregate value of commissioned assets.</t>
        </r>
      </text>
    </comment>
    <comment ref="L83" authorId="0" shapeId="0" xr:uid="{C0FF086F-230D-4488-AFAB-EBE5B33F7051}">
      <text>
        <r>
          <rPr>
            <b/>
            <sz val="9"/>
            <color indexed="81"/>
            <rFont val="Tahoma"/>
            <family val="2"/>
          </rPr>
          <t>Author:</t>
        </r>
        <r>
          <rPr>
            <sz val="9"/>
            <color indexed="81"/>
            <rFont val="Tahoma"/>
            <family val="2"/>
          </rPr>
          <t xml:space="preserve">
adjusted depreciation means total depreciation for all assets calculated as if no amount of revaluation had been included in the calculation of any opening RAB value following the determination of the initial RAB, where:
(a) any remaining asset lives used in calculating ‘adjusted depreciation’ for the purposes of Part 2 and Part 5 must be consistent with the remaining asset lives used for calculating total depreciation; and
(b) any remaining asset lives for existing assets used in calculating ‘adjusted depreciation’ must be consistent with the remaining asset lives for existing assets used for calculating total depreciation</t>
        </r>
      </text>
    </comment>
    <comment ref="L85" authorId="0" shapeId="0" xr:uid="{4CCC678D-EAD0-46A8-8B2D-B62821433E5A}">
      <text>
        <r>
          <rPr>
            <b/>
            <sz val="9"/>
            <color indexed="81"/>
            <rFont val="Tahoma"/>
            <family val="2"/>
          </rPr>
          <t>Author:</t>
        </r>
        <r>
          <rPr>
            <sz val="9"/>
            <color indexed="81"/>
            <rFont val="Tahoma"/>
            <family val="2"/>
          </rPr>
          <t xml:space="preserve">
Depreciation temporary differences means, subject to subclause (2), the amount determined in accordance with the formula-
adjusted depreciation − tax depreciation.</t>
        </r>
      </text>
    </comment>
    <comment ref="L88" authorId="0" shapeId="0" xr:uid="{1148FC28-2CF9-4D53-BA7C-ADBD0B18E926}">
      <text>
        <r>
          <rPr>
            <b/>
            <sz val="9"/>
            <color indexed="81"/>
            <rFont val="Tahoma"/>
            <family val="2"/>
          </rPr>
          <t>Author:</t>
        </r>
        <r>
          <rPr>
            <sz val="9"/>
            <color indexed="81"/>
            <rFont val="Tahoma"/>
            <family val="2"/>
          </rPr>
          <t xml:space="preserve">
Opening deferred tax means, for-
(a) the base year, the 'opening deferred tax' determined in accordance with Part 2 for that disclosure year; and
(b) subject to paragraph (c), each disclosure year thereafter, closing deferred tax for the preceding disclosure year; and
(c) each disclosure year after the base year referred to in paragraph (a), for assets for which there is no regulatory tax asset value, the opening deferred tax balance under GAAP for those assets at the date when those assets are forecast to be commissioned.</t>
        </r>
      </text>
    </comment>
    <comment ref="L90" authorId="0" shapeId="0" xr:uid="{A57080FA-8683-4A6B-BA81-076A8ED08A65}">
      <text>
        <r>
          <rPr>
            <b/>
            <sz val="9"/>
            <color indexed="81"/>
            <rFont val="Tahoma"/>
            <family val="2"/>
          </rPr>
          <t>Author:</t>
        </r>
        <r>
          <rPr>
            <sz val="9"/>
            <color indexed="81"/>
            <rFont val="Tahoma"/>
            <family val="2"/>
          </rPr>
          <t xml:space="preserve">
For the purpose of subclause (1), 'amortisation of initial differences in asset values' is determined in accordance with Part 2 as of the base year.</t>
        </r>
      </text>
    </comment>
    <comment ref="L91" authorId="0" shapeId="0" xr:uid="{FF7B7D82-82A7-4600-A858-57DF46955ABB}">
      <text>
        <r>
          <rPr>
            <b/>
            <sz val="9"/>
            <color indexed="81"/>
            <rFont val="Tahoma"/>
            <family val="2"/>
          </rPr>
          <t>Author:</t>
        </r>
        <r>
          <rPr>
            <sz val="9"/>
            <color indexed="81"/>
            <rFont val="Tahoma"/>
            <family val="2"/>
          </rPr>
          <t xml:space="preserve">
(2) For the purpose of subclause (1)(b), 'closing deferred tax' is determined in accordance with the formula-
opening deferred tax + tax effect of depreciation temporary differences − tax effect of amortisation of initial differences in asset values.</t>
        </r>
      </text>
    </comment>
    <comment ref="L94" authorId="0" shapeId="0" xr:uid="{36B05FF1-E495-4259-AF26-C25746DF36FE}">
      <text>
        <r>
          <rPr>
            <b/>
            <sz val="9"/>
            <color indexed="81"/>
            <rFont val="Tahoma"/>
            <family val="2"/>
          </rPr>
          <t>Author:</t>
        </r>
        <r>
          <rPr>
            <sz val="9"/>
            <color indexed="81"/>
            <rFont val="Tahoma"/>
            <family val="2"/>
          </rPr>
          <t xml:space="preserve">
(4) For the purpose of subclause (2), 'opening investment value' means the amount obtained in accordance with the formula-
total opening RAB value + opening deferred tax.</t>
        </r>
      </text>
    </comment>
    <comment ref="L96" authorId="0" shapeId="0" xr:uid="{0107598F-1A9B-45A2-B89A-C6E853596701}">
      <text>
        <r>
          <rPr>
            <b/>
            <sz val="9"/>
            <color indexed="81"/>
            <rFont val="Tahoma"/>
            <family val="2"/>
          </rPr>
          <t>Author:</t>
        </r>
        <r>
          <rPr>
            <sz val="9"/>
            <color indexed="81"/>
            <rFont val="Tahoma"/>
            <family val="2"/>
          </rPr>
          <t xml:space="preserve">
(2) For the purpose of subclause (1), 'notional deductible interest' means the amount determined in accordance with the formula–
((opening investment value x leverage x cost of debt) + term credit spread differential allowance)
÷
√(1 + cost of debt).
...
(4) For the purpose of subclause (2), 'opening investment value' means the amount obtained in accordance with the formula-
total opening RAB value + opening deferred tax.</t>
        </r>
      </text>
    </comment>
    <comment ref="L97" authorId="0" shapeId="0" xr:uid="{395F0A6F-8D3B-4EB7-8673-2F3225442C11}">
      <text>
        <r>
          <rPr>
            <b/>
            <sz val="9"/>
            <color indexed="81"/>
            <rFont val="Tahoma"/>
            <family val="2"/>
          </rPr>
          <t>Author:</t>
        </r>
        <r>
          <rPr>
            <sz val="9"/>
            <color indexed="81"/>
            <rFont val="Tahoma"/>
            <family val="2"/>
          </rPr>
          <t xml:space="preserve">
(5) For the purpose of subclause (1), 'amortisation of revaluations' in relation to an EDB for a disclosure year is calculated in accordance with the formula-
total depreciation − adjusted depreciation.</t>
        </r>
      </text>
    </comment>
    <comment ref="L98" authorId="0" shapeId="0" xr:uid="{7245ABCD-9C48-418F-B4BC-6ADE01826170}">
      <text>
        <r>
          <rPr>
            <b/>
            <sz val="9"/>
            <color indexed="81"/>
            <rFont val="Tahoma"/>
            <family val="2"/>
          </rPr>
          <t>Author:</t>
        </r>
        <r>
          <rPr>
            <sz val="9"/>
            <color indexed="81"/>
            <rFont val="Tahoma"/>
            <family val="2"/>
          </rPr>
          <t xml:space="preserve">
Regulatory tax adjustments are determined, as: 
amortisation of initial differences in asset values + amortisation of revaluations − notional deductible interest.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<sst xmlns="http://schemas.openxmlformats.org/spreadsheetml/2006/main" count="1791" uniqueCount="613">
  <si>
    <t>Capex inputs</t>
  </si>
  <si>
    <t>Asset lifetime — assumption</t>
  </si>
  <si>
    <t>BBAR with forecast assets commissioned</t>
  </si>
  <si>
    <t>BBAR with actual/revised assets commissioned</t>
  </si>
  <si>
    <t>PV of differences in assets commissioned</t>
  </si>
  <si>
    <t>(Capex wash-up + Retention adjustment)</t>
  </si>
  <si>
    <t>Number of disclosure years minus 1 (l-1)</t>
  </si>
  <si>
    <t>Cost of debt plus 1 (1+r)</t>
  </si>
  <si>
    <t>Disclosure years passed plus 0.5 (y+0.5)</t>
  </si>
  <si>
    <t>Capex incentive amount — clause 3.3.10</t>
  </si>
  <si>
    <t>Due to capex wash-up</t>
  </si>
  <si>
    <t>Due to retention adjustment</t>
  </si>
  <si>
    <t>Inputs</t>
  </si>
  <si>
    <t>Cost of debt</t>
  </si>
  <si>
    <t>Capex allowance</t>
  </si>
  <si>
    <t>Actual assets commissioned</t>
  </si>
  <si>
    <t xml:space="preserve">Alpine Energy </t>
  </si>
  <si>
    <t>Aurora Energy</t>
  </si>
  <si>
    <t>Electricity Invercargill</t>
  </si>
  <si>
    <t xml:space="preserve">Horizon Energy </t>
  </si>
  <si>
    <t xml:space="preserve">Nelson Electricity </t>
  </si>
  <si>
    <t xml:space="preserve">Network Tasman </t>
  </si>
  <si>
    <t xml:space="preserve">OtagoNet </t>
  </si>
  <si>
    <t>The Lines Company</t>
  </si>
  <si>
    <t xml:space="preserve">Top Energy </t>
  </si>
  <si>
    <t xml:space="preserve">Unison </t>
  </si>
  <si>
    <t xml:space="preserve">Vector </t>
  </si>
  <si>
    <t>Scenario</t>
  </si>
  <si>
    <t>Name</t>
  </si>
  <si>
    <t>Treatment of future years</t>
  </si>
  <si>
    <t>EDB select</t>
  </si>
  <si>
    <t>Value</t>
  </si>
  <si>
    <t>Year in modelling period</t>
  </si>
  <si>
    <t>Year in regulatory period</t>
  </si>
  <si>
    <t>Forecast changes in CPI used for revaluations</t>
  </si>
  <si>
    <t>Forecast changes in the CPI element of the price path</t>
  </si>
  <si>
    <t>Company tax rate</t>
  </si>
  <si>
    <t>Days in a year</t>
  </si>
  <si>
    <t>Days from mid-year to year-end</t>
  </si>
  <si>
    <t>Days from revenue date to year-end</t>
  </si>
  <si>
    <t>Last day of year 1 of the DPP period</t>
  </si>
  <si>
    <t>Vanilla WACC (67th percentile)</t>
  </si>
  <si>
    <t>Leverage</t>
  </si>
  <si>
    <t>Years of remaining life for newly commissioned assets</t>
  </si>
  <si>
    <t>Industry-wide X factor</t>
  </si>
  <si>
    <t>Initial conditions</t>
  </si>
  <si>
    <t>Opening RAB</t>
  </si>
  <si>
    <t>Total depreciation</t>
  </si>
  <si>
    <t>Closing RAB</t>
  </si>
  <si>
    <t>Opening RAB excluding revaluations</t>
  </si>
  <si>
    <t>Adjusted depreciation</t>
  </si>
  <si>
    <t>Tax depreciation</t>
  </si>
  <si>
    <t>Opening regulatory tax asset value</t>
  </si>
  <si>
    <t>Amortisation of initial differences in asset values</t>
  </si>
  <si>
    <t>Term credit spread differential allowance</t>
  </si>
  <si>
    <t>Opening deferred tax balance</t>
  </si>
  <si>
    <t>Operating expenditure</t>
  </si>
  <si>
    <t>Value of commissioned assets</t>
  </si>
  <si>
    <t>Value of commissioned assets, 2018/19</t>
  </si>
  <si>
    <t>Value of commissioned assets, 2019/20</t>
  </si>
  <si>
    <t>Disposed assets</t>
  </si>
  <si>
    <t>Value of disposed assets, 2018/19</t>
  </si>
  <si>
    <t>Value of disposed assets, 2019/20</t>
  </si>
  <si>
    <t>General data</t>
  </si>
  <si>
    <t>Non business-specific single inputs</t>
  </si>
  <si>
    <t>years</t>
  </si>
  <si>
    <t>days</t>
  </si>
  <si>
    <t>General time-series data</t>
  </si>
  <si>
    <t>Business-specific data</t>
  </si>
  <si>
    <t>From</t>
  </si>
  <si>
    <t>EDB data</t>
  </si>
  <si>
    <t>Calculations</t>
  </si>
  <si>
    <t>Mid-year date</t>
  </si>
  <si>
    <t>Revenue date</t>
  </si>
  <si>
    <t>As demonstrated below, 12 equal monthly transactions on the 20th of the following month can be approximated by a single payment on the revenue date.</t>
  </si>
  <si>
    <t>Operating expenditure date</t>
  </si>
  <si>
    <t>Tax date</t>
  </si>
  <si>
    <t>Asset commissioning date</t>
  </si>
  <si>
    <t>Interest date</t>
  </si>
  <si>
    <t>Asset disposal date</t>
  </si>
  <si>
    <t>TF for mid-year cash flows</t>
  </si>
  <si>
    <t>Intra-year timing factors: discount from mid year to end of year values</t>
  </si>
  <si>
    <t>Intra-year timing factor: discount from revenue date to end of year values</t>
  </si>
  <si>
    <t>Outputs</t>
  </si>
  <si>
    <t>TFopex</t>
  </si>
  <si>
    <t>Check for timing of revenue receipt</t>
  </si>
  <si>
    <t>Demonstration that a 4 November receipt date for all revenues in a year ending 31 March is almost identical to</t>
  </si>
  <si>
    <t>receiving 12 equal revenue amounts on the 20th of the month following the provision of service.</t>
  </si>
  <si>
    <t>Monthly cash flows</t>
  </si>
  <si>
    <t>Dates of receipt of revenues</t>
  </si>
  <si>
    <t>Indexed amount of revenue</t>
  </si>
  <si>
    <t>Equivalent single cash flow</t>
  </si>
  <si>
    <t>Present value</t>
  </si>
  <si>
    <t>PV of the equivalent single amount</t>
  </si>
  <si>
    <t>Percentage difference</t>
  </si>
  <si>
    <t>Calculations involving the roll-forward of asset values.</t>
  </si>
  <si>
    <t>Remaining life of newly commissioned assets</t>
  </si>
  <si>
    <t>Roll forward of existing assets</t>
  </si>
  <si>
    <t>Remaining asset life of existing assets</t>
  </si>
  <si>
    <t>Opening RAB value of existing assets</t>
  </si>
  <si>
    <t>Revaluation of existing assets</t>
  </si>
  <si>
    <t>Depreciation of existing assets</t>
  </si>
  <si>
    <t>Closing RAB value of existing assets</t>
  </si>
  <si>
    <t>Individual roll forward of additional assets</t>
  </si>
  <si>
    <t>Revaluation rate</t>
  </si>
  <si>
    <t>Commissioned assets</t>
  </si>
  <si>
    <t>Year asset is added during modelling period</t>
  </si>
  <si>
    <t>Years of remaining life</t>
  </si>
  <si>
    <t>Revaluation of assets</t>
  </si>
  <si>
    <t>Depreciation of assets</t>
  </si>
  <si>
    <t xml:space="preserve"> Assets commissioned in 2019/20:</t>
  </si>
  <si>
    <t>Aggregate roll forward of additional assets</t>
  </si>
  <si>
    <t>Opening RAB of commissioned additional assets</t>
  </si>
  <si>
    <t>Revaluation of commissioned additional assets</t>
  </si>
  <si>
    <t>Depreciation of commissioned additional assets</t>
  </si>
  <si>
    <t>Closing RAB of commissioned additional assets</t>
  </si>
  <si>
    <t>Combined roll forward of existing and additional assets</t>
  </si>
  <si>
    <t>Aggregate opening RAB value</t>
  </si>
  <si>
    <t>Total revaluation</t>
  </si>
  <si>
    <t>Aggregate closing RAB value</t>
  </si>
  <si>
    <t>Check that closing value is as expected. Should = 0</t>
  </si>
  <si>
    <t>Calculations involving the roll-forward of adjusted depreciation regulatory asset values, deferred tax and tax adjustments.</t>
  </si>
  <si>
    <t>Source</t>
  </si>
  <si>
    <t>Tax rate</t>
  </si>
  <si>
    <t>RAB</t>
  </si>
  <si>
    <t>Opening investment value</t>
  </si>
  <si>
    <t>Adjusted RAB &amp; depreciation of assets commissioned</t>
  </si>
  <si>
    <t>Opening RAB, adjusted depreciation</t>
  </si>
  <si>
    <t>Closing RAB, adjusted depreciation</t>
  </si>
  <si>
    <t>Total assets commissioned</t>
  </si>
  <si>
    <t>Total adjusted depreciation of commissioned assets</t>
  </si>
  <si>
    <t>Adjusted depreciation of existing assets</t>
  </si>
  <si>
    <t>Opening RAB value of existing assets, adjusted depreciation</t>
  </si>
  <si>
    <t>Base year commissioned assets</t>
  </si>
  <si>
    <t>Closing RAB value of existing assets, adjusted depreciation</t>
  </si>
  <si>
    <t>Regulatory tax asset value</t>
  </si>
  <si>
    <t>Average DV rate</t>
  </si>
  <si>
    <t>Closing regulatory tax asset value</t>
  </si>
  <si>
    <t>Depreciation temporary differences</t>
  </si>
  <si>
    <t>Total adjusted depreciation of assets</t>
  </si>
  <si>
    <t>Deductions for regulatory tax purposes</t>
  </si>
  <si>
    <t>Notional deductible interest</t>
  </si>
  <si>
    <t>Amortisation of revaluations</t>
  </si>
  <si>
    <t>Regulatory tax adjustments</t>
  </si>
  <si>
    <t>Deferred tax asset value</t>
  </si>
  <si>
    <t>Opening deferred tax</t>
  </si>
  <si>
    <t>Closing deferred tax</t>
  </si>
  <si>
    <t>Derivation of BBAR present value, opening investment value, and TCSD allowance.</t>
  </si>
  <si>
    <t>TIMING</t>
  </si>
  <si>
    <t>TAX</t>
  </si>
  <si>
    <t>Asset base scaling factor</t>
  </si>
  <si>
    <t>Return on capital</t>
  </si>
  <si>
    <t>Operating expenditure allowance</t>
  </si>
  <si>
    <t>Building block allowable revenue before tax (BBAR before tax)</t>
  </si>
  <si>
    <t>BBAR before tax in revenue date terms, calculation not referencing tax</t>
  </si>
  <si>
    <t>Regulatory tax allowance before considering possibility of tax losses</t>
  </si>
  <si>
    <t>Regulatory tax allowance</t>
  </si>
  <si>
    <t>BBAR before tax in year-end terms, direct simple calculation</t>
  </si>
  <si>
    <t>BBAR before tax in revenue date terms</t>
  </si>
  <si>
    <t>Difference between the two BBAR calculations (should = 0)</t>
  </si>
  <si>
    <t>Present value of the building block allowable revenue before tax</t>
  </si>
  <si>
    <t>Number of years to discount the year-end  values to start of the present value period</t>
  </si>
  <si>
    <t>BBAR before tax in year-end terms, i.e. Rev * TFrev</t>
  </si>
  <si>
    <t>Actual / revised forecast assets commissioned</t>
  </si>
  <si>
    <t>General IRIS inputs</t>
  </si>
  <si>
    <t>Opex inputs</t>
  </si>
  <si>
    <t>Opex allowance</t>
  </si>
  <si>
    <t>Actual opex</t>
  </si>
  <si>
    <t>Actual / revised forecast opex</t>
  </si>
  <si>
    <t>Opex incentive amount — clause 3.3.2</t>
  </si>
  <si>
    <t>Total amounts carried forward — clause 3.3.3 (7)</t>
  </si>
  <si>
    <t>Active EDB outputs</t>
  </si>
  <si>
    <t>Output table</t>
  </si>
  <si>
    <t>Capex incentive amount, total</t>
  </si>
  <si>
    <t>Opex incentive amount, total</t>
  </si>
  <si>
    <t>Total incentive amount, total</t>
  </si>
  <si>
    <t>Capex incentive amount, % of BBAR</t>
  </si>
  <si>
    <t>Opex incentive amount, % of BBAR</t>
  </si>
  <si>
    <t>Total incentive amount, % of BBAR</t>
  </si>
  <si>
    <t>Use latest AMP forecast</t>
  </si>
  <si>
    <t>Extra outputs for graphs</t>
  </si>
  <si>
    <t>Asset commissioned - actuals vs. allowance ($000)</t>
  </si>
  <si>
    <t>Asset commissioned - actuals vs. allowance (%)</t>
  </si>
  <si>
    <t>Operating expenditure - actuals vs. allowance ($000)</t>
  </si>
  <si>
    <t>Operating expenditure - actuals vs. allowance (%)</t>
  </si>
  <si>
    <t>Total</t>
  </si>
  <si>
    <t xml:space="preserve"> </t>
  </si>
  <si>
    <t>Asset commissioned</t>
  </si>
  <si>
    <t>Actuals vs. allowance, Total</t>
  </si>
  <si>
    <t>Asset lifetime — actual</t>
  </si>
  <si>
    <t>Outputs for chartbook</t>
  </si>
  <si>
    <t>Alpine Energy</t>
  </si>
  <si>
    <t>Base year adjustment term — clause 3.3.5</t>
  </si>
  <si>
    <t>Roll-over adjustment term — clause 3.3.6</t>
  </si>
  <si>
    <t>Adjustment to the opex incentive — clause 3.3.4</t>
  </si>
  <si>
    <t>Adjustment to the opex incentive — clause 3.3.2 (2)(b)</t>
  </si>
  <si>
    <t>Description</t>
  </si>
  <si>
    <t>General description</t>
  </si>
  <si>
    <t>Capex incentives</t>
  </si>
  <si>
    <t>Opex incentives</t>
  </si>
  <si>
    <t>General analysis</t>
  </si>
  <si>
    <t>PV of forecast assets commissioned</t>
  </si>
  <si>
    <t>PV of actual assets commissioned</t>
  </si>
  <si>
    <t>Opex incentive amount (No PV)</t>
  </si>
  <si>
    <t>Asset lifetime of newly commissioned assets</t>
  </si>
  <si>
    <t>Capex incentive amount (No PV)</t>
  </si>
  <si>
    <t>Electricity Distribution Business</t>
  </si>
  <si>
    <t>Data from the Inputs sheet that relates to the selected EDB. The EDB's name is user-selected in cell B5.</t>
  </si>
  <si>
    <t>EDB</t>
  </si>
  <si>
    <t>EDB number</t>
  </si>
  <si>
    <t>EDB number (for output data table)</t>
  </si>
  <si>
    <t>EDB number (from selection)</t>
  </si>
  <si>
    <t>Inputs that are the same for all EDBs</t>
  </si>
  <si>
    <t>Inputs that are specific to individual EDBs</t>
  </si>
  <si>
    <t>Use latest AMP forecast OR DPP model values</t>
  </si>
  <si>
    <t>Building blocks allowable revenue (update)</t>
  </si>
  <si>
    <t>Tax calculations (update)</t>
  </si>
  <si>
    <t>Regulatory asset base (update)</t>
  </si>
  <si>
    <t>Intra-year timing (update)</t>
  </si>
  <si>
    <t>Inputs for the selected EDB (update)</t>
  </si>
  <si>
    <t>Table of Contents</t>
  </si>
  <si>
    <t>Sheet Name</t>
  </si>
  <si>
    <t>Link</t>
  </si>
  <si>
    <t>Financial models &gt;&gt;&gt;&gt;</t>
  </si>
  <si>
    <t>Inputs (DPP)</t>
  </si>
  <si>
    <t>EDB data (DPP)</t>
  </si>
  <si>
    <t>TIMING (DPP)</t>
  </si>
  <si>
    <t>RAB (DPP)</t>
  </si>
  <si>
    <t>TAX (DPP)</t>
  </si>
  <si>
    <t>BBAR (DPP)</t>
  </si>
  <si>
    <t>EDB data (update)</t>
  </si>
  <si>
    <t>TIMING (update)</t>
  </si>
  <si>
    <t>RAB (update)</t>
  </si>
  <si>
    <t>TAX (update)</t>
  </si>
  <si>
    <t>BBAR (update)</t>
  </si>
  <si>
    <t>Further guidance for EDBs</t>
  </si>
  <si>
    <t>WACC — DPP3</t>
  </si>
  <si>
    <t>EA Networks</t>
  </si>
  <si>
    <t>Horizon Energy</t>
  </si>
  <si>
    <t>Nelson Electricity</t>
  </si>
  <si>
    <t>Network Tasman</t>
  </si>
  <si>
    <t>OtagoNet</t>
  </si>
  <si>
    <t>Top Energy</t>
  </si>
  <si>
    <t>Unison Networks</t>
  </si>
  <si>
    <t>Vector Lines</t>
  </si>
  <si>
    <t>Weighting</t>
  </si>
  <si>
    <t>Weighting excl. Aurora</t>
  </si>
  <si>
    <t>Aggregate</t>
  </si>
  <si>
    <t>Aggregate (weighted)</t>
  </si>
  <si>
    <t>Aggregate (weighted) (excluding Aurora)</t>
  </si>
  <si>
    <t>Full series Capex actual and forecast</t>
  </si>
  <si>
    <t>Full series Opex actual and forecast</t>
  </si>
  <si>
    <t>Aggregate calculations</t>
  </si>
  <si>
    <t>Opex - actuals vs. allowance ($000)</t>
  </si>
  <si>
    <t>Opex - actuals vs. allowance (%)</t>
  </si>
  <si>
    <t>Capex inputs and calculations</t>
  </si>
  <si>
    <t>Opex inputs and calculations</t>
  </si>
  <si>
    <t>TFrev</t>
  </si>
  <si>
    <t>TFtax</t>
  </si>
  <si>
    <t>TFVCA</t>
  </si>
  <si>
    <t>Increase in deferred tax asset, ΔDT</t>
  </si>
  <si>
    <t>Intra-year timing (DPP)</t>
  </si>
  <si>
    <t>Regulatory asset base (DPP)</t>
  </si>
  <si>
    <t>Tax calculations (DPP)</t>
  </si>
  <si>
    <t>Building blocks allowable revenue (DPP)</t>
  </si>
  <si>
    <t>Inputs for the selected EDB (DPP)</t>
  </si>
  <si>
    <t>Cost of debt — DPP4</t>
  </si>
  <si>
    <t>WACC — DPP4</t>
  </si>
  <si>
    <t>Orion NZ</t>
  </si>
  <si>
    <t>Powerco</t>
  </si>
  <si>
    <t>Wellington Electricity</t>
  </si>
  <si>
    <t>DPP4 revenue inputs</t>
  </si>
  <si>
    <t>Capex allowance — DPP3</t>
  </si>
  <si>
    <t>Retention factor — DPP3</t>
  </si>
  <si>
    <t>BBAR with forecast assets commissioned (PV 1 April 2020)</t>
  </si>
  <si>
    <t>BBAR with actual/revised assets commissioned (PV 1 April 2020)</t>
  </si>
  <si>
    <t>Difference (PV 1 April 2020)</t>
  </si>
  <si>
    <t>Opex allowance — DPP3</t>
  </si>
  <si>
    <t>Forecast opex (DPP4 model)</t>
  </si>
  <si>
    <t>BBAR for DPP4</t>
  </si>
  <si>
    <t>Capex incentive amount (PV 1 April 2025)</t>
  </si>
  <si>
    <t>Years since 1 April 2025</t>
  </si>
  <si>
    <t>BBAR for DPP4 (PV 1 April 2025)</t>
  </si>
  <si>
    <t>Capex incentive amount — as a % of 2025-2030 BBAR</t>
  </si>
  <si>
    <t>Opex incentive amount (PV 1 April 2025)</t>
  </si>
  <si>
    <t>Opex incentive amount — as a % of 2025-2030 BBAR</t>
  </si>
  <si>
    <t>Total expenditure incentives (PV 1 April 2025)</t>
  </si>
  <si>
    <t>Incentive amount — as a % of 2025-2030 BBAR</t>
  </si>
  <si>
    <t>Capex wash-up, 2027</t>
  </si>
  <si>
    <t>Capex wash-up, 2028</t>
  </si>
  <si>
    <t>Capex wash-up, 2029</t>
  </si>
  <si>
    <t>Capex wash-up, 2030</t>
  </si>
  <si>
    <t>Retention adjustment, 2027</t>
  </si>
  <si>
    <t>Retention adjustment, 2028</t>
  </si>
  <si>
    <t>Retention adjustment, 2029</t>
  </si>
  <si>
    <t>Retention adjustment, 2030</t>
  </si>
  <si>
    <t>Capex incentive amount, 2026</t>
  </si>
  <si>
    <t>Capex incentive amount, 2027</t>
  </si>
  <si>
    <t>Capex incentive amount, 2028</t>
  </si>
  <si>
    <t>Capex incentive amount, 2029</t>
  </si>
  <si>
    <t>Capex incentive amount, 2030</t>
  </si>
  <si>
    <t>Opex incentive amount, 2026</t>
  </si>
  <si>
    <t>Opex incentive amount, 2027</t>
  </si>
  <si>
    <t>Opex incentive amount, 2028</t>
  </si>
  <si>
    <t>Opex incentive amount, 2029</t>
  </si>
  <si>
    <t>Opex incentive amount, 2030</t>
  </si>
  <si>
    <t>Total incentive amount, 2026</t>
  </si>
  <si>
    <t>Total incentive amount, 2027</t>
  </si>
  <si>
    <t>Total incentive amount, 2028</t>
  </si>
  <si>
    <t>Total incentive amount, 2029</t>
  </si>
  <si>
    <t>Total incentive amount, 2030</t>
  </si>
  <si>
    <t>Actuals vs. allowance, 2021</t>
  </si>
  <si>
    <t>Actuals vs. allowance, 2022</t>
  </si>
  <si>
    <t>Actuals vs. allowance, 2023</t>
  </si>
  <si>
    <t>Actuals vs. allowance, 2024</t>
  </si>
  <si>
    <t>Actuals vs. allowance, 2025</t>
  </si>
  <si>
    <t>CPP</t>
  </si>
  <si>
    <t>DPP3 rollover</t>
  </si>
  <si>
    <t>Last day of the base year</t>
  </si>
  <si>
    <t>2023/24</t>
  </si>
  <si>
    <t>2024/25</t>
  </si>
  <si>
    <t>All input data is entered into this sheet.</t>
  </si>
  <si>
    <t>Apply revaluations?</t>
  </si>
  <si>
    <t>Working area</t>
  </si>
  <si>
    <t>Inputs that are the same for all distributors</t>
  </si>
  <si>
    <t>Base</t>
  </si>
  <si>
    <t>Gap</t>
  </si>
  <si>
    <t>1st</t>
  </si>
  <si>
    <t>2nd</t>
  </si>
  <si>
    <t>3rd</t>
  </si>
  <si>
    <t>4th</t>
  </si>
  <si>
    <t>5th</t>
  </si>
  <si>
    <t>This working area generates text for row headings below for opex, capex etc.</t>
  </si>
  <si>
    <t>Inputs that are specific to individual distributors</t>
  </si>
  <si>
    <t>Firstlight</t>
  </si>
  <si>
    <t>Distributor number</t>
  </si>
  <si>
    <t>alp</t>
  </si>
  <si>
    <t>aur</t>
  </si>
  <si>
    <t>ean</t>
  </si>
  <si>
    <t>inv</t>
  </si>
  <si>
    <t>fnl</t>
  </si>
  <si>
    <t>hor</t>
  </si>
  <si>
    <t>nel</t>
  </si>
  <si>
    <t>tas</t>
  </si>
  <si>
    <t>ori</t>
  </si>
  <si>
    <t>ojv</t>
  </si>
  <si>
    <t>pco</t>
  </si>
  <si>
    <t>tlc</t>
  </si>
  <si>
    <t>top</t>
  </si>
  <si>
    <t>uni</t>
  </si>
  <si>
    <t>vct</t>
  </si>
  <si>
    <t>wel</t>
  </si>
  <si>
    <t>Adjustment factor (for accelerated depreciation)</t>
  </si>
  <si>
    <t>X factor</t>
  </si>
  <si>
    <t>Inputs for the selected distributor</t>
  </si>
  <si>
    <t>Data from the Inputs sheet that relates to the selected distributor. The distributor's name is user-selected in cell C4.</t>
  </si>
  <si>
    <t>Distributor</t>
  </si>
  <si>
    <t>Distributor number (for output data table)</t>
  </si>
  <si>
    <t>Intra-year timing</t>
  </si>
  <si>
    <r>
      <t>Derivation of the five timing factors TF</t>
    </r>
    <r>
      <rPr>
        <i/>
        <vertAlign val="subscript"/>
        <sz val="10"/>
        <rFont val="Calibri"/>
        <family val="2"/>
        <scheme val="minor"/>
      </rPr>
      <t>opex</t>
    </r>
    <r>
      <rPr>
        <i/>
        <sz val="10"/>
        <rFont val="Calibri"/>
        <family val="4"/>
        <scheme val="minor"/>
      </rPr>
      <t>, TF</t>
    </r>
    <r>
      <rPr>
        <i/>
        <vertAlign val="subscript"/>
        <sz val="10"/>
        <rFont val="Calibri"/>
        <family val="2"/>
        <scheme val="minor"/>
      </rPr>
      <t>tax</t>
    </r>
    <r>
      <rPr>
        <i/>
        <sz val="10"/>
        <rFont val="Calibri"/>
        <family val="4"/>
        <scheme val="minor"/>
      </rPr>
      <t>, TF</t>
    </r>
    <r>
      <rPr>
        <i/>
        <vertAlign val="subscript"/>
        <sz val="10"/>
        <rFont val="Calibri"/>
        <family val="2"/>
        <scheme val="minor"/>
      </rPr>
      <t>VCA</t>
    </r>
    <r>
      <rPr>
        <i/>
        <sz val="10"/>
        <rFont val="Calibri"/>
        <family val="4"/>
        <scheme val="minor"/>
      </rPr>
      <t xml:space="preserve"> and TF</t>
    </r>
    <r>
      <rPr>
        <i/>
        <vertAlign val="subscript"/>
        <sz val="10"/>
        <rFont val="Calibri"/>
        <family val="2"/>
        <scheme val="minor"/>
      </rPr>
      <t>rev</t>
    </r>
    <r>
      <rPr>
        <i/>
        <sz val="10"/>
        <rFont val="Calibri"/>
        <family val="4"/>
        <scheme val="minor"/>
      </rPr>
      <t>.</t>
    </r>
  </si>
  <si>
    <t>i.e. mid-year</t>
  </si>
  <si>
    <r>
      <t>TF</t>
    </r>
    <r>
      <rPr>
        <vertAlign val="subscript"/>
        <sz val="11"/>
        <color theme="1"/>
        <rFont val="Calibri"/>
        <family val="2"/>
        <scheme val="minor"/>
      </rPr>
      <t>rev</t>
    </r>
  </si>
  <si>
    <r>
      <t>TF</t>
    </r>
    <r>
      <rPr>
        <vertAlign val="subscript"/>
        <sz val="11"/>
        <color theme="1"/>
        <rFont val="Calibri"/>
        <family val="2"/>
        <scheme val="minor"/>
      </rPr>
      <t>opex</t>
    </r>
  </si>
  <si>
    <r>
      <t>TF</t>
    </r>
    <r>
      <rPr>
        <vertAlign val="subscript"/>
        <sz val="11"/>
        <color theme="1"/>
        <rFont val="Calibri"/>
        <family val="2"/>
        <scheme val="minor"/>
      </rPr>
      <t>tax</t>
    </r>
  </si>
  <si>
    <r>
      <t>TF</t>
    </r>
    <r>
      <rPr>
        <vertAlign val="subscript"/>
        <sz val="11"/>
        <color theme="1"/>
        <rFont val="Calibri"/>
        <family val="2"/>
        <scheme val="minor"/>
      </rPr>
      <t>VCA</t>
    </r>
  </si>
  <si>
    <t>Regulatory asset base</t>
  </si>
  <si>
    <t>Term credit spread differential allowance, base year</t>
  </si>
  <si>
    <t>Base year</t>
  </si>
  <si>
    <t>Gap year</t>
  </si>
  <si>
    <t>First year of reg period</t>
  </si>
  <si>
    <t>References</t>
  </si>
  <si>
    <t>4.2.2(3)(a)</t>
  </si>
  <si>
    <t>4.2.1(2)(b)</t>
  </si>
  <si>
    <t>simple ref</t>
  </si>
  <si>
    <t>4.2.3(2)(a)</t>
  </si>
  <si>
    <t>4.2.2(2)(a)(ii)</t>
  </si>
  <si>
    <t>4.2.1(3)(b)</t>
  </si>
  <si>
    <t>4.2.1(4)</t>
  </si>
  <si>
    <t>4.2.2(3)(b)</t>
  </si>
  <si>
    <t>4.2.3(2)(b)</t>
  </si>
  <si>
    <t>4.2.2(2)(b)</t>
  </si>
  <si>
    <t>4.2.1(5)(b)</t>
  </si>
  <si>
    <t>Simple sum of values in the 6 calculation blocks immediately above</t>
  </si>
  <si>
    <t>4.2.1(1)</t>
  </si>
  <si>
    <t>4.2.3(1)</t>
  </si>
  <si>
    <t>4.2.2(1)</t>
  </si>
  <si>
    <t>4.4.7(2)</t>
  </si>
  <si>
    <t>Tax calculations</t>
  </si>
  <si>
    <t>4.2.1(3)adj</t>
  </si>
  <si>
    <t>4.2.2(3)(b)adj</t>
  </si>
  <si>
    <t>4.2.2(2)(b)adj</t>
  </si>
  <si>
    <t>aggregation of adjusted depreciation values</t>
  </si>
  <si>
    <t>4.2.1(2)adj</t>
  </si>
  <si>
    <t>4.2.1(3)(b)adj</t>
  </si>
  <si>
    <t>4.3.5(3)(b)</t>
  </si>
  <si>
    <t>4.3.5(3)(a)</t>
  </si>
  <si>
    <t>4.3.5(2)(b)</t>
  </si>
  <si>
    <t>4.3.5(3)</t>
  </si>
  <si>
    <t>1.1.4(2)adj</t>
  </si>
  <si>
    <t>4.3.5(1)</t>
  </si>
  <si>
    <t>4.3.4(1)</t>
  </si>
  <si>
    <t>4.3.3(3)</t>
  </si>
  <si>
    <t>4.3.4(2)</t>
  </si>
  <si>
    <t>4.3.3(4)</t>
  </si>
  <si>
    <t>4.3.3(2) &amp; (4)</t>
  </si>
  <si>
    <t>4.3.3(5)</t>
  </si>
  <si>
    <t>4.3.3(1)</t>
  </si>
  <si>
    <t>aggregation of new and existing asset values</t>
  </si>
  <si>
    <t>Total adjusted depreciation</t>
  </si>
  <si>
    <t>Building block allowable revenue</t>
  </si>
  <si>
    <t>Regulatory tax allowance before considering possibility of tax losses, calculation not referencing revenue</t>
  </si>
  <si>
    <t>4.3.1(2)</t>
  </si>
  <si>
    <t>BBAR before tax in year-end terms</t>
  </si>
  <si>
    <t>Regulatory tax allowance, direct simple calculation</t>
  </si>
  <si>
    <t>4.3.1</t>
  </si>
  <si>
    <r>
      <t>BBAR before tax in year-end terms, i.e. Rev * TF</t>
    </r>
    <r>
      <rPr>
        <vertAlign val="subscript"/>
        <sz val="11"/>
        <color theme="1"/>
        <rFont val="Calibri"/>
        <family val="2"/>
        <scheme val="minor"/>
      </rPr>
      <t>rev</t>
    </r>
  </si>
  <si>
    <t>Linked from BBAR (DPP) sheet</t>
  </si>
  <si>
    <t>Value of commissioned assets, 2023/24</t>
  </si>
  <si>
    <t>Value of commissioned assets, 2024/25</t>
  </si>
  <si>
    <t>Value of disposed assets, 2023/24</t>
  </si>
  <si>
    <t>Value of disposed assets, 2024/25</t>
  </si>
  <si>
    <t>Comes from updated BBAR calculation</t>
  </si>
  <si>
    <t xml:space="preserve"> Assets commissioned in 2024/25:</t>
  </si>
  <si>
    <t>DPP4 BBAR - PV 1 April 2025</t>
  </si>
  <si>
    <t>2018/19</t>
  </si>
  <si>
    <t>2019/20</t>
  </si>
  <si>
    <t>2020/21</t>
  </si>
  <si>
    <t>2021/22</t>
  </si>
  <si>
    <t>2022/23</t>
  </si>
  <si>
    <t>Additional allowance (PV at 1-Apr-20)</t>
  </si>
  <si>
    <t>Operating expenditure, 2020/21</t>
  </si>
  <si>
    <t>Operating expenditure, 2021/22</t>
  </si>
  <si>
    <t>Operating expenditure, 2022/23</t>
  </si>
  <si>
    <t>Operating expenditure, 2024/25</t>
  </si>
  <si>
    <t>Operating expenditure, 2023/24</t>
  </si>
  <si>
    <t>Value of commissioned assets, 2020/21</t>
  </si>
  <si>
    <t>Value of commissioned assets, 2021/22</t>
  </si>
  <si>
    <t>Value of commissioned assets, 2022/23</t>
  </si>
  <si>
    <t>Value of disposed assets, 2020/21</t>
  </si>
  <si>
    <t>Value of disposed assets, 2021/22</t>
  </si>
  <si>
    <t>Value of disposed assets, 2022/23</t>
  </si>
  <si>
    <t>2019/2020</t>
  </si>
  <si>
    <t xml:space="preserve"> Assets commissioned in 2020/21:</t>
  </si>
  <si>
    <t xml:space="preserve"> Assets commissioned in 2021/22:</t>
  </si>
  <si>
    <t xml:space="preserve"> Assets commissioned in 2022/23:</t>
  </si>
  <si>
    <t xml:space="preserve"> Assets commissioned in 2023/24:</t>
  </si>
  <si>
    <t>PV at 1 Apr 2020 of BBAR before tax for each year</t>
  </si>
  <si>
    <t>PV at 1 Apr 2020 of BBAR before tax over the regulatory period</t>
  </si>
  <si>
    <t>Difference between the two BBAR allowance calculations (should = 0)</t>
  </si>
  <si>
    <t>Right-of-use assets commissioned</t>
  </si>
  <si>
    <t>Operating lease payments</t>
  </si>
  <si>
    <t>Actual right-of-use assets commissioned</t>
  </si>
  <si>
    <t>Actual assets commissioned, excluding right-of-use assets</t>
  </si>
  <si>
    <t>Actual assets commissioned, including right-of-use assets</t>
  </si>
  <si>
    <t>Forecast assets commissioned (AMP 2024) exclusive of right-of-use assets</t>
  </si>
  <si>
    <t>Forecast assets commissioned (AMP 2024), including right-of-use assets</t>
  </si>
  <si>
    <t>Actual / revised forecast assets commissioned for retention factor</t>
  </si>
  <si>
    <t>Actual / revised forecast assets commissioned for capex wash-up</t>
  </si>
  <si>
    <t>Actual operating lease payments</t>
  </si>
  <si>
    <t>Actual opex, excluding operating lease payments</t>
  </si>
  <si>
    <t>Actual opex, including operating lease payments</t>
  </si>
  <si>
    <t>ID Schedule 6b Row 17 "Operational expenditure"</t>
  </si>
  <si>
    <t>Revised forecast opex (DPP4 AMP forecasts)</t>
  </si>
  <si>
    <t>Latest forecast capex (2024 AMP)</t>
  </si>
  <si>
    <t>Powerco 2018 - 2023 CPP determination Table 2.2.1 and EDP DPP3 (Powerco transition) Amendment Table 2.2.1</t>
  </si>
  <si>
    <t>Powerco 2018 - 2023 CPP determination Table 2.2.2 and EDP DPP3 (Powerco transition) Amendment Table 2.2.2</t>
  </si>
  <si>
    <t>Wellington Electricity 2018 - 2021 CPP determination Table 2.2.2 and Wellington Electricity 2022 - 2025 DPP determination Table 2.2.2</t>
  </si>
  <si>
    <t>Wellington Electricity 2018 - 2021 CPP determination Table 2.2.1 and Wellington Electricity 2022 - 2025 DPP determination Table 2.2.1</t>
  </si>
  <si>
    <t>This Excel workbook is one of a suite of models for modelling for the EDB DPP4 draft decision.</t>
  </si>
  <si>
    <t>This model aims to serve as a template for non-exempt EDBs to calculate their recoverable costs under the Incremental Rolling Incentive Scheme (IRIS).</t>
  </si>
  <si>
    <t>It is to be updated by these EDBs as new information on actual expenditure amounts, and actual useful asset lives becomes available.</t>
  </si>
  <si>
    <t>Once this new information is included in the model, the IRIS recoverable costs will be calculated, consistent with clauses 3.3.2 to 3.3.6, and 3.3.10 to 3.3.12 of the IMs.</t>
  </si>
  <si>
    <t>High level calculation steps</t>
  </si>
  <si>
    <t>There are three key amounts that need to be calculated in the model. These are:</t>
  </si>
  <si>
    <t>The high level calculation steps are as follows:</t>
  </si>
  <si>
    <t>Capex retention adjustment:</t>
  </si>
  <si>
    <t>Capex wash-up adjustment:</t>
  </si>
  <si>
    <t>The present value of the BBAR throughout DPP3, as at the beginning of DPP3, is calculated as it was set at the beginning of the regulatory period.</t>
  </si>
  <si>
    <t>Using updated information on actual assets commissioned, and the remaining useful lives of commissioned assets, a new present value of the BBAR throughout DPP3 is calculated.</t>
  </si>
  <si>
    <t>The difference in these two amounts is then calculated, and then rolled forward to get a present value at the end of DPP3.</t>
  </si>
  <si>
    <t>This amount is then spread throughout the subsequent DPP.</t>
  </si>
  <si>
    <t>This difference is then multiplied by the retention factor, which determines how much of this over / underspend can be retained by the EDB, and carried forward into subsequent years.</t>
  </si>
  <si>
    <t>Opex incentive amount:</t>
  </si>
  <si>
    <t>An adjustment is made to the actual opex to include operating lease payments, consistent with our decision to continue to treat operating lease payments as opex for the purpose of the opex incentive amount.</t>
  </si>
  <si>
    <t>An adjustment is made to the actual assets commissioned to exclude operating lease payments capitalised, consistent with our decision to continue to treat operating lease payments as opex for the purpose of the capex retention adjustment.</t>
  </si>
  <si>
    <t>All data used by the model are entered in the 'Inputs' sheet. The sources of the inputs are as follows:</t>
  </si>
  <si>
    <t>The 'Output' sheet uses Excel's data table facility to display the calculated results for all distributors. The outputs are used for the following:</t>
  </si>
  <si>
    <t>The capex retention amount</t>
  </si>
  <si>
    <t>The capex wash-up adjustment</t>
  </si>
  <si>
    <t>The opex incentive amount</t>
  </si>
  <si>
    <t>Notes</t>
  </si>
  <si>
    <t xml:space="preserve">Financial quantities in this model are expressed in NZD'000. </t>
  </si>
  <si>
    <t xml:space="preserve">Annual quantities relate to years ending on 31 March. </t>
  </si>
  <si>
    <t>The model calculates results for the distributor selected in the 'EDB select' sheet dropdown list in cell B5. Calculations are in the following sheets:</t>
  </si>
  <si>
    <t>A lighter font is used for cells containing a formula linking to another sheet. A red font is applied to input cells.</t>
  </si>
  <si>
    <t>Wherever two horizontally adjacent cells contain numerical formulas which differ, a red vertical border has been placed between the cells to indicate that the cell formulas are different.</t>
  </si>
  <si>
    <t>Model suite</t>
  </si>
  <si>
    <t>EDB DPP3 Determination, Table 2.2.2 for 2021. Aurora 2021 CPP determination, Table 2.2.2 for years 2022 - 2025.</t>
  </si>
  <si>
    <t>EDB DPP3 Determination, Table 2.2.1 for 2021. Aurora 2021 CPP determination, Table 2.2.1 for years 2022 - 2025.</t>
  </si>
  <si>
    <t>Firstlight Network</t>
  </si>
  <si>
    <t>Note: Was previously named Eastland Network</t>
  </si>
  <si>
    <t xml:space="preserve">Note: Was previously named Eastland Network </t>
  </si>
  <si>
    <t>PV factor</t>
  </si>
  <si>
    <t>Years until 1 April 2025 for PV factor * (-1)</t>
  </si>
  <si>
    <t>Forecast assets commissioned (AMP 2024)</t>
  </si>
  <si>
    <t>Inputs used in the calculation of IRIS recoverable costs</t>
  </si>
  <si>
    <t>Forecast opex (2024 AMP), excluding operating lease payments</t>
  </si>
  <si>
    <t>Note that these amounts are exclusive of right-of-use asset amounts, not yet reflecting the recent change to accounting standards through IFRS16. They were sourced from the EDB DPP3 determination, Table 2.2.2, unless stated otherwise.</t>
  </si>
  <si>
    <t>Note to EDBs: Guidance on how to update this row is contained in the "Description" sheet, row 55.</t>
  </si>
  <si>
    <t>EDBs should replace these values with the actual right-of-use assets commissioned, once they become available</t>
  </si>
  <si>
    <t>Note that these amounts are inclusive of operating lease payments, not yet reflecting the recent change to accounting standards through IFRS16. They were sourced from the EDB DPP3 determination, Table 2.2.1, unless stated otherwise.</t>
  </si>
  <si>
    <t>2024 AMP, S11b, row 18</t>
  </si>
  <si>
    <t>EDBs should replace these values with the actual operating lease payments, once they become available</t>
  </si>
  <si>
    <t>Calculation of the capex incentive amounts</t>
  </si>
  <si>
    <t>Calculates the difference between the present value of the BBAR under the capex allowances set at DPP3, and actual capex throughout the period</t>
  </si>
  <si>
    <t>Adjusts the present value of the above amount from 2020 to 2025. This gives the capex wash-up amount to be recovered throughout DPP4</t>
  </si>
  <si>
    <t>Calculates the present value of the capex allowances as at 1 April 2025</t>
  </si>
  <si>
    <t>Calculates the present value of the actual capex as at 1 April 2025</t>
  </si>
  <si>
    <t>Calculates the difference between the two above amounts, to be used in the calculation of the retention adjustment</t>
  </si>
  <si>
    <t>Based on the total retention adjustment and capex wash-up amounts, expressed in PV as at 1 April 2025 terms, spreads these amounts evenly throughout the last four years of the next regulatory period</t>
  </si>
  <si>
    <t>Cost of debt factor to be applied</t>
  </si>
  <si>
    <t>The amount expressed in cell C52 is in PV terms as at 1 April 2025. This will be spread across DPP4, with an appropriate cost of debt adjustment applied</t>
  </si>
  <si>
    <t>Capex wash-up amount</t>
  </si>
  <si>
    <t xml:space="preserve">Per clause 3.3.11 of the IMs, the capex wash-up calculates the difference in the present value of the BBAR under the capex allowances set at DPP3, and the actual capex amounts throughout the period. </t>
  </si>
  <si>
    <t>Retention adjustment</t>
  </si>
  <si>
    <t>Per clause 3.3.12 of the IMs, the retention adjustment calculates the difference in the present value of capex allowances vs actual capex amounts, and applies the retention factor to these differences</t>
  </si>
  <si>
    <t>This is done through producing a copy of the relevant sheets of the Financial model, with an updated set of inputs to reflect the actual capex amounts.</t>
  </si>
  <si>
    <t>Some adjustments are made to reflect the timing of the amounts recovered, and the appropriate time value of money factor.</t>
  </si>
  <si>
    <t>Finally, some adjustments are made to reflect the timing of the amounts recovered, and the appropriate time value of money factor.</t>
  </si>
  <si>
    <t>1) Capex wash-up</t>
  </si>
  <si>
    <t>2) Retention adjustment</t>
  </si>
  <si>
    <t>Calculation of the opex incentive amounts</t>
  </si>
  <si>
    <t>1) Amounts carried forward:</t>
  </si>
  <si>
    <t>Per clause 3.3.3(2) to (7) of the IMs, amounts carried forward are calculated based on the difference between opex allowances, and actual opex</t>
  </si>
  <si>
    <t>Per clause 3.3.3(2), the amount carried forward from Year 1 should be the difference between the opex allowance, and actual opex</t>
  </si>
  <si>
    <t>Per clause 3.3.3 (4), this amount should be zero</t>
  </si>
  <si>
    <t>Per clause 3.3.3 (3), the amount carried forward for Years 2 - 4 should be the difference between the allowance minus the actual, and the analogous amount from the previous year</t>
  </si>
  <si>
    <t xml:space="preserve">Amount carried forward (Year 1) </t>
  </si>
  <si>
    <t>Amount carried forward (Years 2-4)</t>
  </si>
  <si>
    <t>Amount carried forward (Year 5)</t>
  </si>
  <si>
    <t>This reflects the fact that carry forward amounts should only be carried forward for five years</t>
  </si>
  <si>
    <t>The adjustment to the opex incentive are to be spread across the regulatory period, with the appropriate adjustment made to reflect the timing of cash flows and the time value of money</t>
  </si>
  <si>
    <t>Forecast opex (2024 AMP), including operating lease payments</t>
  </si>
  <si>
    <t>This section makes several calculations for general analysis purposes, such as comparing the allowances to actual expenditure, and incentive amounts to BBAR</t>
  </si>
  <si>
    <t>1) Actuals vs. DPP3 allowance</t>
  </si>
  <si>
    <t>2) Expenditure incentive amounts</t>
  </si>
  <si>
    <t>General outputs</t>
  </si>
  <si>
    <t>This is a copy of the sheet from the Financial model from DPP3 that calculates BBAR, based on the capex allowances from DPP3. For further documentation on the relevant calculations, see the DPP4 Financial model</t>
  </si>
  <si>
    <t>This is a copy</t>
  </si>
  <si>
    <t>This is a copy of the EDB data (DPP) sheet, updated for the actual capex from DPP3. For further documentation on the relevant calculations, see the DPP4 Financial model</t>
  </si>
  <si>
    <t>Here, actual capex amounts are entered for the relevant years in DPP3</t>
  </si>
  <si>
    <t>This is a copy of the TIMING (DPP) sheet, updated for the actual capex from DPP3. For further documentation on the relevant calculations, see the DPP4 Financial model</t>
  </si>
  <si>
    <t>This is a copy of the RAB (DPP) sheet, updated for the actual capex from DPP3. For further documentation on the relevant calculations, see the DPP4 Financial model</t>
  </si>
  <si>
    <t>This is a copy of the TAX (DPP) sheet, updated for the actual capex from DPP3. For further documentation on the relevant calculations, see the DPP4 Financial model</t>
  </si>
  <si>
    <t>This is a copy of the BBAR (DPP) sheet, updated for the actual capex from DPP3. For further documentation on the relevant calculations, see the DPP4 Financial model</t>
  </si>
  <si>
    <t>This roll forward of new assets is done based on actual capex, and the useful life of newly commissioned assets</t>
  </si>
  <si>
    <t>EDB DPP4 Financial model Outputs row 9</t>
  </si>
  <si>
    <t>check</t>
  </si>
  <si>
    <t>Per clauses 3.3.4, 3.3.5, and 3.3.5, several adjustment terms are calculated</t>
  </si>
  <si>
    <t>Price-Quality Regulation 1 April 2025 DPP Reset</t>
  </si>
  <si>
    <t>Calculations of IRIS recoverable costs - template for EDBs</t>
  </si>
  <si>
    <r>
      <t>Follow the link 'Model map – EDB DPP draft determin</t>
    </r>
    <r>
      <rPr>
        <sz val="11"/>
        <rFont val="Calibri"/>
        <family val="2"/>
      </rPr>
      <t xml:space="preserve">ation </t>
    </r>
    <r>
      <rPr>
        <sz val="11"/>
        <rFont val="Calibri"/>
        <family val="2"/>
        <scheme val="minor"/>
      </rPr>
      <t>– 29 May 2024' on the Commission's EDB 2025-2030 default price-quality path determination web page for a graphical depiction of interconnections between the models and data sources.</t>
    </r>
  </si>
  <si>
    <t>For clarity, the actual opex from the ID data should be exclusive of operating lease payments, consistent with recent changes to GAAP under IFRS16. As the opex allowances used to calculate the opex incentive amounts are inclusive of operating lease payments, the model adds the actual operating lease payments (currently left blank) to the opex amounts from ID. For further information on this decision, refer to paragraphs X5.2 and X5.3 of our final decisions paper, "Treatment of operating leases - Final decisions paper" 13 November 2019</t>
  </si>
  <si>
    <t>65th percentile Vanilla WACC, WACC estimates as at 1 April 2024</t>
  </si>
  <si>
    <t>67th percentile Vanilla WACC, estimated at the DPP3 PQ WACC determination</t>
  </si>
  <si>
    <t>DPP3 final decision on retention factor</t>
  </si>
  <si>
    <t>WACC estimates as at 1 April 2024</t>
  </si>
  <si>
    <t>To calculate the recoverable costs attributable to the capex IRIS, EDBs should in the ‘Inputs’ sheet:
•  replace the actual assets commissioned (rows 32 to 48) for ID data when they became available
•  replace the right-of-use assets commissioned (rows 68 to 85) for actual amounts when they become available
•  replace the asset lifetime (row 10) with remaining asset life of the newly commissioned assets at the beginning of the year of commissioning (per clauses 3.3.11(2)(b)(ii) and 1.1.4(2)).</t>
  </si>
  <si>
    <t>To calculate the recoverable costs attributable to the opex IRIS, EDBs should in the ‘Inputs’ sheet:
•  replace the actual opex (rows 107 to 123) for ID data when they became available
•  replace the operating lease payments (rows 143 to 160) when they become available</t>
  </si>
  <si>
    <t>For clarity, the actual assets commissioned from the ID data should be inclusive of right-of-use assets commissioned, consistent with recent changes to GAAP under IFRS16. As the capex allowances used to calculate the retention adjustment amounts are exclusive of right-of-use assets commissioned, the model subtracts the actual right-of-use assets commissioned entered in rows 68 to 85 (currently left blank) from the assets commissioned amounts from ID.</t>
  </si>
  <si>
    <t>A present value of the differences in actual assets commissioned, and capex allowances is calculated. In years where the actual assets commissioned is not yet available, there is an option to use either the DPP3 allowance, or the latest AMP forecast in their place.</t>
  </si>
  <si>
    <t>The difference between the actual opex and opex allowances is then calculated, and used to determine the carry-forward amounts. In years where the actual opex is not yet available, there is an option to use either the DPP3 allowance, or the latest AMP forecast in their place.</t>
  </si>
  <si>
    <t>This cell determines whether we should use the latest AMP forecast or the DPP3 allowance for values of expenditure when actual amounts are not yet available.</t>
  </si>
  <si>
    <t xml:space="preserve">This section pulls in the relevant inputs from the various sheets to produce a series of capex allowances / actual expenditures (or recent AMP forecasts if actuals are not yet available). </t>
  </si>
  <si>
    <t>Furthermore, it adjusts these allowances to reflect our treatment of right-of-use assets commissioned.</t>
  </si>
  <si>
    <t>Supplementary analysis</t>
  </si>
  <si>
    <t>Supplementary analysis outputs</t>
  </si>
  <si>
    <t>Actual opex vs. allowance for period (including latest AMP forecasts)</t>
  </si>
  <si>
    <t>Opex IRIS impact on revenue</t>
  </si>
  <si>
    <t>Actual VCA vs. allowance for period (including latest AMP forecasts)</t>
  </si>
  <si>
    <t>Capex IRIS impact on revenue</t>
  </si>
  <si>
    <t>Aggregate - Actual opex vs. allowance for period (including latest AMP forecasts) (incl. and excl. Aurora)</t>
  </si>
  <si>
    <t>Modelling year</t>
  </si>
  <si>
    <t>Year asset is modelled in period</t>
  </si>
  <si>
    <t>Supp analysis outputs</t>
  </si>
  <si>
    <t>This is a copy of the sheet from the Financial model from DPP3 that calculates BBAR, based on the capex allowances from DPP3. For further documentation on the relevant  model</t>
  </si>
  <si>
    <t>calculations, see the DPP4 Financial</t>
  </si>
  <si>
    <t>Aggregate - Actual VCA vs. allowance for period (including latest AMP forecasts) (incl. and excl. Aurora)</t>
  </si>
  <si>
    <t>Produces one series of expenditures. If available, actual opex is taken. Otherwise, the most recent AMP forecast of opex is used. This amount is inclusive of operating lease payments</t>
  </si>
  <si>
    <t>Produces one series of expenditures. If available, actual capex is taken. Otherwise, the most recent AMP forecast of capex is used. This amount is inclusive of right-of-use assets commissioned</t>
  </si>
  <si>
    <t>Produces one series of expenditures. If available, actual capex is taken. Otherwise, the most recent AMP forecast of capex is used. This amount is exclusive of right-of-use assets commissioned</t>
  </si>
  <si>
    <t>Multiplies the above amount by the retention factor</t>
  </si>
  <si>
    <t>● Capex incentives - calculations involving the capex incentive amounts
● Opex incentives - calculations involving the opex incentive amounts
● General analysis - calculations involving general analysis such as actual expenditures vs allowances, and incentive amounts as a percentage of the total BBAR
● Chartbook calcs - calculations for tables and figures that will feed into the chartbook model, and determinations / reasons papers
● TIMING (update) - This is a copy of the TIMING sheet from the DPP3 Financial model, which derives the timing factors TFopex, TFtax, TFVCA, and TFrev
● RAB (update) - This is a copy of the RAB sheet from the DPP3 Financial model, which performs a calculation of the opening and closing RAB with updated information on asset lives and commissioned assets, when this information becomes available
● TAX (update) - This is a copy of the TAX (DPP) sheet from the DPP3 Financial model, which performs a calculation of the tax amounts with updated information on asset lives and commissioned assets, when this information becomes available
● BBAR (update) - This is a copy of the BBAR sheet from the DPP3 Financial model, which performs a calculation of the BBAR with updated information on asset lives and commissioned assets, when this information becomes available</t>
  </si>
  <si>
    <t>This model should not be used for purposes other than those stated under 'general description' above.</t>
  </si>
  <si>
    <t>May 2024 draft determination</t>
  </si>
  <si>
    <t>Changes to the model since the last published version (29 May 2024)</t>
  </si>
  <si>
    <t>Disclosure years passed minus one (y-1)</t>
  </si>
  <si>
    <t>ID Schedule 4(i) Row 16  "Assets commissioned"</t>
  </si>
  <si>
    <t>2024 AMP, S11a, Row 29 "Assets commissioned"</t>
  </si>
  <si>
    <t>Note: Nelson Electricity's latest AMP forecast has left row 29 (assets commissioned) blank, so the capital expenditure value has been used here</t>
  </si>
  <si>
    <t>This section pulls in the relevant inputs from the various sheets to produce a series of capex allowances / actual expenditures (or recent AMP forecasts if actuals are not yet available). Furthermore, it adjusts these allowances to reflect our treatment of operating lease payments.</t>
  </si>
  <si>
    <t>Published 17 June 2024 v2</t>
  </si>
  <si>
    <t>The 'Inputs' sheet incorrectly used the actual capital expenditure as inputs, rather than the actual assets commissioned in rows 33 to 66. This has now been fixed.</t>
  </si>
  <si>
    <t>Similarly, the latest AMP forecast of capex has been updated to reference the forecast of commissioned assets, rather than capital expenditure from the 2024 AMPs.</t>
  </si>
  <si>
    <t>In the 'Opex incentives' tab, the cost of debt factor to be applied uses the incorrect number of years in row 49. This has now been updated.</t>
  </si>
  <si>
    <t>Some errors have been discovered since the initial version of this model was published alongside the DPP4 draft decision. These are:</t>
  </si>
  <si>
    <t>Information that should be provided and entered by non-exempt EDBs, such as actual remaining useful lives of assets commissioned, operating lease payments, and right-of-use assets commissioned.</t>
  </si>
  <si>
    <t>The Financial model, for inputs such as the BBAR in the current regulatory period.</t>
  </si>
  <si>
    <t>Information disclosures and asset management plans, for inputs such as actual and forecast operating expenditures and assets commissioned.</t>
  </si>
  <si>
    <t>Determinations, for inputs such as the WACC, opex and capex allowances, and the capex retention factor.</t>
  </si>
  <si>
    <t>The Input Methodologies, for parameters such as assumed asset lifetimes.</t>
  </si>
  <si>
    <t>Calculating the actual IRIS recoverable costs that non-exempt EDBs are able to recover.</t>
  </si>
  <si>
    <t>Providing indicative amounts of IRIS recoverable costs based on forecast expenditures from AMPs, if actual expenditures are not yet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</si>
</sst>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_);_(* \(#,##0\);_(* &quot;-&quot;_);_(@_)"/>
    <numFmt numFmtId="165" formatCode="_(&quot;$&quot;* #,##0_);_(&quot;$&quot;* \(#,##0\);_(&quot;$&quot;* &quot;-&quot;_);_(@_)"/>
    <numFmt numFmtId="166" formatCode="_(&quot;$&quot;* #,##0.00_);_(&quot;$&quot;* \(#,##0.00\);_(&quot;$&quot;* &quot;-&quot;??_);_(@_)"/>
    <numFmt numFmtId="167" formatCode="_(* #,##0.00_);_(* \(#,##0.00\);_(* &quot;-&quot;??_);_(@_)"/>
    <numFmt numFmtId="168" formatCode="_(@_)"/>
    <numFmt numFmtId="169" formatCode="_(* #,##0.0_);_(* \(#,##0.0\);_(* &quot;–&quot;???_);_(* @_)"/>
    <numFmt numFmtId="170" formatCode="_(* #,##0.00_);_(* \(#,##0.00\);_(* &quot;–&quot;???_);_(* @_)"/>
    <numFmt numFmtId="171" formatCode="_(* #,##0.0000_);_(* \(#,##0.0000\);_(* &quot;–&quot;??_);_(* @_)"/>
    <numFmt numFmtId="172" formatCode="[$-1409]d\ mmm\ yy;@"/>
    <numFmt numFmtId="173" formatCode="_(* #,##0%_);_(* \(#,##0%\);_(* &quot;–&quot;???_);_(* @_)"/>
    <numFmt numFmtId="174" formatCode="_(* #,##0.0%_);_(* \(#,##0.0%\);_(* &quot;–&quot;??_);_(* @_)"/>
    <numFmt numFmtId="175" formatCode="_(* #,##0.00%_);_(* \(#,##0.00%\);_(* &quot;–&quot;???_);_(* @_)"/>
    <numFmt numFmtId="176" formatCode="_(* #,##0.000%_);_(* \(#,##0.000%\);_(* &quot;–&quot;???_);_(* @_)"/>
    <numFmt numFmtId="177" formatCode="_(* #,##0%_);_(* \(#,##0%\);_(* &quot;–&quot;??_);_(* @_)"/>
    <numFmt numFmtId="178" formatCode="_(* 0_);_(* \(0\);_(* &quot;–&quot;??_);_(@_)"/>
    <numFmt numFmtId="179" formatCode="_(* #,##0_);_(* \(#,##0\);_(* &quot;–&quot;???_);_(* @_)"/>
    <numFmt numFmtId="180" formatCode="0.0000"/>
    <numFmt numFmtId="181" formatCode="\+#,##0.0%;\-#,##0.0%;0%"/>
    <numFmt numFmtId="182" formatCode="_(* #,##0.000_);_(* \(#,##0.000\);_(* &quot;–&quot;???_);_(* @_)"/>
    <numFmt numFmtId="183" formatCode="0.0%"/>
    <numFmt numFmtId="184" formatCode="_(* #,##0.0000%_);_(* \(#,##0.0000%\);_(* &quot;–&quot;???_);_(* @_)"/>
    <numFmt numFmtId="185" formatCode="0.000%"/>
    <numFmt numFmtId="186" formatCode="_-* #,##0.0_-;\-* #,##0.0_-;_-* &quot;-&quot;?_-;_-@_-"/>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8"/>
      <name val="Calibri"/>
      <family val="2"/>
      <scheme val="minor"/>
    </font>
    <font>
      <b/>
      <sz val="16"/>
      <name val="Calibri"/>
      <family val="2"/>
      <scheme val="minor"/>
    </font>
    <font>
      <b/>
      <sz val="14"/>
      <name val="Calibri"/>
      <family val="2"/>
      <scheme val="minor"/>
    </font>
    <font>
      <sz val="11"/>
      <color theme="2"/>
      <name val="Calibri"/>
      <family val="2"/>
      <scheme val="minor"/>
    </font>
    <font>
      <b/>
      <sz val="10"/>
      <name val="Calibri"/>
      <family val="4"/>
      <scheme val="minor"/>
    </font>
    <font>
      <sz val="11"/>
      <color theme="9"/>
      <name val="Calibri"/>
      <family val="2"/>
      <scheme val="minor"/>
    </font>
    <font>
      <sz val="11"/>
      <name val="Calibri"/>
      <family val="2"/>
    </font>
    <font>
      <sz val="11"/>
      <color theme="1"/>
      <name val="Calibri"/>
      <family val="2"/>
    </font>
    <font>
      <i/>
      <sz val="10"/>
      <name val="Calibri"/>
      <family val="4"/>
      <scheme val="minor"/>
    </font>
    <font>
      <b/>
      <u/>
      <sz val="11"/>
      <color theme="1"/>
      <name val="Calibri"/>
      <family val="2"/>
      <scheme val="minor"/>
    </font>
    <font>
      <sz val="9"/>
      <color indexed="81"/>
      <name val="Tahoma"/>
      <family val="2"/>
    </font>
    <font>
      <sz val="8"/>
      <color theme="1"/>
      <name val="Calibri"/>
      <family val="2"/>
      <scheme val="minor"/>
    </font>
    <font>
      <sz val="10"/>
      <name val="Calibri"/>
      <family val="2"/>
      <scheme val="minor"/>
    </font>
    <font>
      <b/>
      <sz val="8"/>
      <name val="Calibri"/>
      <family val="2"/>
      <scheme val="minor"/>
    </font>
    <font>
      <sz val="12"/>
      <color theme="1"/>
      <name val="Calibri"/>
      <family val="2"/>
      <scheme val="minor"/>
    </font>
    <font>
      <sz val="18"/>
      <name val="Calibri"/>
      <family val="2"/>
      <scheme val="minor"/>
    </font>
    <font>
      <sz val="8"/>
      <name val="Calibri"/>
      <family val="2"/>
      <scheme val="minor"/>
    </font>
    <font>
      <b/>
      <sz val="12"/>
      <color theme="1"/>
      <name val="Calibri"/>
      <family val="2"/>
      <scheme val="minor"/>
    </font>
    <font>
      <b/>
      <sz val="12"/>
      <name val="Calibri"/>
      <family val="2"/>
      <scheme val="minor"/>
    </font>
    <font>
      <i/>
      <sz val="9"/>
      <name val="Calibri"/>
      <family val="4"/>
      <scheme val="minor"/>
    </font>
    <font>
      <sz val="11"/>
      <color theme="0" tint="-0.34998626667073579"/>
      <name val="Calibri"/>
      <family val="2"/>
      <scheme val="minor"/>
    </font>
    <font>
      <sz val="12"/>
      <color theme="0" tint="-0.34998626667073579"/>
      <name val="Calibri"/>
      <family val="2"/>
      <scheme val="minor"/>
    </font>
    <font>
      <b/>
      <sz val="11"/>
      <color theme="0" tint="-0.34998626667073579"/>
      <name val="Calibri"/>
      <family val="2"/>
      <scheme val="minor"/>
    </font>
    <font>
      <b/>
      <sz val="11"/>
      <name val="Calibri"/>
      <family val="2"/>
      <scheme val="minor"/>
    </font>
    <font>
      <i/>
      <sz val="11"/>
      <color theme="1"/>
      <name val="Calibri"/>
      <family val="2"/>
      <scheme val="minor"/>
    </font>
    <font>
      <i/>
      <sz val="11"/>
      <name val="Calibri"/>
      <family val="2"/>
      <scheme val="minor"/>
    </font>
    <font>
      <b/>
      <sz val="20"/>
      <color rgb="FFC00000"/>
      <name val="Calibri"/>
      <family val="2"/>
      <scheme val="minor"/>
    </font>
    <font>
      <sz val="11"/>
      <color rgb="FF645F3A"/>
      <name val="Calibri"/>
      <family val="2"/>
      <scheme val="minor"/>
    </font>
    <font>
      <u/>
      <sz val="10"/>
      <color theme="11"/>
      <name val="Calibri"/>
      <family val="2"/>
      <scheme val="minor"/>
    </font>
    <font>
      <u/>
      <sz val="10"/>
      <color rgb="FF0000FF"/>
      <name val="Calibri"/>
      <family val="2"/>
      <scheme val="minor"/>
    </font>
    <font>
      <sz val="11"/>
      <color rgb="FFC00000"/>
      <name val="Calibri"/>
      <family val="2"/>
      <scheme val="minor"/>
    </font>
    <font>
      <b/>
      <sz val="20"/>
      <color theme="2"/>
      <name val="Calibri"/>
      <family val="2"/>
      <scheme val="minor"/>
    </font>
    <font>
      <b/>
      <sz val="14"/>
      <color theme="1"/>
      <name val="Calibri"/>
      <family val="2"/>
      <scheme val="minor"/>
    </font>
    <font>
      <sz val="10"/>
      <color theme="1"/>
      <name val="Calibri"/>
      <family val="2"/>
      <scheme val="minor"/>
    </font>
    <font>
      <b/>
      <sz val="9"/>
      <color indexed="81"/>
      <name val="Tahoma"/>
      <family val="2"/>
    </font>
    <font>
      <i/>
      <vertAlign val="subscript"/>
      <sz val="10"/>
      <name val="Calibri"/>
      <family val="2"/>
      <scheme val="minor"/>
    </font>
    <font>
      <vertAlign val="subscript"/>
      <sz val="11"/>
      <color theme="1"/>
      <name val="Calibri"/>
      <family val="2"/>
      <scheme val="minor"/>
    </font>
    <font>
      <b/>
      <sz val="12"/>
      <color rgb="FFFF0000"/>
      <name val="Calibri"/>
      <family val="2"/>
      <scheme val="minor"/>
    </font>
    <font>
      <sz val="12"/>
      <name val="Calibri"/>
      <family val="2"/>
      <scheme val="minor"/>
    </font>
    <font>
      <b/>
      <sz val="11"/>
      <name val="Calibri"/>
      <family val="4"/>
      <scheme val="minor"/>
    </font>
    <font>
      <b/>
      <sz val="20"/>
      <name val="Calibri"/>
      <family val="2"/>
      <scheme val="minor"/>
    </font>
    <font>
      <b/>
      <sz val="18"/>
      <color theme="1"/>
      <name val="Calibri"/>
      <family val="2"/>
      <scheme val="minor"/>
    </font>
    <font>
      <i/>
      <sz val="10"/>
      <name val="Calibri"/>
      <family val="2"/>
      <scheme val="minor"/>
    </font>
    <font>
      <b/>
      <sz val="16"/>
      <color theme="1"/>
      <name val="Calibri"/>
      <family val="2"/>
      <scheme val="minor"/>
    </font>
    <font>
      <b/>
      <sz val="18"/>
      <color indexed="56"/>
      <name val="Cambria"/>
      <family val="2"/>
    </font>
    <font>
      <b/>
      <sz val="10"/>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3"/>
        <bgColor indexed="64"/>
      </patternFill>
    </fill>
    <fill>
      <patternFill patternType="solid">
        <fgColor rgb="FFC9C4A3"/>
        <bgColor indexed="64"/>
      </patternFill>
    </fill>
    <fill>
      <patternFill patternType="solid">
        <fgColor rgb="FFEAE8DA"/>
        <bgColor indexed="64"/>
      </patternFill>
    </fill>
    <fill>
      <patternFill patternType="solid">
        <fgColor rgb="FFD7D3BB"/>
        <bgColor indexed="64"/>
      </patternFill>
    </fill>
    <fill>
      <patternFill patternType="solid">
        <fgColor theme="2" tint="0.79998168889431442"/>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D3E2DF"/>
        <bgColor indexed="64"/>
      </patternFill>
    </fill>
    <fill>
      <patternFill patternType="solid">
        <fgColor rgb="FF80AAA2"/>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7"/>
      </top>
      <bottom style="thin">
        <color theme="7"/>
      </bottom>
      <diagonal/>
    </border>
    <border>
      <left/>
      <right/>
      <top/>
      <bottom style="thin">
        <color indexed="64"/>
      </bottom>
      <diagonal/>
    </border>
    <border>
      <left/>
      <right/>
      <top/>
      <bottom style="thin">
        <color rgb="FFB0A978"/>
      </bottom>
      <diagonal/>
    </border>
    <border>
      <left/>
      <right/>
      <top/>
      <bottom style="thin">
        <color theme="7"/>
      </bottom>
      <diagonal/>
    </border>
    <border>
      <left/>
      <right/>
      <top style="thin">
        <color theme="7"/>
      </top>
      <bottom/>
      <diagonal/>
    </border>
    <border>
      <left/>
      <right/>
      <top style="thin">
        <color rgb="FFB0A978"/>
      </top>
      <bottom/>
      <diagonal/>
    </border>
    <border>
      <left/>
      <right/>
      <top style="thin">
        <color rgb="FFB0A978"/>
      </top>
      <bottom style="thin">
        <color rgb="FFB0A978"/>
      </bottom>
      <diagonal/>
    </border>
    <border>
      <left/>
      <right style="thin">
        <color rgb="FFB0A978"/>
      </right>
      <top style="thin">
        <color rgb="FFB0A978"/>
      </top>
      <bottom style="thin">
        <color theme="7"/>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rgb="FFB0A978"/>
      </right>
      <top style="thin">
        <color rgb="FFB0A978"/>
      </top>
      <bottom style="thin">
        <color rgb="FFB0A978"/>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theme="7"/>
      </top>
      <bottom style="thin">
        <color rgb="FFB0A978"/>
      </bottom>
      <diagonal/>
    </border>
    <border>
      <left/>
      <right style="thick">
        <color rgb="FFFF6600"/>
      </right>
      <top style="thin">
        <color rgb="FFB0A978"/>
      </top>
      <bottom/>
      <diagonal/>
    </border>
    <border>
      <left style="thick">
        <color rgb="FFFF6600"/>
      </left>
      <right/>
      <top style="thin">
        <color rgb="FFB0A978"/>
      </top>
      <bottom style="thin">
        <color rgb="FFB0A978"/>
      </bottom>
      <diagonal/>
    </border>
    <border>
      <left/>
      <right style="thick">
        <color rgb="FFFF6600"/>
      </right>
      <top style="thin">
        <color rgb="FFB0A978"/>
      </top>
      <bottom style="thin">
        <color rgb="FFB0A978"/>
      </bottom>
      <diagonal/>
    </border>
    <border>
      <left/>
      <right/>
      <top style="thin">
        <color rgb="FFB0A978"/>
      </top>
      <bottom style="thin">
        <color rgb="FFB8B096"/>
      </bottom>
      <diagonal/>
    </border>
    <border>
      <left style="thin">
        <color rgb="FFB8B096"/>
      </left>
      <right/>
      <top style="thin">
        <color rgb="FFB8B096"/>
      </top>
      <bottom style="thin">
        <color rgb="FFB8B096"/>
      </bottom>
      <diagonal/>
    </border>
    <border>
      <left/>
      <right/>
      <top style="thin">
        <color rgb="FFB8B096"/>
      </top>
      <bottom style="thin">
        <color rgb="FFB0A978"/>
      </bottom>
      <diagonal/>
    </border>
    <border>
      <left style="thick">
        <color rgb="FFFF6600"/>
      </left>
      <right/>
      <top style="thin">
        <color rgb="FFB0A978"/>
      </top>
      <bottom/>
      <diagonal/>
    </border>
    <border>
      <left/>
      <right style="thick">
        <color rgb="FFFF6600"/>
      </right>
      <top/>
      <bottom/>
      <diagonal/>
    </border>
    <border>
      <left style="thick">
        <color rgb="FFFF6600"/>
      </left>
      <right/>
      <top/>
      <bottom style="thin">
        <color rgb="FFB0A978"/>
      </bottom>
      <diagonal/>
    </border>
    <border>
      <left style="thick">
        <color rgb="FFFF6600"/>
      </left>
      <right style="thick">
        <color rgb="FFFF6600"/>
      </right>
      <top style="thin">
        <color rgb="FFB0A978"/>
      </top>
      <bottom style="thin">
        <color rgb="FFB0A978"/>
      </bottom>
      <diagonal/>
    </border>
    <border>
      <left style="thick">
        <color rgb="FFFF6600"/>
      </left>
      <right style="thick">
        <color rgb="FFFF6600"/>
      </right>
      <top style="thin">
        <color rgb="FFB0A978"/>
      </top>
      <bottom/>
      <diagonal/>
    </border>
    <border>
      <left/>
      <right/>
      <top style="thin">
        <color rgb="FFB8B096"/>
      </top>
      <bottom/>
      <diagonal/>
    </border>
    <border>
      <left/>
      <right/>
      <top style="thin">
        <color rgb="FFB8B096"/>
      </top>
      <bottom style="thin">
        <color rgb="FFB8B096"/>
      </bottom>
      <diagonal/>
    </border>
    <border>
      <left/>
      <right/>
      <top style="thin">
        <color rgb="FFB0A978"/>
      </top>
      <bottom style="thin">
        <color theme="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FF6600"/>
      </left>
      <right style="thick">
        <color rgb="FFFF6600"/>
      </right>
      <top/>
      <bottom/>
      <diagonal/>
    </border>
  </borders>
  <cellStyleXfs count="8453">
    <xf numFmtId="0" fontId="0" fillId="0" borderId="0"/>
    <xf numFmtId="167" fontId="1" fillId="0" borderId="0" applyFont="0" applyFill="0" applyBorder="0" applyAlignment="0" applyProtection="0"/>
    <xf numFmtId="179" fontId="12"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9" fontId="39" fillId="0" borderId="0" applyFill="0" applyAlignment="0"/>
    <xf numFmtId="49" fontId="13" fillId="0" borderId="0" applyFill="0" applyAlignment="0"/>
    <xf numFmtId="49" fontId="14" fillId="0" borderId="0" applyFill="0" applyAlignment="0"/>
    <xf numFmtId="49" fontId="15"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43" fillId="0" borderId="12" applyNumberFormat="0" applyAlignment="0">
      <protection locked="0"/>
    </xf>
    <xf numFmtId="0" fontId="1" fillId="0" borderId="12" applyNumberFormat="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1"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76" fontId="12" fillId="32" borderId="0" applyFont="0" applyBorder="0"/>
    <xf numFmtId="175" fontId="19" fillId="0" borderId="0" applyFont="0" applyFill="0" applyBorder="0" applyAlignment="0" applyProtection="0">
      <protection locked="0"/>
    </xf>
    <xf numFmtId="174" fontId="12" fillId="0" borderId="0" applyFont="0" applyFill="0" applyBorder="0" applyAlignment="0" applyProtection="0">
      <alignment horizontal="center" vertical="top" wrapText="1"/>
    </xf>
    <xf numFmtId="173" fontId="40" fillId="0" borderId="12" applyNumberFormat="0" applyAlignment="0"/>
    <xf numFmtId="0" fontId="17" fillId="0" borderId="12" applyNumberFormat="0">
      <alignment horizontal="centerContinuous" wrapText="1"/>
    </xf>
    <xf numFmtId="172" fontId="19" fillId="0" borderId="0" applyFont="0" applyFill="0" applyBorder="0" applyAlignment="0" applyProtection="0">
      <alignment wrapText="1"/>
    </xf>
    <xf numFmtId="171" fontId="19" fillId="0" borderId="0" applyFont="0" applyFill="0" applyBorder="0" applyAlignment="0" applyProtection="0"/>
    <xf numFmtId="170" fontId="19" fillId="0" borderId="0" applyFont="0" applyFill="0" applyBorder="0" applyAlignment="0" applyProtection="0">
      <protection locked="0"/>
    </xf>
    <xf numFmtId="169" fontId="19" fillId="0" borderId="0" applyFont="0" applyFill="0" applyBorder="0" applyAlignment="0" applyProtection="0">
      <protection locked="0"/>
    </xf>
    <xf numFmtId="0" fontId="42" fillId="0" borderId="0" applyNumberFormat="0" applyFill="0" applyBorder="0" applyAlignment="0" applyProtection="0">
      <alignment vertical="top"/>
      <protection locked="0"/>
    </xf>
    <xf numFmtId="9" fontId="1" fillId="0" borderId="0" applyFont="0" applyFill="0" applyBorder="0" applyAlignment="0" applyProtection="0"/>
    <xf numFmtId="177" fontId="1" fillId="0" borderId="0" applyFont="0" applyFill="0" applyBorder="0" applyAlignment="0" applyProtection="0"/>
    <xf numFmtId="9" fontId="1" fillId="0" borderId="0" applyFont="0" applyFill="0" applyBorder="0" applyAlignment="0" applyProtection="0"/>
    <xf numFmtId="0" fontId="12" fillId="35" borderId="12" applyNumberFormat="0" applyAlignment="0" applyProtection="0"/>
    <xf numFmtId="182" fontId="1" fillId="0" borderId="0" applyFont="0" applyFill="0" applyBorder="0" applyAlignment="0" applyProtection="0"/>
    <xf numFmtId="178" fontId="19" fillId="0" borderId="0" applyFont="0" applyFill="0" applyBorder="0" applyAlignment="0" applyProtection="0">
      <alignment horizontal="left"/>
      <protection locked="0"/>
    </xf>
    <xf numFmtId="184" fontId="1" fillId="32" borderId="0" applyFont="0" applyBorder="0"/>
    <xf numFmtId="168" fontId="20" fillId="0" borderId="0" applyFont="0" applyFill="0" applyBorder="0" applyAlignment="0" applyProtection="0">
      <alignment horizontal="left"/>
      <protection locked="0"/>
    </xf>
    <xf numFmtId="169" fontId="1" fillId="34" borderId="13" applyNumberFormat="0" applyFont="0" applyFill="0" applyAlignment="0" applyProtection="0"/>
    <xf numFmtId="49" fontId="21" fillId="0" borderId="0" applyFill="0" applyProtection="0">
      <alignment horizontal="left" indent="1"/>
    </xf>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5"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5"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5"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7" borderId="0" applyNumberFormat="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5"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30" borderId="0" applyNumberFormat="0" applyBorder="0" applyAlignment="0" applyProtection="0"/>
    <xf numFmtId="165" fontId="1" fillId="0" borderId="0" applyFont="0" applyFill="0" applyBorder="0" applyAlignment="0" applyProtection="0"/>
    <xf numFmtId="0" fontId="1" fillId="1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5"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5"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5"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7" borderId="0" applyNumberFormat="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5"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30" borderId="0" applyNumberFormat="0" applyBorder="0" applyAlignment="0" applyProtection="0"/>
    <xf numFmtId="165" fontId="1" fillId="0" borderId="0" applyFont="0" applyFill="0" applyBorder="0" applyAlignment="0" applyProtection="0"/>
    <xf numFmtId="0" fontId="1" fillId="1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5"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5"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5"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7" borderId="0" applyNumberFormat="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5"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30" borderId="0" applyNumberFormat="0" applyBorder="0" applyAlignment="0" applyProtection="0"/>
    <xf numFmtId="165" fontId="1" fillId="0" borderId="0" applyFont="0" applyFill="0" applyBorder="0" applyAlignment="0" applyProtection="0"/>
    <xf numFmtId="0" fontId="1" fillId="1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165" fontId="1" fillId="0" borderId="0" applyFont="0" applyFill="0" applyBorder="0" applyAlignment="0" applyProtection="0"/>
    <xf numFmtId="0" fontId="1"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34" borderId="17" applyNumberFormat="0" applyFont="0" applyFill="0" applyAlignment="0" applyProtection="0"/>
    <xf numFmtId="0" fontId="41" fillId="0" borderId="0" applyNumberFormat="0" applyFill="0" applyBorder="0" applyAlignment="0" applyProtection="0"/>
    <xf numFmtId="49" fontId="44" fillId="0" borderId="0" applyFill="0" applyAlignment="0"/>
    <xf numFmtId="0" fontId="17" fillId="40" borderId="6" applyNumberFormat="0" applyFill="0">
      <alignment horizontal="centerContinuous" wrapText="1"/>
    </xf>
    <xf numFmtId="168" fontId="19" fillId="0" borderId="0" applyFont="0" applyFill="0" applyBorder="0" applyAlignment="0" applyProtection="0">
      <alignment horizontal="left"/>
      <protection locked="0"/>
    </xf>
    <xf numFmtId="179" fontId="19" fillId="0" borderId="0" applyFont="0" applyFill="0" applyBorder="0" applyAlignment="0" applyProtection="0"/>
    <xf numFmtId="0" fontId="1" fillId="34" borderId="6" applyNumberFormat="0" applyFill="0" applyAlignment="0"/>
    <xf numFmtId="0" fontId="16" fillId="41" borderId="6" applyNumberFormat="0" applyFill="0" applyAlignment="0">
      <protection locked="0"/>
    </xf>
    <xf numFmtId="173" fontId="18" fillId="41" borderId="6" applyNumberFormat="0" applyFill="0" applyAlignment="0"/>
    <xf numFmtId="169" fontId="1" fillId="34" borderId="13" applyNumberFormat="0" applyFont="0" applyFill="0" applyAlignment="0" applyProtection="0"/>
    <xf numFmtId="0" fontId="57" fillId="0" borderId="0" applyNumberFormat="0" applyFill="0" applyBorder="0" applyAlignment="0" applyProtection="0"/>
  </cellStyleXfs>
  <cellXfs count="711">
    <xf numFmtId="0" fontId="0" fillId="0" borderId="0" xfId="0"/>
    <xf numFmtId="0" fontId="0" fillId="32" borderId="0" xfId="0" applyFill="1"/>
    <xf numFmtId="0" fontId="17" fillId="0" borderId="8" xfId="0" applyFont="1" applyBorder="1" applyAlignment="1">
      <alignment horizontal="left" wrapText="1"/>
    </xf>
    <xf numFmtId="0" fontId="17" fillId="0" borderId="8" xfId="50" applyBorder="1">
      <alignment horizontal="centerContinuous" wrapText="1"/>
    </xf>
    <xf numFmtId="168" fontId="17" fillId="0" borderId="8" xfId="50" applyNumberFormat="1" applyBorder="1" applyAlignment="1">
      <alignment horizontal="right" wrapText="1"/>
    </xf>
    <xf numFmtId="0" fontId="17" fillId="0" borderId="0" xfId="50" applyNumberFormat="1" applyBorder="1">
      <alignment horizontal="centerContinuous" wrapText="1"/>
    </xf>
    <xf numFmtId="0" fontId="17" fillId="0" borderId="8" xfId="50" applyNumberFormat="1" applyBorder="1" applyAlignment="1">
      <alignment horizontal="right" wrapText="1"/>
    </xf>
    <xf numFmtId="0" fontId="17" fillId="0" borderId="0" xfId="50" applyNumberFormat="1" applyBorder="1" applyAlignment="1">
      <alignment horizontal="right" wrapText="1"/>
    </xf>
    <xf numFmtId="0" fontId="0" fillId="0" borderId="15" xfId="0" applyBorder="1"/>
    <xf numFmtId="0" fontId="0" fillId="0" borderId="14" xfId="0" applyBorder="1"/>
    <xf numFmtId="0" fontId="0" fillId="0" borderId="16" xfId="0" applyBorder="1"/>
    <xf numFmtId="49" fontId="39" fillId="0" borderId="16" xfId="5" applyFill="1" applyBorder="1" applyAlignment="1">
      <alignment horizontal="centerContinuous"/>
    </xf>
    <xf numFmtId="0" fontId="0" fillId="0" borderId="18" xfId="0" applyBorder="1"/>
    <xf numFmtId="0" fontId="0" fillId="0" borderId="7" xfId="0" applyBorder="1"/>
    <xf numFmtId="0" fontId="0" fillId="0" borderId="20" xfId="0" applyBorder="1"/>
    <xf numFmtId="0" fontId="17" fillId="0" borderId="0" xfId="8445" applyFill="1" applyBorder="1">
      <alignment horizontal="centerContinuous" wrapText="1"/>
    </xf>
    <xf numFmtId="168" fontId="0" fillId="0" borderId="12" xfId="8446" applyFont="1" applyFill="1" applyBorder="1" applyAlignment="1" applyProtection="1"/>
    <xf numFmtId="168" fontId="0" fillId="0" borderId="11" xfId="8446" applyFont="1" applyFill="1" applyBorder="1" applyAlignment="1" applyProtection="1"/>
    <xf numFmtId="0" fontId="17" fillId="0" borderId="8" xfId="8445" applyFill="1" applyBorder="1">
      <alignment horizontal="centerContinuous" wrapText="1"/>
    </xf>
    <xf numFmtId="168" fontId="0" fillId="0" borderId="12" xfId="8446" applyFont="1" applyFill="1" applyBorder="1" applyAlignment="1" applyProtection="1">
      <alignment horizontal="left" indent="1"/>
    </xf>
    <xf numFmtId="0" fontId="17" fillId="0" borderId="8" xfId="8445" applyNumberFormat="1" applyFill="1" applyBorder="1" applyAlignment="1">
      <alignment horizontal="right" wrapText="1"/>
    </xf>
    <xf numFmtId="168" fontId="33" fillId="0" borderId="12" xfId="8446" applyFont="1" applyFill="1" applyBorder="1" applyAlignment="1" applyProtection="1"/>
    <xf numFmtId="0" fontId="17" fillId="0" borderId="0" xfId="8445" applyFill="1" applyBorder="1" applyAlignment="1">
      <alignment horizontal="right" wrapText="1"/>
    </xf>
    <xf numFmtId="168" fontId="0" fillId="0" borderId="21" xfId="8448" applyNumberFormat="1" applyFont="1" applyFill="1" applyBorder="1" applyAlignment="1"/>
    <xf numFmtId="168" fontId="17" fillId="0" borderId="8" xfId="8445" applyNumberFormat="1" applyFill="1" applyBorder="1">
      <alignment horizontal="centerContinuous" wrapText="1"/>
    </xf>
    <xf numFmtId="168" fontId="1" fillId="32" borderId="11" xfId="14" applyNumberFormat="1" applyFill="1" applyBorder="1" applyAlignment="1">
      <alignment horizontal="left"/>
    </xf>
    <xf numFmtId="179" fontId="43" fillId="32" borderId="11" xfId="13" applyNumberFormat="1" applyFill="1" applyBorder="1">
      <protection locked="0"/>
    </xf>
    <xf numFmtId="168" fontId="1" fillId="32" borderId="0" xfId="14" applyNumberFormat="1" applyFill="1" applyBorder="1" applyAlignment="1">
      <alignment horizontal="left"/>
    </xf>
    <xf numFmtId="179" fontId="43" fillId="32" borderId="0" xfId="13" applyNumberFormat="1" applyFill="1" applyBorder="1">
      <protection locked="0"/>
    </xf>
    <xf numFmtId="49" fontId="15" fillId="32" borderId="0" xfId="8" applyFill="1" applyBorder="1">
      <alignment horizontal="left"/>
    </xf>
    <xf numFmtId="164" fontId="43" fillId="32" borderId="0" xfId="13" applyNumberFormat="1" applyFill="1" applyBorder="1">
      <protection locked="0"/>
    </xf>
    <xf numFmtId="0" fontId="17" fillId="32" borderId="8" xfId="50" applyFill="1" applyBorder="1">
      <alignment horizontal="centerContinuous" wrapText="1"/>
    </xf>
    <xf numFmtId="168" fontId="17" fillId="32" borderId="8" xfId="50" applyNumberFormat="1" applyFill="1" applyBorder="1" applyAlignment="1">
      <alignment horizontal="right" wrapText="1"/>
    </xf>
    <xf numFmtId="0" fontId="17" fillId="32" borderId="0" xfId="50" applyNumberFormat="1" applyFill="1" applyBorder="1">
      <alignment horizontal="centerContinuous" wrapText="1"/>
    </xf>
    <xf numFmtId="0" fontId="17" fillId="32" borderId="0" xfId="50" applyNumberFormat="1" applyFill="1" applyBorder="1" applyAlignment="1">
      <alignment horizontal="right" wrapText="1"/>
    </xf>
    <xf numFmtId="185" fontId="1" fillId="32" borderId="12" xfId="58" applyNumberFormat="1" applyFill="1" applyBorder="1"/>
    <xf numFmtId="0" fontId="17" fillId="32" borderId="8" xfId="50" applyNumberFormat="1" applyFill="1" applyBorder="1">
      <alignment horizontal="centerContinuous" wrapText="1"/>
    </xf>
    <xf numFmtId="179" fontId="18" fillId="32" borderId="0" xfId="8450" applyNumberFormat="1" applyFill="1" applyBorder="1"/>
    <xf numFmtId="0" fontId="12" fillId="32" borderId="0" xfId="0" applyFont="1" applyFill="1"/>
    <xf numFmtId="0" fontId="17" fillId="32" borderId="8" xfId="50" applyNumberFormat="1" applyFill="1" applyBorder="1" applyAlignment="1">
      <alignment horizontal="right" wrapText="1"/>
    </xf>
    <xf numFmtId="0" fontId="0" fillId="32" borderId="11" xfId="0" applyFill="1" applyBorder="1"/>
    <xf numFmtId="179" fontId="0" fillId="32" borderId="11" xfId="2" applyFont="1" applyFill="1" applyBorder="1"/>
    <xf numFmtId="179" fontId="0" fillId="32" borderId="12" xfId="2" applyFont="1" applyFill="1" applyBorder="1"/>
    <xf numFmtId="179" fontId="0" fillId="32" borderId="0" xfId="2" applyFont="1" applyFill="1" applyBorder="1"/>
    <xf numFmtId="0" fontId="17" fillId="32" borderId="0" xfId="50" applyFill="1" applyBorder="1">
      <alignment horizontal="centerContinuous" wrapText="1"/>
    </xf>
    <xf numFmtId="179" fontId="0" fillId="32" borderId="12" xfId="54" applyNumberFormat="1" applyFont="1" applyFill="1" applyBorder="1" applyProtection="1"/>
    <xf numFmtId="168" fontId="1" fillId="32" borderId="0" xfId="14" applyNumberFormat="1" applyFill="1" applyBorder="1" applyAlignment="1"/>
    <xf numFmtId="168" fontId="36" fillId="32" borderId="0" xfId="8" applyNumberFormat="1" applyFont="1" applyFill="1" applyBorder="1">
      <alignment horizontal="left"/>
    </xf>
    <xf numFmtId="168" fontId="1" fillId="32" borderId="0" xfId="14" applyNumberFormat="1" applyFill="1" applyBorder="1" applyAlignment="1">
      <alignment horizontal="left" indent="1"/>
    </xf>
    <xf numFmtId="0" fontId="15" fillId="32" borderId="0" xfId="8" applyNumberFormat="1" applyFill="1" applyBorder="1">
      <alignment horizontal="left"/>
    </xf>
    <xf numFmtId="168" fontId="0" fillId="32" borderId="0" xfId="14" applyNumberFormat="1" applyFont="1" applyFill="1" applyBorder="1" applyAlignment="1"/>
    <xf numFmtId="179" fontId="0" fillId="32" borderId="23" xfId="2" applyFont="1" applyFill="1" applyBorder="1"/>
    <xf numFmtId="179" fontId="1" fillId="32" borderId="24" xfId="8451" applyNumberFormat="1" applyFont="1" applyFill="1" applyBorder="1"/>
    <xf numFmtId="179" fontId="1" fillId="32" borderId="11" xfId="8451" applyNumberFormat="1" applyFont="1" applyFill="1" applyBorder="1"/>
    <xf numFmtId="179" fontId="1" fillId="32" borderId="22" xfId="8451" applyNumberFormat="1" applyFont="1" applyFill="1" applyBorder="1"/>
    <xf numFmtId="179" fontId="0" fillId="32" borderId="24" xfId="8451" applyNumberFormat="1" applyFont="1" applyFill="1" applyBorder="1"/>
    <xf numFmtId="179" fontId="1" fillId="32" borderId="12" xfId="8451" applyNumberFormat="1" applyFont="1" applyFill="1" applyBorder="1"/>
    <xf numFmtId="0" fontId="17" fillId="32" borderId="8" xfId="50" applyFill="1" applyBorder="1" applyAlignment="1">
      <alignment horizontal="center" wrapText="1"/>
    </xf>
    <xf numFmtId="168" fontId="1" fillId="0" borderId="0" xfId="8448" applyNumberFormat="1" applyFill="1" applyBorder="1" applyAlignment="1">
      <alignment horizontal="left"/>
    </xf>
    <xf numFmtId="168" fontId="1" fillId="32" borderId="8" xfId="14" applyNumberFormat="1" applyFill="1" applyBorder="1" applyAlignment="1"/>
    <xf numFmtId="168" fontId="1" fillId="0" borderId="11" xfId="14" applyNumberFormat="1" applyBorder="1" applyAlignment="1"/>
    <xf numFmtId="179" fontId="1" fillId="0" borderId="11" xfId="14" applyNumberFormat="1" applyBorder="1"/>
    <xf numFmtId="168" fontId="1" fillId="0" borderId="0" xfId="14" applyNumberFormat="1" applyBorder="1" applyAlignment="1"/>
    <xf numFmtId="179" fontId="1" fillId="0" borderId="0" xfId="14" applyNumberFormat="1" applyBorder="1"/>
    <xf numFmtId="168" fontId="1" fillId="0" borderId="0" xfId="14" applyNumberFormat="1" applyBorder="1" applyAlignment="1">
      <alignment horizontal="left"/>
    </xf>
    <xf numFmtId="0" fontId="17" fillId="32" borderId="8" xfId="8445" applyNumberFormat="1" applyFill="1" applyBorder="1">
      <alignment horizontal="centerContinuous" wrapText="1"/>
    </xf>
    <xf numFmtId="0" fontId="17" fillId="32" borderId="0" xfId="8445" applyNumberFormat="1" applyFill="1" applyBorder="1">
      <alignment horizontal="centerContinuous" wrapText="1"/>
    </xf>
    <xf numFmtId="0" fontId="17" fillId="32" borderId="8" xfId="50" applyNumberFormat="1" applyFill="1" applyBorder="1" applyAlignment="1">
      <alignment horizontal="center" wrapText="1"/>
    </xf>
    <xf numFmtId="0" fontId="45" fillId="39" borderId="20" xfId="0" applyFont="1" applyFill="1" applyBorder="1"/>
    <xf numFmtId="0" fontId="0" fillId="39" borderId="20" xfId="0" applyFill="1" applyBorder="1"/>
    <xf numFmtId="0" fontId="0" fillId="39" borderId="20" xfId="0" applyFill="1" applyBorder="1" applyAlignment="1">
      <alignment vertical="center"/>
    </xf>
    <xf numFmtId="1" fontId="0" fillId="39" borderId="20" xfId="0" applyNumberFormat="1" applyFill="1" applyBorder="1" applyAlignment="1">
      <alignment horizontal="right"/>
    </xf>
    <xf numFmtId="0" fontId="0" fillId="39" borderId="19" xfId="0" applyFill="1" applyBorder="1"/>
    <xf numFmtId="169" fontId="1" fillId="32" borderId="12" xfId="8451" applyNumberFormat="1" applyFont="1" applyFill="1" applyBorder="1"/>
    <xf numFmtId="179" fontId="0" fillId="32" borderId="11" xfId="8451" applyNumberFormat="1" applyFont="1" applyFill="1" applyBorder="1"/>
    <xf numFmtId="0" fontId="0" fillId="0" borderId="11" xfId="14" applyFont="1" applyBorder="1" applyAlignment="1">
      <alignment horizontal="left" wrapText="1" indent="2"/>
    </xf>
    <xf numFmtId="0" fontId="1" fillId="0" borderId="11" xfId="14" applyBorder="1" applyAlignment="1">
      <alignment horizontal="center"/>
    </xf>
    <xf numFmtId="0" fontId="1" fillId="0" borderId="11" xfId="14" applyBorder="1" applyAlignment="1"/>
    <xf numFmtId="179" fontId="43" fillId="32" borderId="11" xfId="13" applyNumberFormat="1" applyFill="1" applyBorder="1" applyAlignment="1">
      <protection locked="0"/>
    </xf>
    <xf numFmtId="0" fontId="1" fillId="32" borderId="0" xfId="14" applyFill="1" applyBorder="1" applyAlignment="1">
      <alignment horizontal="center"/>
    </xf>
    <xf numFmtId="179" fontId="43" fillId="32" borderId="0" xfId="13" applyNumberFormat="1" applyFill="1" applyBorder="1" applyAlignment="1">
      <protection locked="0"/>
    </xf>
    <xf numFmtId="179" fontId="0" fillId="0" borderId="0" xfId="2" applyFont="1" applyFill="1" applyBorder="1" applyAlignment="1">
      <alignment horizontal="left" vertical="top"/>
    </xf>
    <xf numFmtId="0" fontId="1" fillId="32" borderId="25" xfId="14" applyFill="1" applyBorder="1" applyAlignment="1">
      <alignment horizontal="center"/>
    </xf>
    <xf numFmtId="0" fontId="1" fillId="32" borderId="25" xfId="14" applyNumberFormat="1" applyFill="1" applyBorder="1" applyAlignment="1">
      <alignment horizontal="left" wrapText="1" indent="2"/>
    </xf>
    <xf numFmtId="0" fontId="1" fillId="32" borderId="8" xfId="14" applyFill="1" applyBorder="1" applyAlignment="1">
      <alignment horizontal="center"/>
    </xf>
    <xf numFmtId="0" fontId="0" fillId="32" borderId="25" xfId="14" applyNumberFormat="1" applyFont="1" applyFill="1" applyBorder="1" applyAlignment="1">
      <alignment horizontal="left" wrapText="1" indent="2"/>
    </xf>
    <xf numFmtId="0" fontId="1" fillId="32" borderId="0" xfId="14" applyNumberFormat="1" applyFill="1" applyBorder="1" applyAlignment="1">
      <alignment horizontal="center"/>
    </xf>
    <xf numFmtId="0" fontId="40" fillId="32" borderId="0" xfId="49" applyNumberFormat="1" applyFill="1" applyBorder="1" applyAlignment="1" applyProtection="1">
      <alignment horizontal="center"/>
      <protection locked="0"/>
    </xf>
    <xf numFmtId="169" fontId="1" fillId="32" borderId="0" xfId="14" applyNumberFormat="1" applyFill="1" applyBorder="1"/>
    <xf numFmtId="181" fontId="1" fillId="32" borderId="0" xfId="14" applyNumberFormat="1" applyFill="1" applyBorder="1"/>
    <xf numFmtId="175" fontId="1" fillId="32" borderId="0" xfId="14" applyNumberFormat="1" applyFill="1" applyBorder="1"/>
    <xf numFmtId="10" fontId="0" fillId="0" borderId="0" xfId="58" applyNumberFormat="1" applyFont="1" applyBorder="1"/>
    <xf numFmtId="0" fontId="0" fillId="42" borderId="0" xfId="0" applyFill="1"/>
    <xf numFmtId="0" fontId="17" fillId="0" borderId="11" xfId="50" applyBorder="1">
      <alignment horizontal="centerContinuous" wrapText="1"/>
    </xf>
    <xf numFmtId="0" fontId="17" fillId="0" borderId="0" xfId="50" applyBorder="1">
      <alignment horizontal="centerContinuous" wrapText="1"/>
    </xf>
    <xf numFmtId="0" fontId="0" fillId="43" borderId="0" xfId="0" applyFill="1"/>
    <xf numFmtId="0" fontId="17" fillId="43" borderId="0" xfId="50" applyFill="1" applyBorder="1">
      <alignment horizontal="centerContinuous" wrapText="1"/>
    </xf>
    <xf numFmtId="0" fontId="0" fillId="44" borderId="0" xfId="0" applyFill="1"/>
    <xf numFmtId="0" fontId="17" fillId="44" borderId="0" xfId="50" applyFill="1" applyBorder="1">
      <alignment horizontal="centerContinuous" wrapText="1"/>
    </xf>
    <xf numFmtId="179" fontId="43" fillId="32" borderId="0" xfId="8447" applyFont="1" applyFill="1" applyBorder="1" applyAlignment="1" applyProtection="1">
      <protection locked="0"/>
    </xf>
    <xf numFmtId="10" fontId="43" fillId="0" borderId="0" xfId="13" applyNumberFormat="1" applyBorder="1" applyAlignment="1">
      <protection locked="0"/>
    </xf>
    <xf numFmtId="10" fontId="43" fillId="32" borderId="0" xfId="13" applyNumberFormat="1" applyFill="1" applyBorder="1" applyAlignment="1">
      <protection locked="0"/>
    </xf>
    <xf numFmtId="179" fontId="43" fillId="0" borderId="0" xfId="13" applyNumberFormat="1" applyBorder="1" applyAlignment="1">
      <protection locked="0"/>
    </xf>
    <xf numFmtId="179" fontId="18" fillId="32" borderId="12" xfId="8447" applyFont="1" applyFill="1" applyBorder="1" applyAlignment="1" applyProtection="1">
      <protection locked="0"/>
    </xf>
    <xf numFmtId="179" fontId="18" fillId="32" borderId="12" xfId="8447" applyFont="1" applyFill="1" applyBorder="1"/>
    <xf numFmtId="179" fontId="18" fillId="32" borderId="12" xfId="8447" applyFont="1" applyFill="1" applyBorder="1" applyProtection="1">
      <protection locked="0"/>
    </xf>
    <xf numFmtId="179" fontId="12" fillId="32" borderId="12" xfId="8447" applyFont="1" applyFill="1" applyBorder="1"/>
    <xf numFmtId="0" fontId="17" fillId="42" borderId="0" xfId="50" applyFill="1" applyBorder="1">
      <alignment horizontal="centerContinuous" wrapText="1"/>
    </xf>
    <xf numFmtId="0" fontId="52" fillId="43" borderId="0" xfId="50" applyFont="1" applyFill="1" applyBorder="1" applyAlignment="1">
      <alignment horizontal="left" wrapText="1"/>
    </xf>
    <xf numFmtId="0" fontId="17" fillId="0" borderId="8" xfId="50" applyBorder="1" applyAlignment="1">
      <alignment horizontal="center" wrapText="1"/>
    </xf>
    <xf numFmtId="0" fontId="12" fillId="32" borderId="0" xfId="14" applyNumberFormat="1" applyFont="1" applyFill="1" applyBorder="1"/>
    <xf numFmtId="179" fontId="1" fillId="42" borderId="0" xfId="14" applyNumberFormat="1" applyFill="1" applyBorder="1"/>
    <xf numFmtId="0" fontId="17" fillId="32" borderId="11" xfId="50" applyFill="1" applyBorder="1">
      <alignment horizontal="centerContinuous" wrapText="1"/>
    </xf>
    <xf numFmtId="0" fontId="12" fillId="42" borderId="0" xfId="0" applyFont="1" applyFill="1"/>
    <xf numFmtId="179" fontId="18" fillId="32" borderId="10" xfId="8449" applyNumberFormat="1" applyFont="1" applyFill="1" applyBorder="1">
      <protection locked="0"/>
    </xf>
    <xf numFmtId="179" fontId="18" fillId="0" borderId="12" xfId="8447" applyFont="1" applyFill="1" applyBorder="1" applyProtection="1">
      <protection locked="0"/>
    </xf>
    <xf numFmtId="179" fontId="18" fillId="32" borderId="12" xfId="8447" applyFont="1" applyFill="1" applyBorder="1" applyAlignment="1" applyProtection="1">
      <alignment horizontal="right"/>
      <protection locked="0"/>
    </xf>
    <xf numFmtId="179" fontId="18" fillId="0" borderId="12" xfId="8447" applyFont="1" applyFill="1" applyBorder="1" applyAlignment="1" applyProtection="1">
      <alignment horizontal="right"/>
      <protection locked="0"/>
    </xf>
    <xf numFmtId="0" fontId="0" fillId="43" borderId="6" xfId="0" applyFill="1" applyBorder="1"/>
    <xf numFmtId="0" fontId="0" fillId="32" borderId="19" xfId="0" applyFill="1" applyBorder="1"/>
    <xf numFmtId="0" fontId="1" fillId="32" borderId="0" xfId="0" applyFont="1" applyFill="1"/>
    <xf numFmtId="0" fontId="17" fillId="42" borderId="9" xfId="8445" applyFill="1" applyBorder="1">
      <alignment horizontal="centerContinuous" wrapText="1"/>
    </xf>
    <xf numFmtId="168" fontId="17" fillId="42" borderId="9" xfId="8445" applyNumberFormat="1" applyFill="1" applyBorder="1" applyAlignment="1">
      <alignment horizontal="right" wrapText="1"/>
    </xf>
    <xf numFmtId="0" fontId="17" fillId="42" borderId="8" xfId="8445" applyNumberFormat="1" applyFill="1" applyBorder="1">
      <alignment horizontal="centerContinuous" wrapText="1"/>
    </xf>
    <xf numFmtId="168" fontId="37" fillId="42" borderId="0" xfId="8446" applyFont="1" applyFill="1" applyBorder="1" applyAlignment="1" applyProtection="1">
      <alignment vertical="center"/>
    </xf>
    <xf numFmtId="168" fontId="37" fillId="42" borderId="0" xfId="8446" applyFont="1" applyFill="1" applyBorder="1" applyAlignment="1" applyProtection="1">
      <alignment vertical="center" wrapText="1"/>
    </xf>
    <xf numFmtId="0" fontId="17" fillId="42" borderId="12" xfId="8445" applyFill="1" applyBorder="1">
      <alignment horizontal="centerContinuous" wrapText="1"/>
    </xf>
    <xf numFmtId="0" fontId="17" fillId="42" borderId="12" xfId="8445" applyNumberFormat="1" applyFill="1" applyBorder="1" applyAlignment="1">
      <alignment horizontal="right" wrapText="1"/>
    </xf>
    <xf numFmtId="0" fontId="17" fillId="42" borderId="11" xfId="8445" applyNumberFormat="1" applyFill="1" applyBorder="1">
      <alignment horizontal="centerContinuous" wrapText="1"/>
    </xf>
    <xf numFmtId="168" fontId="13" fillId="42" borderId="11" xfId="6" applyNumberFormat="1" applyFill="1" applyBorder="1"/>
    <xf numFmtId="0" fontId="17" fillId="42" borderId="9" xfId="8445" applyFill="1" applyBorder="1" applyAlignment="1">
      <alignment horizontal="right" wrapText="1"/>
    </xf>
    <xf numFmtId="168" fontId="13" fillId="42" borderId="10" xfId="6" applyNumberFormat="1" applyFill="1" applyBorder="1"/>
    <xf numFmtId="49" fontId="14" fillId="43" borderId="10" xfId="7" applyFill="1" applyBorder="1"/>
    <xf numFmtId="0" fontId="0" fillId="43" borderId="10" xfId="0" applyFill="1" applyBorder="1"/>
    <xf numFmtId="168" fontId="31" fillId="43" borderId="8" xfId="7" applyNumberFormat="1" applyFont="1" applyFill="1" applyBorder="1" applyAlignment="1">
      <alignment horizontal="left"/>
    </xf>
    <xf numFmtId="0" fontId="17" fillId="43" borderId="8" xfId="8445" applyNumberFormat="1" applyFill="1" applyBorder="1" applyAlignment="1">
      <alignment horizontal="center" wrapText="1"/>
    </xf>
    <xf numFmtId="170" fontId="12" fillId="32" borderId="12" xfId="8447" applyNumberFormat="1" applyFont="1" applyFill="1" applyBorder="1"/>
    <xf numFmtId="49" fontId="15" fillId="32" borderId="26" xfId="8" applyFill="1" applyBorder="1">
      <alignment horizontal="left"/>
    </xf>
    <xf numFmtId="0" fontId="1" fillId="32" borderId="27" xfId="14" applyFill="1" applyBorder="1" applyAlignment="1">
      <alignment horizontal="left" wrapText="1"/>
    </xf>
    <xf numFmtId="49" fontId="15" fillId="32" borderId="12" xfId="6" applyFont="1" applyFill="1" applyBorder="1" applyAlignment="1">
      <alignment horizontal="left" wrapText="1"/>
    </xf>
    <xf numFmtId="0" fontId="1" fillId="32" borderId="11" xfId="14" applyFill="1" applyBorder="1" applyAlignment="1">
      <alignment horizontal="center"/>
    </xf>
    <xf numFmtId="0" fontId="25" fillId="32" borderId="11" xfId="50" applyNumberFormat="1" applyFont="1" applyFill="1" applyBorder="1" applyAlignment="1">
      <alignment horizontal="left" wrapText="1" indent="2"/>
    </xf>
    <xf numFmtId="0" fontId="25" fillId="0" borderId="11" xfId="50" applyNumberFormat="1" applyFont="1" applyBorder="1" applyAlignment="1">
      <alignment horizontal="left" wrapText="1" indent="2"/>
    </xf>
    <xf numFmtId="0" fontId="0" fillId="32" borderId="8" xfId="14" applyNumberFormat="1" applyFont="1" applyFill="1" applyBorder="1" applyAlignment="1">
      <alignment horizontal="left" wrapText="1" indent="2"/>
    </xf>
    <xf numFmtId="0" fontId="1" fillId="32" borderId="8" xfId="14" applyFill="1" applyBorder="1"/>
    <xf numFmtId="49" fontId="15" fillId="44" borderId="0" xfId="8" applyFill="1" applyBorder="1" applyAlignment="1">
      <alignment horizontal="right"/>
    </xf>
    <xf numFmtId="0" fontId="52" fillId="32" borderId="0" xfId="50" applyFont="1" applyFill="1" applyBorder="1" applyAlignment="1">
      <alignment horizontal="left" wrapText="1"/>
    </xf>
    <xf numFmtId="0" fontId="52" fillId="43" borderId="0" xfId="50" applyFont="1" applyFill="1" applyBorder="1" applyAlignment="1">
      <alignment horizontal="left"/>
    </xf>
    <xf numFmtId="0" fontId="17" fillId="32" borderId="8" xfId="8445" applyNumberFormat="1" applyFill="1" applyBorder="1" applyAlignment="1">
      <alignment horizontal="center" wrapText="1"/>
    </xf>
    <xf numFmtId="0" fontId="55" fillId="32" borderId="8" xfId="8445" applyNumberFormat="1" applyFont="1" applyFill="1" applyBorder="1" applyAlignment="1">
      <alignment horizontal="center" wrapText="1"/>
    </xf>
    <xf numFmtId="179" fontId="12" fillId="32" borderId="22" xfId="8451" applyNumberFormat="1" applyFont="1" applyFill="1" applyBorder="1"/>
    <xf numFmtId="9" fontId="0" fillId="32" borderId="12" xfId="58" applyFont="1" applyFill="1" applyBorder="1"/>
    <xf numFmtId="10" fontId="0" fillId="32" borderId="12" xfId="58" applyNumberFormat="1" applyFont="1" applyFill="1" applyBorder="1"/>
    <xf numFmtId="164" fontId="0" fillId="0" borderId="12" xfId="8446" applyNumberFormat="1" applyFont="1" applyFill="1" applyBorder="1" applyAlignment="1" applyProtection="1"/>
    <xf numFmtId="9" fontId="1" fillId="32" borderId="11" xfId="58" applyFont="1" applyFill="1" applyBorder="1"/>
    <xf numFmtId="9" fontId="1" fillId="32" borderId="12" xfId="58" applyFont="1" applyFill="1" applyBorder="1"/>
    <xf numFmtId="179" fontId="2" fillId="32" borderId="12" xfId="8451" applyNumberFormat="1" applyFont="1" applyFill="1" applyBorder="1"/>
    <xf numFmtId="179" fontId="2" fillId="32" borderId="12" xfId="2" applyFont="1" applyFill="1" applyBorder="1"/>
    <xf numFmtId="179" fontId="0" fillId="32" borderId="28" xfId="2" applyFont="1" applyFill="1" applyBorder="1"/>
    <xf numFmtId="168" fontId="0" fillId="0" borderId="11" xfId="8446" applyFont="1" applyFill="1" applyBorder="1" applyAlignment="1" applyProtection="1">
      <alignment horizontal="left" indent="1"/>
    </xf>
    <xf numFmtId="0" fontId="0" fillId="0" borderId="9" xfId="8448" applyFont="1" applyFill="1" applyBorder="1"/>
    <xf numFmtId="9" fontId="0" fillId="32" borderId="11" xfId="58" applyFont="1" applyFill="1" applyBorder="1"/>
    <xf numFmtId="168" fontId="0" fillId="0" borderId="8" xfId="8446" applyFont="1" applyFill="1" applyBorder="1" applyAlignment="1" applyProtection="1">
      <alignment horizontal="left" indent="1"/>
    </xf>
    <xf numFmtId="168" fontId="0" fillId="0" borderId="8" xfId="8446" applyFont="1" applyFill="1" applyBorder="1" applyAlignment="1" applyProtection="1"/>
    <xf numFmtId="168" fontId="0" fillId="0" borderId="9" xfId="8448" applyNumberFormat="1" applyFont="1" applyFill="1" applyBorder="1" applyAlignment="1">
      <alignment horizontal="left" indent="1"/>
    </xf>
    <xf numFmtId="179" fontId="0" fillId="32" borderId="9" xfId="8448" applyNumberFormat="1" applyFont="1" applyFill="1" applyBorder="1"/>
    <xf numFmtId="168" fontId="36" fillId="43" borderId="0" xfId="8" applyNumberFormat="1" applyFont="1" applyFill="1" applyBorder="1">
      <alignment horizontal="left"/>
    </xf>
    <xf numFmtId="168" fontId="0" fillId="0" borderId="0" xfId="8446" applyFont="1" applyFill="1" applyBorder="1" applyAlignment="1" applyProtection="1">
      <alignment horizontal="left" indent="1"/>
    </xf>
    <xf numFmtId="179" fontId="0" fillId="32" borderId="8" xfId="2" applyFont="1" applyFill="1" applyBorder="1"/>
    <xf numFmtId="168" fontId="1" fillId="32" borderId="11" xfId="14" applyNumberFormat="1" applyFill="1" applyBorder="1" applyAlignment="1"/>
    <xf numFmtId="0" fontId="1" fillId="32" borderId="11" xfId="14" applyFill="1" applyBorder="1"/>
    <xf numFmtId="179" fontId="1" fillId="32" borderId="11" xfId="14" applyNumberFormat="1" applyFill="1" applyBorder="1"/>
    <xf numFmtId="179" fontId="1" fillId="32" borderId="12" xfId="8447" applyFont="1" applyFill="1" applyBorder="1"/>
    <xf numFmtId="168" fontId="17" fillId="32" borderId="8" xfId="50" applyNumberFormat="1" applyFill="1" applyBorder="1">
      <alignment horizontal="centerContinuous" wrapText="1"/>
    </xf>
    <xf numFmtId="168" fontId="2" fillId="0" borderId="11" xfId="14" applyNumberFormat="1" applyFont="1" applyBorder="1" applyAlignment="1"/>
    <xf numFmtId="168" fontId="1" fillId="0" borderId="8" xfId="14" applyNumberFormat="1" applyBorder="1" applyAlignment="1"/>
    <xf numFmtId="179" fontId="2" fillId="32" borderId="8" xfId="2" applyFont="1" applyFill="1" applyBorder="1"/>
    <xf numFmtId="0" fontId="17" fillId="43" borderId="0" xfId="8445" applyFill="1" applyBorder="1">
      <alignment horizontal="centerContinuous" wrapText="1"/>
    </xf>
    <xf numFmtId="168" fontId="17" fillId="43" borderId="0" xfId="8445" applyNumberFormat="1" applyFill="1" applyBorder="1">
      <alignment horizontal="centerContinuous" wrapText="1"/>
    </xf>
    <xf numFmtId="0" fontId="17" fillId="43" borderId="0" xfId="8445" applyNumberFormat="1" applyFill="1" applyBorder="1">
      <alignment horizontal="centerContinuous" wrapText="1"/>
    </xf>
    <xf numFmtId="168" fontId="0" fillId="32" borderId="11" xfId="14" applyNumberFormat="1" applyFont="1" applyFill="1" applyBorder="1" applyAlignment="1"/>
    <xf numFmtId="168" fontId="0" fillId="32" borderId="8" xfId="14" applyNumberFormat="1" applyFont="1" applyFill="1" applyBorder="1" applyAlignment="1"/>
    <xf numFmtId="175" fontId="18" fillId="32" borderId="0" xfId="8450" applyNumberFormat="1" applyFill="1" applyBorder="1"/>
    <xf numFmtId="168" fontId="2" fillId="0" borderId="8" xfId="14" applyNumberFormat="1" applyFont="1" applyBorder="1" applyAlignment="1">
      <alignment horizontal="center" vertical="center" wrapText="1"/>
    </xf>
    <xf numFmtId="168" fontId="0" fillId="0" borderId="8" xfId="8446" applyFont="1" applyFill="1" applyBorder="1" applyAlignment="1" applyProtection="1">
      <alignment horizontal="right" indent="1"/>
    </xf>
    <xf numFmtId="168" fontId="0" fillId="0" borderId="11" xfId="8446" applyFont="1" applyFill="1" applyBorder="1" applyAlignment="1" applyProtection="1">
      <alignment horizontal="right" indent="1"/>
    </xf>
    <xf numFmtId="168" fontId="0" fillId="0" borderId="12" xfId="8446" applyFont="1" applyFill="1" applyBorder="1" applyAlignment="1" applyProtection="1">
      <alignment horizontal="right" indent="1"/>
    </xf>
    <xf numFmtId="0" fontId="0" fillId="0" borderId="25" xfId="14" applyFont="1" applyBorder="1" applyAlignment="1">
      <alignment horizontal="left" wrapText="1" indent="2"/>
    </xf>
    <xf numFmtId="0" fontId="39" fillId="0" borderId="16" xfId="8452" applyFont="1" applyFill="1" applyBorder="1" applyAlignment="1">
      <alignment horizontal="centerContinuous"/>
    </xf>
    <xf numFmtId="49" fontId="17" fillId="0" borderId="0" xfId="50" applyNumberFormat="1" applyBorder="1" applyAlignment="1">
      <alignment horizontal="center" wrapText="1"/>
    </xf>
    <xf numFmtId="49" fontId="0" fillId="0" borderId="0" xfId="0" applyNumberFormat="1" applyAlignment="1">
      <alignment horizontal="center"/>
    </xf>
    <xf numFmtId="175" fontId="18" fillId="0" borderId="0" xfId="14" applyNumberFormat="1" applyFont="1" applyBorder="1"/>
    <xf numFmtId="179" fontId="18" fillId="0" borderId="0" xfId="14" applyNumberFormat="1" applyFont="1" applyBorder="1"/>
    <xf numFmtId="0" fontId="12" fillId="0" borderId="0" xfId="14" applyNumberFormat="1" applyFont="1" applyBorder="1"/>
    <xf numFmtId="0" fontId="1" fillId="42" borderId="0" xfId="14" applyFill="1" applyBorder="1" applyAlignment="1">
      <alignment horizontal="center"/>
    </xf>
    <xf numFmtId="0" fontId="36" fillId="43" borderId="0" xfId="50" applyFont="1" applyFill="1" applyBorder="1">
      <alignment horizontal="centerContinuous" wrapText="1"/>
    </xf>
    <xf numFmtId="0" fontId="1" fillId="32" borderId="11" xfId="14" applyNumberFormat="1" applyFill="1" applyBorder="1" applyAlignment="1">
      <alignment horizontal="left" wrapText="1" indent="2"/>
    </xf>
    <xf numFmtId="179" fontId="1" fillId="32" borderId="11" xfId="14" applyNumberFormat="1" applyFill="1" applyBorder="1" applyAlignment="1"/>
    <xf numFmtId="0" fontId="1" fillId="32" borderId="11" xfId="14" applyNumberFormat="1" applyFill="1" applyBorder="1" applyAlignment="1"/>
    <xf numFmtId="49" fontId="17" fillId="32" borderId="0" xfId="50" applyNumberFormat="1" applyFill="1" applyBorder="1">
      <alignment horizontal="centerContinuous" wrapText="1"/>
    </xf>
    <xf numFmtId="49" fontId="0" fillId="32" borderId="0" xfId="0" applyNumberFormat="1" applyFill="1" applyAlignment="1">
      <alignment wrapText="1"/>
    </xf>
    <xf numFmtId="0" fontId="1" fillId="32" borderId="11" xfId="14" applyNumberFormat="1" applyFill="1" applyBorder="1" applyAlignment="1">
      <alignment horizontal="left" vertical="center"/>
    </xf>
    <xf numFmtId="179" fontId="1" fillId="32" borderId="11" xfId="14" applyNumberFormat="1" applyFill="1" applyBorder="1" applyAlignment="1">
      <alignment horizontal="left" vertical="center"/>
    </xf>
    <xf numFmtId="183" fontId="1" fillId="32" borderId="11" xfId="14" applyNumberFormat="1" applyFill="1" applyBorder="1" applyAlignment="1"/>
    <xf numFmtId="0" fontId="1" fillId="32" borderId="8" xfId="14" applyNumberFormat="1" applyFill="1" applyBorder="1" applyAlignment="1">
      <alignment horizontal="left" vertical="center"/>
    </xf>
    <xf numFmtId="179" fontId="1" fillId="32" borderId="8" xfId="14" applyNumberFormat="1" applyFill="1" applyBorder="1" applyAlignment="1">
      <alignment horizontal="left" vertical="center"/>
    </xf>
    <xf numFmtId="0" fontId="1" fillId="32" borderId="8" xfId="14" applyFill="1" applyBorder="1" applyAlignment="1">
      <alignment horizontal="left" vertical="center"/>
    </xf>
    <xf numFmtId="179" fontId="1" fillId="32" borderId="8" xfId="14" applyNumberFormat="1" applyFill="1" applyBorder="1"/>
    <xf numFmtId="175" fontId="1" fillId="32" borderId="8" xfId="14" applyNumberFormat="1" applyFill="1" applyBorder="1"/>
    <xf numFmtId="49" fontId="1" fillId="32" borderId="8" xfId="14" applyNumberFormat="1" applyFill="1" applyBorder="1" applyAlignment="1">
      <alignment horizontal="left" vertical="center"/>
    </xf>
    <xf numFmtId="175" fontId="1" fillId="32" borderId="8" xfId="14" applyNumberFormat="1" applyFill="1" applyBorder="1" applyAlignment="1">
      <alignment horizontal="left" vertical="center"/>
    </xf>
    <xf numFmtId="10" fontId="1" fillId="32" borderId="8" xfId="14" applyNumberFormat="1" applyFill="1" applyBorder="1"/>
    <xf numFmtId="9" fontId="1" fillId="32" borderId="8" xfId="14" applyNumberFormat="1" applyFill="1" applyBorder="1"/>
    <xf numFmtId="49" fontId="17" fillId="32" borderId="8" xfId="50" applyNumberFormat="1" applyFill="1" applyBorder="1">
      <alignment horizontal="centerContinuous" wrapText="1"/>
    </xf>
    <xf numFmtId="176" fontId="1" fillId="32" borderId="11" xfId="14" applyNumberFormat="1" applyFill="1" applyBorder="1"/>
    <xf numFmtId="177" fontId="1" fillId="32" borderId="11" xfId="14" applyNumberFormat="1" applyFill="1" applyBorder="1" applyAlignment="1"/>
    <xf numFmtId="172" fontId="1" fillId="32" borderId="11" xfId="14" applyNumberFormat="1" applyFill="1" applyBorder="1" applyAlignment="1"/>
    <xf numFmtId="0" fontId="1" fillId="0" borderId="11" xfId="14" applyBorder="1"/>
    <xf numFmtId="0" fontId="1" fillId="0" borderId="11" xfId="14" applyNumberFormat="1" applyBorder="1" applyAlignment="1">
      <alignment horizontal="center"/>
    </xf>
    <xf numFmtId="168" fontId="17" fillId="0" borderId="8" xfId="50" applyNumberFormat="1" applyBorder="1">
      <alignment horizontal="centerContinuous" wrapText="1"/>
    </xf>
    <xf numFmtId="168" fontId="0" fillId="0" borderId="0" xfId="8448" applyNumberFormat="1" applyFont="1" applyFill="1" applyBorder="1" applyAlignment="1">
      <alignment horizontal="left" indent="1"/>
    </xf>
    <xf numFmtId="0" fontId="0" fillId="0" borderId="0" xfId="8448" applyFont="1" applyFill="1" applyBorder="1"/>
    <xf numFmtId="179" fontId="0" fillId="32" borderId="0" xfId="8448" applyNumberFormat="1" applyFont="1" applyFill="1" applyBorder="1"/>
    <xf numFmtId="179" fontId="2" fillId="32" borderId="8" xfId="8451" applyNumberFormat="1" applyFont="1" applyFill="1" applyBorder="1"/>
    <xf numFmtId="0" fontId="17" fillId="42" borderId="0" xfId="8445" applyFill="1" applyBorder="1">
      <alignment horizontal="centerContinuous" wrapText="1"/>
    </xf>
    <xf numFmtId="168" fontId="17" fillId="42" borderId="0" xfId="8445" applyNumberFormat="1" applyFill="1" applyBorder="1">
      <alignment horizontal="centerContinuous" wrapText="1"/>
    </xf>
    <xf numFmtId="0" fontId="17" fillId="42" borderId="0" xfId="8445" applyNumberFormat="1" applyFill="1" applyBorder="1">
      <alignment horizontal="centerContinuous" wrapText="1"/>
    </xf>
    <xf numFmtId="168" fontId="17" fillId="43" borderId="0" xfId="8445" applyNumberFormat="1" applyFill="1" applyBorder="1" applyAlignment="1">
      <alignment horizontal="center" wrapText="1"/>
    </xf>
    <xf numFmtId="0" fontId="17" fillId="43" borderId="0" xfId="8445" applyNumberFormat="1" applyFill="1" applyBorder="1" applyAlignment="1">
      <alignment horizontal="center" wrapText="1"/>
    </xf>
    <xf numFmtId="168" fontId="1" fillId="32" borderId="11" xfId="14" applyNumberFormat="1" applyFill="1" applyBorder="1" applyAlignment="1">
      <alignment horizontal="center"/>
    </xf>
    <xf numFmtId="0" fontId="1" fillId="32" borderId="11" xfId="14" applyNumberFormat="1" applyFill="1" applyBorder="1"/>
    <xf numFmtId="0" fontId="56" fillId="0" borderId="0" xfId="0" applyFont="1" applyAlignment="1">
      <alignment horizontal="center" vertical="center" wrapText="1"/>
    </xf>
    <xf numFmtId="0" fontId="30" fillId="0" borderId="0" xfId="0" applyFont="1" applyAlignment="1">
      <alignment horizontal="center" vertical="center" wrapText="1"/>
    </xf>
    <xf numFmtId="0" fontId="0" fillId="0" borderId="0" xfId="0" applyAlignment="1">
      <alignment horizontal="centerContinuous"/>
    </xf>
    <xf numFmtId="49" fontId="39" fillId="0" borderId="0" xfId="5"/>
    <xf numFmtId="0" fontId="0" fillId="0" borderId="11" xfId="0" applyBorder="1"/>
    <xf numFmtId="49" fontId="39" fillId="0" borderId="0" xfId="5" applyAlignment="1">
      <alignment vertical="center"/>
    </xf>
    <xf numFmtId="0" fontId="37" fillId="0" borderId="0" xfId="0" applyFont="1"/>
    <xf numFmtId="49" fontId="12" fillId="44" borderId="0" xfId="5" applyFont="1" applyFill="1" applyAlignment="1">
      <alignment vertical="center"/>
    </xf>
    <xf numFmtId="49" fontId="13" fillId="42" borderId="0" xfId="6" applyFill="1"/>
    <xf numFmtId="0" fontId="22" fillId="42" borderId="0" xfId="0" applyFont="1" applyFill="1"/>
    <xf numFmtId="0" fontId="2" fillId="42" borderId="0" xfId="0" applyFont="1" applyFill="1"/>
    <xf numFmtId="49" fontId="39" fillId="0" borderId="8" xfId="5" applyBorder="1" applyAlignment="1">
      <alignment vertical="center"/>
    </xf>
    <xf numFmtId="0" fontId="0" fillId="0" borderId="8" xfId="0" applyBorder="1"/>
    <xf numFmtId="0" fontId="0" fillId="0" borderId="12" xfId="14" applyFont="1" applyAlignment="1">
      <alignment horizontal="left" wrapText="1" indent="2"/>
    </xf>
    <xf numFmtId="0" fontId="1" fillId="0" borderId="12" xfId="14"/>
    <xf numFmtId="10" fontId="18" fillId="0" borderId="12" xfId="13" applyNumberFormat="1" applyFont="1" applyAlignment="1">
      <protection locked="0"/>
    </xf>
    <xf numFmtId="10" fontId="18" fillId="32" borderId="12" xfId="13" applyNumberFormat="1" applyFont="1" applyFill="1" applyAlignment="1">
      <protection locked="0"/>
    </xf>
    <xf numFmtId="0" fontId="0" fillId="0" borderId="27" xfId="14" applyFont="1" applyBorder="1" applyAlignment="1">
      <alignment horizontal="left" wrapText="1" indent="2"/>
    </xf>
    <xf numFmtId="0" fontId="1" fillId="0" borderId="12" xfId="14" applyAlignment="1">
      <alignment horizontal="left" wrapText="1" indent="2"/>
    </xf>
    <xf numFmtId="179" fontId="18" fillId="0" borderId="12" xfId="13" applyNumberFormat="1" applyFont="1" applyAlignment="1">
      <protection locked="0"/>
    </xf>
    <xf numFmtId="179" fontId="18" fillId="32" borderId="12" xfId="13" applyNumberFormat="1" applyFont="1" applyFill="1" applyAlignment="1">
      <protection locked="0"/>
    </xf>
    <xf numFmtId="0" fontId="2" fillId="0" borderId="11" xfId="0" applyFont="1" applyBorder="1"/>
    <xf numFmtId="0" fontId="2" fillId="0" borderId="0" xfId="0" applyFont="1"/>
    <xf numFmtId="49" fontId="31" fillId="43" borderId="0" xfId="6" applyFont="1" applyFill="1"/>
    <xf numFmtId="0" fontId="22" fillId="43" borderId="0" xfId="0" applyFont="1" applyFill="1"/>
    <xf numFmtId="0" fontId="2" fillId="43" borderId="0" xfId="0" applyFont="1" applyFill="1"/>
    <xf numFmtId="0" fontId="1" fillId="0" borderId="12" xfId="14" applyAlignment="1">
      <alignment horizontal="center"/>
    </xf>
    <xf numFmtId="0" fontId="1" fillId="0" borderId="12" xfId="14" applyAlignment="1"/>
    <xf numFmtId="179" fontId="0" fillId="0" borderId="0" xfId="0" applyNumberFormat="1"/>
    <xf numFmtId="179" fontId="18" fillId="32" borderId="12" xfId="13" applyNumberFormat="1" applyFont="1" applyFill="1">
      <protection locked="0"/>
    </xf>
    <xf numFmtId="0" fontId="42" fillId="0" borderId="0" xfId="55" applyBorder="1" applyAlignment="1" applyProtection="1"/>
    <xf numFmtId="0" fontId="22" fillId="0" borderId="11" xfId="0" applyFont="1" applyBorder="1"/>
    <xf numFmtId="179" fontId="18" fillId="32" borderId="24" xfId="13" applyNumberFormat="1" applyFont="1" applyFill="1" applyBorder="1" applyAlignment="1">
      <protection locked="0"/>
    </xf>
    <xf numFmtId="179" fontId="18" fillId="32" borderId="23" xfId="13" applyNumberFormat="1" applyFont="1" applyFill="1" applyBorder="1" applyAlignment="1">
      <protection locked="0"/>
    </xf>
    <xf numFmtId="179" fontId="18" fillId="32" borderId="31" xfId="13" applyNumberFormat="1" applyFont="1" applyFill="1" applyBorder="1" applyAlignment="1">
      <protection locked="0"/>
    </xf>
    <xf numFmtId="179" fontId="18" fillId="32" borderId="11" xfId="13" applyNumberFormat="1" applyFont="1" applyFill="1" applyBorder="1" applyAlignment="1">
      <protection locked="0"/>
    </xf>
    <xf numFmtId="179" fontId="18" fillId="32" borderId="32" xfId="13" applyNumberFormat="1" applyFont="1" applyFill="1" applyBorder="1" applyAlignment="1">
      <protection locked="0"/>
    </xf>
    <xf numFmtId="49" fontId="21" fillId="32" borderId="0" xfId="20" applyFill="1">
      <alignment horizontal="left" indent="1"/>
    </xf>
    <xf numFmtId="0" fontId="1" fillId="32" borderId="12" xfId="14" applyFill="1" applyAlignment="1">
      <alignment horizontal="left" wrapText="1" indent="2"/>
    </xf>
    <xf numFmtId="0" fontId="1" fillId="32" borderId="12" xfId="14" applyFill="1" applyAlignment="1">
      <alignment horizontal="center"/>
    </xf>
    <xf numFmtId="0" fontId="1" fillId="32" borderId="12" xfId="14" applyFill="1" applyAlignment="1"/>
    <xf numFmtId="0" fontId="0" fillId="32" borderId="11" xfId="14" applyFont="1" applyFill="1" applyBorder="1" applyAlignment="1">
      <alignment horizontal="left" wrapText="1" indent="2"/>
    </xf>
    <xf numFmtId="0" fontId="1" fillId="32" borderId="11" xfId="14" applyFill="1" applyBorder="1" applyAlignment="1"/>
    <xf numFmtId="0" fontId="0" fillId="32" borderId="12" xfId="14" applyFont="1" applyFill="1" applyAlignment="1">
      <alignment horizontal="left" wrapText="1" indent="2"/>
    </xf>
    <xf numFmtId="1" fontId="0" fillId="0" borderId="0" xfId="0" applyNumberFormat="1"/>
    <xf numFmtId="0" fontId="0" fillId="39" borderId="0" xfId="0" applyFill="1"/>
    <xf numFmtId="1" fontId="0" fillId="39" borderId="0" xfId="0" applyNumberFormat="1" applyFill="1"/>
    <xf numFmtId="179" fontId="18" fillId="32" borderId="22" xfId="13" applyNumberFormat="1" applyFont="1" applyFill="1" applyBorder="1" applyAlignment="1">
      <protection locked="0"/>
    </xf>
    <xf numFmtId="0" fontId="1" fillId="0" borderId="24" xfId="14" applyBorder="1" applyAlignment="1">
      <alignment horizontal="center"/>
    </xf>
    <xf numFmtId="179" fontId="18" fillId="32" borderId="23" xfId="13" applyNumberFormat="1" applyFont="1" applyFill="1" applyBorder="1">
      <protection locked="0"/>
    </xf>
    <xf numFmtId="179" fontId="0" fillId="32" borderId="0" xfId="0" applyNumberFormat="1" applyFill="1"/>
    <xf numFmtId="0" fontId="1" fillId="0" borderId="22" xfId="14" applyBorder="1" applyAlignment="1">
      <alignment horizontal="center"/>
    </xf>
    <xf numFmtId="49" fontId="13" fillId="0" borderId="0" xfId="6"/>
    <xf numFmtId="179" fontId="26" fillId="0" borderId="0" xfId="2" applyFont="1" applyBorder="1" applyAlignment="1" applyProtection="1"/>
    <xf numFmtId="49" fontId="21" fillId="43" borderId="8" xfId="20" applyFill="1" applyBorder="1">
      <alignment horizontal="left" indent="1"/>
    </xf>
    <xf numFmtId="0" fontId="17" fillId="0" borderId="12" xfId="50">
      <alignment horizontal="centerContinuous" wrapText="1"/>
    </xf>
    <xf numFmtId="0" fontId="1" fillId="0" borderId="12" xfId="14" applyNumberFormat="1" applyAlignment="1">
      <alignment horizontal="left" wrapText="1" indent="2"/>
    </xf>
    <xf numFmtId="0" fontId="43" fillId="32" borderId="12" xfId="13" applyFill="1" applyAlignment="1">
      <alignment horizontal="center"/>
      <protection locked="0"/>
    </xf>
    <xf numFmtId="49" fontId="15" fillId="0" borderId="0" xfId="8" applyFill="1" applyBorder="1" applyAlignment="1">
      <alignment horizontal="right"/>
    </xf>
    <xf numFmtId="49" fontId="12" fillId="44" borderId="0" xfId="5" applyFont="1" applyFill="1"/>
    <xf numFmtId="49" fontId="13" fillId="44" borderId="0" xfId="6" applyFill="1"/>
    <xf numFmtId="179" fontId="26" fillId="0" borderId="8" xfId="2" applyFont="1" applyBorder="1" applyAlignment="1" applyProtection="1"/>
    <xf numFmtId="179" fontId="24" fillId="0" borderId="0" xfId="2" applyFont="1" applyBorder="1" applyAlignment="1" applyProtection="1"/>
    <xf numFmtId="0" fontId="24" fillId="0" borderId="0" xfId="0" applyFont="1"/>
    <xf numFmtId="0" fontId="52" fillId="0" borderId="12" xfId="50" applyFont="1">
      <alignment horizontal="centerContinuous" wrapText="1"/>
    </xf>
    <xf numFmtId="0" fontId="25" fillId="0" borderId="12" xfId="50" applyNumberFormat="1" applyFont="1" applyAlignment="1">
      <alignment horizontal="left" wrapText="1" indent="2"/>
    </xf>
    <xf numFmtId="49" fontId="52" fillId="32" borderId="12" xfId="50" applyNumberFormat="1" applyFont="1" applyFill="1" applyAlignment="1">
      <alignment horizontal="left" wrapText="1" indent="2"/>
    </xf>
    <xf numFmtId="0" fontId="43" fillId="0" borderId="12" xfId="13" applyAlignment="1">
      <alignment horizontal="center"/>
      <protection locked="0"/>
    </xf>
    <xf numFmtId="49" fontId="13" fillId="42" borderId="0" xfId="6" applyFill="1" applyAlignment="1">
      <alignment horizontal="left" wrapText="1"/>
    </xf>
    <xf numFmtId="0" fontId="0" fillId="32" borderId="12" xfId="14" applyNumberFormat="1" applyFont="1" applyFill="1" applyAlignment="1">
      <alignment horizontal="left" wrapText="1" indent="2"/>
    </xf>
    <xf numFmtId="0" fontId="18" fillId="32" borderId="12" xfId="14" applyFont="1" applyFill="1"/>
    <xf numFmtId="0" fontId="1" fillId="32" borderId="12" xfId="14" applyFill="1"/>
    <xf numFmtId="179" fontId="18" fillId="32" borderId="12" xfId="14" applyNumberFormat="1" applyFont="1" applyFill="1"/>
    <xf numFmtId="0" fontId="1" fillId="32" borderId="12" xfId="14" applyNumberFormat="1" applyFill="1" applyAlignment="1">
      <alignment horizontal="left" wrapText="1" indent="2"/>
    </xf>
    <xf numFmtId="0" fontId="18" fillId="32" borderId="12" xfId="13" applyFont="1" applyFill="1">
      <protection locked="0"/>
    </xf>
    <xf numFmtId="0" fontId="0" fillId="32" borderId="12" xfId="0" applyFill="1" applyBorder="1"/>
    <xf numFmtId="0" fontId="0" fillId="32" borderId="8" xfId="0" applyFill="1" applyBorder="1"/>
    <xf numFmtId="175" fontId="18" fillId="32" borderId="12" xfId="14" applyNumberFormat="1" applyFont="1" applyFill="1"/>
    <xf numFmtId="0" fontId="0" fillId="32" borderId="33" xfId="0" applyFill="1" applyBorder="1"/>
    <xf numFmtId="0" fontId="0" fillId="32" borderId="11" xfId="0" applyFill="1" applyBorder="1" applyAlignment="1">
      <alignment horizontal="left" indent="1"/>
    </xf>
    <xf numFmtId="49" fontId="12" fillId="44" borderId="0" xfId="6" applyFont="1" applyFill="1" applyAlignment="1">
      <alignment horizontal="left"/>
    </xf>
    <xf numFmtId="49" fontId="12" fillId="0" borderId="8" xfId="6" applyFont="1" applyFill="1" applyBorder="1" applyAlignment="1">
      <alignment horizontal="center"/>
    </xf>
    <xf numFmtId="49" fontId="17" fillId="0" borderId="8" xfId="50" applyNumberFormat="1" applyBorder="1" applyAlignment="1">
      <alignment horizontal="center" wrapText="1"/>
    </xf>
    <xf numFmtId="179" fontId="1" fillId="32" borderId="12" xfId="14" applyNumberFormat="1" applyFill="1"/>
    <xf numFmtId="0" fontId="1" fillId="32" borderId="27" xfId="14" applyFill="1" applyBorder="1" applyAlignment="1">
      <alignment horizontal="center"/>
    </xf>
    <xf numFmtId="179" fontId="1" fillId="45" borderId="12" xfId="14" applyNumberFormat="1" applyFill="1"/>
    <xf numFmtId="0" fontId="37" fillId="32" borderId="27" xfId="0" applyFont="1" applyFill="1" applyBorder="1" applyAlignment="1">
      <alignment horizontal="left" indent="1"/>
    </xf>
    <xf numFmtId="0" fontId="2" fillId="32" borderId="27" xfId="0" applyFont="1" applyFill="1" applyBorder="1" applyAlignment="1">
      <alignment horizontal="left" indent="1"/>
    </xf>
    <xf numFmtId="0" fontId="2" fillId="32" borderId="12" xfId="0" applyFont="1" applyFill="1" applyBorder="1" applyAlignment="1">
      <alignment horizontal="left" indent="1"/>
    </xf>
    <xf numFmtId="0" fontId="2" fillId="32" borderId="11" xfId="0" applyFont="1" applyFill="1" applyBorder="1" applyAlignment="1">
      <alignment horizontal="left" indent="1"/>
    </xf>
    <xf numFmtId="2" fontId="2" fillId="32" borderId="11" xfId="0" applyNumberFormat="1" applyFont="1" applyFill="1" applyBorder="1"/>
    <xf numFmtId="167" fontId="0" fillId="32" borderId="0" xfId="0" applyNumberFormat="1" applyFill="1"/>
    <xf numFmtId="171" fontId="1" fillId="32" borderId="12" xfId="14" applyNumberFormat="1" applyFill="1"/>
    <xf numFmtId="180" fontId="0" fillId="32" borderId="8" xfId="0" applyNumberFormat="1" applyFill="1" applyBorder="1"/>
    <xf numFmtId="169" fontId="1" fillId="32" borderId="12" xfId="14" applyNumberFormat="1" applyFill="1"/>
    <xf numFmtId="0" fontId="0" fillId="32" borderId="34" xfId="14" applyNumberFormat="1" applyFont="1" applyFill="1" applyBorder="1" applyAlignment="1">
      <alignment horizontal="left" wrapText="1" indent="2"/>
    </xf>
    <xf numFmtId="169" fontId="37" fillId="32" borderId="12" xfId="14" applyNumberFormat="1" applyFont="1" applyFill="1"/>
    <xf numFmtId="179" fontId="37" fillId="32" borderId="12" xfId="14" applyNumberFormat="1" applyFont="1" applyFill="1"/>
    <xf numFmtId="186" fontId="0" fillId="0" borderId="11" xfId="0" applyNumberFormat="1" applyBorder="1"/>
    <xf numFmtId="0" fontId="52" fillId="32" borderId="12" xfId="50" applyFont="1" applyFill="1">
      <alignment horizontal="centerContinuous" wrapText="1"/>
    </xf>
    <xf numFmtId="0" fontId="43" fillId="32" borderId="12" xfId="13" applyFill="1">
      <protection locked="0"/>
    </xf>
    <xf numFmtId="175" fontId="1" fillId="32" borderId="12" xfId="14" applyNumberFormat="1" applyFill="1"/>
    <xf numFmtId="49" fontId="13" fillId="32" borderId="8" xfId="6" applyFill="1" applyBorder="1" applyAlignment="1">
      <alignment horizontal="left" wrapText="1"/>
    </xf>
    <xf numFmtId="0" fontId="17" fillId="32" borderId="12" xfId="50" applyFill="1">
      <alignment horizontal="centerContinuous" wrapText="1"/>
    </xf>
    <xf numFmtId="179" fontId="1" fillId="32" borderId="12" xfId="14" applyNumberFormat="1" applyFill="1" applyAlignment="1"/>
    <xf numFmtId="0" fontId="1" fillId="32" borderId="12" xfId="14" applyNumberFormat="1" applyFill="1" applyAlignment="1"/>
    <xf numFmtId="0" fontId="0" fillId="32" borderId="0" xfId="0" applyFill="1" applyAlignment="1">
      <alignment horizontal="left" indent="1"/>
    </xf>
    <xf numFmtId="0" fontId="1" fillId="32" borderId="12" xfId="14" applyFill="1" applyAlignment="1">
      <alignment horizontal="left" indent="1"/>
    </xf>
    <xf numFmtId="0" fontId="17" fillId="43" borderId="12" xfId="50" applyFill="1">
      <alignment horizontal="centerContinuous" wrapText="1"/>
    </xf>
    <xf numFmtId="0" fontId="1" fillId="32" borderId="12" xfId="14" applyNumberFormat="1" applyFill="1" applyAlignment="1">
      <alignment horizontal="left" wrapText="1" indent="3"/>
    </xf>
    <xf numFmtId="0" fontId="0" fillId="32" borderId="12" xfId="14" applyNumberFormat="1" applyFont="1" applyFill="1" applyAlignment="1">
      <alignment horizontal="left" wrapText="1" indent="3"/>
    </xf>
    <xf numFmtId="170" fontId="1" fillId="32" borderId="12" xfId="14" applyNumberFormat="1" applyFill="1"/>
    <xf numFmtId="169" fontId="1" fillId="32" borderId="11" xfId="14" applyNumberFormat="1" applyFill="1" applyBorder="1"/>
    <xf numFmtId="179" fontId="1" fillId="32" borderId="24" xfId="14" applyNumberFormat="1" applyFill="1" applyBorder="1"/>
    <xf numFmtId="179" fontId="1" fillId="32" borderId="23" xfId="14" applyNumberFormat="1" applyFill="1" applyBorder="1"/>
    <xf numFmtId="179" fontId="36" fillId="0" borderId="8" xfId="2" applyFont="1" applyBorder="1" applyAlignment="1" applyProtection="1"/>
    <xf numFmtId="0" fontId="36" fillId="32" borderId="12" xfId="50" applyFont="1" applyFill="1">
      <alignment horizontal="centerContinuous" wrapText="1"/>
    </xf>
    <xf numFmtId="49" fontId="12" fillId="32" borderId="0" xfId="6" applyFont="1" applyFill="1" applyAlignment="1">
      <alignment horizontal="left"/>
    </xf>
    <xf numFmtId="49" fontId="36" fillId="43" borderId="0" xfId="6" applyFont="1" applyFill="1" applyAlignment="1">
      <alignment horizontal="left" wrapText="1"/>
    </xf>
    <xf numFmtId="0" fontId="1" fillId="43" borderId="0" xfId="0" applyFont="1" applyFill="1"/>
    <xf numFmtId="0" fontId="1" fillId="0" borderId="0" xfId="0" applyFont="1"/>
    <xf numFmtId="49" fontId="36" fillId="32" borderId="8" xfId="6" applyFont="1" applyFill="1" applyBorder="1" applyAlignment="1">
      <alignment horizontal="left" wrapText="1"/>
    </xf>
    <xf numFmtId="0" fontId="1" fillId="32" borderId="8" xfId="0" applyFont="1" applyFill="1" applyBorder="1"/>
    <xf numFmtId="181" fontId="1" fillId="32" borderId="12" xfId="14" applyNumberFormat="1" applyFill="1"/>
    <xf numFmtId="175" fontId="1" fillId="32" borderId="12" xfId="14" applyNumberFormat="1" applyFill="1" applyAlignment="1"/>
    <xf numFmtId="168" fontId="39" fillId="0" borderId="0" xfId="5" applyNumberFormat="1" applyFill="1" applyAlignment="1">
      <alignment vertical="center"/>
    </xf>
    <xf numFmtId="49" fontId="21" fillId="0" borderId="8" xfId="20" quotePrefix="1" applyFill="1" applyBorder="1" applyAlignment="1" applyProtection="1">
      <alignment horizontal="left" vertical="top"/>
    </xf>
    <xf numFmtId="168" fontId="52" fillId="32" borderId="12" xfId="50" applyNumberFormat="1" applyFont="1" applyFill="1">
      <alignment horizontal="centerContinuous" wrapText="1"/>
    </xf>
    <xf numFmtId="168" fontId="1" fillId="32" borderId="12" xfId="14" applyNumberFormat="1" applyFill="1" applyAlignment="1"/>
    <xf numFmtId="0" fontId="1" fillId="32" borderId="12" xfId="14" applyNumberFormat="1" applyFill="1" applyAlignment="1">
      <alignment horizontal="center"/>
    </xf>
    <xf numFmtId="0" fontId="1" fillId="32" borderId="12" xfId="14" applyFill="1" applyAlignment="1">
      <alignment horizontal="left"/>
    </xf>
    <xf numFmtId="0" fontId="1" fillId="32" borderId="24" xfId="14" applyNumberFormat="1" applyFill="1" applyBorder="1" applyAlignment="1">
      <alignment horizontal="center"/>
    </xf>
    <xf numFmtId="0" fontId="1" fillId="32" borderId="23" xfId="14" applyNumberFormat="1" applyFill="1" applyBorder="1" applyAlignment="1">
      <alignment horizontal="center"/>
    </xf>
    <xf numFmtId="0" fontId="12" fillId="32" borderId="12" xfId="50" applyNumberFormat="1" applyFont="1" applyFill="1" applyAlignment="1">
      <alignment horizontal="left" wrapText="1" indent="2"/>
    </xf>
    <xf numFmtId="169" fontId="1" fillId="32" borderId="24" xfId="14" applyNumberFormat="1" applyFill="1" applyBorder="1"/>
    <xf numFmtId="169" fontId="0" fillId="32" borderId="23" xfId="14" applyNumberFormat="1" applyFont="1" applyFill="1" applyBorder="1"/>
    <xf numFmtId="186" fontId="0" fillId="32" borderId="0" xfId="0" applyNumberFormat="1" applyFill="1"/>
    <xf numFmtId="169" fontId="1" fillId="32" borderId="22" xfId="14" applyNumberFormat="1" applyFill="1" applyBorder="1"/>
    <xf numFmtId="169" fontId="1" fillId="32" borderId="23" xfId="14" applyNumberFormat="1" applyFill="1" applyBorder="1"/>
    <xf numFmtId="175" fontId="1" fillId="32" borderId="24" xfId="14" applyNumberFormat="1" applyFill="1" applyBorder="1"/>
    <xf numFmtId="175" fontId="1" fillId="32" borderId="23" xfId="14" applyNumberFormat="1" applyFill="1" applyBorder="1"/>
    <xf numFmtId="175" fontId="1" fillId="32" borderId="22" xfId="14" applyNumberFormat="1" applyFill="1" applyBorder="1"/>
    <xf numFmtId="175" fontId="0" fillId="32" borderId="11" xfId="0" applyNumberFormat="1" applyFill="1" applyBorder="1"/>
    <xf numFmtId="168" fontId="53" fillId="42" borderId="0" xfId="5" applyNumberFormat="1" applyFont="1" applyFill="1" applyAlignment="1">
      <alignment vertical="center"/>
    </xf>
    <xf numFmtId="0" fontId="0" fillId="32" borderId="12" xfId="14" applyFont="1" applyFill="1" applyAlignment="1">
      <alignment horizontal="left"/>
    </xf>
    <xf numFmtId="0" fontId="40" fillId="32" borderId="12" xfId="49" applyNumberFormat="1" applyFill="1" applyAlignment="1" applyProtection="1">
      <alignment horizontal="center"/>
      <protection locked="0"/>
    </xf>
    <xf numFmtId="0" fontId="40" fillId="32" borderId="24" xfId="49" applyNumberFormat="1" applyFill="1" applyBorder="1" applyAlignment="1" applyProtection="1">
      <alignment horizontal="center"/>
      <protection locked="0"/>
    </xf>
    <xf numFmtId="0" fontId="40" fillId="32" borderId="23" xfId="49" applyNumberFormat="1" applyFill="1" applyBorder="1" applyAlignment="1" applyProtection="1">
      <alignment horizontal="center"/>
      <protection locked="0"/>
    </xf>
    <xf numFmtId="181" fontId="1" fillId="32" borderId="24" xfId="14" applyNumberFormat="1" applyFill="1" applyBorder="1"/>
    <xf numFmtId="181" fontId="1" fillId="32" borderId="23" xfId="14" applyNumberFormat="1" applyFill="1" applyBorder="1"/>
    <xf numFmtId="181" fontId="1" fillId="32" borderId="22" xfId="14" applyNumberFormat="1" applyFill="1" applyBorder="1"/>
    <xf numFmtId="181" fontId="1" fillId="32" borderId="11" xfId="14" applyNumberFormat="1" applyFill="1" applyBorder="1"/>
    <xf numFmtId="186" fontId="0" fillId="0" borderId="0" xfId="0" applyNumberFormat="1"/>
    <xf numFmtId="49" fontId="39" fillId="32" borderId="0" xfId="5" applyFill="1" applyAlignment="1">
      <alignment horizontal="left" vertical="center"/>
    </xf>
    <xf numFmtId="0" fontId="0" fillId="32" borderId="0" xfId="0" applyFill="1" applyAlignment="1">
      <alignment horizontal="left" vertical="center"/>
    </xf>
    <xf numFmtId="0" fontId="37" fillId="32" borderId="0" xfId="0" applyFont="1" applyFill="1" applyAlignment="1">
      <alignment horizontal="left" vertical="center"/>
    </xf>
    <xf numFmtId="49" fontId="13" fillId="32" borderId="0" xfId="6" applyFill="1" applyAlignment="1">
      <alignment horizontal="left" vertical="center"/>
    </xf>
    <xf numFmtId="0" fontId="52" fillId="32" borderId="8" xfId="50" applyFont="1" applyFill="1" applyBorder="1" applyAlignment="1">
      <alignment horizontal="left" wrapText="1"/>
    </xf>
    <xf numFmtId="0" fontId="1" fillId="32" borderId="12" xfId="14" applyNumberFormat="1" applyFill="1" applyAlignment="1">
      <alignment horizontal="left" vertical="center"/>
    </xf>
    <xf numFmtId="179" fontId="1" fillId="32" borderId="12" xfId="14" applyNumberFormat="1" applyFill="1" applyAlignment="1">
      <alignment horizontal="left" vertical="center"/>
    </xf>
    <xf numFmtId="179" fontId="1" fillId="32" borderId="24" xfId="14" applyNumberFormat="1" applyFill="1" applyBorder="1" applyAlignment="1">
      <alignment horizontal="left" vertical="center"/>
    </xf>
    <xf numFmtId="183" fontId="1" fillId="32" borderId="23" xfId="14" applyNumberFormat="1" applyFill="1" applyBorder="1" applyAlignment="1"/>
    <xf numFmtId="183" fontId="1" fillId="32" borderId="31" xfId="14" applyNumberFormat="1" applyFill="1" applyBorder="1" applyAlignment="1"/>
    <xf numFmtId="179" fontId="1" fillId="32" borderId="22" xfId="14" applyNumberFormat="1" applyFill="1" applyBorder="1" applyAlignment="1">
      <alignment horizontal="left" vertical="center"/>
    </xf>
    <xf numFmtId="183" fontId="1" fillId="32" borderId="28" xfId="14" applyNumberFormat="1" applyFill="1" applyBorder="1" applyAlignment="1"/>
    <xf numFmtId="183" fontId="1" fillId="32" borderId="32" xfId="14" applyNumberFormat="1" applyFill="1" applyBorder="1" applyAlignment="1"/>
    <xf numFmtId="0" fontId="1" fillId="32" borderId="12" xfId="14" applyFill="1" applyAlignment="1">
      <alignment horizontal="left" vertical="center"/>
    </xf>
    <xf numFmtId="179" fontId="1" fillId="32" borderId="23" xfId="14" applyNumberFormat="1" applyFill="1" applyBorder="1" applyAlignment="1">
      <alignment horizontal="left" vertical="center"/>
    </xf>
    <xf numFmtId="0" fontId="22" fillId="32" borderId="11" xfId="0" applyFont="1" applyFill="1" applyBorder="1" applyAlignment="1">
      <alignment horizontal="left" vertical="center"/>
    </xf>
    <xf numFmtId="0" fontId="37" fillId="32" borderId="11" xfId="0" applyFont="1" applyFill="1" applyBorder="1" applyAlignment="1">
      <alignment horizontal="left" vertical="center"/>
    </xf>
    <xf numFmtId="9" fontId="37" fillId="32" borderId="0" xfId="58" applyFont="1" applyFill="1" applyBorder="1" applyAlignment="1">
      <alignment horizontal="left" vertical="center"/>
    </xf>
    <xf numFmtId="0" fontId="0" fillId="32" borderId="12" xfId="14" applyFont="1" applyFill="1" applyAlignment="1">
      <alignment horizontal="left" vertical="center"/>
    </xf>
    <xf numFmtId="0" fontId="0" fillId="32" borderId="11" xfId="0" applyFill="1" applyBorder="1" applyAlignment="1">
      <alignment horizontal="left" vertical="center"/>
    </xf>
    <xf numFmtId="0" fontId="2" fillId="32" borderId="11" xfId="0" applyFont="1" applyFill="1" applyBorder="1" applyAlignment="1">
      <alignment horizontal="left" vertical="center"/>
    </xf>
    <xf numFmtId="179" fontId="0" fillId="32" borderId="11" xfId="0" applyNumberFormat="1" applyFill="1" applyBorder="1" applyAlignment="1">
      <alignment horizontal="left" vertical="center"/>
    </xf>
    <xf numFmtId="179" fontId="1" fillId="32" borderId="30" xfId="14" applyNumberFormat="1" applyFill="1" applyBorder="1" applyAlignment="1">
      <alignment horizontal="left" vertical="center"/>
    </xf>
    <xf numFmtId="179" fontId="1" fillId="32" borderId="29" xfId="14" applyNumberFormat="1" applyFill="1" applyBorder="1" applyAlignment="1">
      <alignment horizontal="left" vertical="center"/>
    </xf>
    <xf numFmtId="49" fontId="1" fillId="32" borderId="12" xfId="14" applyNumberFormat="1" applyFill="1" applyAlignment="1">
      <alignment horizontal="left" vertical="center"/>
    </xf>
    <xf numFmtId="175" fontId="1" fillId="32" borderId="12" xfId="14" applyNumberFormat="1" applyFill="1" applyAlignment="1">
      <alignment horizontal="left" vertical="center"/>
    </xf>
    <xf numFmtId="10" fontId="0" fillId="32" borderId="11" xfId="58" applyNumberFormat="1" applyFont="1" applyFill="1" applyBorder="1" applyAlignment="1">
      <alignment horizontal="left" vertical="center"/>
    </xf>
    <xf numFmtId="10" fontId="0" fillId="32" borderId="0" xfId="58" applyNumberFormat="1" applyFont="1" applyFill="1" applyBorder="1" applyAlignment="1">
      <alignment horizontal="left" vertical="center"/>
    </xf>
    <xf numFmtId="49" fontId="39" fillId="0" borderId="0" xfId="5" applyAlignment="1"/>
    <xf numFmtId="49" fontId="36" fillId="42" borderId="0" xfId="6" applyFont="1" applyFill="1" applyAlignment="1">
      <alignment horizontal="left" wrapText="1"/>
    </xf>
    <xf numFmtId="10" fontId="1" fillId="32" borderId="12" xfId="14" applyNumberFormat="1" applyFill="1"/>
    <xf numFmtId="9" fontId="1" fillId="32" borderId="12" xfId="14" applyNumberFormat="1" applyFill="1"/>
    <xf numFmtId="175" fontId="0" fillId="32" borderId="11" xfId="47" applyFont="1" applyFill="1" applyBorder="1" applyProtection="1"/>
    <xf numFmtId="49" fontId="21" fillId="32" borderId="0" xfId="20" quotePrefix="1" applyFill="1" applyProtection="1">
      <alignment horizontal="left" indent="1"/>
    </xf>
    <xf numFmtId="0" fontId="27" fillId="32" borderId="0" xfId="0" applyFont="1" applyFill="1" applyAlignment="1">
      <alignment vertical="center"/>
    </xf>
    <xf numFmtId="0" fontId="0" fillId="32" borderId="0" xfId="0" applyFill="1" applyAlignment="1">
      <alignment vertical="center"/>
    </xf>
    <xf numFmtId="49" fontId="13" fillId="42" borderId="8" xfId="6" applyFill="1" applyBorder="1" applyAlignment="1">
      <alignment horizontal="left"/>
    </xf>
    <xf numFmtId="0" fontId="28" fillId="42" borderId="8" xfId="0" applyFont="1" applyFill="1" applyBorder="1"/>
    <xf numFmtId="0" fontId="51" fillId="42" borderId="8" xfId="0" applyFont="1" applyFill="1" applyBorder="1"/>
    <xf numFmtId="0" fontId="51" fillId="42" borderId="0" xfId="0" applyFont="1" applyFill="1"/>
    <xf numFmtId="0" fontId="28" fillId="42" borderId="0" xfId="0" applyFont="1" applyFill="1"/>
    <xf numFmtId="0" fontId="0" fillId="32" borderId="0" xfId="0" applyFill="1" applyAlignment="1">
      <alignment horizontal="right"/>
    </xf>
    <xf numFmtId="168" fontId="1" fillId="32" borderId="12" xfId="14" applyNumberFormat="1" applyFill="1" applyAlignment="1">
      <alignment horizontal="left"/>
    </xf>
    <xf numFmtId="179" fontId="18" fillId="32" borderId="12" xfId="14" applyNumberFormat="1" applyFont="1" applyFill="1" applyAlignment="1"/>
    <xf numFmtId="0" fontId="12" fillId="39" borderId="0" xfId="0" applyFont="1" applyFill="1" applyAlignment="1">
      <alignment horizontal="right" wrapText="1"/>
    </xf>
    <xf numFmtId="175" fontId="18" fillId="32" borderId="12" xfId="13" applyNumberFormat="1" applyFont="1" applyFill="1">
      <protection locked="0"/>
    </xf>
    <xf numFmtId="177" fontId="18" fillId="32" borderId="12" xfId="14" applyNumberFormat="1" applyFont="1" applyFill="1"/>
    <xf numFmtId="177" fontId="18" fillId="32" borderId="12" xfId="13" applyNumberFormat="1" applyFont="1" applyFill="1">
      <protection locked="0"/>
    </xf>
    <xf numFmtId="0" fontId="18" fillId="32" borderId="11" xfId="0" applyFont="1" applyFill="1" applyBorder="1"/>
    <xf numFmtId="0" fontId="18" fillId="32" borderId="0" xfId="0" applyFont="1" applyFill="1"/>
    <xf numFmtId="172" fontId="18" fillId="32" borderId="12" xfId="13" applyNumberFormat="1" applyFont="1" applyFill="1" applyAlignment="1">
      <protection locked="0"/>
    </xf>
    <xf numFmtId="173" fontId="18" fillId="32" borderId="12" xfId="13" applyNumberFormat="1" applyFont="1" applyFill="1">
      <protection locked="0"/>
    </xf>
    <xf numFmtId="49" fontId="13" fillId="42" borderId="12" xfId="6" applyFill="1" applyBorder="1" applyAlignment="1">
      <alignment horizontal="left"/>
    </xf>
    <xf numFmtId="0" fontId="29" fillId="42" borderId="12" xfId="0" applyFont="1" applyFill="1" applyBorder="1"/>
    <xf numFmtId="0" fontId="29" fillId="42" borderId="8" xfId="0" applyFont="1" applyFill="1" applyBorder="1"/>
    <xf numFmtId="0" fontId="0" fillId="42" borderId="9" xfId="0" applyFill="1" applyBorder="1"/>
    <xf numFmtId="168" fontId="17" fillId="32" borderId="12" xfId="50" applyNumberFormat="1" applyFill="1">
      <alignment horizontal="centerContinuous" wrapText="1"/>
    </xf>
    <xf numFmtId="168" fontId="17" fillId="0" borderId="12" xfId="50" applyNumberFormat="1">
      <alignment horizontal="centerContinuous" wrapText="1"/>
    </xf>
    <xf numFmtId="168" fontId="17" fillId="32" borderId="12" xfId="50" applyNumberFormat="1" applyFill="1" applyAlignment="1">
      <alignment horizontal="left" wrapText="1"/>
    </xf>
    <xf numFmtId="168" fontId="17" fillId="0" borderId="6" xfId="8445" applyNumberFormat="1" applyFill="1">
      <alignment horizontal="centerContinuous" wrapText="1"/>
    </xf>
    <xf numFmtId="179" fontId="43" fillId="32" borderId="12" xfId="13" applyNumberFormat="1" applyFill="1" applyAlignment="1">
      <alignment horizontal="right"/>
      <protection locked="0"/>
    </xf>
    <xf numFmtId="179" fontId="17" fillId="0" borderId="6" xfId="8445" applyNumberFormat="1" applyFill="1" applyAlignment="1">
      <alignment horizontal="left" wrapText="1"/>
    </xf>
    <xf numFmtId="49" fontId="15" fillId="43" borderId="12" xfId="8" applyFill="1" applyBorder="1">
      <alignment horizontal="left"/>
    </xf>
    <xf numFmtId="0" fontId="25" fillId="43" borderId="12" xfId="0" applyFont="1" applyFill="1" applyBorder="1" applyAlignment="1">
      <alignment horizontal="right" wrapText="1"/>
    </xf>
    <xf numFmtId="179" fontId="18" fillId="32" borderId="6" xfId="8449" applyNumberFormat="1" applyFont="1" applyFill="1">
      <protection locked="0"/>
    </xf>
    <xf numFmtId="169" fontId="18" fillId="32" borderId="6" xfId="8449" applyNumberFormat="1" applyFont="1" applyFill="1">
      <protection locked="0"/>
    </xf>
    <xf numFmtId="168" fontId="0" fillId="32" borderId="12" xfId="14" applyNumberFormat="1" applyFont="1" applyFill="1" applyAlignment="1">
      <alignment horizontal="left"/>
    </xf>
    <xf numFmtId="179" fontId="18" fillId="43" borderId="12" xfId="13" applyNumberFormat="1" applyFont="1" applyFill="1">
      <protection locked="0"/>
    </xf>
    <xf numFmtId="179" fontId="18" fillId="43" borderId="6" xfId="8448" applyNumberFormat="1" applyFont="1" applyFill="1"/>
    <xf numFmtId="174" fontId="18" fillId="32" borderId="12" xfId="13" applyNumberFormat="1" applyFont="1" applyFill="1" applyAlignment="1">
      <protection locked="0"/>
    </xf>
    <xf numFmtId="179" fontId="18" fillId="43" borderId="6" xfId="8449" applyNumberFormat="1" applyFont="1" applyFill="1">
      <protection locked="0"/>
    </xf>
    <xf numFmtId="179" fontId="18" fillId="32" borderId="11" xfId="8447" applyFont="1" applyFill="1" applyBorder="1" applyProtection="1">
      <protection locked="0"/>
    </xf>
    <xf numFmtId="179" fontId="18" fillId="32" borderId="24" xfId="8447" applyFont="1" applyFill="1" applyBorder="1" applyProtection="1">
      <protection locked="0"/>
    </xf>
    <xf numFmtId="179" fontId="18" fillId="0" borderId="23" xfId="8447" applyFont="1" applyFill="1" applyBorder="1" applyProtection="1">
      <protection locked="0"/>
    </xf>
    <xf numFmtId="179" fontId="18" fillId="0" borderId="31" xfId="8447" applyFont="1" applyFill="1" applyBorder="1" applyProtection="1">
      <protection locked="0"/>
    </xf>
    <xf numFmtId="179" fontId="18" fillId="32" borderId="23" xfId="8447" applyFont="1" applyFill="1" applyBorder="1" applyProtection="1">
      <protection locked="0"/>
    </xf>
    <xf numFmtId="175" fontId="18" fillId="32" borderId="12" xfId="13" applyNumberFormat="1" applyFont="1" applyFill="1" applyAlignment="1">
      <alignment horizontal="right"/>
      <protection locked="0"/>
    </xf>
    <xf numFmtId="175" fontId="18" fillId="43" borderId="12" xfId="13" applyNumberFormat="1" applyFont="1" applyFill="1" applyAlignment="1">
      <alignment horizontal="right"/>
      <protection locked="0"/>
    </xf>
    <xf numFmtId="0" fontId="0" fillId="32" borderId="0" xfId="0" applyFill="1" applyAlignment="1">
      <alignment horizontal="centerContinuous"/>
    </xf>
    <xf numFmtId="49" fontId="13" fillId="0" borderId="0" xfId="6" applyFill="1" applyAlignment="1">
      <alignment horizontal="right"/>
    </xf>
    <xf numFmtId="0" fontId="27" fillId="0" borderId="8" xfId="0" applyFont="1" applyBorder="1" applyAlignment="1">
      <alignment vertical="center"/>
    </xf>
    <xf numFmtId="0" fontId="0" fillId="0" borderId="8" xfId="0" applyBorder="1" applyAlignment="1">
      <alignment vertical="center"/>
    </xf>
    <xf numFmtId="0" fontId="0" fillId="0" borderId="0" xfId="0" applyAlignment="1">
      <alignment vertical="center"/>
    </xf>
    <xf numFmtId="168" fontId="1" fillId="0" borderId="12" xfId="14" applyNumberFormat="1" applyAlignment="1"/>
    <xf numFmtId="0" fontId="1" fillId="0" borderId="12" xfId="14" applyNumberFormat="1" applyAlignment="1">
      <alignment horizontal="center"/>
    </xf>
    <xf numFmtId="169" fontId="0" fillId="0" borderId="0" xfId="54" applyFont="1" applyFill="1" applyBorder="1" applyProtection="1"/>
    <xf numFmtId="0" fontId="14" fillId="42" borderId="0" xfId="0" applyFont="1" applyFill="1"/>
    <xf numFmtId="49" fontId="21" fillId="0" borderId="0" xfId="20" applyFill="1">
      <alignment horizontal="left" indent="1"/>
    </xf>
    <xf numFmtId="0" fontId="1" fillId="32" borderId="12" xfId="14" applyNumberFormat="1" applyFill="1"/>
    <xf numFmtId="174" fontId="1" fillId="32" borderId="12" xfId="14" applyNumberFormat="1" applyFill="1" applyAlignment="1"/>
    <xf numFmtId="168" fontId="14" fillId="42" borderId="0" xfId="0" applyNumberFormat="1" applyFont="1" applyFill="1"/>
    <xf numFmtId="168" fontId="31" fillId="43" borderId="0" xfId="7" applyNumberFormat="1" applyFont="1" applyFill="1" applyAlignment="1">
      <alignment horizontal="left"/>
    </xf>
    <xf numFmtId="0" fontId="14" fillId="43" borderId="0" xfId="7" applyNumberFormat="1" applyFill="1" applyAlignment="1">
      <alignment horizontal="left"/>
    </xf>
    <xf numFmtId="0" fontId="14" fillId="43" borderId="0" xfId="7" applyNumberFormat="1" applyFill="1" applyAlignment="1">
      <alignment horizontal="right"/>
    </xf>
    <xf numFmtId="179" fontId="0" fillId="0" borderId="0" xfId="8447" applyFont="1" applyBorder="1"/>
    <xf numFmtId="10" fontId="0" fillId="0" borderId="0" xfId="0" applyNumberFormat="1"/>
    <xf numFmtId="168" fontId="0" fillId="32" borderId="12" xfId="14" applyNumberFormat="1" applyFont="1" applyFill="1" applyAlignment="1"/>
    <xf numFmtId="168" fontId="31" fillId="0" borderId="0" xfId="7" applyNumberFormat="1" applyFont="1" applyFill="1" applyAlignment="1">
      <alignment horizontal="left"/>
    </xf>
    <xf numFmtId="0" fontId="14" fillId="0" borderId="0" xfId="7" applyNumberFormat="1" applyFill="1" applyAlignment="1">
      <alignment horizontal="left"/>
    </xf>
    <xf numFmtId="0" fontId="14" fillId="0" borderId="0" xfId="7" applyNumberFormat="1" applyFill="1" applyAlignment="1">
      <alignment horizontal="right"/>
    </xf>
    <xf numFmtId="49" fontId="53" fillId="42" borderId="0" xfId="5" applyFont="1" applyFill="1" applyAlignment="1">
      <alignment vertical="center"/>
    </xf>
    <xf numFmtId="49" fontId="21" fillId="0" borderId="0" xfId="20" quotePrefix="1" applyFill="1" applyProtection="1">
      <alignment horizontal="left" indent="1"/>
    </xf>
    <xf numFmtId="0" fontId="27" fillId="0" borderId="0" xfId="0" applyFont="1"/>
    <xf numFmtId="168" fontId="13" fillId="42" borderId="0" xfId="6" applyNumberFormat="1" applyFill="1"/>
    <xf numFmtId="168" fontId="1" fillId="0" borderId="12" xfId="14" applyNumberFormat="1" applyAlignment="1">
      <alignment horizontal="center"/>
    </xf>
    <xf numFmtId="172" fontId="1" fillId="32" borderId="12" xfId="14" applyNumberFormat="1" applyFill="1" applyAlignment="1"/>
    <xf numFmtId="0" fontId="0" fillId="42" borderId="11" xfId="0" applyFill="1" applyBorder="1"/>
    <xf numFmtId="0" fontId="21" fillId="0" borderId="0" xfId="20" applyNumberFormat="1" applyFill="1">
      <alignment horizontal="left" indent="1"/>
    </xf>
    <xf numFmtId="0" fontId="21" fillId="32" borderId="0" xfId="20" applyNumberFormat="1" applyFill="1">
      <alignment horizontal="left" indent="1"/>
    </xf>
    <xf numFmtId="171" fontId="1" fillId="0" borderId="12" xfId="14" applyNumberFormat="1"/>
    <xf numFmtId="0" fontId="32" fillId="0" borderId="0" xfId="0" applyFont="1"/>
    <xf numFmtId="49" fontId="21" fillId="0" borderId="11" xfId="20" applyFill="1" applyBorder="1">
      <alignment horizontal="left" indent="1"/>
    </xf>
    <xf numFmtId="0" fontId="33" fillId="0" borderId="11" xfId="0" applyFont="1" applyBorder="1"/>
    <xf numFmtId="0" fontId="33" fillId="0" borderId="0" xfId="0" applyFont="1"/>
    <xf numFmtId="0" fontId="34" fillId="0" borderId="0" xfId="0" applyFont="1"/>
    <xf numFmtId="49" fontId="15" fillId="43" borderId="8" xfId="8" applyFill="1" applyBorder="1">
      <alignment horizontal="left"/>
    </xf>
    <xf numFmtId="0" fontId="34" fillId="43" borderId="0" xfId="0" applyFont="1" applyFill="1"/>
    <xf numFmtId="0" fontId="33" fillId="43" borderId="8" xfId="0" applyFont="1" applyFill="1" applyBorder="1"/>
    <xf numFmtId="168" fontId="1" fillId="0" borderId="12" xfId="14" applyNumberFormat="1" applyAlignment="1">
      <alignment horizontal="left" wrapText="1"/>
    </xf>
    <xf numFmtId="0" fontId="35" fillId="0" borderId="8" xfId="0" applyFont="1" applyBorder="1"/>
    <xf numFmtId="172" fontId="17" fillId="32" borderId="12" xfId="50" applyNumberFormat="1" applyFill="1">
      <alignment horizontal="centerContinuous" wrapText="1"/>
    </xf>
    <xf numFmtId="0" fontId="33" fillId="43" borderId="0" xfId="0" applyFont="1" applyFill="1"/>
    <xf numFmtId="172" fontId="17" fillId="32" borderId="24" xfId="50" applyNumberFormat="1" applyFill="1" applyBorder="1">
      <alignment horizontal="centerContinuous" wrapText="1"/>
    </xf>
    <xf numFmtId="172" fontId="17" fillId="32" borderId="23" xfId="50" applyNumberFormat="1" applyFill="1" applyBorder="1">
      <alignment horizontal="centerContinuous" wrapText="1"/>
    </xf>
    <xf numFmtId="172" fontId="17" fillId="32" borderId="31" xfId="50" applyNumberFormat="1" applyFill="1" applyBorder="1">
      <alignment horizontal="centerContinuous" wrapText="1"/>
    </xf>
    <xf numFmtId="0" fontId="33" fillId="43" borderId="11" xfId="0" applyFont="1" applyFill="1" applyBorder="1"/>
    <xf numFmtId="172" fontId="17" fillId="0" borderId="24" xfId="50" applyNumberFormat="1" applyBorder="1">
      <alignment horizontal="centerContinuous" wrapText="1"/>
    </xf>
    <xf numFmtId="172" fontId="17" fillId="0" borderId="23" xfId="50" applyNumberFormat="1" applyBorder="1">
      <alignment horizontal="centerContinuous" wrapText="1"/>
    </xf>
    <xf numFmtId="0" fontId="33" fillId="0" borderId="12" xfId="0" applyFont="1" applyBorder="1"/>
    <xf numFmtId="176" fontId="1" fillId="0" borderId="12" xfId="14" applyNumberFormat="1"/>
    <xf numFmtId="168" fontId="53" fillId="42" borderId="0" xfId="8444" applyNumberFormat="1" applyFont="1" applyFill="1" applyAlignment="1">
      <alignment vertical="center"/>
    </xf>
    <xf numFmtId="0" fontId="0" fillId="42" borderId="0" xfId="0" applyFill="1" applyAlignment="1">
      <alignment horizontal="right"/>
    </xf>
    <xf numFmtId="49" fontId="13" fillId="42" borderId="0" xfId="6" applyFill="1" applyAlignment="1">
      <alignment horizontal="right"/>
    </xf>
    <xf numFmtId="49" fontId="21" fillId="0" borderId="0" xfId="20" quotePrefix="1" applyFill="1" applyAlignment="1" applyProtection="1">
      <alignment horizontal="left" vertical="top"/>
    </xf>
    <xf numFmtId="0" fontId="0" fillId="0" borderId="0" xfId="0" applyAlignment="1">
      <alignment horizontal="right"/>
    </xf>
    <xf numFmtId="168" fontId="13" fillId="42" borderId="8" xfId="6" applyNumberFormat="1" applyFill="1" applyBorder="1"/>
    <xf numFmtId="168" fontId="2" fillId="0" borderId="21" xfId="8446" applyFont="1" applyFill="1" applyBorder="1" applyAlignment="1" applyProtection="1"/>
    <xf numFmtId="179" fontId="2" fillId="32" borderId="21" xfId="2" applyFont="1" applyFill="1" applyBorder="1"/>
    <xf numFmtId="0" fontId="17" fillId="32" borderId="11" xfId="8445" applyNumberFormat="1" applyFill="1" applyBorder="1">
      <alignment horizontal="centerContinuous" wrapText="1"/>
    </xf>
    <xf numFmtId="10" fontId="1" fillId="32" borderId="12" xfId="58" applyNumberFormat="1" applyFont="1" applyFill="1" applyBorder="1"/>
    <xf numFmtId="0" fontId="14" fillId="42" borderId="0" xfId="7" applyNumberFormat="1" applyFill="1" applyAlignment="1">
      <alignment horizontal="left"/>
    </xf>
    <xf numFmtId="0" fontId="14" fillId="42" borderId="0" xfId="7" applyNumberFormat="1" applyFill="1" applyAlignment="1">
      <alignment horizontal="right"/>
    </xf>
    <xf numFmtId="0" fontId="14" fillId="32" borderId="0" xfId="7" applyNumberFormat="1" applyFill="1" applyAlignment="1">
      <alignment horizontal="left"/>
    </xf>
    <xf numFmtId="168" fontId="31" fillId="32" borderId="8" xfId="7" applyNumberFormat="1" applyFont="1" applyFill="1" applyBorder="1" applyAlignment="1">
      <alignment horizontal="left"/>
    </xf>
    <xf numFmtId="0" fontId="17" fillId="32" borderId="8" xfId="8445" applyFill="1" applyBorder="1">
      <alignment horizontal="centerContinuous" wrapText="1"/>
    </xf>
    <xf numFmtId="0" fontId="17" fillId="32" borderId="8" xfId="8445" applyNumberFormat="1" applyFill="1" applyBorder="1" applyAlignment="1">
      <alignment horizontal="right" wrapText="1"/>
    </xf>
    <xf numFmtId="0" fontId="2" fillId="32" borderId="0" xfId="0" applyFont="1" applyFill="1"/>
    <xf numFmtId="0" fontId="17" fillId="32" borderId="12" xfId="8445" applyNumberFormat="1" applyFill="1" applyBorder="1" applyAlignment="1">
      <alignment horizontal="center" wrapText="1"/>
    </xf>
    <xf numFmtId="179" fontId="12" fillId="32" borderId="12" xfId="8451" applyNumberFormat="1" applyFont="1" applyFill="1" applyBorder="1"/>
    <xf numFmtId="0" fontId="17" fillId="32" borderId="11" xfId="8445" applyNumberFormat="1" applyFill="1" applyBorder="1" applyAlignment="1">
      <alignment horizontal="center" wrapText="1"/>
    </xf>
    <xf numFmtId="179" fontId="12" fillId="32" borderId="24" xfId="8451" applyNumberFormat="1" applyFont="1" applyFill="1" applyBorder="1"/>
    <xf numFmtId="179" fontId="12" fillId="32" borderId="31" xfId="8451" applyNumberFormat="1" applyFont="1" applyFill="1" applyBorder="1"/>
    <xf numFmtId="0" fontId="14" fillId="43" borderId="8" xfId="7" applyNumberFormat="1" applyFill="1" applyBorder="1" applyAlignment="1">
      <alignment horizontal="left"/>
    </xf>
    <xf numFmtId="0" fontId="14" fillId="43" borderId="8" xfId="7" applyNumberFormat="1" applyFill="1" applyBorder="1" applyAlignment="1">
      <alignment horizontal="right"/>
    </xf>
    <xf numFmtId="168" fontId="31" fillId="43" borderId="12" xfId="7" applyNumberFormat="1" applyFont="1" applyFill="1" applyBorder="1" applyAlignment="1">
      <alignment horizontal="left"/>
    </xf>
    <xf numFmtId="0" fontId="14" fillId="43" borderId="12" xfId="7" applyNumberFormat="1" applyFill="1" applyBorder="1" applyAlignment="1">
      <alignment horizontal="left"/>
    </xf>
    <xf numFmtId="0" fontId="14" fillId="43" borderId="12" xfId="7" applyNumberFormat="1" applyFill="1" applyBorder="1" applyAlignment="1">
      <alignment horizontal="right"/>
    </xf>
    <xf numFmtId="0" fontId="14" fillId="43" borderId="11" xfId="7" applyNumberFormat="1" applyFill="1" applyBorder="1" applyAlignment="1">
      <alignment horizontal="left"/>
    </xf>
    <xf numFmtId="0" fontId="14" fillId="43" borderId="11" xfId="7" applyNumberFormat="1" applyFill="1" applyBorder="1" applyAlignment="1">
      <alignment horizontal="right"/>
    </xf>
    <xf numFmtId="168" fontId="31" fillId="43" borderId="11" xfId="7" applyNumberFormat="1" applyFont="1" applyFill="1" applyBorder="1" applyAlignment="1">
      <alignment horizontal="left"/>
    </xf>
    <xf numFmtId="168" fontId="14" fillId="42" borderId="12" xfId="7" applyNumberFormat="1" applyFill="1" applyBorder="1" applyAlignment="1">
      <alignment horizontal="left"/>
    </xf>
    <xf numFmtId="0" fontId="17" fillId="42" borderId="12" xfId="8445" applyNumberFormat="1" applyFill="1" applyBorder="1">
      <alignment horizontal="centerContinuous" wrapText="1"/>
    </xf>
    <xf numFmtId="168" fontId="13" fillId="42" borderId="35" xfId="6" applyNumberFormat="1" applyFill="1" applyBorder="1"/>
    <xf numFmtId="168" fontId="0" fillId="0" borderId="21" xfId="8446" applyFont="1" applyFill="1" applyBorder="1" applyAlignment="1" applyProtection="1"/>
    <xf numFmtId="0" fontId="10" fillId="0" borderId="0" xfId="0" applyFont="1"/>
    <xf numFmtId="168" fontId="13" fillId="32" borderId="0" xfId="6" applyNumberFormat="1" applyFill="1"/>
    <xf numFmtId="168" fontId="13" fillId="32" borderId="8" xfId="6" applyNumberFormat="1" applyFill="1" applyBorder="1"/>
    <xf numFmtId="168" fontId="36" fillId="32" borderId="8" xfId="6" applyNumberFormat="1" applyFont="1" applyFill="1" applyBorder="1"/>
    <xf numFmtId="179" fontId="0" fillId="32" borderId="31" xfId="2" applyFont="1" applyFill="1" applyBorder="1"/>
    <xf numFmtId="0" fontId="0" fillId="0" borderId="35" xfId="0" applyBorder="1"/>
    <xf numFmtId="0" fontId="14" fillId="42" borderId="11" xfId="7" applyNumberFormat="1" applyFill="1" applyBorder="1" applyAlignment="1">
      <alignment horizontal="left"/>
    </xf>
    <xf numFmtId="0" fontId="14" fillId="42" borderId="11" xfId="7" applyNumberFormat="1" applyFill="1" applyBorder="1" applyAlignment="1">
      <alignment horizontal="right"/>
    </xf>
    <xf numFmtId="168" fontId="14" fillId="43" borderId="8" xfId="7" applyNumberFormat="1" applyFill="1" applyBorder="1" applyAlignment="1">
      <alignment horizontal="left"/>
    </xf>
    <xf numFmtId="0" fontId="0" fillId="43" borderId="11" xfId="0" applyFill="1" applyBorder="1"/>
    <xf numFmtId="0" fontId="0" fillId="43" borderId="0" xfId="0" applyFill="1" applyAlignment="1">
      <alignment horizontal="center"/>
    </xf>
    <xf numFmtId="0" fontId="18" fillId="43" borderId="0" xfId="0" applyFont="1" applyFill="1"/>
    <xf numFmtId="179" fontId="0" fillId="32" borderId="24" xfId="2" applyFont="1" applyFill="1" applyBorder="1"/>
    <xf numFmtId="179" fontId="0" fillId="32" borderId="22" xfId="2" applyFont="1" applyFill="1" applyBorder="1"/>
    <xf numFmtId="0" fontId="0" fillId="43" borderId="0" xfId="0" applyFill="1" applyAlignment="1">
      <alignment horizontal="right"/>
    </xf>
    <xf numFmtId="0" fontId="18" fillId="43" borderId="11" xfId="0" applyFont="1" applyFill="1" applyBorder="1"/>
    <xf numFmtId="10" fontId="0" fillId="0" borderId="12" xfId="58" applyNumberFormat="1" applyFont="1" applyFill="1" applyBorder="1" applyAlignment="1" applyProtection="1">
      <alignment horizontal="right" indent="1"/>
    </xf>
    <xf numFmtId="179" fontId="12" fillId="32" borderId="11" xfId="8451" applyNumberFormat="1" applyFont="1" applyFill="1" applyBorder="1"/>
    <xf numFmtId="0" fontId="17" fillId="0" borderId="12" xfId="8445" applyFill="1" applyBorder="1">
      <alignment horizontal="centerContinuous" wrapText="1"/>
    </xf>
    <xf numFmtId="168" fontId="17" fillId="43" borderId="12" xfId="8445" applyNumberFormat="1" applyFill="1" applyBorder="1" applyAlignment="1">
      <alignment horizontal="center" wrapText="1"/>
    </xf>
    <xf numFmtId="0" fontId="2" fillId="42" borderId="0" xfId="6" applyNumberFormat="1" applyFont="1" applyFill="1" applyAlignment="1">
      <alignment horizontal="center"/>
    </xf>
    <xf numFmtId="0" fontId="50" fillId="0" borderId="0" xfId="0" applyFont="1" applyAlignment="1">
      <alignment vertical="center"/>
    </xf>
    <xf numFmtId="0" fontId="50" fillId="42" borderId="0" xfId="0" applyFont="1" applyFill="1"/>
    <xf numFmtId="0" fontId="27" fillId="42" borderId="8" xfId="0" applyFont="1" applyFill="1" applyBorder="1"/>
    <xf numFmtId="0" fontId="0" fillId="42" borderId="8" xfId="0" applyFill="1" applyBorder="1"/>
    <xf numFmtId="0" fontId="17" fillId="32" borderId="12" xfId="50" applyNumberFormat="1" applyFill="1">
      <alignment horizontal="centerContinuous" wrapText="1"/>
    </xf>
    <xf numFmtId="168" fontId="1" fillId="32" borderId="12" xfId="14" applyNumberFormat="1" applyFill="1" applyAlignment="1">
      <alignment horizontal="center"/>
    </xf>
    <xf numFmtId="173" fontId="1" fillId="32" borderId="12" xfId="14" applyNumberFormat="1" applyFill="1"/>
    <xf numFmtId="179" fontId="1" fillId="0" borderId="12" xfId="14" applyNumberFormat="1"/>
    <xf numFmtId="168" fontId="1" fillId="0" borderId="12" xfId="14" applyNumberFormat="1" applyAlignment="1">
      <alignment horizontal="left"/>
    </xf>
    <xf numFmtId="179" fontId="1" fillId="0" borderId="24" xfId="14" applyNumberFormat="1" applyBorder="1"/>
    <xf numFmtId="179" fontId="1" fillId="0" borderId="23" xfId="14" applyNumberFormat="1" applyBorder="1"/>
    <xf numFmtId="179" fontId="1" fillId="0" borderId="31" xfId="14" applyNumberFormat="1" applyBorder="1"/>
    <xf numFmtId="179" fontId="1" fillId="0" borderId="28" xfId="14" applyNumberFormat="1" applyBorder="1"/>
    <xf numFmtId="179" fontId="1" fillId="0" borderId="32" xfId="14" applyNumberFormat="1" applyBorder="1"/>
    <xf numFmtId="175" fontId="1" fillId="0" borderId="12" xfId="14" applyNumberFormat="1"/>
    <xf numFmtId="0" fontId="18" fillId="0" borderId="11" xfId="0" applyFont="1" applyBorder="1"/>
    <xf numFmtId="179" fontId="1" fillId="32" borderId="12" xfId="8442" applyNumberFormat="1" applyFont="1" applyFill="1" applyBorder="1"/>
    <xf numFmtId="170" fontId="1" fillId="32" borderId="11" xfId="14" applyNumberFormat="1" applyFill="1" applyBorder="1"/>
    <xf numFmtId="179" fontId="1" fillId="32" borderId="24" xfId="8442" applyNumberFormat="1" applyFont="1" applyFill="1" applyBorder="1"/>
    <xf numFmtId="0" fontId="0" fillId="42" borderId="12" xfId="0" applyFill="1" applyBorder="1"/>
    <xf numFmtId="0" fontId="2" fillId="42" borderId="11" xfId="6" applyNumberFormat="1" applyFont="1" applyFill="1" applyBorder="1" applyAlignment="1">
      <alignment horizontal="center"/>
    </xf>
    <xf numFmtId="0" fontId="1" fillId="32" borderId="12" xfId="14" quotePrefix="1" applyNumberFormat="1" applyFill="1" applyAlignment="1">
      <alignment horizontal="center"/>
    </xf>
    <xf numFmtId="0" fontId="14" fillId="42" borderId="12" xfId="0" applyFont="1" applyFill="1" applyBorder="1"/>
    <xf numFmtId="0" fontId="1" fillId="38" borderId="12" xfId="14" applyFill="1" applyAlignment="1"/>
    <xf numFmtId="179" fontId="1" fillId="38" borderId="12" xfId="14" applyNumberFormat="1" applyFill="1"/>
    <xf numFmtId="168" fontId="0" fillId="44" borderId="12" xfId="14" applyNumberFormat="1" applyFont="1" applyFill="1" applyAlignment="1"/>
    <xf numFmtId="179" fontId="1" fillId="44" borderId="12" xfId="14" applyNumberFormat="1" applyFill="1" applyAlignment="1"/>
    <xf numFmtId="0" fontId="17" fillId="0" borderId="12" xfId="0" applyFont="1" applyBorder="1" applyAlignment="1">
      <alignment horizontal="left" wrapText="1"/>
    </xf>
    <xf numFmtId="177" fontId="1" fillId="32" borderId="12" xfId="14" applyNumberFormat="1" applyFill="1" applyAlignment="1"/>
    <xf numFmtId="168" fontId="14" fillId="42" borderId="11" xfId="0" applyNumberFormat="1" applyFont="1" applyFill="1" applyBorder="1"/>
    <xf numFmtId="168" fontId="31" fillId="0" borderId="8" xfId="7" applyNumberFormat="1" applyFont="1" applyFill="1" applyBorder="1" applyAlignment="1">
      <alignment horizontal="left"/>
    </xf>
    <xf numFmtId="0" fontId="14" fillId="32" borderId="8" xfId="7" applyNumberFormat="1" applyFill="1" applyBorder="1" applyAlignment="1">
      <alignment horizontal="left"/>
    </xf>
    <xf numFmtId="0" fontId="14" fillId="32" borderId="0" xfId="7" applyNumberFormat="1" applyFill="1" applyAlignment="1">
      <alignment horizontal="right"/>
    </xf>
    <xf numFmtId="0" fontId="0" fillId="32" borderId="12" xfId="14" applyFont="1" applyFill="1" applyAlignment="1"/>
    <xf numFmtId="0" fontId="0" fillId="44" borderId="12" xfId="14" applyFont="1" applyFill="1" applyAlignment="1"/>
    <xf numFmtId="179" fontId="1" fillId="44" borderId="12" xfId="14" applyNumberFormat="1" applyFill="1"/>
    <xf numFmtId="0" fontId="0" fillId="38" borderId="12" xfId="14" applyFont="1" applyFill="1" applyAlignment="1"/>
    <xf numFmtId="176" fontId="1" fillId="32" borderId="12" xfId="14" applyNumberFormat="1" applyFill="1"/>
    <xf numFmtId="0" fontId="32" fillId="32" borderId="0" xfId="0" applyFont="1" applyFill="1"/>
    <xf numFmtId="49" fontId="13" fillId="42" borderId="11" xfId="6" applyFill="1" applyBorder="1"/>
    <xf numFmtId="0" fontId="33" fillId="42" borderId="11" xfId="0" applyFont="1" applyFill="1" applyBorder="1"/>
    <xf numFmtId="0" fontId="33" fillId="42" borderId="0" xfId="0" applyFont="1" applyFill="1"/>
    <xf numFmtId="0" fontId="33" fillId="32" borderId="0" xfId="0" applyFont="1" applyFill="1"/>
    <xf numFmtId="0" fontId="33" fillId="32" borderId="11" xfId="0" applyFont="1" applyFill="1" applyBorder="1"/>
    <xf numFmtId="49" fontId="15" fillId="0" borderId="8" xfId="8" applyFill="1" applyBorder="1">
      <alignment horizontal="left"/>
    </xf>
    <xf numFmtId="0" fontId="33" fillId="32" borderId="8" xfId="0" applyFont="1" applyFill="1" applyBorder="1"/>
    <xf numFmtId="0" fontId="33" fillId="32" borderId="12" xfId="0" applyFont="1" applyFill="1" applyBorder="1"/>
    <xf numFmtId="0" fontId="12" fillId="42" borderId="0" xfId="0" applyFont="1" applyFill="1" applyAlignment="1">
      <alignment horizontal="right"/>
    </xf>
    <xf numFmtId="179" fontId="0" fillId="32" borderId="32" xfId="2" applyFont="1" applyFill="1" applyBorder="1"/>
    <xf numFmtId="175" fontId="12" fillId="32" borderId="12" xfId="14" applyNumberFormat="1" applyFont="1" applyFill="1" applyAlignment="1">
      <alignment horizontal="right"/>
    </xf>
    <xf numFmtId="175" fontId="12" fillId="32" borderId="12" xfId="49" applyNumberFormat="1" applyFont="1" applyFill="1"/>
    <xf numFmtId="0" fontId="0" fillId="42" borderId="11" xfId="0" applyFill="1" applyBorder="1" applyAlignment="1">
      <alignment horizontal="right"/>
    </xf>
    <xf numFmtId="0" fontId="2" fillId="42" borderId="11" xfId="0" applyFont="1" applyFill="1" applyBorder="1"/>
    <xf numFmtId="168" fontId="31" fillId="32" borderId="0" xfId="7" applyNumberFormat="1" applyFont="1" applyFill="1" applyAlignment="1">
      <alignment horizontal="left"/>
    </xf>
    <xf numFmtId="0" fontId="17" fillId="32" borderId="0" xfId="8445" applyNumberFormat="1" applyFill="1" applyBorder="1" applyAlignment="1">
      <alignment horizontal="center" wrapText="1"/>
    </xf>
    <xf numFmtId="168" fontId="12" fillId="44" borderId="0" xfId="7" applyNumberFormat="1" applyFont="1" applyFill="1" applyAlignment="1">
      <alignment horizontal="left"/>
    </xf>
    <xf numFmtId="0" fontId="14" fillId="44" borderId="0" xfId="7" applyNumberFormat="1" applyFill="1" applyAlignment="1">
      <alignment horizontal="left"/>
    </xf>
    <xf numFmtId="0" fontId="14" fillId="44" borderId="0" xfId="7" applyNumberFormat="1" applyFill="1" applyAlignment="1">
      <alignment horizontal="right"/>
    </xf>
    <xf numFmtId="0" fontId="17" fillId="32" borderId="0" xfId="50" applyNumberFormat="1" applyFill="1" applyBorder="1" applyAlignment="1">
      <alignment horizontal="center" wrapText="1"/>
    </xf>
    <xf numFmtId="0" fontId="1" fillId="32" borderId="12" xfId="14" applyFill="1" applyAlignment="1">
      <alignment horizontal="right"/>
    </xf>
    <xf numFmtId="0" fontId="0" fillId="32" borderId="12" xfId="0" applyFill="1" applyBorder="1" applyAlignment="1">
      <alignment horizontal="right"/>
    </xf>
    <xf numFmtId="179" fontId="0" fillId="32" borderId="12" xfId="0" applyNumberFormat="1" applyFill="1" applyBorder="1"/>
    <xf numFmtId="168" fontId="14" fillId="32" borderId="0" xfId="7" applyNumberFormat="1" applyFill="1" applyAlignment="1">
      <alignment horizontal="left"/>
    </xf>
    <xf numFmtId="168" fontId="14" fillId="42" borderId="8" xfId="7" applyNumberFormat="1" applyFill="1" applyBorder="1" applyAlignment="1">
      <alignment horizontal="left"/>
    </xf>
    <xf numFmtId="179" fontId="0" fillId="32" borderId="22" xfId="8451" applyNumberFormat="1" applyFont="1" applyFill="1" applyBorder="1"/>
    <xf numFmtId="0" fontId="17" fillId="42" borderId="35" xfId="8445" applyFill="1" applyBorder="1">
      <alignment horizontal="centerContinuous" wrapText="1"/>
    </xf>
    <xf numFmtId="0" fontId="17" fillId="42" borderId="35" xfId="8445" applyFill="1" applyBorder="1" applyAlignment="1">
      <alignment horizontal="right" wrapText="1"/>
    </xf>
    <xf numFmtId="168" fontId="14" fillId="43" borderId="0" xfId="7" applyNumberFormat="1" applyFill="1" applyAlignment="1">
      <alignment horizontal="left"/>
    </xf>
    <xf numFmtId="49" fontId="14" fillId="43" borderId="0" xfId="7" applyFill="1"/>
    <xf numFmtId="0" fontId="17" fillId="0" borderId="11" xfId="8445" applyFill="1" applyBorder="1">
      <alignment horizontal="centerContinuous" wrapText="1"/>
    </xf>
    <xf numFmtId="49" fontId="21" fillId="32" borderId="0" xfId="20" quotePrefix="1" applyFill="1" applyAlignment="1" applyProtection="1">
      <alignment horizontal="left" vertical="top"/>
    </xf>
    <xf numFmtId="0" fontId="27" fillId="32" borderId="0" xfId="0" applyFont="1" applyFill="1"/>
    <xf numFmtId="0" fontId="0" fillId="0" borderId="0" xfId="0" applyAlignment="1">
      <alignment horizontal="left" indent="1"/>
    </xf>
    <xf numFmtId="179" fontId="1" fillId="32" borderId="22" xfId="8442" applyNumberFormat="1" applyFont="1" applyFill="1" applyBorder="1"/>
    <xf numFmtId="179" fontId="1" fillId="32" borderId="28" xfId="14" applyNumberFormat="1" applyFill="1" applyBorder="1"/>
    <xf numFmtId="15" fontId="58" fillId="0" borderId="16" xfId="0" applyNumberFormat="1" applyFont="1" applyBorder="1" applyAlignment="1">
      <alignment horizontal="centerContinuous"/>
    </xf>
    <xf numFmtId="0" fontId="0" fillId="0" borderId="0" xfId="0" applyAlignment="1">
      <alignment horizontal="center" vertical="top"/>
    </xf>
    <xf numFmtId="0" fontId="0" fillId="0" borderId="0" xfId="0" applyAlignment="1">
      <alignment wrapText="1"/>
    </xf>
    <xf numFmtId="0" fontId="19" fillId="46" borderId="0" xfId="7" applyNumberFormat="1" applyFont="1" applyFill="1" applyAlignment="1"/>
    <xf numFmtId="0" fontId="19" fillId="46" borderId="0" xfId="7" applyNumberFormat="1" applyFont="1" applyFill="1" applyAlignment="1">
      <alignment horizontal="left" vertical="top"/>
    </xf>
    <xf numFmtId="0" fontId="19" fillId="46" borderId="0" xfId="7" applyNumberFormat="1" applyFont="1" applyFill="1" applyAlignment="1">
      <alignment wrapText="1"/>
    </xf>
    <xf numFmtId="0" fontId="37" fillId="0" borderId="0" xfId="0" applyFont="1" applyAlignment="1">
      <alignment horizontal="center" vertical="top"/>
    </xf>
    <xf numFmtId="0" fontId="54" fillId="47" borderId="0" xfId="0" applyFont="1" applyFill="1"/>
    <xf numFmtId="0" fontId="54" fillId="47" borderId="0" xfId="0" applyFont="1" applyFill="1" applyAlignment="1">
      <alignment horizontal="center" vertical="top"/>
    </xf>
    <xf numFmtId="0" fontId="54" fillId="47" borderId="0" xfId="0" applyFont="1" applyFill="1" applyAlignment="1">
      <alignment wrapText="1"/>
    </xf>
    <xf numFmtId="0" fontId="0" fillId="0" borderId="0" xfId="0" quotePrefix="1" applyAlignment="1">
      <alignment wrapText="1"/>
    </xf>
    <xf numFmtId="49" fontId="36" fillId="43" borderId="0" xfId="6" applyFont="1" applyFill="1" applyAlignment="1">
      <alignment horizontal="center" vertical="top" wrapText="1"/>
    </xf>
    <xf numFmtId="0" fontId="0" fillId="0" borderId="0" xfId="0" applyAlignment="1">
      <alignment horizontal="left" vertical="top"/>
    </xf>
    <xf numFmtId="0" fontId="0" fillId="0" borderId="0" xfId="0" applyAlignment="1">
      <alignment horizontal="left" vertical="top" wrapText="1"/>
    </xf>
    <xf numFmtId="0" fontId="0" fillId="32" borderId="0" xfId="0" applyFill="1" applyAlignment="1">
      <alignment wrapText="1"/>
    </xf>
    <xf numFmtId="0" fontId="0" fillId="32" borderId="0" xfId="0" applyFill="1" applyAlignment="1">
      <alignment horizontal="center" vertical="top"/>
    </xf>
    <xf numFmtId="49" fontId="12" fillId="32" borderId="8" xfId="6" applyFont="1" applyFill="1" applyBorder="1" applyAlignment="1">
      <alignment horizontal="left"/>
    </xf>
    <xf numFmtId="49" fontId="38" fillId="32" borderId="8" xfId="6" applyFont="1" applyFill="1" applyBorder="1" applyAlignment="1">
      <alignment horizontal="left" wrapText="1"/>
    </xf>
    <xf numFmtId="49" fontId="38" fillId="43" borderId="0" xfId="6" applyFont="1" applyFill="1" applyAlignment="1">
      <alignment horizontal="left" wrapText="1"/>
    </xf>
    <xf numFmtId="49" fontId="38" fillId="44" borderId="0" xfId="6" applyFont="1" applyFill="1" applyAlignment="1">
      <alignment horizontal="left" wrapText="1"/>
    </xf>
    <xf numFmtId="179" fontId="1" fillId="45" borderId="11" xfId="14" applyNumberFormat="1" applyFill="1" applyBorder="1"/>
    <xf numFmtId="49" fontId="38" fillId="32" borderId="0" xfId="6" applyFont="1" applyFill="1" applyAlignment="1">
      <alignment horizontal="left" wrapText="1"/>
    </xf>
    <xf numFmtId="0" fontId="1" fillId="32" borderId="11" xfId="14" applyNumberFormat="1" applyFill="1" applyBorder="1" applyAlignment="1">
      <alignment horizontal="center"/>
    </xf>
    <xf numFmtId="0" fontId="30" fillId="35" borderId="36" xfId="0" applyFont="1" applyFill="1" applyBorder="1"/>
    <xf numFmtId="0" fontId="30" fillId="35" borderId="37" xfId="0" applyFont="1" applyFill="1" applyBorder="1"/>
    <xf numFmtId="49" fontId="0" fillId="36" borderId="15" xfId="0" applyNumberFormat="1" applyFill="1" applyBorder="1"/>
    <xf numFmtId="0" fontId="42" fillId="36" borderId="38" xfId="55" applyFill="1" applyBorder="1" applyAlignment="1" applyProtection="1"/>
    <xf numFmtId="49" fontId="0" fillId="36" borderId="16" xfId="0" applyNumberFormat="1" applyFill="1" applyBorder="1"/>
    <xf numFmtId="0" fontId="42" fillId="36" borderId="39" xfId="55" applyFill="1" applyBorder="1" applyAlignment="1" applyProtection="1">
      <alignment horizontal="left" indent="1"/>
    </xf>
    <xf numFmtId="49" fontId="0" fillId="36" borderId="18" xfId="0" applyNumberFormat="1" applyFill="1" applyBorder="1"/>
    <xf numFmtId="0" fontId="42" fillId="36" borderId="40" xfId="55" applyFill="1" applyBorder="1" applyAlignment="1" applyProtection="1">
      <alignment horizontal="left" indent="1"/>
    </xf>
    <xf numFmtId="49" fontId="0" fillId="37" borderId="36" xfId="0" applyNumberFormat="1" applyFill="1" applyBorder="1"/>
    <xf numFmtId="0" fontId="42" fillId="37" borderId="37" xfId="55" applyFill="1" applyBorder="1" applyAlignment="1" applyProtection="1"/>
    <xf numFmtId="49" fontId="0" fillId="37" borderId="15" xfId="0" applyNumberFormat="1" applyFill="1" applyBorder="1"/>
    <xf numFmtId="0" fontId="42" fillId="37" borderId="38" xfId="55" applyFill="1" applyBorder="1" applyAlignment="1" applyProtection="1"/>
    <xf numFmtId="49" fontId="0" fillId="37" borderId="16" xfId="0" applyNumberFormat="1" applyFill="1" applyBorder="1"/>
    <xf numFmtId="0" fontId="42" fillId="37" borderId="39" xfId="55" applyFill="1" applyBorder="1" applyAlignment="1" applyProtection="1">
      <alignment horizontal="left" indent="1"/>
    </xf>
    <xf numFmtId="49" fontId="0" fillId="37" borderId="18" xfId="0" applyNumberFormat="1" applyFill="1" applyBorder="1"/>
    <xf numFmtId="0" fontId="42" fillId="37" borderId="40" xfId="55" applyFill="1" applyBorder="1" applyAlignment="1" applyProtection="1">
      <alignment horizontal="left" indent="1"/>
    </xf>
    <xf numFmtId="49" fontId="0" fillId="36" borderId="36" xfId="0" applyNumberFormat="1" applyFill="1" applyBorder="1"/>
    <xf numFmtId="0" fontId="42" fillId="36" borderId="37" xfId="55" applyFill="1" applyBorder="1" applyAlignment="1" applyProtection="1"/>
    <xf numFmtId="0" fontId="1" fillId="0" borderId="8" xfId="14" applyBorder="1" applyAlignment="1">
      <alignment horizontal="left" wrapText="1" indent="2"/>
    </xf>
    <xf numFmtId="0" fontId="1" fillId="0" borderId="8" xfId="14" applyBorder="1" applyAlignment="1">
      <alignment horizontal="center"/>
    </xf>
    <xf numFmtId="0" fontId="1" fillId="0" borderId="8" xfId="14" applyBorder="1" applyAlignment="1"/>
    <xf numFmtId="179" fontId="18" fillId="32" borderId="8" xfId="13" applyNumberFormat="1" applyFont="1" applyFill="1" applyBorder="1" applyAlignment="1">
      <protection locked="0"/>
    </xf>
    <xf numFmtId="0" fontId="1" fillId="32" borderId="8" xfId="14" applyFill="1" applyBorder="1" applyAlignment="1">
      <alignment horizontal="left" wrapText="1" indent="2"/>
    </xf>
    <xf numFmtId="0" fontId="1" fillId="32" borderId="8" xfId="14" applyFill="1" applyBorder="1" applyAlignment="1"/>
    <xf numFmtId="179" fontId="18" fillId="32" borderId="0" xfId="13" applyNumberFormat="1" applyFont="1" applyFill="1" applyBorder="1" applyAlignment="1">
      <protection locked="0"/>
    </xf>
    <xf numFmtId="179" fontId="18" fillId="32" borderId="41" xfId="13" applyNumberFormat="1" applyFont="1" applyFill="1" applyBorder="1" applyAlignment="1">
      <protection locked="0"/>
    </xf>
    <xf numFmtId="179" fontId="18" fillId="32" borderId="30" xfId="13" applyNumberFormat="1" applyFont="1" applyFill="1" applyBorder="1" applyAlignment="1">
      <protection locked="0"/>
    </xf>
    <xf numFmtId="179" fontId="18" fillId="32" borderId="29" xfId="13" applyNumberFormat="1" applyFont="1" applyFill="1" applyBorder="1" applyAlignment="1">
      <protection locked="0"/>
    </xf>
    <xf numFmtId="0" fontId="1" fillId="0" borderId="29" xfId="14" applyBorder="1" applyAlignment="1">
      <alignment horizontal="center"/>
    </xf>
    <xf numFmtId="179" fontId="18" fillId="32" borderId="30" xfId="13" applyNumberFormat="1" applyFont="1" applyFill="1" applyBorder="1">
      <protection locked="0"/>
    </xf>
    <xf numFmtId="0" fontId="37" fillId="0" borderId="0" xfId="0" applyFont="1" applyAlignment="1">
      <alignment horizontal="left" vertical="top"/>
    </xf>
    <xf numFmtId="0" fontId="37" fillId="44" borderId="0" xfId="0" applyFont="1" applyFill="1" applyAlignment="1">
      <alignment horizontal="left" vertical="top"/>
    </xf>
    <xf numFmtId="0" fontId="37" fillId="42" borderId="0" xfId="0" applyFont="1" applyFill="1" applyAlignment="1">
      <alignment horizontal="left" vertical="top"/>
    </xf>
    <xf numFmtId="0" fontId="37" fillId="43" borderId="0" xfId="0" applyFont="1" applyFill="1" applyAlignment="1">
      <alignment horizontal="left" vertical="top"/>
    </xf>
    <xf numFmtId="49" fontId="38" fillId="32" borderId="0" xfId="20" applyFont="1" applyFill="1" applyAlignment="1">
      <alignment horizontal="left" vertical="top" indent="1"/>
    </xf>
    <xf numFmtId="0" fontId="37" fillId="32" borderId="0" xfId="0" applyFont="1" applyFill="1" applyAlignment="1">
      <alignment horizontal="left" vertical="top"/>
    </xf>
    <xf numFmtId="0" fontId="0" fillId="32" borderId="0" xfId="0" applyFill="1" applyAlignment="1">
      <alignment horizontal="left" vertical="top"/>
    </xf>
    <xf numFmtId="9" fontId="37" fillId="32" borderId="0" xfId="58" applyFont="1" applyFill="1" applyBorder="1" applyAlignment="1">
      <alignment horizontal="left" vertical="top"/>
    </xf>
    <xf numFmtId="9" fontId="0" fillId="32" borderId="0" xfId="58" applyFont="1" applyFill="1" applyBorder="1" applyAlignment="1">
      <alignment horizontal="left" vertical="top"/>
    </xf>
    <xf numFmtId="0" fontId="0" fillId="0" borderId="0" xfId="0" applyAlignment="1">
      <alignment horizontal="left" wrapText="1"/>
    </xf>
    <xf numFmtId="0" fontId="12" fillId="0" borderId="0" xfId="8448" applyFont="1" applyFill="1" applyBorder="1" applyAlignment="1">
      <alignment vertical="top" wrapText="1"/>
    </xf>
    <xf numFmtId="0" fontId="12" fillId="0" borderId="0" xfId="8448" applyFont="1" applyFill="1" applyBorder="1" applyAlignment="1">
      <alignment wrapText="1"/>
    </xf>
    <xf numFmtId="49" fontId="12" fillId="44" borderId="0" xfId="5" applyFont="1" applyFill="1" applyAlignment="1">
      <alignment horizontal="left" wrapText="1"/>
    </xf>
    <xf numFmtId="0" fontId="46" fillId="39" borderId="19" xfId="0" applyFont="1" applyFill="1" applyBorder="1" applyAlignment="1">
      <alignment wrapText="1"/>
    </xf>
  </cellXfs>
  <cellStyles count="8453">
    <cellStyle name="20% - Accent1" xfId="23" builtinId="30" hidden="1"/>
    <cellStyle name="20% - Accent1 10" xfId="114" hidden="1" xr:uid="{00000000-0005-0000-0000-000001000000}"/>
    <cellStyle name="20% - Accent1 10" xfId="188" hidden="1" xr:uid="{00000000-0005-0000-0000-000002000000}"/>
    <cellStyle name="20% - Accent1 10" xfId="264" hidden="1" xr:uid="{00000000-0005-0000-0000-000003000000}"/>
    <cellStyle name="20% - Accent1 10" xfId="342" hidden="1" xr:uid="{00000000-0005-0000-0000-000004000000}"/>
    <cellStyle name="20% - Accent1 10" xfId="927" hidden="1" xr:uid="{00000000-0005-0000-0000-000005000000}"/>
    <cellStyle name="20% - Accent1 10" xfId="1003" hidden="1" xr:uid="{00000000-0005-0000-0000-000006000000}"/>
    <cellStyle name="20% - Accent1 10" xfId="1082" hidden="1" xr:uid="{00000000-0005-0000-0000-000007000000}"/>
    <cellStyle name="20% - Accent1 10" xfId="772" hidden="1" xr:uid="{00000000-0005-0000-0000-000008000000}"/>
    <cellStyle name="20% - Accent1 10" xfId="788" hidden="1" xr:uid="{00000000-0005-0000-0000-000009000000}"/>
    <cellStyle name="20% - Accent1 10" xfId="683" hidden="1" xr:uid="{00000000-0005-0000-0000-00000A000000}"/>
    <cellStyle name="20% - Accent1 10" xfId="1522" hidden="1" xr:uid="{00000000-0005-0000-0000-00000B000000}"/>
    <cellStyle name="20% - Accent1 10" xfId="1598" hidden="1" xr:uid="{00000000-0005-0000-0000-00000C000000}"/>
    <cellStyle name="20% - Accent1 10" xfId="1676" hidden="1" xr:uid="{00000000-0005-0000-0000-00000D000000}"/>
    <cellStyle name="20% - Accent1 10" xfId="1330" hidden="1" xr:uid="{00000000-0005-0000-0000-00000E000000}"/>
    <cellStyle name="20% - Accent1 10" xfId="1188" hidden="1" xr:uid="{00000000-0005-0000-0000-00000F000000}"/>
    <cellStyle name="20% - Accent1 10" xfId="713" hidden="1" xr:uid="{00000000-0005-0000-0000-000010000000}"/>
    <cellStyle name="20% - Accent1 10" xfId="2054" hidden="1" xr:uid="{00000000-0005-0000-0000-000011000000}"/>
    <cellStyle name="20% - Accent1 10" xfId="2130" hidden="1" xr:uid="{00000000-0005-0000-0000-000012000000}"/>
    <cellStyle name="20% - Accent1 10" xfId="2208" hidden="1" xr:uid="{00000000-0005-0000-0000-000013000000}"/>
    <cellStyle name="20% - Accent1 10" xfId="2391" hidden="1" xr:uid="{00000000-0005-0000-0000-000014000000}"/>
    <cellStyle name="20% - Accent1 10" xfId="2467" hidden="1" xr:uid="{00000000-0005-0000-0000-000015000000}"/>
    <cellStyle name="20% - Accent1 10" xfId="2545" hidden="1" xr:uid="{00000000-0005-0000-0000-000016000000}"/>
    <cellStyle name="20% - Accent1 10" xfId="2728" hidden="1" xr:uid="{00000000-0005-0000-0000-000017000000}"/>
    <cellStyle name="20% - Accent1 10" xfId="2804" hidden="1" xr:uid="{00000000-0005-0000-0000-000018000000}"/>
    <cellStyle name="20% - Accent1 10" xfId="2906" hidden="1" xr:uid="{00000000-0005-0000-0000-000019000000}"/>
    <cellStyle name="20% - Accent1 10" xfId="2980" hidden="1" xr:uid="{00000000-0005-0000-0000-00001A000000}"/>
    <cellStyle name="20% - Accent1 10" xfId="3056" hidden="1" xr:uid="{00000000-0005-0000-0000-00001B000000}"/>
    <cellStyle name="20% - Accent1 10" xfId="3134" hidden="1" xr:uid="{00000000-0005-0000-0000-00001C000000}"/>
    <cellStyle name="20% - Accent1 10" xfId="3719" hidden="1" xr:uid="{00000000-0005-0000-0000-00001D000000}"/>
    <cellStyle name="20% - Accent1 10" xfId="3795" hidden="1" xr:uid="{00000000-0005-0000-0000-00001E000000}"/>
    <cellStyle name="20% - Accent1 10" xfId="3874" hidden="1" xr:uid="{00000000-0005-0000-0000-00001F000000}"/>
    <cellStyle name="20% - Accent1 10" xfId="3564" hidden="1" xr:uid="{00000000-0005-0000-0000-000020000000}"/>
    <cellStyle name="20% - Accent1 10" xfId="3580" hidden="1" xr:uid="{00000000-0005-0000-0000-000021000000}"/>
    <cellStyle name="20% - Accent1 10" xfId="3475" hidden="1" xr:uid="{00000000-0005-0000-0000-000022000000}"/>
    <cellStyle name="20% - Accent1 10" xfId="4314" hidden="1" xr:uid="{00000000-0005-0000-0000-000023000000}"/>
    <cellStyle name="20% - Accent1 10" xfId="4390" hidden="1" xr:uid="{00000000-0005-0000-0000-000024000000}"/>
    <cellStyle name="20% - Accent1 10" xfId="4468" hidden="1" xr:uid="{00000000-0005-0000-0000-000025000000}"/>
    <cellStyle name="20% - Accent1 10" xfId="4122" hidden="1" xr:uid="{00000000-0005-0000-0000-000026000000}"/>
    <cellStyle name="20% - Accent1 10" xfId="3980" hidden="1" xr:uid="{00000000-0005-0000-0000-000027000000}"/>
    <cellStyle name="20% - Accent1 10" xfId="3505" hidden="1" xr:uid="{00000000-0005-0000-0000-000028000000}"/>
    <cellStyle name="20% - Accent1 10" xfId="4846" hidden="1" xr:uid="{00000000-0005-0000-0000-000029000000}"/>
    <cellStyle name="20% - Accent1 10" xfId="4922" hidden="1" xr:uid="{00000000-0005-0000-0000-00002A000000}"/>
    <cellStyle name="20% - Accent1 10" xfId="5000" hidden="1" xr:uid="{00000000-0005-0000-0000-00002B000000}"/>
    <cellStyle name="20% - Accent1 10" xfId="5183" hidden="1" xr:uid="{00000000-0005-0000-0000-00002C000000}"/>
    <cellStyle name="20% - Accent1 10" xfId="5259" hidden="1" xr:uid="{00000000-0005-0000-0000-00002D000000}"/>
    <cellStyle name="20% - Accent1 10" xfId="5337" hidden="1" xr:uid="{00000000-0005-0000-0000-00002E000000}"/>
    <cellStyle name="20% - Accent1 10" xfId="5520" hidden="1" xr:uid="{00000000-0005-0000-0000-00002F000000}"/>
    <cellStyle name="20% - Accent1 10" xfId="5596" hidden="1" xr:uid="{00000000-0005-0000-0000-000030000000}"/>
    <cellStyle name="20% - Accent1 10" xfId="5698" hidden="1" xr:uid="{00000000-0005-0000-0000-000031000000}"/>
    <cellStyle name="20% - Accent1 10" xfId="5772" hidden="1" xr:uid="{00000000-0005-0000-0000-000032000000}"/>
    <cellStyle name="20% - Accent1 10" xfId="5848" hidden="1" xr:uid="{00000000-0005-0000-0000-000033000000}"/>
    <cellStyle name="20% - Accent1 10" xfId="5926" hidden="1" xr:uid="{00000000-0005-0000-0000-000034000000}"/>
    <cellStyle name="20% - Accent1 10" xfId="6511" hidden="1" xr:uid="{00000000-0005-0000-0000-000035000000}"/>
    <cellStyle name="20% - Accent1 10" xfId="6587" hidden="1" xr:uid="{00000000-0005-0000-0000-000036000000}"/>
    <cellStyle name="20% - Accent1 10" xfId="6666" hidden="1" xr:uid="{00000000-0005-0000-0000-000037000000}"/>
    <cellStyle name="20% - Accent1 10" xfId="6356" hidden="1" xr:uid="{00000000-0005-0000-0000-000038000000}"/>
    <cellStyle name="20% - Accent1 10" xfId="6372" hidden="1" xr:uid="{00000000-0005-0000-0000-000039000000}"/>
    <cellStyle name="20% - Accent1 10" xfId="6267" hidden="1" xr:uid="{00000000-0005-0000-0000-00003A000000}"/>
    <cellStyle name="20% - Accent1 10" xfId="7106" hidden="1" xr:uid="{00000000-0005-0000-0000-00003B000000}"/>
    <cellStyle name="20% - Accent1 10" xfId="7182" hidden="1" xr:uid="{00000000-0005-0000-0000-00003C000000}"/>
    <cellStyle name="20% - Accent1 10" xfId="7260" hidden="1" xr:uid="{00000000-0005-0000-0000-00003D000000}"/>
    <cellStyle name="20% - Accent1 10" xfId="6914" hidden="1" xr:uid="{00000000-0005-0000-0000-00003E000000}"/>
    <cellStyle name="20% - Accent1 10" xfId="6772" hidden="1" xr:uid="{00000000-0005-0000-0000-00003F000000}"/>
    <cellStyle name="20% - Accent1 10" xfId="6297" hidden="1" xr:uid="{00000000-0005-0000-0000-000040000000}"/>
    <cellStyle name="20% - Accent1 10" xfId="7638" hidden="1" xr:uid="{00000000-0005-0000-0000-000041000000}"/>
    <cellStyle name="20% - Accent1 10" xfId="7714" hidden="1" xr:uid="{00000000-0005-0000-0000-000042000000}"/>
    <cellStyle name="20% - Accent1 10" xfId="7792" hidden="1" xr:uid="{00000000-0005-0000-0000-000043000000}"/>
    <cellStyle name="20% - Accent1 10" xfId="7975" hidden="1" xr:uid="{00000000-0005-0000-0000-000044000000}"/>
    <cellStyle name="20% - Accent1 10" xfId="8051" hidden="1" xr:uid="{00000000-0005-0000-0000-000045000000}"/>
    <cellStyle name="20% - Accent1 10" xfId="8129" hidden="1" xr:uid="{00000000-0005-0000-0000-000046000000}"/>
    <cellStyle name="20% - Accent1 10" xfId="8312" hidden="1" xr:uid="{00000000-0005-0000-0000-000047000000}"/>
    <cellStyle name="20% - Accent1 10" xfId="8388" hidden="1" xr:uid="{00000000-0005-0000-0000-000048000000}"/>
    <cellStyle name="20% - Accent1 11" xfId="127" hidden="1" xr:uid="{00000000-0005-0000-0000-000049000000}"/>
    <cellStyle name="20% - Accent1 11" xfId="201" hidden="1" xr:uid="{00000000-0005-0000-0000-00004A000000}"/>
    <cellStyle name="20% - Accent1 11" xfId="277" hidden="1" xr:uid="{00000000-0005-0000-0000-00004B000000}"/>
    <cellStyle name="20% - Accent1 11" xfId="355" hidden="1" xr:uid="{00000000-0005-0000-0000-00004C000000}"/>
    <cellStyle name="20% - Accent1 11" xfId="940" hidden="1" xr:uid="{00000000-0005-0000-0000-00004D000000}"/>
    <cellStyle name="20% - Accent1 11" xfId="1016" hidden="1" xr:uid="{00000000-0005-0000-0000-00004E000000}"/>
    <cellStyle name="20% - Accent1 11" xfId="1095" hidden="1" xr:uid="{00000000-0005-0000-0000-00004F000000}"/>
    <cellStyle name="20% - Accent1 11" xfId="1322" hidden="1" xr:uid="{00000000-0005-0000-0000-000050000000}"/>
    <cellStyle name="20% - Accent1 11" xfId="783" hidden="1" xr:uid="{00000000-0005-0000-0000-000051000000}"/>
    <cellStyle name="20% - Accent1 11" xfId="855" hidden="1" xr:uid="{00000000-0005-0000-0000-000052000000}"/>
    <cellStyle name="20% - Accent1 11" xfId="1535" hidden="1" xr:uid="{00000000-0005-0000-0000-000053000000}"/>
    <cellStyle name="20% - Accent1 11" xfId="1611" hidden="1" xr:uid="{00000000-0005-0000-0000-000054000000}"/>
    <cellStyle name="20% - Accent1 11" xfId="1689" hidden="1" xr:uid="{00000000-0005-0000-0000-000055000000}"/>
    <cellStyle name="20% - Accent1 11" xfId="1886" hidden="1" xr:uid="{00000000-0005-0000-0000-000056000000}"/>
    <cellStyle name="20% - Accent1 11" xfId="878" hidden="1" xr:uid="{00000000-0005-0000-0000-000057000000}"/>
    <cellStyle name="20% - Accent1 11" xfId="655" hidden="1" xr:uid="{00000000-0005-0000-0000-000058000000}"/>
    <cellStyle name="20% - Accent1 11" xfId="2067" hidden="1" xr:uid="{00000000-0005-0000-0000-000059000000}"/>
    <cellStyle name="20% - Accent1 11" xfId="2143" hidden="1" xr:uid="{00000000-0005-0000-0000-00005A000000}"/>
    <cellStyle name="20% - Accent1 11" xfId="2221" hidden="1" xr:uid="{00000000-0005-0000-0000-00005B000000}"/>
    <cellStyle name="20% - Accent1 11" xfId="2404" hidden="1" xr:uid="{00000000-0005-0000-0000-00005C000000}"/>
    <cellStyle name="20% - Accent1 11" xfId="2480" hidden="1" xr:uid="{00000000-0005-0000-0000-00005D000000}"/>
    <cellStyle name="20% - Accent1 11" xfId="2558" hidden="1" xr:uid="{00000000-0005-0000-0000-00005E000000}"/>
    <cellStyle name="20% - Accent1 11" xfId="2741" hidden="1" xr:uid="{00000000-0005-0000-0000-00005F000000}"/>
    <cellStyle name="20% - Accent1 11" xfId="2817" hidden="1" xr:uid="{00000000-0005-0000-0000-000060000000}"/>
    <cellStyle name="20% - Accent1 11" xfId="2919" hidden="1" xr:uid="{00000000-0005-0000-0000-000061000000}"/>
    <cellStyle name="20% - Accent1 11" xfId="2993" hidden="1" xr:uid="{00000000-0005-0000-0000-000062000000}"/>
    <cellStyle name="20% - Accent1 11" xfId="3069" hidden="1" xr:uid="{00000000-0005-0000-0000-000063000000}"/>
    <cellStyle name="20% - Accent1 11" xfId="3147" hidden="1" xr:uid="{00000000-0005-0000-0000-000064000000}"/>
    <cellStyle name="20% - Accent1 11" xfId="3732" hidden="1" xr:uid="{00000000-0005-0000-0000-000065000000}"/>
    <cellStyle name="20% - Accent1 11" xfId="3808" hidden="1" xr:uid="{00000000-0005-0000-0000-000066000000}"/>
    <cellStyle name="20% - Accent1 11" xfId="3887" hidden="1" xr:uid="{00000000-0005-0000-0000-000067000000}"/>
    <cellStyle name="20% - Accent1 11" xfId="4114" hidden="1" xr:uid="{00000000-0005-0000-0000-000068000000}"/>
    <cellStyle name="20% - Accent1 11" xfId="3575" hidden="1" xr:uid="{00000000-0005-0000-0000-000069000000}"/>
    <cellStyle name="20% - Accent1 11" xfId="3647" hidden="1" xr:uid="{00000000-0005-0000-0000-00006A000000}"/>
    <cellStyle name="20% - Accent1 11" xfId="4327" hidden="1" xr:uid="{00000000-0005-0000-0000-00006B000000}"/>
    <cellStyle name="20% - Accent1 11" xfId="4403" hidden="1" xr:uid="{00000000-0005-0000-0000-00006C000000}"/>
    <cellStyle name="20% - Accent1 11" xfId="4481" hidden="1" xr:uid="{00000000-0005-0000-0000-00006D000000}"/>
    <cellStyle name="20% - Accent1 11" xfId="4678" hidden="1" xr:uid="{00000000-0005-0000-0000-00006E000000}"/>
    <cellStyle name="20% - Accent1 11" xfId="3670" hidden="1" xr:uid="{00000000-0005-0000-0000-00006F000000}"/>
    <cellStyle name="20% - Accent1 11" xfId="3447" hidden="1" xr:uid="{00000000-0005-0000-0000-000070000000}"/>
    <cellStyle name="20% - Accent1 11" xfId="4859" hidden="1" xr:uid="{00000000-0005-0000-0000-000071000000}"/>
    <cellStyle name="20% - Accent1 11" xfId="4935" hidden="1" xr:uid="{00000000-0005-0000-0000-000072000000}"/>
    <cellStyle name="20% - Accent1 11" xfId="5013" hidden="1" xr:uid="{00000000-0005-0000-0000-000073000000}"/>
    <cellStyle name="20% - Accent1 11" xfId="5196" hidden="1" xr:uid="{00000000-0005-0000-0000-000074000000}"/>
    <cellStyle name="20% - Accent1 11" xfId="5272" hidden="1" xr:uid="{00000000-0005-0000-0000-000075000000}"/>
    <cellStyle name="20% - Accent1 11" xfId="5350" hidden="1" xr:uid="{00000000-0005-0000-0000-000076000000}"/>
    <cellStyle name="20% - Accent1 11" xfId="5533" hidden="1" xr:uid="{00000000-0005-0000-0000-000077000000}"/>
    <cellStyle name="20% - Accent1 11" xfId="5609" hidden="1" xr:uid="{00000000-0005-0000-0000-000078000000}"/>
    <cellStyle name="20% - Accent1 11" xfId="5711" hidden="1" xr:uid="{00000000-0005-0000-0000-000079000000}"/>
    <cellStyle name="20% - Accent1 11" xfId="5785" hidden="1" xr:uid="{00000000-0005-0000-0000-00007A000000}"/>
    <cellStyle name="20% - Accent1 11" xfId="5861" hidden="1" xr:uid="{00000000-0005-0000-0000-00007B000000}"/>
    <cellStyle name="20% - Accent1 11" xfId="5939" hidden="1" xr:uid="{00000000-0005-0000-0000-00007C000000}"/>
    <cellStyle name="20% - Accent1 11" xfId="6524" hidden="1" xr:uid="{00000000-0005-0000-0000-00007D000000}"/>
    <cellStyle name="20% - Accent1 11" xfId="6600" hidden="1" xr:uid="{00000000-0005-0000-0000-00007E000000}"/>
    <cellStyle name="20% - Accent1 11" xfId="6679" hidden="1" xr:uid="{00000000-0005-0000-0000-00007F000000}"/>
    <cellStyle name="20% - Accent1 11" xfId="6906" hidden="1" xr:uid="{00000000-0005-0000-0000-000080000000}"/>
    <cellStyle name="20% - Accent1 11" xfId="6367" hidden="1" xr:uid="{00000000-0005-0000-0000-000081000000}"/>
    <cellStyle name="20% - Accent1 11" xfId="6439" hidden="1" xr:uid="{00000000-0005-0000-0000-000082000000}"/>
    <cellStyle name="20% - Accent1 11" xfId="7119" hidden="1" xr:uid="{00000000-0005-0000-0000-000083000000}"/>
    <cellStyle name="20% - Accent1 11" xfId="7195" hidden="1" xr:uid="{00000000-0005-0000-0000-000084000000}"/>
    <cellStyle name="20% - Accent1 11" xfId="7273" hidden="1" xr:uid="{00000000-0005-0000-0000-000085000000}"/>
    <cellStyle name="20% - Accent1 11" xfId="7470" hidden="1" xr:uid="{00000000-0005-0000-0000-000086000000}"/>
    <cellStyle name="20% - Accent1 11" xfId="6462" hidden="1" xr:uid="{00000000-0005-0000-0000-000087000000}"/>
    <cellStyle name="20% - Accent1 11" xfId="6239" hidden="1" xr:uid="{00000000-0005-0000-0000-000088000000}"/>
    <cellStyle name="20% - Accent1 11" xfId="7651" hidden="1" xr:uid="{00000000-0005-0000-0000-000089000000}"/>
    <cellStyle name="20% - Accent1 11" xfId="7727" hidden="1" xr:uid="{00000000-0005-0000-0000-00008A000000}"/>
    <cellStyle name="20% - Accent1 11" xfId="7805" hidden="1" xr:uid="{00000000-0005-0000-0000-00008B000000}"/>
    <cellStyle name="20% - Accent1 11" xfId="7988" hidden="1" xr:uid="{00000000-0005-0000-0000-00008C000000}"/>
    <cellStyle name="20% - Accent1 11" xfId="8064" hidden="1" xr:uid="{00000000-0005-0000-0000-00008D000000}"/>
    <cellStyle name="20% - Accent1 11" xfId="8142" hidden="1" xr:uid="{00000000-0005-0000-0000-00008E000000}"/>
    <cellStyle name="20% - Accent1 11" xfId="8325" hidden="1" xr:uid="{00000000-0005-0000-0000-00008F000000}"/>
    <cellStyle name="20% - Accent1 11" xfId="8401" hidden="1" xr:uid="{00000000-0005-0000-0000-000090000000}"/>
    <cellStyle name="20% - Accent1 12" xfId="140" hidden="1" xr:uid="{00000000-0005-0000-0000-000091000000}"/>
    <cellStyle name="20% - Accent1 12" xfId="215" hidden="1" xr:uid="{00000000-0005-0000-0000-000092000000}"/>
    <cellStyle name="20% - Accent1 12" xfId="290" hidden="1" xr:uid="{00000000-0005-0000-0000-000093000000}"/>
    <cellStyle name="20% - Accent1 12" xfId="368" hidden="1" xr:uid="{00000000-0005-0000-0000-000094000000}"/>
    <cellStyle name="20% - Accent1 12" xfId="954" hidden="1" xr:uid="{00000000-0005-0000-0000-000095000000}"/>
    <cellStyle name="20% - Accent1 12" xfId="1029" hidden="1" xr:uid="{00000000-0005-0000-0000-000096000000}"/>
    <cellStyle name="20% - Accent1 12" xfId="1108" hidden="1" xr:uid="{00000000-0005-0000-0000-000097000000}"/>
    <cellStyle name="20% - Accent1 12" xfId="771" hidden="1" xr:uid="{00000000-0005-0000-0000-000098000000}"/>
    <cellStyle name="20% - Accent1 12" xfId="721" hidden="1" xr:uid="{00000000-0005-0000-0000-000099000000}"/>
    <cellStyle name="20% - Accent1 12" xfId="690" hidden="1" xr:uid="{00000000-0005-0000-0000-00009A000000}"/>
    <cellStyle name="20% - Accent1 12" xfId="1549" hidden="1" xr:uid="{00000000-0005-0000-0000-00009B000000}"/>
    <cellStyle name="20% - Accent1 12" xfId="1624" hidden="1" xr:uid="{00000000-0005-0000-0000-00009C000000}"/>
    <cellStyle name="20% - Accent1 12" xfId="1702" hidden="1" xr:uid="{00000000-0005-0000-0000-00009D000000}"/>
    <cellStyle name="20% - Accent1 12" xfId="1173" hidden="1" xr:uid="{00000000-0005-0000-0000-00009E000000}"/>
    <cellStyle name="20% - Accent1 12" xfId="863" hidden="1" xr:uid="{00000000-0005-0000-0000-00009F000000}"/>
    <cellStyle name="20% - Accent1 12" xfId="1217" hidden="1" xr:uid="{00000000-0005-0000-0000-0000A0000000}"/>
    <cellStyle name="20% - Accent1 12" xfId="2081" hidden="1" xr:uid="{00000000-0005-0000-0000-0000A1000000}"/>
    <cellStyle name="20% - Accent1 12" xfId="2156" hidden="1" xr:uid="{00000000-0005-0000-0000-0000A2000000}"/>
    <cellStyle name="20% - Accent1 12" xfId="2234" hidden="1" xr:uid="{00000000-0005-0000-0000-0000A3000000}"/>
    <cellStyle name="20% - Accent1 12" xfId="2418" hidden="1" xr:uid="{00000000-0005-0000-0000-0000A4000000}"/>
    <cellStyle name="20% - Accent1 12" xfId="2493" hidden="1" xr:uid="{00000000-0005-0000-0000-0000A5000000}"/>
    <cellStyle name="20% - Accent1 12" xfId="2571" hidden="1" xr:uid="{00000000-0005-0000-0000-0000A6000000}"/>
    <cellStyle name="20% - Accent1 12" xfId="2755" hidden="1" xr:uid="{00000000-0005-0000-0000-0000A7000000}"/>
    <cellStyle name="20% - Accent1 12" xfId="2830" hidden="1" xr:uid="{00000000-0005-0000-0000-0000A8000000}"/>
    <cellStyle name="20% - Accent1 12" xfId="2932" hidden="1" xr:uid="{00000000-0005-0000-0000-0000A9000000}"/>
    <cellStyle name="20% - Accent1 12" xfId="3007" hidden="1" xr:uid="{00000000-0005-0000-0000-0000AA000000}"/>
    <cellStyle name="20% - Accent1 12" xfId="3082" hidden="1" xr:uid="{00000000-0005-0000-0000-0000AB000000}"/>
    <cellStyle name="20% - Accent1 12" xfId="3160" hidden="1" xr:uid="{00000000-0005-0000-0000-0000AC000000}"/>
    <cellStyle name="20% - Accent1 12" xfId="3746" hidden="1" xr:uid="{00000000-0005-0000-0000-0000AD000000}"/>
    <cellStyle name="20% - Accent1 12" xfId="3821" hidden="1" xr:uid="{00000000-0005-0000-0000-0000AE000000}"/>
    <cellStyle name="20% - Accent1 12" xfId="3900" hidden="1" xr:uid="{00000000-0005-0000-0000-0000AF000000}"/>
    <cellStyle name="20% - Accent1 12" xfId="3563" hidden="1" xr:uid="{00000000-0005-0000-0000-0000B0000000}"/>
    <cellStyle name="20% - Accent1 12" xfId="3513" hidden="1" xr:uid="{00000000-0005-0000-0000-0000B1000000}"/>
    <cellStyle name="20% - Accent1 12" xfId="3482" hidden="1" xr:uid="{00000000-0005-0000-0000-0000B2000000}"/>
    <cellStyle name="20% - Accent1 12" xfId="4341" hidden="1" xr:uid="{00000000-0005-0000-0000-0000B3000000}"/>
    <cellStyle name="20% - Accent1 12" xfId="4416" hidden="1" xr:uid="{00000000-0005-0000-0000-0000B4000000}"/>
    <cellStyle name="20% - Accent1 12" xfId="4494" hidden="1" xr:uid="{00000000-0005-0000-0000-0000B5000000}"/>
    <cellStyle name="20% - Accent1 12" xfId="3965" hidden="1" xr:uid="{00000000-0005-0000-0000-0000B6000000}"/>
    <cellStyle name="20% - Accent1 12" xfId="3655" hidden="1" xr:uid="{00000000-0005-0000-0000-0000B7000000}"/>
    <cellStyle name="20% - Accent1 12" xfId="4009" hidden="1" xr:uid="{00000000-0005-0000-0000-0000B8000000}"/>
    <cellStyle name="20% - Accent1 12" xfId="4873" hidden="1" xr:uid="{00000000-0005-0000-0000-0000B9000000}"/>
    <cellStyle name="20% - Accent1 12" xfId="4948" hidden="1" xr:uid="{00000000-0005-0000-0000-0000BA000000}"/>
    <cellStyle name="20% - Accent1 12" xfId="5026" hidden="1" xr:uid="{00000000-0005-0000-0000-0000BB000000}"/>
    <cellStyle name="20% - Accent1 12" xfId="5210" hidden="1" xr:uid="{00000000-0005-0000-0000-0000BC000000}"/>
    <cellStyle name="20% - Accent1 12" xfId="5285" hidden="1" xr:uid="{00000000-0005-0000-0000-0000BD000000}"/>
    <cellStyle name="20% - Accent1 12" xfId="5363" hidden="1" xr:uid="{00000000-0005-0000-0000-0000BE000000}"/>
    <cellStyle name="20% - Accent1 12" xfId="5547" hidden="1" xr:uid="{00000000-0005-0000-0000-0000BF000000}"/>
    <cellStyle name="20% - Accent1 12" xfId="5622" hidden="1" xr:uid="{00000000-0005-0000-0000-0000C0000000}"/>
    <cellStyle name="20% - Accent1 12" xfId="5724" hidden="1" xr:uid="{00000000-0005-0000-0000-0000C1000000}"/>
    <cellStyle name="20% - Accent1 12" xfId="5799" hidden="1" xr:uid="{00000000-0005-0000-0000-0000C2000000}"/>
    <cellStyle name="20% - Accent1 12" xfId="5874" hidden="1" xr:uid="{00000000-0005-0000-0000-0000C3000000}"/>
    <cellStyle name="20% - Accent1 12" xfId="5952" hidden="1" xr:uid="{00000000-0005-0000-0000-0000C4000000}"/>
    <cellStyle name="20% - Accent1 12" xfId="6538" hidden="1" xr:uid="{00000000-0005-0000-0000-0000C5000000}"/>
    <cellStyle name="20% - Accent1 12" xfId="6613" hidden="1" xr:uid="{00000000-0005-0000-0000-0000C6000000}"/>
    <cellStyle name="20% - Accent1 12" xfId="6692" hidden="1" xr:uid="{00000000-0005-0000-0000-0000C7000000}"/>
    <cellStyle name="20% - Accent1 12" xfId="6355" hidden="1" xr:uid="{00000000-0005-0000-0000-0000C8000000}"/>
    <cellStyle name="20% - Accent1 12" xfId="6305" hidden="1" xr:uid="{00000000-0005-0000-0000-0000C9000000}"/>
    <cellStyle name="20% - Accent1 12" xfId="6274" hidden="1" xr:uid="{00000000-0005-0000-0000-0000CA000000}"/>
    <cellStyle name="20% - Accent1 12" xfId="7133" hidden="1" xr:uid="{00000000-0005-0000-0000-0000CB000000}"/>
    <cellStyle name="20% - Accent1 12" xfId="7208" hidden="1" xr:uid="{00000000-0005-0000-0000-0000CC000000}"/>
    <cellStyle name="20% - Accent1 12" xfId="7286" hidden="1" xr:uid="{00000000-0005-0000-0000-0000CD000000}"/>
    <cellStyle name="20% - Accent1 12" xfId="6757" hidden="1" xr:uid="{00000000-0005-0000-0000-0000CE000000}"/>
    <cellStyle name="20% - Accent1 12" xfId="6447" hidden="1" xr:uid="{00000000-0005-0000-0000-0000CF000000}"/>
    <cellStyle name="20% - Accent1 12" xfId="6801" hidden="1" xr:uid="{00000000-0005-0000-0000-0000D0000000}"/>
    <cellStyle name="20% - Accent1 12" xfId="7665" hidden="1" xr:uid="{00000000-0005-0000-0000-0000D1000000}"/>
    <cellStyle name="20% - Accent1 12" xfId="7740" hidden="1" xr:uid="{00000000-0005-0000-0000-0000D2000000}"/>
    <cellStyle name="20% - Accent1 12" xfId="7818" hidden="1" xr:uid="{00000000-0005-0000-0000-0000D3000000}"/>
    <cellStyle name="20% - Accent1 12" xfId="8002" hidden="1" xr:uid="{00000000-0005-0000-0000-0000D4000000}"/>
    <cellStyle name="20% - Accent1 12" xfId="8077" hidden="1" xr:uid="{00000000-0005-0000-0000-0000D5000000}"/>
    <cellStyle name="20% - Accent1 12" xfId="8155" hidden="1" xr:uid="{00000000-0005-0000-0000-0000D6000000}"/>
    <cellStyle name="20% - Accent1 12" xfId="8339" hidden="1" xr:uid="{00000000-0005-0000-0000-0000D7000000}"/>
    <cellStyle name="20% - Accent1 12" xfId="8414" hidden="1" xr:uid="{00000000-0005-0000-0000-0000D8000000}"/>
    <cellStyle name="20% - Accent1 13" xfId="381" hidden="1" xr:uid="{00000000-0005-0000-0000-0000D9000000}"/>
    <cellStyle name="20% - Accent1 13" xfId="496" hidden="1" xr:uid="{00000000-0005-0000-0000-0000DA000000}"/>
    <cellStyle name="20% - Accent1 13" xfId="1219" hidden="1" xr:uid="{00000000-0005-0000-0000-0000DB000000}"/>
    <cellStyle name="20% - Accent1 13" xfId="1392" hidden="1" xr:uid="{00000000-0005-0000-0000-0000DC000000}"/>
    <cellStyle name="20% - Accent1 13" xfId="1785" hidden="1" xr:uid="{00000000-0005-0000-0000-0000DD000000}"/>
    <cellStyle name="20% - Accent1 13" xfId="1933" hidden="1" xr:uid="{00000000-0005-0000-0000-0000DE000000}"/>
    <cellStyle name="20% - Accent1 13" xfId="2271" hidden="1" xr:uid="{00000000-0005-0000-0000-0000DF000000}"/>
    <cellStyle name="20% - Accent1 13" xfId="2608" hidden="1" xr:uid="{00000000-0005-0000-0000-0000E0000000}"/>
    <cellStyle name="20% - Accent1 13" xfId="3173" hidden="1" xr:uid="{00000000-0005-0000-0000-0000E1000000}"/>
    <cellStyle name="20% - Accent1 13" xfId="3288" hidden="1" xr:uid="{00000000-0005-0000-0000-0000E2000000}"/>
    <cellStyle name="20% - Accent1 13" xfId="4011" hidden="1" xr:uid="{00000000-0005-0000-0000-0000E3000000}"/>
    <cellStyle name="20% - Accent1 13" xfId="4184" hidden="1" xr:uid="{00000000-0005-0000-0000-0000E4000000}"/>
    <cellStyle name="20% - Accent1 13" xfId="4577" hidden="1" xr:uid="{00000000-0005-0000-0000-0000E5000000}"/>
    <cellStyle name="20% - Accent1 13" xfId="4725" hidden="1" xr:uid="{00000000-0005-0000-0000-0000E6000000}"/>
    <cellStyle name="20% - Accent1 13" xfId="5063" hidden="1" xr:uid="{00000000-0005-0000-0000-0000E7000000}"/>
    <cellStyle name="20% - Accent1 13" xfId="5400" hidden="1" xr:uid="{00000000-0005-0000-0000-0000E8000000}"/>
    <cellStyle name="20% - Accent1 13" xfId="5965" hidden="1" xr:uid="{00000000-0005-0000-0000-0000E9000000}"/>
    <cellStyle name="20% - Accent1 13" xfId="6080" hidden="1" xr:uid="{00000000-0005-0000-0000-0000EA000000}"/>
    <cellStyle name="20% - Accent1 13" xfId="6803" hidden="1" xr:uid="{00000000-0005-0000-0000-0000EB000000}"/>
    <cellStyle name="20% - Accent1 13" xfId="6976" hidden="1" xr:uid="{00000000-0005-0000-0000-0000EC000000}"/>
    <cellStyle name="20% - Accent1 13" xfId="7369" hidden="1" xr:uid="{00000000-0005-0000-0000-0000ED000000}"/>
    <cellStyle name="20% - Accent1 13" xfId="7517" hidden="1" xr:uid="{00000000-0005-0000-0000-0000EE000000}"/>
    <cellStyle name="20% - Accent1 13" xfId="7855" hidden="1" xr:uid="{00000000-0005-0000-0000-0000EF000000}"/>
    <cellStyle name="20% - Accent1 13" xfId="8192" hidden="1" xr:uid="{00000000-0005-0000-0000-0000F0000000}"/>
    <cellStyle name="20% - Accent1 3 2 3 2" xfId="457" hidden="1" xr:uid="{00000000-0005-0000-0000-0000F1000000}"/>
    <cellStyle name="20% - Accent1 3 2 3 2" xfId="572" hidden="1" xr:uid="{00000000-0005-0000-0000-0000F2000000}"/>
    <cellStyle name="20% - Accent1 3 2 3 2" xfId="1295" hidden="1" xr:uid="{00000000-0005-0000-0000-0000F3000000}"/>
    <cellStyle name="20% - Accent1 3 2 3 2" xfId="1468" hidden="1" xr:uid="{00000000-0005-0000-0000-0000F4000000}"/>
    <cellStyle name="20% - Accent1 3 2 3 2" xfId="1861" hidden="1" xr:uid="{00000000-0005-0000-0000-0000F5000000}"/>
    <cellStyle name="20% - Accent1 3 2 3 2" xfId="2009" hidden="1" xr:uid="{00000000-0005-0000-0000-0000F6000000}"/>
    <cellStyle name="20% - Accent1 3 2 3 2" xfId="2347" hidden="1" xr:uid="{00000000-0005-0000-0000-0000F7000000}"/>
    <cellStyle name="20% - Accent1 3 2 3 2" xfId="2684" hidden="1" xr:uid="{00000000-0005-0000-0000-0000F8000000}"/>
    <cellStyle name="20% - Accent1 3 2 3 2" xfId="3249" hidden="1" xr:uid="{00000000-0005-0000-0000-0000F9000000}"/>
    <cellStyle name="20% - Accent1 3 2 3 2" xfId="3364" hidden="1" xr:uid="{00000000-0005-0000-0000-0000FA000000}"/>
    <cellStyle name="20% - Accent1 3 2 3 2" xfId="4087" hidden="1" xr:uid="{00000000-0005-0000-0000-0000FB000000}"/>
    <cellStyle name="20% - Accent1 3 2 3 2" xfId="4260" hidden="1" xr:uid="{00000000-0005-0000-0000-0000FC000000}"/>
    <cellStyle name="20% - Accent1 3 2 3 2" xfId="4653" hidden="1" xr:uid="{00000000-0005-0000-0000-0000FD000000}"/>
    <cellStyle name="20% - Accent1 3 2 3 2" xfId="4801" hidden="1" xr:uid="{00000000-0005-0000-0000-0000FE000000}"/>
    <cellStyle name="20% - Accent1 3 2 3 2" xfId="5139" hidden="1" xr:uid="{00000000-0005-0000-0000-0000FF000000}"/>
    <cellStyle name="20% - Accent1 3 2 3 2" xfId="5476" hidden="1" xr:uid="{00000000-0005-0000-0000-000000010000}"/>
    <cellStyle name="20% - Accent1 3 2 3 2" xfId="6041" hidden="1" xr:uid="{00000000-0005-0000-0000-000001010000}"/>
    <cellStyle name="20% - Accent1 3 2 3 2" xfId="6156" hidden="1" xr:uid="{00000000-0005-0000-0000-000002010000}"/>
    <cellStyle name="20% - Accent1 3 2 3 2" xfId="6879" hidden="1" xr:uid="{00000000-0005-0000-0000-000003010000}"/>
    <cellStyle name="20% - Accent1 3 2 3 2" xfId="7052" hidden="1" xr:uid="{00000000-0005-0000-0000-000004010000}"/>
    <cellStyle name="20% - Accent1 3 2 3 2" xfId="7445" hidden="1" xr:uid="{00000000-0005-0000-0000-000005010000}"/>
    <cellStyle name="20% - Accent1 3 2 3 2" xfId="7593" hidden="1" xr:uid="{00000000-0005-0000-0000-000006010000}"/>
    <cellStyle name="20% - Accent1 3 2 3 2" xfId="7931" hidden="1" xr:uid="{00000000-0005-0000-0000-000007010000}"/>
    <cellStyle name="20% - Accent1 3 2 3 2" xfId="8268" hidden="1" xr:uid="{00000000-0005-0000-0000-000008010000}"/>
    <cellStyle name="20% - Accent1 3 2 4 2" xfId="408" hidden="1" xr:uid="{00000000-0005-0000-0000-000009010000}"/>
    <cellStyle name="20% - Accent1 3 2 4 2" xfId="523" hidden="1" xr:uid="{00000000-0005-0000-0000-00000A010000}"/>
    <cellStyle name="20% - Accent1 3 2 4 2" xfId="1246" hidden="1" xr:uid="{00000000-0005-0000-0000-00000B010000}"/>
    <cellStyle name="20% - Accent1 3 2 4 2" xfId="1419" hidden="1" xr:uid="{00000000-0005-0000-0000-00000C010000}"/>
    <cellStyle name="20% - Accent1 3 2 4 2" xfId="1812" hidden="1" xr:uid="{00000000-0005-0000-0000-00000D010000}"/>
    <cellStyle name="20% - Accent1 3 2 4 2" xfId="1960" hidden="1" xr:uid="{00000000-0005-0000-0000-00000E010000}"/>
    <cellStyle name="20% - Accent1 3 2 4 2" xfId="2298" hidden="1" xr:uid="{00000000-0005-0000-0000-00000F010000}"/>
    <cellStyle name="20% - Accent1 3 2 4 2" xfId="2635" hidden="1" xr:uid="{00000000-0005-0000-0000-000010010000}"/>
    <cellStyle name="20% - Accent1 3 2 4 2" xfId="3200" hidden="1" xr:uid="{00000000-0005-0000-0000-000011010000}"/>
    <cellStyle name="20% - Accent1 3 2 4 2" xfId="3315" hidden="1" xr:uid="{00000000-0005-0000-0000-000012010000}"/>
    <cellStyle name="20% - Accent1 3 2 4 2" xfId="4038" hidden="1" xr:uid="{00000000-0005-0000-0000-000013010000}"/>
    <cellStyle name="20% - Accent1 3 2 4 2" xfId="4211" hidden="1" xr:uid="{00000000-0005-0000-0000-000014010000}"/>
    <cellStyle name="20% - Accent1 3 2 4 2" xfId="4604" hidden="1" xr:uid="{00000000-0005-0000-0000-000015010000}"/>
    <cellStyle name="20% - Accent1 3 2 4 2" xfId="4752" hidden="1" xr:uid="{00000000-0005-0000-0000-000016010000}"/>
    <cellStyle name="20% - Accent1 3 2 4 2" xfId="5090" hidden="1" xr:uid="{00000000-0005-0000-0000-000017010000}"/>
    <cellStyle name="20% - Accent1 3 2 4 2" xfId="5427" hidden="1" xr:uid="{00000000-0005-0000-0000-000018010000}"/>
    <cellStyle name="20% - Accent1 3 2 4 2" xfId="5992" hidden="1" xr:uid="{00000000-0005-0000-0000-000019010000}"/>
    <cellStyle name="20% - Accent1 3 2 4 2" xfId="6107" hidden="1" xr:uid="{00000000-0005-0000-0000-00001A010000}"/>
    <cellStyle name="20% - Accent1 3 2 4 2" xfId="6830" hidden="1" xr:uid="{00000000-0005-0000-0000-00001B010000}"/>
    <cellStyle name="20% - Accent1 3 2 4 2" xfId="7003" hidden="1" xr:uid="{00000000-0005-0000-0000-00001C010000}"/>
    <cellStyle name="20% - Accent1 3 2 4 2" xfId="7396" hidden="1" xr:uid="{00000000-0005-0000-0000-00001D010000}"/>
    <cellStyle name="20% - Accent1 3 2 4 2" xfId="7544" hidden="1" xr:uid="{00000000-0005-0000-0000-00001E010000}"/>
    <cellStyle name="20% - Accent1 3 2 4 2" xfId="7882" hidden="1" xr:uid="{00000000-0005-0000-0000-00001F010000}"/>
    <cellStyle name="20% - Accent1 3 2 4 2" xfId="8219" hidden="1" xr:uid="{00000000-0005-0000-0000-000020010000}"/>
    <cellStyle name="20% - Accent1 3 3 3 2" xfId="407" hidden="1" xr:uid="{00000000-0005-0000-0000-000021010000}"/>
    <cellStyle name="20% - Accent1 3 3 3 2" xfId="522" hidden="1" xr:uid="{00000000-0005-0000-0000-000022010000}"/>
    <cellStyle name="20% - Accent1 3 3 3 2" xfId="1245" hidden="1" xr:uid="{00000000-0005-0000-0000-000023010000}"/>
    <cellStyle name="20% - Accent1 3 3 3 2" xfId="1418" hidden="1" xr:uid="{00000000-0005-0000-0000-000024010000}"/>
    <cellStyle name="20% - Accent1 3 3 3 2" xfId="1811" hidden="1" xr:uid="{00000000-0005-0000-0000-000025010000}"/>
    <cellStyle name="20% - Accent1 3 3 3 2" xfId="1959" hidden="1" xr:uid="{00000000-0005-0000-0000-000026010000}"/>
    <cellStyle name="20% - Accent1 3 3 3 2" xfId="2297" hidden="1" xr:uid="{00000000-0005-0000-0000-000027010000}"/>
    <cellStyle name="20% - Accent1 3 3 3 2" xfId="2634" hidden="1" xr:uid="{00000000-0005-0000-0000-000028010000}"/>
    <cellStyle name="20% - Accent1 3 3 3 2" xfId="3199" hidden="1" xr:uid="{00000000-0005-0000-0000-000029010000}"/>
    <cellStyle name="20% - Accent1 3 3 3 2" xfId="3314" hidden="1" xr:uid="{00000000-0005-0000-0000-00002A010000}"/>
    <cellStyle name="20% - Accent1 3 3 3 2" xfId="4037" hidden="1" xr:uid="{00000000-0005-0000-0000-00002B010000}"/>
    <cellStyle name="20% - Accent1 3 3 3 2" xfId="4210" hidden="1" xr:uid="{00000000-0005-0000-0000-00002C010000}"/>
    <cellStyle name="20% - Accent1 3 3 3 2" xfId="4603" hidden="1" xr:uid="{00000000-0005-0000-0000-00002D010000}"/>
    <cellStyle name="20% - Accent1 3 3 3 2" xfId="4751" hidden="1" xr:uid="{00000000-0005-0000-0000-00002E010000}"/>
    <cellStyle name="20% - Accent1 3 3 3 2" xfId="5089" hidden="1" xr:uid="{00000000-0005-0000-0000-00002F010000}"/>
    <cellStyle name="20% - Accent1 3 3 3 2" xfId="5426" hidden="1" xr:uid="{00000000-0005-0000-0000-000030010000}"/>
    <cellStyle name="20% - Accent1 3 3 3 2" xfId="5991" hidden="1" xr:uid="{00000000-0005-0000-0000-000031010000}"/>
    <cellStyle name="20% - Accent1 3 3 3 2" xfId="6106" hidden="1" xr:uid="{00000000-0005-0000-0000-000032010000}"/>
    <cellStyle name="20% - Accent1 3 3 3 2" xfId="6829" hidden="1" xr:uid="{00000000-0005-0000-0000-000033010000}"/>
    <cellStyle name="20% - Accent1 3 3 3 2" xfId="7002" hidden="1" xr:uid="{00000000-0005-0000-0000-000034010000}"/>
    <cellStyle name="20% - Accent1 3 3 3 2" xfId="7395" hidden="1" xr:uid="{00000000-0005-0000-0000-000035010000}"/>
    <cellStyle name="20% - Accent1 3 3 3 2" xfId="7543" hidden="1" xr:uid="{00000000-0005-0000-0000-000036010000}"/>
    <cellStyle name="20% - Accent1 3 3 3 2" xfId="7881" hidden="1" xr:uid="{00000000-0005-0000-0000-000037010000}"/>
    <cellStyle name="20% - Accent1 3 3 3 2" xfId="8218" hidden="1" xr:uid="{00000000-0005-0000-0000-000038010000}"/>
    <cellStyle name="20% - Accent1 4 2 3 2" xfId="458" hidden="1" xr:uid="{00000000-0005-0000-0000-000039010000}"/>
    <cellStyle name="20% - Accent1 4 2 3 2" xfId="573" hidden="1" xr:uid="{00000000-0005-0000-0000-00003A010000}"/>
    <cellStyle name="20% - Accent1 4 2 3 2" xfId="1296" hidden="1" xr:uid="{00000000-0005-0000-0000-00003B010000}"/>
    <cellStyle name="20% - Accent1 4 2 3 2" xfId="1469" hidden="1" xr:uid="{00000000-0005-0000-0000-00003C010000}"/>
    <cellStyle name="20% - Accent1 4 2 3 2" xfId="1862" hidden="1" xr:uid="{00000000-0005-0000-0000-00003D010000}"/>
    <cellStyle name="20% - Accent1 4 2 3 2" xfId="2010" hidden="1" xr:uid="{00000000-0005-0000-0000-00003E010000}"/>
    <cellStyle name="20% - Accent1 4 2 3 2" xfId="2348" hidden="1" xr:uid="{00000000-0005-0000-0000-00003F010000}"/>
    <cellStyle name="20% - Accent1 4 2 3 2" xfId="2685" hidden="1" xr:uid="{00000000-0005-0000-0000-000040010000}"/>
    <cellStyle name="20% - Accent1 4 2 3 2" xfId="3250" hidden="1" xr:uid="{00000000-0005-0000-0000-000041010000}"/>
    <cellStyle name="20% - Accent1 4 2 3 2" xfId="3365" hidden="1" xr:uid="{00000000-0005-0000-0000-000042010000}"/>
    <cellStyle name="20% - Accent1 4 2 3 2" xfId="4088" hidden="1" xr:uid="{00000000-0005-0000-0000-000043010000}"/>
    <cellStyle name="20% - Accent1 4 2 3 2" xfId="4261" hidden="1" xr:uid="{00000000-0005-0000-0000-000044010000}"/>
    <cellStyle name="20% - Accent1 4 2 3 2" xfId="4654" hidden="1" xr:uid="{00000000-0005-0000-0000-000045010000}"/>
    <cellStyle name="20% - Accent1 4 2 3 2" xfId="4802" hidden="1" xr:uid="{00000000-0005-0000-0000-000046010000}"/>
    <cellStyle name="20% - Accent1 4 2 3 2" xfId="5140" hidden="1" xr:uid="{00000000-0005-0000-0000-000047010000}"/>
    <cellStyle name="20% - Accent1 4 2 3 2" xfId="5477" hidden="1" xr:uid="{00000000-0005-0000-0000-000048010000}"/>
    <cellStyle name="20% - Accent1 4 2 3 2" xfId="6042" hidden="1" xr:uid="{00000000-0005-0000-0000-000049010000}"/>
    <cellStyle name="20% - Accent1 4 2 3 2" xfId="6157" hidden="1" xr:uid="{00000000-0005-0000-0000-00004A010000}"/>
    <cellStyle name="20% - Accent1 4 2 3 2" xfId="6880" hidden="1" xr:uid="{00000000-0005-0000-0000-00004B010000}"/>
    <cellStyle name="20% - Accent1 4 2 3 2" xfId="7053" hidden="1" xr:uid="{00000000-0005-0000-0000-00004C010000}"/>
    <cellStyle name="20% - Accent1 4 2 3 2" xfId="7446" hidden="1" xr:uid="{00000000-0005-0000-0000-00004D010000}"/>
    <cellStyle name="20% - Accent1 4 2 3 2" xfId="7594" hidden="1" xr:uid="{00000000-0005-0000-0000-00004E010000}"/>
    <cellStyle name="20% - Accent1 4 2 3 2" xfId="7932" hidden="1" xr:uid="{00000000-0005-0000-0000-00004F010000}"/>
    <cellStyle name="20% - Accent1 4 2 3 2" xfId="8269" hidden="1" xr:uid="{00000000-0005-0000-0000-000050010000}"/>
    <cellStyle name="20% - Accent1 4 2 4 2" xfId="410" hidden="1" xr:uid="{00000000-0005-0000-0000-000051010000}"/>
    <cellStyle name="20% - Accent1 4 2 4 2" xfId="525" hidden="1" xr:uid="{00000000-0005-0000-0000-000052010000}"/>
    <cellStyle name="20% - Accent1 4 2 4 2" xfId="1248" hidden="1" xr:uid="{00000000-0005-0000-0000-000053010000}"/>
    <cellStyle name="20% - Accent1 4 2 4 2" xfId="1421" hidden="1" xr:uid="{00000000-0005-0000-0000-000054010000}"/>
    <cellStyle name="20% - Accent1 4 2 4 2" xfId="1814" hidden="1" xr:uid="{00000000-0005-0000-0000-000055010000}"/>
    <cellStyle name="20% - Accent1 4 2 4 2" xfId="1962" hidden="1" xr:uid="{00000000-0005-0000-0000-000056010000}"/>
    <cellStyle name="20% - Accent1 4 2 4 2" xfId="2300" hidden="1" xr:uid="{00000000-0005-0000-0000-000057010000}"/>
    <cellStyle name="20% - Accent1 4 2 4 2" xfId="2637" hidden="1" xr:uid="{00000000-0005-0000-0000-000058010000}"/>
    <cellStyle name="20% - Accent1 4 2 4 2" xfId="3202" hidden="1" xr:uid="{00000000-0005-0000-0000-000059010000}"/>
    <cellStyle name="20% - Accent1 4 2 4 2" xfId="3317" hidden="1" xr:uid="{00000000-0005-0000-0000-00005A010000}"/>
    <cellStyle name="20% - Accent1 4 2 4 2" xfId="4040" hidden="1" xr:uid="{00000000-0005-0000-0000-00005B010000}"/>
    <cellStyle name="20% - Accent1 4 2 4 2" xfId="4213" hidden="1" xr:uid="{00000000-0005-0000-0000-00005C010000}"/>
    <cellStyle name="20% - Accent1 4 2 4 2" xfId="4606" hidden="1" xr:uid="{00000000-0005-0000-0000-00005D010000}"/>
    <cellStyle name="20% - Accent1 4 2 4 2" xfId="4754" hidden="1" xr:uid="{00000000-0005-0000-0000-00005E010000}"/>
    <cellStyle name="20% - Accent1 4 2 4 2" xfId="5092" hidden="1" xr:uid="{00000000-0005-0000-0000-00005F010000}"/>
    <cellStyle name="20% - Accent1 4 2 4 2" xfId="5429" hidden="1" xr:uid="{00000000-0005-0000-0000-000060010000}"/>
    <cellStyle name="20% - Accent1 4 2 4 2" xfId="5994" hidden="1" xr:uid="{00000000-0005-0000-0000-000061010000}"/>
    <cellStyle name="20% - Accent1 4 2 4 2" xfId="6109" hidden="1" xr:uid="{00000000-0005-0000-0000-000062010000}"/>
    <cellStyle name="20% - Accent1 4 2 4 2" xfId="6832" hidden="1" xr:uid="{00000000-0005-0000-0000-000063010000}"/>
    <cellStyle name="20% - Accent1 4 2 4 2" xfId="7005" hidden="1" xr:uid="{00000000-0005-0000-0000-000064010000}"/>
    <cellStyle name="20% - Accent1 4 2 4 2" xfId="7398" hidden="1" xr:uid="{00000000-0005-0000-0000-000065010000}"/>
    <cellStyle name="20% - Accent1 4 2 4 2" xfId="7546" hidden="1" xr:uid="{00000000-0005-0000-0000-000066010000}"/>
    <cellStyle name="20% - Accent1 4 2 4 2" xfId="7884" hidden="1" xr:uid="{00000000-0005-0000-0000-000067010000}"/>
    <cellStyle name="20% - Accent1 4 2 4 2" xfId="8221" hidden="1" xr:uid="{00000000-0005-0000-0000-000068010000}"/>
    <cellStyle name="20% - Accent1 4 3 3 2" xfId="409" hidden="1" xr:uid="{00000000-0005-0000-0000-000069010000}"/>
    <cellStyle name="20% - Accent1 4 3 3 2" xfId="524" hidden="1" xr:uid="{00000000-0005-0000-0000-00006A010000}"/>
    <cellStyle name="20% - Accent1 4 3 3 2" xfId="1247" hidden="1" xr:uid="{00000000-0005-0000-0000-00006B010000}"/>
    <cellStyle name="20% - Accent1 4 3 3 2" xfId="1420" hidden="1" xr:uid="{00000000-0005-0000-0000-00006C010000}"/>
    <cellStyle name="20% - Accent1 4 3 3 2" xfId="1813" hidden="1" xr:uid="{00000000-0005-0000-0000-00006D010000}"/>
    <cellStyle name="20% - Accent1 4 3 3 2" xfId="1961" hidden="1" xr:uid="{00000000-0005-0000-0000-00006E010000}"/>
    <cellStyle name="20% - Accent1 4 3 3 2" xfId="2299" hidden="1" xr:uid="{00000000-0005-0000-0000-00006F010000}"/>
    <cellStyle name="20% - Accent1 4 3 3 2" xfId="2636" hidden="1" xr:uid="{00000000-0005-0000-0000-000070010000}"/>
    <cellStyle name="20% - Accent1 4 3 3 2" xfId="3201" hidden="1" xr:uid="{00000000-0005-0000-0000-000071010000}"/>
    <cellStyle name="20% - Accent1 4 3 3 2" xfId="3316" hidden="1" xr:uid="{00000000-0005-0000-0000-000072010000}"/>
    <cellStyle name="20% - Accent1 4 3 3 2" xfId="4039" hidden="1" xr:uid="{00000000-0005-0000-0000-000073010000}"/>
    <cellStyle name="20% - Accent1 4 3 3 2" xfId="4212" hidden="1" xr:uid="{00000000-0005-0000-0000-000074010000}"/>
    <cellStyle name="20% - Accent1 4 3 3 2" xfId="4605" hidden="1" xr:uid="{00000000-0005-0000-0000-000075010000}"/>
    <cellStyle name="20% - Accent1 4 3 3 2" xfId="4753" hidden="1" xr:uid="{00000000-0005-0000-0000-000076010000}"/>
    <cellStyle name="20% - Accent1 4 3 3 2" xfId="5091" hidden="1" xr:uid="{00000000-0005-0000-0000-000077010000}"/>
    <cellStyle name="20% - Accent1 4 3 3 2" xfId="5428" hidden="1" xr:uid="{00000000-0005-0000-0000-000078010000}"/>
    <cellStyle name="20% - Accent1 4 3 3 2" xfId="5993" hidden="1" xr:uid="{00000000-0005-0000-0000-000079010000}"/>
    <cellStyle name="20% - Accent1 4 3 3 2" xfId="6108" hidden="1" xr:uid="{00000000-0005-0000-0000-00007A010000}"/>
    <cellStyle name="20% - Accent1 4 3 3 2" xfId="6831" hidden="1" xr:uid="{00000000-0005-0000-0000-00007B010000}"/>
    <cellStyle name="20% - Accent1 4 3 3 2" xfId="7004" hidden="1" xr:uid="{00000000-0005-0000-0000-00007C010000}"/>
    <cellStyle name="20% - Accent1 4 3 3 2" xfId="7397" hidden="1" xr:uid="{00000000-0005-0000-0000-00007D010000}"/>
    <cellStyle name="20% - Accent1 4 3 3 2" xfId="7545" hidden="1" xr:uid="{00000000-0005-0000-0000-00007E010000}"/>
    <cellStyle name="20% - Accent1 4 3 3 2" xfId="7883" hidden="1" xr:uid="{00000000-0005-0000-0000-00007F010000}"/>
    <cellStyle name="20% - Accent1 4 3 3 2" xfId="8220" hidden="1" xr:uid="{00000000-0005-0000-0000-000080010000}"/>
    <cellStyle name="20% - Accent1 5 2" xfId="395" hidden="1" xr:uid="{00000000-0005-0000-0000-000081010000}"/>
    <cellStyle name="20% - Accent1 5 2" xfId="510" hidden="1" xr:uid="{00000000-0005-0000-0000-000082010000}"/>
    <cellStyle name="20% - Accent1 5 2" xfId="1233" hidden="1" xr:uid="{00000000-0005-0000-0000-000083010000}"/>
    <cellStyle name="20% - Accent1 5 2" xfId="1406" hidden="1" xr:uid="{00000000-0005-0000-0000-000084010000}"/>
    <cellStyle name="20% - Accent1 5 2" xfId="1799" hidden="1" xr:uid="{00000000-0005-0000-0000-000085010000}"/>
    <cellStyle name="20% - Accent1 5 2" xfId="1947" hidden="1" xr:uid="{00000000-0005-0000-0000-000086010000}"/>
    <cellStyle name="20% - Accent1 5 2" xfId="2285" hidden="1" xr:uid="{00000000-0005-0000-0000-000087010000}"/>
    <cellStyle name="20% - Accent1 5 2" xfId="2622" hidden="1" xr:uid="{00000000-0005-0000-0000-000088010000}"/>
    <cellStyle name="20% - Accent1 5 2" xfId="3187" hidden="1" xr:uid="{00000000-0005-0000-0000-000089010000}"/>
    <cellStyle name="20% - Accent1 5 2" xfId="3302" hidden="1" xr:uid="{00000000-0005-0000-0000-00008A010000}"/>
    <cellStyle name="20% - Accent1 5 2" xfId="4025" hidden="1" xr:uid="{00000000-0005-0000-0000-00008B010000}"/>
    <cellStyle name="20% - Accent1 5 2" xfId="4198" hidden="1" xr:uid="{00000000-0005-0000-0000-00008C010000}"/>
    <cellStyle name="20% - Accent1 5 2" xfId="4591" hidden="1" xr:uid="{00000000-0005-0000-0000-00008D010000}"/>
    <cellStyle name="20% - Accent1 5 2" xfId="4739" hidden="1" xr:uid="{00000000-0005-0000-0000-00008E010000}"/>
    <cellStyle name="20% - Accent1 5 2" xfId="5077" hidden="1" xr:uid="{00000000-0005-0000-0000-00008F010000}"/>
    <cellStyle name="20% - Accent1 5 2" xfId="5414" hidden="1" xr:uid="{00000000-0005-0000-0000-000090010000}"/>
    <cellStyle name="20% - Accent1 5 2" xfId="5979" hidden="1" xr:uid="{00000000-0005-0000-0000-000091010000}"/>
    <cellStyle name="20% - Accent1 5 2" xfId="6094" hidden="1" xr:uid="{00000000-0005-0000-0000-000092010000}"/>
    <cellStyle name="20% - Accent1 5 2" xfId="6817" hidden="1" xr:uid="{00000000-0005-0000-0000-000093010000}"/>
    <cellStyle name="20% - Accent1 5 2" xfId="6990" hidden="1" xr:uid="{00000000-0005-0000-0000-000094010000}"/>
    <cellStyle name="20% - Accent1 5 2" xfId="7383" hidden="1" xr:uid="{00000000-0005-0000-0000-000095010000}"/>
    <cellStyle name="20% - Accent1 5 2" xfId="7531" hidden="1" xr:uid="{00000000-0005-0000-0000-000096010000}"/>
    <cellStyle name="20% - Accent1 5 2" xfId="7869" hidden="1" xr:uid="{00000000-0005-0000-0000-000097010000}"/>
    <cellStyle name="20% - Accent1 5 2" xfId="8206" hidden="1" xr:uid="{00000000-0005-0000-0000-000098010000}"/>
    <cellStyle name="20% - Accent1 7" xfId="72" hidden="1" xr:uid="{00000000-0005-0000-0000-000099010000}"/>
    <cellStyle name="20% - Accent1 7" xfId="155" hidden="1" xr:uid="{00000000-0005-0000-0000-00009A010000}"/>
    <cellStyle name="20% - Accent1 7" xfId="233" hidden="1" xr:uid="{00000000-0005-0000-0000-00009B010000}"/>
    <cellStyle name="20% - Accent1 7" xfId="311" hidden="1" xr:uid="{00000000-0005-0000-0000-00009C010000}"/>
    <cellStyle name="20% - Accent1 7" xfId="893" hidden="1" xr:uid="{00000000-0005-0000-0000-00009D010000}"/>
    <cellStyle name="20% - Accent1 7" xfId="972" hidden="1" xr:uid="{00000000-0005-0000-0000-00009E010000}"/>
    <cellStyle name="20% - Accent1 7" xfId="1050" hidden="1" xr:uid="{00000000-0005-0000-0000-00009F010000}"/>
    <cellStyle name="20% - Accent1 7" xfId="596" hidden="1" xr:uid="{00000000-0005-0000-0000-0000A0010000}"/>
    <cellStyle name="20% - Accent1 7" xfId="1350" hidden="1" xr:uid="{00000000-0005-0000-0000-0000A1010000}"/>
    <cellStyle name="20% - Accent1 7" xfId="626" hidden="1" xr:uid="{00000000-0005-0000-0000-0000A2010000}"/>
    <cellStyle name="20% - Accent1 7" xfId="1362" hidden="1" xr:uid="{00000000-0005-0000-0000-0000A3010000}"/>
    <cellStyle name="20% - Accent1 7" xfId="1567" hidden="1" xr:uid="{00000000-0005-0000-0000-0000A4010000}"/>
    <cellStyle name="20% - Accent1 7" xfId="1645" hidden="1" xr:uid="{00000000-0005-0000-0000-0000A5010000}"/>
    <cellStyle name="20% - Accent1 7" xfId="671" hidden="1" xr:uid="{00000000-0005-0000-0000-0000A6010000}"/>
    <cellStyle name="20% - Accent1 7" xfId="1908" hidden="1" xr:uid="{00000000-0005-0000-0000-0000A7010000}"/>
    <cellStyle name="20% - Accent1 7" xfId="1380" hidden="1" xr:uid="{00000000-0005-0000-0000-0000A8010000}"/>
    <cellStyle name="20% - Accent1 7" xfId="1911" hidden="1" xr:uid="{00000000-0005-0000-0000-0000A9010000}"/>
    <cellStyle name="20% - Accent1 7" xfId="2099" hidden="1" xr:uid="{00000000-0005-0000-0000-0000AA010000}"/>
    <cellStyle name="20% - Accent1 7" xfId="2177" hidden="1" xr:uid="{00000000-0005-0000-0000-0000AB010000}"/>
    <cellStyle name="20% - Accent1 7" xfId="2253" hidden="1" xr:uid="{00000000-0005-0000-0000-0000AC010000}"/>
    <cellStyle name="20% - Accent1 7" xfId="2436" hidden="1" xr:uid="{00000000-0005-0000-0000-0000AD010000}"/>
    <cellStyle name="20% - Accent1 7" xfId="2514" hidden="1" xr:uid="{00000000-0005-0000-0000-0000AE010000}"/>
    <cellStyle name="20% - Accent1 7" xfId="2590" hidden="1" xr:uid="{00000000-0005-0000-0000-0000AF010000}"/>
    <cellStyle name="20% - Accent1 7" xfId="2773" hidden="1" xr:uid="{00000000-0005-0000-0000-0000B0010000}"/>
    <cellStyle name="20% - Accent1 7" xfId="2864" hidden="1" xr:uid="{00000000-0005-0000-0000-0000B1010000}"/>
    <cellStyle name="20% - Accent1 7" xfId="2947" hidden="1" xr:uid="{00000000-0005-0000-0000-0000B2010000}"/>
    <cellStyle name="20% - Accent1 7" xfId="3025" hidden="1" xr:uid="{00000000-0005-0000-0000-0000B3010000}"/>
    <cellStyle name="20% - Accent1 7" xfId="3103" hidden="1" xr:uid="{00000000-0005-0000-0000-0000B4010000}"/>
    <cellStyle name="20% - Accent1 7" xfId="3685" hidden="1" xr:uid="{00000000-0005-0000-0000-0000B5010000}"/>
    <cellStyle name="20% - Accent1 7" xfId="3764" hidden="1" xr:uid="{00000000-0005-0000-0000-0000B6010000}"/>
    <cellStyle name="20% - Accent1 7" xfId="3842" hidden="1" xr:uid="{00000000-0005-0000-0000-0000B7010000}"/>
    <cellStyle name="20% - Accent1 7" xfId="3388" hidden="1" xr:uid="{00000000-0005-0000-0000-0000B8010000}"/>
    <cellStyle name="20% - Accent1 7" xfId="4142" hidden="1" xr:uid="{00000000-0005-0000-0000-0000B9010000}"/>
    <cellStyle name="20% - Accent1 7" xfId="3418" hidden="1" xr:uid="{00000000-0005-0000-0000-0000BA010000}"/>
    <cellStyle name="20% - Accent1 7" xfId="4154" hidden="1" xr:uid="{00000000-0005-0000-0000-0000BB010000}"/>
    <cellStyle name="20% - Accent1 7" xfId="4359" hidden="1" xr:uid="{00000000-0005-0000-0000-0000BC010000}"/>
    <cellStyle name="20% - Accent1 7" xfId="4437" hidden="1" xr:uid="{00000000-0005-0000-0000-0000BD010000}"/>
    <cellStyle name="20% - Accent1 7" xfId="3463" hidden="1" xr:uid="{00000000-0005-0000-0000-0000BE010000}"/>
    <cellStyle name="20% - Accent1 7" xfId="4700" hidden="1" xr:uid="{00000000-0005-0000-0000-0000BF010000}"/>
    <cellStyle name="20% - Accent1 7" xfId="4172" hidden="1" xr:uid="{00000000-0005-0000-0000-0000C0010000}"/>
    <cellStyle name="20% - Accent1 7" xfId="4703" hidden="1" xr:uid="{00000000-0005-0000-0000-0000C1010000}"/>
    <cellStyle name="20% - Accent1 7" xfId="4891" hidden="1" xr:uid="{00000000-0005-0000-0000-0000C2010000}"/>
    <cellStyle name="20% - Accent1 7" xfId="4969" hidden="1" xr:uid="{00000000-0005-0000-0000-0000C3010000}"/>
    <cellStyle name="20% - Accent1 7" xfId="5045" hidden="1" xr:uid="{00000000-0005-0000-0000-0000C4010000}"/>
    <cellStyle name="20% - Accent1 7" xfId="5228" hidden="1" xr:uid="{00000000-0005-0000-0000-0000C5010000}"/>
    <cellStyle name="20% - Accent1 7" xfId="5306" hidden="1" xr:uid="{00000000-0005-0000-0000-0000C6010000}"/>
    <cellStyle name="20% - Accent1 7" xfId="5382" hidden="1" xr:uid="{00000000-0005-0000-0000-0000C7010000}"/>
    <cellStyle name="20% - Accent1 7" xfId="5565" hidden="1" xr:uid="{00000000-0005-0000-0000-0000C8010000}"/>
    <cellStyle name="20% - Accent1 7" xfId="5656" hidden="1" xr:uid="{00000000-0005-0000-0000-0000C9010000}"/>
    <cellStyle name="20% - Accent1 7" xfId="5739" hidden="1" xr:uid="{00000000-0005-0000-0000-0000CA010000}"/>
    <cellStyle name="20% - Accent1 7" xfId="5817" hidden="1" xr:uid="{00000000-0005-0000-0000-0000CB010000}"/>
    <cellStyle name="20% - Accent1 7" xfId="5895" hidden="1" xr:uid="{00000000-0005-0000-0000-0000CC010000}"/>
    <cellStyle name="20% - Accent1 7" xfId="6477" hidden="1" xr:uid="{00000000-0005-0000-0000-0000CD010000}"/>
    <cellStyle name="20% - Accent1 7" xfId="6556" hidden="1" xr:uid="{00000000-0005-0000-0000-0000CE010000}"/>
    <cellStyle name="20% - Accent1 7" xfId="6634" hidden="1" xr:uid="{00000000-0005-0000-0000-0000CF010000}"/>
    <cellStyle name="20% - Accent1 7" xfId="6180" hidden="1" xr:uid="{00000000-0005-0000-0000-0000D0010000}"/>
    <cellStyle name="20% - Accent1 7" xfId="6934" hidden="1" xr:uid="{00000000-0005-0000-0000-0000D1010000}"/>
    <cellStyle name="20% - Accent1 7" xfId="6210" hidden="1" xr:uid="{00000000-0005-0000-0000-0000D2010000}"/>
    <cellStyle name="20% - Accent1 7" xfId="6946" hidden="1" xr:uid="{00000000-0005-0000-0000-0000D3010000}"/>
    <cellStyle name="20% - Accent1 7" xfId="7151" hidden="1" xr:uid="{00000000-0005-0000-0000-0000D4010000}"/>
    <cellStyle name="20% - Accent1 7" xfId="7229" hidden="1" xr:uid="{00000000-0005-0000-0000-0000D5010000}"/>
    <cellStyle name="20% - Accent1 7" xfId="6255" hidden="1" xr:uid="{00000000-0005-0000-0000-0000D6010000}"/>
    <cellStyle name="20% - Accent1 7" xfId="7492" hidden="1" xr:uid="{00000000-0005-0000-0000-0000D7010000}"/>
    <cellStyle name="20% - Accent1 7" xfId="6964" hidden="1" xr:uid="{00000000-0005-0000-0000-0000D8010000}"/>
    <cellStyle name="20% - Accent1 7" xfId="7495" hidden="1" xr:uid="{00000000-0005-0000-0000-0000D9010000}"/>
    <cellStyle name="20% - Accent1 7" xfId="7683" hidden="1" xr:uid="{00000000-0005-0000-0000-0000DA010000}"/>
    <cellStyle name="20% - Accent1 7" xfId="7761" hidden="1" xr:uid="{00000000-0005-0000-0000-0000DB010000}"/>
    <cellStyle name="20% - Accent1 7" xfId="7837" hidden="1" xr:uid="{00000000-0005-0000-0000-0000DC010000}"/>
    <cellStyle name="20% - Accent1 7" xfId="8020" hidden="1" xr:uid="{00000000-0005-0000-0000-0000DD010000}"/>
    <cellStyle name="20% - Accent1 7" xfId="8098" hidden="1" xr:uid="{00000000-0005-0000-0000-0000DE010000}"/>
    <cellStyle name="20% - Accent1 7" xfId="8174" hidden="1" xr:uid="{00000000-0005-0000-0000-0000DF010000}"/>
    <cellStyle name="20% - Accent1 7" xfId="8357" hidden="1" xr:uid="{00000000-0005-0000-0000-0000E0010000}"/>
    <cellStyle name="20% - Accent1 8" xfId="88" hidden="1" xr:uid="{00000000-0005-0000-0000-0000E1010000}"/>
    <cellStyle name="20% - Accent1 8" xfId="167" hidden="1" xr:uid="{00000000-0005-0000-0000-0000E2010000}"/>
    <cellStyle name="20% - Accent1 8" xfId="244" hidden="1" xr:uid="{00000000-0005-0000-0000-0000E3010000}"/>
    <cellStyle name="20% - Accent1 8" xfId="322" hidden="1" xr:uid="{00000000-0005-0000-0000-0000E4010000}"/>
    <cellStyle name="20% - Accent1 8" xfId="906" hidden="1" xr:uid="{00000000-0005-0000-0000-0000E5010000}"/>
    <cellStyle name="20% - Accent1 8" xfId="983" hidden="1" xr:uid="{00000000-0005-0000-0000-0000E6010000}"/>
    <cellStyle name="20% - Accent1 8" xfId="1062" hidden="1" xr:uid="{00000000-0005-0000-0000-0000E7010000}"/>
    <cellStyle name="20% - Accent1 8" xfId="1179" hidden="1" xr:uid="{00000000-0005-0000-0000-0000E8010000}"/>
    <cellStyle name="20% - Accent1 8" xfId="1152" hidden="1" xr:uid="{00000000-0005-0000-0000-0000E9010000}"/>
    <cellStyle name="20% - Accent1 8" xfId="798" hidden="1" xr:uid="{00000000-0005-0000-0000-0000EA010000}"/>
    <cellStyle name="20% - Accent1 8" xfId="642" hidden="1" xr:uid="{00000000-0005-0000-0000-0000EB010000}"/>
    <cellStyle name="20% - Accent1 8" xfId="1578" hidden="1" xr:uid="{00000000-0005-0000-0000-0000EC010000}"/>
    <cellStyle name="20% - Accent1 8" xfId="1656" hidden="1" xr:uid="{00000000-0005-0000-0000-0000ED010000}"/>
    <cellStyle name="20% - Accent1 8" xfId="1757" hidden="1" xr:uid="{00000000-0005-0000-0000-0000EE010000}"/>
    <cellStyle name="20% - Accent1 8" xfId="1739" hidden="1" xr:uid="{00000000-0005-0000-0000-0000EF010000}"/>
    <cellStyle name="20% - Accent1 8" xfId="1160" hidden="1" xr:uid="{00000000-0005-0000-0000-0000F0010000}"/>
    <cellStyle name="20% - Accent1 8" xfId="802" hidden="1" xr:uid="{00000000-0005-0000-0000-0000F1010000}"/>
    <cellStyle name="20% - Accent1 8" xfId="2110" hidden="1" xr:uid="{00000000-0005-0000-0000-0000F2010000}"/>
    <cellStyle name="20% - Accent1 8" xfId="2188" hidden="1" xr:uid="{00000000-0005-0000-0000-0000F3010000}"/>
    <cellStyle name="20% - Accent1 8" xfId="1209" hidden="1" xr:uid="{00000000-0005-0000-0000-0000F4010000}"/>
    <cellStyle name="20% - Accent1 8" xfId="2447" hidden="1" xr:uid="{00000000-0005-0000-0000-0000F5010000}"/>
    <cellStyle name="20% - Accent1 8" xfId="2525" hidden="1" xr:uid="{00000000-0005-0000-0000-0000F6010000}"/>
    <cellStyle name="20% - Accent1 8" xfId="1206" hidden="1" xr:uid="{00000000-0005-0000-0000-0000F7010000}"/>
    <cellStyle name="20% - Accent1 8" xfId="2784" hidden="1" xr:uid="{00000000-0005-0000-0000-0000F8010000}"/>
    <cellStyle name="20% - Accent1 8" xfId="2880" hidden="1" xr:uid="{00000000-0005-0000-0000-0000F9010000}"/>
    <cellStyle name="20% - Accent1 8" xfId="2959" hidden="1" xr:uid="{00000000-0005-0000-0000-0000FA010000}"/>
    <cellStyle name="20% - Accent1 8" xfId="3036" hidden="1" xr:uid="{00000000-0005-0000-0000-0000FB010000}"/>
    <cellStyle name="20% - Accent1 8" xfId="3114" hidden="1" xr:uid="{00000000-0005-0000-0000-0000FC010000}"/>
    <cellStyle name="20% - Accent1 8" xfId="3698" hidden="1" xr:uid="{00000000-0005-0000-0000-0000FD010000}"/>
    <cellStyle name="20% - Accent1 8" xfId="3775" hidden="1" xr:uid="{00000000-0005-0000-0000-0000FE010000}"/>
    <cellStyle name="20% - Accent1 8" xfId="3854" hidden="1" xr:uid="{00000000-0005-0000-0000-0000FF010000}"/>
    <cellStyle name="20% - Accent1 8" xfId="3971" hidden="1" xr:uid="{00000000-0005-0000-0000-000000020000}"/>
    <cellStyle name="20% - Accent1 8" xfId="3944" hidden="1" xr:uid="{00000000-0005-0000-0000-000001020000}"/>
    <cellStyle name="20% - Accent1 8" xfId="3590" hidden="1" xr:uid="{00000000-0005-0000-0000-000002020000}"/>
    <cellStyle name="20% - Accent1 8" xfId="3434" hidden="1" xr:uid="{00000000-0005-0000-0000-000003020000}"/>
    <cellStyle name="20% - Accent1 8" xfId="4370" hidden="1" xr:uid="{00000000-0005-0000-0000-000004020000}"/>
    <cellStyle name="20% - Accent1 8" xfId="4448" hidden="1" xr:uid="{00000000-0005-0000-0000-000005020000}"/>
    <cellStyle name="20% - Accent1 8" xfId="4549" hidden="1" xr:uid="{00000000-0005-0000-0000-000006020000}"/>
    <cellStyle name="20% - Accent1 8" xfId="4531" hidden="1" xr:uid="{00000000-0005-0000-0000-000007020000}"/>
    <cellStyle name="20% - Accent1 8" xfId="3952" hidden="1" xr:uid="{00000000-0005-0000-0000-000008020000}"/>
    <cellStyle name="20% - Accent1 8" xfId="3594" hidden="1" xr:uid="{00000000-0005-0000-0000-000009020000}"/>
    <cellStyle name="20% - Accent1 8" xfId="4902" hidden="1" xr:uid="{00000000-0005-0000-0000-00000A020000}"/>
    <cellStyle name="20% - Accent1 8" xfId="4980" hidden="1" xr:uid="{00000000-0005-0000-0000-00000B020000}"/>
    <cellStyle name="20% - Accent1 8" xfId="4001" hidden="1" xr:uid="{00000000-0005-0000-0000-00000C020000}"/>
    <cellStyle name="20% - Accent1 8" xfId="5239" hidden="1" xr:uid="{00000000-0005-0000-0000-00000D020000}"/>
    <cellStyle name="20% - Accent1 8" xfId="5317" hidden="1" xr:uid="{00000000-0005-0000-0000-00000E020000}"/>
    <cellStyle name="20% - Accent1 8" xfId="3998" hidden="1" xr:uid="{00000000-0005-0000-0000-00000F020000}"/>
    <cellStyle name="20% - Accent1 8" xfId="5576" hidden="1" xr:uid="{00000000-0005-0000-0000-000010020000}"/>
    <cellStyle name="20% - Accent1 8" xfId="5672" hidden="1" xr:uid="{00000000-0005-0000-0000-000011020000}"/>
    <cellStyle name="20% - Accent1 8" xfId="5751" hidden="1" xr:uid="{00000000-0005-0000-0000-000012020000}"/>
    <cellStyle name="20% - Accent1 8" xfId="5828" hidden="1" xr:uid="{00000000-0005-0000-0000-000013020000}"/>
    <cellStyle name="20% - Accent1 8" xfId="5906" hidden="1" xr:uid="{00000000-0005-0000-0000-000014020000}"/>
    <cellStyle name="20% - Accent1 8" xfId="6490" hidden="1" xr:uid="{00000000-0005-0000-0000-000015020000}"/>
    <cellStyle name="20% - Accent1 8" xfId="6567" hidden="1" xr:uid="{00000000-0005-0000-0000-000016020000}"/>
    <cellStyle name="20% - Accent1 8" xfId="6646" hidden="1" xr:uid="{00000000-0005-0000-0000-000017020000}"/>
    <cellStyle name="20% - Accent1 8" xfId="6763" hidden="1" xr:uid="{00000000-0005-0000-0000-000018020000}"/>
    <cellStyle name="20% - Accent1 8" xfId="6736" hidden="1" xr:uid="{00000000-0005-0000-0000-000019020000}"/>
    <cellStyle name="20% - Accent1 8" xfId="6382" hidden="1" xr:uid="{00000000-0005-0000-0000-00001A020000}"/>
    <cellStyle name="20% - Accent1 8" xfId="6226" hidden="1" xr:uid="{00000000-0005-0000-0000-00001B020000}"/>
    <cellStyle name="20% - Accent1 8" xfId="7162" hidden="1" xr:uid="{00000000-0005-0000-0000-00001C020000}"/>
    <cellStyle name="20% - Accent1 8" xfId="7240" hidden="1" xr:uid="{00000000-0005-0000-0000-00001D020000}"/>
    <cellStyle name="20% - Accent1 8" xfId="7341" hidden="1" xr:uid="{00000000-0005-0000-0000-00001E020000}"/>
    <cellStyle name="20% - Accent1 8" xfId="7323" hidden="1" xr:uid="{00000000-0005-0000-0000-00001F020000}"/>
    <cellStyle name="20% - Accent1 8" xfId="6744" hidden="1" xr:uid="{00000000-0005-0000-0000-000020020000}"/>
    <cellStyle name="20% - Accent1 8" xfId="6386" hidden="1" xr:uid="{00000000-0005-0000-0000-000021020000}"/>
    <cellStyle name="20% - Accent1 8" xfId="7694" hidden="1" xr:uid="{00000000-0005-0000-0000-000022020000}"/>
    <cellStyle name="20% - Accent1 8" xfId="7772" hidden="1" xr:uid="{00000000-0005-0000-0000-000023020000}"/>
    <cellStyle name="20% - Accent1 8" xfId="6793" hidden="1" xr:uid="{00000000-0005-0000-0000-000024020000}"/>
    <cellStyle name="20% - Accent1 8" xfId="8031" hidden="1" xr:uid="{00000000-0005-0000-0000-000025020000}"/>
    <cellStyle name="20% - Accent1 8" xfId="8109" hidden="1" xr:uid="{00000000-0005-0000-0000-000026020000}"/>
    <cellStyle name="20% - Accent1 8" xfId="6790" hidden="1" xr:uid="{00000000-0005-0000-0000-000027020000}"/>
    <cellStyle name="20% - Accent1 8" xfId="8368" hidden="1" xr:uid="{00000000-0005-0000-0000-000028020000}"/>
    <cellStyle name="20% - Accent1 9" xfId="101" hidden="1" xr:uid="{00000000-0005-0000-0000-000029020000}"/>
    <cellStyle name="20% - Accent1 9" xfId="175" hidden="1" xr:uid="{00000000-0005-0000-0000-00002A020000}"/>
    <cellStyle name="20% - Accent1 9" xfId="251" hidden="1" xr:uid="{00000000-0005-0000-0000-00002B020000}"/>
    <cellStyle name="20% - Accent1 9" xfId="329" hidden="1" xr:uid="{00000000-0005-0000-0000-00002C020000}"/>
    <cellStyle name="20% - Accent1 9" xfId="914" hidden="1" xr:uid="{00000000-0005-0000-0000-00002D020000}"/>
    <cellStyle name="20% - Accent1 9" xfId="990" hidden="1" xr:uid="{00000000-0005-0000-0000-00002E020000}"/>
    <cellStyle name="20% - Accent1 9" xfId="1069" hidden="1" xr:uid="{00000000-0005-0000-0000-00002F020000}"/>
    <cellStyle name="20% - Accent1 9" xfId="1164" hidden="1" xr:uid="{00000000-0005-0000-0000-000030020000}"/>
    <cellStyle name="20% - Accent1 9" xfId="842" hidden="1" xr:uid="{00000000-0005-0000-0000-000031020000}"/>
    <cellStyle name="20% - Accent1 9" xfId="700" hidden="1" xr:uid="{00000000-0005-0000-0000-000032020000}"/>
    <cellStyle name="20% - Accent1 9" xfId="1509" hidden="1" xr:uid="{00000000-0005-0000-0000-000033020000}"/>
    <cellStyle name="20% - Accent1 9" xfId="1585" hidden="1" xr:uid="{00000000-0005-0000-0000-000034020000}"/>
    <cellStyle name="20% - Accent1 9" xfId="1663" hidden="1" xr:uid="{00000000-0005-0000-0000-000035020000}"/>
    <cellStyle name="20% - Accent1 9" xfId="1746" hidden="1" xr:uid="{00000000-0005-0000-0000-000036020000}"/>
    <cellStyle name="20% - Accent1 9" xfId="1499" hidden="1" xr:uid="{00000000-0005-0000-0000-000037020000}"/>
    <cellStyle name="20% - Accent1 9" xfId="617" hidden="1" xr:uid="{00000000-0005-0000-0000-000038020000}"/>
    <cellStyle name="20% - Accent1 9" xfId="2041" hidden="1" xr:uid="{00000000-0005-0000-0000-000039020000}"/>
    <cellStyle name="20% - Accent1 9" xfId="2117" hidden="1" xr:uid="{00000000-0005-0000-0000-00003A020000}"/>
    <cellStyle name="20% - Accent1 9" xfId="2195" hidden="1" xr:uid="{00000000-0005-0000-0000-00003B020000}"/>
    <cellStyle name="20% - Accent1 9" xfId="2378" hidden="1" xr:uid="{00000000-0005-0000-0000-00003C020000}"/>
    <cellStyle name="20% - Accent1 9" xfId="2454" hidden="1" xr:uid="{00000000-0005-0000-0000-00003D020000}"/>
    <cellStyle name="20% - Accent1 9" xfId="2532" hidden="1" xr:uid="{00000000-0005-0000-0000-00003E020000}"/>
    <cellStyle name="20% - Accent1 9" xfId="2715" hidden="1" xr:uid="{00000000-0005-0000-0000-00003F020000}"/>
    <cellStyle name="20% - Accent1 9" xfId="2791" hidden="1" xr:uid="{00000000-0005-0000-0000-000040020000}"/>
    <cellStyle name="20% - Accent1 9" xfId="2893" hidden="1" xr:uid="{00000000-0005-0000-0000-000041020000}"/>
    <cellStyle name="20% - Accent1 9" xfId="2967" hidden="1" xr:uid="{00000000-0005-0000-0000-000042020000}"/>
    <cellStyle name="20% - Accent1 9" xfId="3043" hidden="1" xr:uid="{00000000-0005-0000-0000-000043020000}"/>
    <cellStyle name="20% - Accent1 9" xfId="3121" hidden="1" xr:uid="{00000000-0005-0000-0000-000044020000}"/>
    <cellStyle name="20% - Accent1 9" xfId="3706" hidden="1" xr:uid="{00000000-0005-0000-0000-000045020000}"/>
    <cellStyle name="20% - Accent1 9" xfId="3782" hidden="1" xr:uid="{00000000-0005-0000-0000-000046020000}"/>
    <cellStyle name="20% - Accent1 9" xfId="3861" hidden="1" xr:uid="{00000000-0005-0000-0000-000047020000}"/>
    <cellStyle name="20% - Accent1 9" xfId="3956" hidden="1" xr:uid="{00000000-0005-0000-0000-000048020000}"/>
    <cellStyle name="20% - Accent1 9" xfId="3634" hidden="1" xr:uid="{00000000-0005-0000-0000-000049020000}"/>
    <cellStyle name="20% - Accent1 9" xfId="3492" hidden="1" xr:uid="{00000000-0005-0000-0000-00004A020000}"/>
    <cellStyle name="20% - Accent1 9" xfId="4301" hidden="1" xr:uid="{00000000-0005-0000-0000-00004B020000}"/>
    <cellStyle name="20% - Accent1 9" xfId="4377" hidden="1" xr:uid="{00000000-0005-0000-0000-00004C020000}"/>
    <cellStyle name="20% - Accent1 9" xfId="4455" hidden="1" xr:uid="{00000000-0005-0000-0000-00004D020000}"/>
    <cellStyle name="20% - Accent1 9" xfId="4538" hidden="1" xr:uid="{00000000-0005-0000-0000-00004E020000}"/>
    <cellStyle name="20% - Accent1 9" xfId="4291" hidden="1" xr:uid="{00000000-0005-0000-0000-00004F020000}"/>
    <cellStyle name="20% - Accent1 9" xfId="3409" hidden="1" xr:uid="{00000000-0005-0000-0000-000050020000}"/>
    <cellStyle name="20% - Accent1 9" xfId="4833" hidden="1" xr:uid="{00000000-0005-0000-0000-000051020000}"/>
    <cellStyle name="20% - Accent1 9" xfId="4909" hidden="1" xr:uid="{00000000-0005-0000-0000-000052020000}"/>
    <cellStyle name="20% - Accent1 9" xfId="4987" hidden="1" xr:uid="{00000000-0005-0000-0000-000053020000}"/>
    <cellStyle name="20% - Accent1 9" xfId="5170" hidden="1" xr:uid="{00000000-0005-0000-0000-000054020000}"/>
    <cellStyle name="20% - Accent1 9" xfId="5246" hidden="1" xr:uid="{00000000-0005-0000-0000-000055020000}"/>
    <cellStyle name="20% - Accent1 9" xfId="5324" hidden="1" xr:uid="{00000000-0005-0000-0000-000056020000}"/>
    <cellStyle name="20% - Accent1 9" xfId="5507" hidden="1" xr:uid="{00000000-0005-0000-0000-000057020000}"/>
    <cellStyle name="20% - Accent1 9" xfId="5583" hidden="1" xr:uid="{00000000-0005-0000-0000-000058020000}"/>
    <cellStyle name="20% - Accent1 9" xfId="5685" hidden="1" xr:uid="{00000000-0005-0000-0000-000059020000}"/>
    <cellStyle name="20% - Accent1 9" xfId="5759" hidden="1" xr:uid="{00000000-0005-0000-0000-00005A020000}"/>
    <cellStyle name="20% - Accent1 9" xfId="5835" hidden="1" xr:uid="{00000000-0005-0000-0000-00005B020000}"/>
    <cellStyle name="20% - Accent1 9" xfId="5913" hidden="1" xr:uid="{00000000-0005-0000-0000-00005C020000}"/>
    <cellStyle name="20% - Accent1 9" xfId="6498" hidden="1" xr:uid="{00000000-0005-0000-0000-00005D020000}"/>
    <cellStyle name="20% - Accent1 9" xfId="6574" hidden="1" xr:uid="{00000000-0005-0000-0000-00005E020000}"/>
    <cellStyle name="20% - Accent1 9" xfId="6653" hidden="1" xr:uid="{00000000-0005-0000-0000-00005F020000}"/>
    <cellStyle name="20% - Accent1 9" xfId="6748" hidden="1" xr:uid="{00000000-0005-0000-0000-000060020000}"/>
    <cellStyle name="20% - Accent1 9" xfId="6426" hidden="1" xr:uid="{00000000-0005-0000-0000-000061020000}"/>
    <cellStyle name="20% - Accent1 9" xfId="6284" hidden="1" xr:uid="{00000000-0005-0000-0000-000062020000}"/>
    <cellStyle name="20% - Accent1 9" xfId="7093" hidden="1" xr:uid="{00000000-0005-0000-0000-000063020000}"/>
    <cellStyle name="20% - Accent1 9" xfId="7169" hidden="1" xr:uid="{00000000-0005-0000-0000-000064020000}"/>
    <cellStyle name="20% - Accent1 9" xfId="7247" hidden="1" xr:uid="{00000000-0005-0000-0000-000065020000}"/>
    <cellStyle name="20% - Accent1 9" xfId="7330" hidden="1" xr:uid="{00000000-0005-0000-0000-000066020000}"/>
    <cellStyle name="20% - Accent1 9" xfId="7083" hidden="1" xr:uid="{00000000-0005-0000-0000-000067020000}"/>
    <cellStyle name="20% - Accent1 9" xfId="6201" hidden="1" xr:uid="{00000000-0005-0000-0000-000068020000}"/>
    <cellStyle name="20% - Accent1 9" xfId="7625" hidden="1" xr:uid="{00000000-0005-0000-0000-000069020000}"/>
    <cellStyle name="20% - Accent1 9" xfId="7701" hidden="1" xr:uid="{00000000-0005-0000-0000-00006A020000}"/>
    <cellStyle name="20% - Accent1 9" xfId="7779" hidden="1" xr:uid="{00000000-0005-0000-0000-00006B020000}"/>
    <cellStyle name="20% - Accent1 9" xfId="7962" hidden="1" xr:uid="{00000000-0005-0000-0000-00006C020000}"/>
    <cellStyle name="20% - Accent1 9" xfId="8038" hidden="1" xr:uid="{00000000-0005-0000-0000-00006D020000}"/>
    <cellStyle name="20% - Accent1 9" xfId="8116" hidden="1" xr:uid="{00000000-0005-0000-0000-00006E020000}"/>
    <cellStyle name="20% - Accent1 9" xfId="8299" hidden="1" xr:uid="{00000000-0005-0000-0000-00006F020000}"/>
    <cellStyle name="20% - Accent1 9" xfId="8375" hidden="1" xr:uid="{00000000-0005-0000-0000-000070020000}"/>
    <cellStyle name="20% - Accent2" xfId="27" builtinId="34" hidden="1"/>
    <cellStyle name="20% - Accent2 10" xfId="116" hidden="1" xr:uid="{00000000-0005-0000-0000-000072020000}"/>
    <cellStyle name="20% - Accent2 10" xfId="190" hidden="1" xr:uid="{00000000-0005-0000-0000-000073020000}"/>
    <cellStyle name="20% - Accent2 10" xfId="266" hidden="1" xr:uid="{00000000-0005-0000-0000-000074020000}"/>
    <cellStyle name="20% - Accent2 10" xfId="344" hidden="1" xr:uid="{00000000-0005-0000-0000-000075020000}"/>
    <cellStyle name="20% - Accent2 10" xfId="929" hidden="1" xr:uid="{00000000-0005-0000-0000-000076020000}"/>
    <cellStyle name="20% - Accent2 10" xfId="1005" hidden="1" xr:uid="{00000000-0005-0000-0000-000077020000}"/>
    <cellStyle name="20% - Accent2 10" xfId="1084" hidden="1" xr:uid="{00000000-0005-0000-0000-000078020000}"/>
    <cellStyle name="20% - Accent2 10" xfId="1166" hidden="1" xr:uid="{00000000-0005-0000-0000-000079020000}"/>
    <cellStyle name="20% - Accent2 10" xfId="714" hidden="1" xr:uid="{00000000-0005-0000-0000-00007A020000}"/>
    <cellStyle name="20% - Accent2 10" xfId="731" hidden="1" xr:uid="{00000000-0005-0000-0000-00007B020000}"/>
    <cellStyle name="20% - Accent2 10" xfId="1524" hidden="1" xr:uid="{00000000-0005-0000-0000-00007C020000}"/>
    <cellStyle name="20% - Accent2 10" xfId="1600" hidden="1" xr:uid="{00000000-0005-0000-0000-00007D020000}"/>
    <cellStyle name="20% - Accent2 10" xfId="1678" hidden="1" xr:uid="{00000000-0005-0000-0000-00007E020000}"/>
    <cellStyle name="20% - Accent2 10" xfId="1748" hidden="1" xr:uid="{00000000-0005-0000-0000-00007F020000}"/>
    <cellStyle name="20% - Accent2 10" xfId="873" hidden="1" xr:uid="{00000000-0005-0000-0000-000080020000}"/>
    <cellStyle name="20% - Accent2 10" xfId="869" hidden="1" xr:uid="{00000000-0005-0000-0000-000081020000}"/>
    <cellStyle name="20% - Accent2 10" xfId="2056" hidden="1" xr:uid="{00000000-0005-0000-0000-000082020000}"/>
    <cellStyle name="20% - Accent2 10" xfId="2132" hidden="1" xr:uid="{00000000-0005-0000-0000-000083020000}"/>
    <cellStyle name="20% - Accent2 10" xfId="2210" hidden="1" xr:uid="{00000000-0005-0000-0000-000084020000}"/>
    <cellStyle name="20% - Accent2 10" xfId="2393" hidden="1" xr:uid="{00000000-0005-0000-0000-000085020000}"/>
    <cellStyle name="20% - Accent2 10" xfId="2469" hidden="1" xr:uid="{00000000-0005-0000-0000-000086020000}"/>
    <cellStyle name="20% - Accent2 10" xfId="2547" hidden="1" xr:uid="{00000000-0005-0000-0000-000087020000}"/>
    <cellStyle name="20% - Accent2 10" xfId="2730" hidden="1" xr:uid="{00000000-0005-0000-0000-000088020000}"/>
    <cellStyle name="20% - Accent2 10" xfId="2806" hidden="1" xr:uid="{00000000-0005-0000-0000-000089020000}"/>
    <cellStyle name="20% - Accent2 10" xfId="2908" hidden="1" xr:uid="{00000000-0005-0000-0000-00008A020000}"/>
    <cellStyle name="20% - Accent2 10" xfId="2982" hidden="1" xr:uid="{00000000-0005-0000-0000-00008B020000}"/>
    <cellStyle name="20% - Accent2 10" xfId="3058" hidden="1" xr:uid="{00000000-0005-0000-0000-00008C020000}"/>
    <cellStyle name="20% - Accent2 10" xfId="3136" hidden="1" xr:uid="{00000000-0005-0000-0000-00008D020000}"/>
    <cellStyle name="20% - Accent2 10" xfId="3721" hidden="1" xr:uid="{00000000-0005-0000-0000-00008E020000}"/>
    <cellStyle name="20% - Accent2 10" xfId="3797" hidden="1" xr:uid="{00000000-0005-0000-0000-00008F020000}"/>
    <cellStyle name="20% - Accent2 10" xfId="3876" hidden="1" xr:uid="{00000000-0005-0000-0000-000090020000}"/>
    <cellStyle name="20% - Accent2 10" xfId="3958" hidden="1" xr:uid="{00000000-0005-0000-0000-000091020000}"/>
    <cellStyle name="20% - Accent2 10" xfId="3506" hidden="1" xr:uid="{00000000-0005-0000-0000-000092020000}"/>
    <cellStyle name="20% - Accent2 10" xfId="3523" hidden="1" xr:uid="{00000000-0005-0000-0000-000093020000}"/>
    <cellStyle name="20% - Accent2 10" xfId="4316" hidden="1" xr:uid="{00000000-0005-0000-0000-000094020000}"/>
    <cellStyle name="20% - Accent2 10" xfId="4392" hidden="1" xr:uid="{00000000-0005-0000-0000-000095020000}"/>
    <cellStyle name="20% - Accent2 10" xfId="4470" hidden="1" xr:uid="{00000000-0005-0000-0000-000096020000}"/>
    <cellStyle name="20% - Accent2 10" xfId="4540" hidden="1" xr:uid="{00000000-0005-0000-0000-000097020000}"/>
    <cellStyle name="20% - Accent2 10" xfId="3665" hidden="1" xr:uid="{00000000-0005-0000-0000-000098020000}"/>
    <cellStyle name="20% - Accent2 10" xfId="3661" hidden="1" xr:uid="{00000000-0005-0000-0000-000099020000}"/>
    <cellStyle name="20% - Accent2 10" xfId="4848" hidden="1" xr:uid="{00000000-0005-0000-0000-00009A020000}"/>
    <cellStyle name="20% - Accent2 10" xfId="4924" hidden="1" xr:uid="{00000000-0005-0000-0000-00009B020000}"/>
    <cellStyle name="20% - Accent2 10" xfId="5002" hidden="1" xr:uid="{00000000-0005-0000-0000-00009C020000}"/>
    <cellStyle name="20% - Accent2 10" xfId="5185" hidden="1" xr:uid="{00000000-0005-0000-0000-00009D020000}"/>
    <cellStyle name="20% - Accent2 10" xfId="5261" hidden="1" xr:uid="{00000000-0005-0000-0000-00009E020000}"/>
    <cellStyle name="20% - Accent2 10" xfId="5339" hidden="1" xr:uid="{00000000-0005-0000-0000-00009F020000}"/>
    <cellStyle name="20% - Accent2 10" xfId="5522" hidden="1" xr:uid="{00000000-0005-0000-0000-0000A0020000}"/>
    <cellStyle name="20% - Accent2 10" xfId="5598" hidden="1" xr:uid="{00000000-0005-0000-0000-0000A1020000}"/>
    <cellStyle name="20% - Accent2 10" xfId="5700" hidden="1" xr:uid="{00000000-0005-0000-0000-0000A2020000}"/>
    <cellStyle name="20% - Accent2 10" xfId="5774" hidden="1" xr:uid="{00000000-0005-0000-0000-0000A3020000}"/>
    <cellStyle name="20% - Accent2 10" xfId="5850" hidden="1" xr:uid="{00000000-0005-0000-0000-0000A4020000}"/>
    <cellStyle name="20% - Accent2 10" xfId="5928" hidden="1" xr:uid="{00000000-0005-0000-0000-0000A5020000}"/>
    <cellStyle name="20% - Accent2 10" xfId="6513" hidden="1" xr:uid="{00000000-0005-0000-0000-0000A6020000}"/>
    <cellStyle name="20% - Accent2 10" xfId="6589" hidden="1" xr:uid="{00000000-0005-0000-0000-0000A7020000}"/>
    <cellStyle name="20% - Accent2 10" xfId="6668" hidden="1" xr:uid="{00000000-0005-0000-0000-0000A8020000}"/>
    <cellStyle name="20% - Accent2 10" xfId="6750" hidden="1" xr:uid="{00000000-0005-0000-0000-0000A9020000}"/>
    <cellStyle name="20% - Accent2 10" xfId="6298" hidden="1" xr:uid="{00000000-0005-0000-0000-0000AA020000}"/>
    <cellStyle name="20% - Accent2 10" xfId="6315" hidden="1" xr:uid="{00000000-0005-0000-0000-0000AB020000}"/>
    <cellStyle name="20% - Accent2 10" xfId="7108" hidden="1" xr:uid="{00000000-0005-0000-0000-0000AC020000}"/>
    <cellStyle name="20% - Accent2 10" xfId="7184" hidden="1" xr:uid="{00000000-0005-0000-0000-0000AD020000}"/>
    <cellStyle name="20% - Accent2 10" xfId="7262" hidden="1" xr:uid="{00000000-0005-0000-0000-0000AE020000}"/>
    <cellStyle name="20% - Accent2 10" xfId="7332" hidden="1" xr:uid="{00000000-0005-0000-0000-0000AF020000}"/>
    <cellStyle name="20% - Accent2 10" xfId="6457" hidden="1" xr:uid="{00000000-0005-0000-0000-0000B0020000}"/>
    <cellStyle name="20% - Accent2 10" xfId="6453" hidden="1" xr:uid="{00000000-0005-0000-0000-0000B1020000}"/>
    <cellStyle name="20% - Accent2 10" xfId="7640" hidden="1" xr:uid="{00000000-0005-0000-0000-0000B2020000}"/>
    <cellStyle name="20% - Accent2 10" xfId="7716" hidden="1" xr:uid="{00000000-0005-0000-0000-0000B3020000}"/>
    <cellStyle name="20% - Accent2 10" xfId="7794" hidden="1" xr:uid="{00000000-0005-0000-0000-0000B4020000}"/>
    <cellStyle name="20% - Accent2 10" xfId="7977" hidden="1" xr:uid="{00000000-0005-0000-0000-0000B5020000}"/>
    <cellStyle name="20% - Accent2 10" xfId="8053" hidden="1" xr:uid="{00000000-0005-0000-0000-0000B6020000}"/>
    <cellStyle name="20% - Accent2 10" xfId="8131" hidden="1" xr:uid="{00000000-0005-0000-0000-0000B7020000}"/>
    <cellStyle name="20% - Accent2 10" xfId="8314" hidden="1" xr:uid="{00000000-0005-0000-0000-0000B8020000}"/>
    <cellStyle name="20% - Accent2 10" xfId="8390" hidden="1" xr:uid="{00000000-0005-0000-0000-0000B9020000}"/>
    <cellStyle name="20% - Accent2 11" xfId="129" hidden="1" xr:uid="{00000000-0005-0000-0000-0000BA020000}"/>
    <cellStyle name="20% - Accent2 11" xfId="203" hidden="1" xr:uid="{00000000-0005-0000-0000-0000BB020000}"/>
    <cellStyle name="20% - Accent2 11" xfId="279" hidden="1" xr:uid="{00000000-0005-0000-0000-0000BC020000}"/>
    <cellStyle name="20% - Accent2 11" xfId="357" hidden="1" xr:uid="{00000000-0005-0000-0000-0000BD020000}"/>
    <cellStyle name="20% - Accent2 11" xfId="942" hidden="1" xr:uid="{00000000-0005-0000-0000-0000BE020000}"/>
    <cellStyle name="20% - Accent2 11" xfId="1018" hidden="1" xr:uid="{00000000-0005-0000-0000-0000BF020000}"/>
    <cellStyle name="20% - Accent2 11" xfId="1097" hidden="1" xr:uid="{00000000-0005-0000-0000-0000C0020000}"/>
    <cellStyle name="20% - Accent2 11" xfId="1130" hidden="1" xr:uid="{00000000-0005-0000-0000-0000C1020000}"/>
    <cellStyle name="20% - Accent2 11" xfId="611" hidden="1" xr:uid="{00000000-0005-0000-0000-0000C2020000}"/>
    <cellStyle name="20% - Accent2 11" xfId="682" hidden="1" xr:uid="{00000000-0005-0000-0000-0000C3020000}"/>
    <cellStyle name="20% - Accent2 11" xfId="1537" hidden="1" xr:uid="{00000000-0005-0000-0000-0000C4020000}"/>
    <cellStyle name="20% - Accent2 11" xfId="1613" hidden="1" xr:uid="{00000000-0005-0000-0000-0000C5020000}"/>
    <cellStyle name="20% - Accent2 11" xfId="1691" hidden="1" xr:uid="{00000000-0005-0000-0000-0000C6020000}"/>
    <cellStyle name="20% - Accent2 11" xfId="1720" hidden="1" xr:uid="{00000000-0005-0000-0000-0000C7020000}"/>
    <cellStyle name="20% - Accent2 11" xfId="1153" hidden="1" xr:uid="{00000000-0005-0000-0000-0000C8020000}"/>
    <cellStyle name="20% - Accent2 11" xfId="1121" hidden="1" xr:uid="{00000000-0005-0000-0000-0000C9020000}"/>
    <cellStyle name="20% - Accent2 11" xfId="2069" hidden="1" xr:uid="{00000000-0005-0000-0000-0000CA020000}"/>
    <cellStyle name="20% - Accent2 11" xfId="2145" hidden="1" xr:uid="{00000000-0005-0000-0000-0000CB020000}"/>
    <cellStyle name="20% - Accent2 11" xfId="2223" hidden="1" xr:uid="{00000000-0005-0000-0000-0000CC020000}"/>
    <cellStyle name="20% - Accent2 11" xfId="2406" hidden="1" xr:uid="{00000000-0005-0000-0000-0000CD020000}"/>
    <cellStyle name="20% - Accent2 11" xfId="2482" hidden="1" xr:uid="{00000000-0005-0000-0000-0000CE020000}"/>
    <cellStyle name="20% - Accent2 11" xfId="2560" hidden="1" xr:uid="{00000000-0005-0000-0000-0000CF020000}"/>
    <cellStyle name="20% - Accent2 11" xfId="2743" hidden="1" xr:uid="{00000000-0005-0000-0000-0000D0020000}"/>
    <cellStyle name="20% - Accent2 11" xfId="2819" hidden="1" xr:uid="{00000000-0005-0000-0000-0000D1020000}"/>
    <cellStyle name="20% - Accent2 11" xfId="2921" hidden="1" xr:uid="{00000000-0005-0000-0000-0000D2020000}"/>
    <cellStyle name="20% - Accent2 11" xfId="2995" hidden="1" xr:uid="{00000000-0005-0000-0000-0000D3020000}"/>
    <cellStyle name="20% - Accent2 11" xfId="3071" hidden="1" xr:uid="{00000000-0005-0000-0000-0000D4020000}"/>
    <cellStyle name="20% - Accent2 11" xfId="3149" hidden="1" xr:uid="{00000000-0005-0000-0000-0000D5020000}"/>
    <cellStyle name="20% - Accent2 11" xfId="3734" hidden="1" xr:uid="{00000000-0005-0000-0000-0000D6020000}"/>
    <cellStyle name="20% - Accent2 11" xfId="3810" hidden="1" xr:uid="{00000000-0005-0000-0000-0000D7020000}"/>
    <cellStyle name="20% - Accent2 11" xfId="3889" hidden="1" xr:uid="{00000000-0005-0000-0000-0000D8020000}"/>
    <cellStyle name="20% - Accent2 11" xfId="3922" hidden="1" xr:uid="{00000000-0005-0000-0000-0000D9020000}"/>
    <cellStyle name="20% - Accent2 11" xfId="3403" hidden="1" xr:uid="{00000000-0005-0000-0000-0000DA020000}"/>
    <cellStyle name="20% - Accent2 11" xfId="3474" hidden="1" xr:uid="{00000000-0005-0000-0000-0000DB020000}"/>
    <cellStyle name="20% - Accent2 11" xfId="4329" hidden="1" xr:uid="{00000000-0005-0000-0000-0000DC020000}"/>
    <cellStyle name="20% - Accent2 11" xfId="4405" hidden="1" xr:uid="{00000000-0005-0000-0000-0000DD020000}"/>
    <cellStyle name="20% - Accent2 11" xfId="4483" hidden="1" xr:uid="{00000000-0005-0000-0000-0000DE020000}"/>
    <cellStyle name="20% - Accent2 11" xfId="4512" hidden="1" xr:uid="{00000000-0005-0000-0000-0000DF020000}"/>
    <cellStyle name="20% - Accent2 11" xfId="3945" hidden="1" xr:uid="{00000000-0005-0000-0000-0000E0020000}"/>
    <cellStyle name="20% - Accent2 11" xfId="3913" hidden="1" xr:uid="{00000000-0005-0000-0000-0000E1020000}"/>
    <cellStyle name="20% - Accent2 11" xfId="4861" hidden="1" xr:uid="{00000000-0005-0000-0000-0000E2020000}"/>
    <cellStyle name="20% - Accent2 11" xfId="4937" hidden="1" xr:uid="{00000000-0005-0000-0000-0000E3020000}"/>
    <cellStyle name="20% - Accent2 11" xfId="5015" hidden="1" xr:uid="{00000000-0005-0000-0000-0000E4020000}"/>
    <cellStyle name="20% - Accent2 11" xfId="5198" hidden="1" xr:uid="{00000000-0005-0000-0000-0000E5020000}"/>
    <cellStyle name="20% - Accent2 11" xfId="5274" hidden="1" xr:uid="{00000000-0005-0000-0000-0000E6020000}"/>
    <cellStyle name="20% - Accent2 11" xfId="5352" hidden="1" xr:uid="{00000000-0005-0000-0000-0000E7020000}"/>
    <cellStyle name="20% - Accent2 11" xfId="5535" hidden="1" xr:uid="{00000000-0005-0000-0000-0000E8020000}"/>
    <cellStyle name="20% - Accent2 11" xfId="5611" hidden="1" xr:uid="{00000000-0005-0000-0000-0000E9020000}"/>
    <cellStyle name="20% - Accent2 11" xfId="5713" hidden="1" xr:uid="{00000000-0005-0000-0000-0000EA020000}"/>
    <cellStyle name="20% - Accent2 11" xfId="5787" hidden="1" xr:uid="{00000000-0005-0000-0000-0000EB020000}"/>
    <cellStyle name="20% - Accent2 11" xfId="5863" hidden="1" xr:uid="{00000000-0005-0000-0000-0000EC020000}"/>
    <cellStyle name="20% - Accent2 11" xfId="5941" hidden="1" xr:uid="{00000000-0005-0000-0000-0000ED020000}"/>
    <cellStyle name="20% - Accent2 11" xfId="6526" hidden="1" xr:uid="{00000000-0005-0000-0000-0000EE020000}"/>
    <cellStyle name="20% - Accent2 11" xfId="6602" hidden="1" xr:uid="{00000000-0005-0000-0000-0000EF020000}"/>
    <cellStyle name="20% - Accent2 11" xfId="6681" hidden="1" xr:uid="{00000000-0005-0000-0000-0000F0020000}"/>
    <cellStyle name="20% - Accent2 11" xfId="6714" hidden="1" xr:uid="{00000000-0005-0000-0000-0000F1020000}"/>
    <cellStyle name="20% - Accent2 11" xfId="6195" hidden="1" xr:uid="{00000000-0005-0000-0000-0000F2020000}"/>
    <cellStyle name="20% - Accent2 11" xfId="6266" hidden="1" xr:uid="{00000000-0005-0000-0000-0000F3020000}"/>
    <cellStyle name="20% - Accent2 11" xfId="7121" hidden="1" xr:uid="{00000000-0005-0000-0000-0000F4020000}"/>
    <cellStyle name="20% - Accent2 11" xfId="7197" hidden="1" xr:uid="{00000000-0005-0000-0000-0000F5020000}"/>
    <cellStyle name="20% - Accent2 11" xfId="7275" hidden="1" xr:uid="{00000000-0005-0000-0000-0000F6020000}"/>
    <cellStyle name="20% - Accent2 11" xfId="7304" hidden="1" xr:uid="{00000000-0005-0000-0000-0000F7020000}"/>
    <cellStyle name="20% - Accent2 11" xfId="6737" hidden="1" xr:uid="{00000000-0005-0000-0000-0000F8020000}"/>
    <cellStyle name="20% - Accent2 11" xfId="6705" hidden="1" xr:uid="{00000000-0005-0000-0000-0000F9020000}"/>
    <cellStyle name="20% - Accent2 11" xfId="7653" hidden="1" xr:uid="{00000000-0005-0000-0000-0000FA020000}"/>
    <cellStyle name="20% - Accent2 11" xfId="7729" hidden="1" xr:uid="{00000000-0005-0000-0000-0000FB020000}"/>
    <cellStyle name="20% - Accent2 11" xfId="7807" hidden="1" xr:uid="{00000000-0005-0000-0000-0000FC020000}"/>
    <cellStyle name="20% - Accent2 11" xfId="7990" hidden="1" xr:uid="{00000000-0005-0000-0000-0000FD020000}"/>
    <cellStyle name="20% - Accent2 11" xfId="8066" hidden="1" xr:uid="{00000000-0005-0000-0000-0000FE020000}"/>
    <cellStyle name="20% - Accent2 11" xfId="8144" hidden="1" xr:uid="{00000000-0005-0000-0000-0000FF020000}"/>
    <cellStyle name="20% - Accent2 11" xfId="8327" hidden="1" xr:uid="{00000000-0005-0000-0000-000000030000}"/>
    <cellStyle name="20% - Accent2 11" xfId="8403" hidden="1" xr:uid="{00000000-0005-0000-0000-000001030000}"/>
    <cellStyle name="20% - Accent2 12" xfId="142" hidden="1" xr:uid="{00000000-0005-0000-0000-000002030000}"/>
    <cellStyle name="20% - Accent2 12" xfId="217" hidden="1" xr:uid="{00000000-0005-0000-0000-000003030000}"/>
    <cellStyle name="20% - Accent2 12" xfId="292" hidden="1" xr:uid="{00000000-0005-0000-0000-000004030000}"/>
    <cellStyle name="20% - Accent2 12" xfId="370" hidden="1" xr:uid="{00000000-0005-0000-0000-000005030000}"/>
    <cellStyle name="20% - Accent2 12" xfId="956" hidden="1" xr:uid="{00000000-0005-0000-0000-000006030000}"/>
    <cellStyle name="20% - Accent2 12" xfId="1031" hidden="1" xr:uid="{00000000-0005-0000-0000-000007030000}"/>
    <cellStyle name="20% - Accent2 12" xfId="1110" hidden="1" xr:uid="{00000000-0005-0000-0000-000008030000}"/>
    <cellStyle name="20% - Accent2 12" xfId="1198" hidden="1" xr:uid="{00000000-0005-0000-0000-000009030000}"/>
    <cellStyle name="20% - Accent2 12" xfId="769" hidden="1" xr:uid="{00000000-0005-0000-0000-00000A030000}"/>
    <cellStyle name="20% - Accent2 12" xfId="623" hidden="1" xr:uid="{00000000-0005-0000-0000-00000B030000}"/>
    <cellStyle name="20% - Accent2 12" xfId="1551" hidden="1" xr:uid="{00000000-0005-0000-0000-00000C030000}"/>
    <cellStyle name="20% - Accent2 12" xfId="1626" hidden="1" xr:uid="{00000000-0005-0000-0000-00000D030000}"/>
    <cellStyle name="20% - Accent2 12" xfId="1704" hidden="1" xr:uid="{00000000-0005-0000-0000-00000E030000}"/>
    <cellStyle name="20% - Accent2 12" xfId="1769" hidden="1" xr:uid="{00000000-0005-0000-0000-00000F030000}"/>
    <cellStyle name="20% - Accent2 12" xfId="652" hidden="1" xr:uid="{00000000-0005-0000-0000-000010030000}"/>
    <cellStyle name="20% - Accent2 12" xfId="644" hidden="1" xr:uid="{00000000-0005-0000-0000-000011030000}"/>
    <cellStyle name="20% - Accent2 12" xfId="2083" hidden="1" xr:uid="{00000000-0005-0000-0000-000012030000}"/>
    <cellStyle name="20% - Accent2 12" xfId="2158" hidden="1" xr:uid="{00000000-0005-0000-0000-000013030000}"/>
    <cellStyle name="20% - Accent2 12" xfId="2236" hidden="1" xr:uid="{00000000-0005-0000-0000-000014030000}"/>
    <cellStyle name="20% - Accent2 12" xfId="2420" hidden="1" xr:uid="{00000000-0005-0000-0000-000015030000}"/>
    <cellStyle name="20% - Accent2 12" xfId="2495" hidden="1" xr:uid="{00000000-0005-0000-0000-000016030000}"/>
    <cellStyle name="20% - Accent2 12" xfId="2573" hidden="1" xr:uid="{00000000-0005-0000-0000-000017030000}"/>
    <cellStyle name="20% - Accent2 12" xfId="2757" hidden="1" xr:uid="{00000000-0005-0000-0000-000018030000}"/>
    <cellStyle name="20% - Accent2 12" xfId="2832" hidden="1" xr:uid="{00000000-0005-0000-0000-000019030000}"/>
    <cellStyle name="20% - Accent2 12" xfId="2934" hidden="1" xr:uid="{00000000-0005-0000-0000-00001A030000}"/>
    <cellStyle name="20% - Accent2 12" xfId="3009" hidden="1" xr:uid="{00000000-0005-0000-0000-00001B030000}"/>
    <cellStyle name="20% - Accent2 12" xfId="3084" hidden="1" xr:uid="{00000000-0005-0000-0000-00001C030000}"/>
    <cellStyle name="20% - Accent2 12" xfId="3162" hidden="1" xr:uid="{00000000-0005-0000-0000-00001D030000}"/>
    <cellStyle name="20% - Accent2 12" xfId="3748" hidden="1" xr:uid="{00000000-0005-0000-0000-00001E030000}"/>
    <cellStyle name="20% - Accent2 12" xfId="3823" hidden="1" xr:uid="{00000000-0005-0000-0000-00001F030000}"/>
    <cellStyle name="20% - Accent2 12" xfId="3902" hidden="1" xr:uid="{00000000-0005-0000-0000-000020030000}"/>
    <cellStyle name="20% - Accent2 12" xfId="3990" hidden="1" xr:uid="{00000000-0005-0000-0000-000021030000}"/>
    <cellStyle name="20% - Accent2 12" xfId="3561" hidden="1" xr:uid="{00000000-0005-0000-0000-000022030000}"/>
    <cellStyle name="20% - Accent2 12" xfId="3415" hidden="1" xr:uid="{00000000-0005-0000-0000-000023030000}"/>
    <cellStyle name="20% - Accent2 12" xfId="4343" hidden="1" xr:uid="{00000000-0005-0000-0000-000024030000}"/>
    <cellStyle name="20% - Accent2 12" xfId="4418" hidden="1" xr:uid="{00000000-0005-0000-0000-000025030000}"/>
    <cellStyle name="20% - Accent2 12" xfId="4496" hidden="1" xr:uid="{00000000-0005-0000-0000-000026030000}"/>
    <cellStyle name="20% - Accent2 12" xfId="4561" hidden="1" xr:uid="{00000000-0005-0000-0000-000027030000}"/>
    <cellStyle name="20% - Accent2 12" xfId="3444" hidden="1" xr:uid="{00000000-0005-0000-0000-000028030000}"/>
    <cellStyle name="20% - Accent2 12" xfId="3436" hidden="1" xr:uid="{00000000-0005-0000-0000-000029030000}"/>
    <cellStyle name="20% - Accent2 12" xfId="4875" hidden="1" xr:uid="{00000000-0005-0000-0000-00002A030000}"/>
    <cellStyle name="20% - Accent2 12" xfId="4950" hidden="1" xr:uid="{00000000-0005-0000-0000-00002B030000}"/>
    <cellStyle name="20% - Accent2 12" xfId="5028" hidden="1" xr:uid="{00000000-0005-0000-0000-00002C030000}"/>
    <cellStyle name="20% - Accent2 12" xfId="5212" hidden="1" xr:uid="{00000000-0005-0000-0000-00002D030000}"/>
    <cellStyle name="20% - Accent2 12" xfId="5287" hidden="1" xr:uid="{00000000-0005-0000-0000-00002E030000}"/>
    <cellStyle name="20% - Accent2 12" xfId="5365" hidden="1" xr:uid="{00000000-0005-0000-0000-00002F030000}"/>
    <cellStyle name="20% - Accent2 12" xfId="5549" hidden="1" xr:uid="{00000000-0005-0000-0000-000030030000}"/>
    <cellStyle name="20% - Accent2 12" xfId="5624" hidden="1" xr:uid="{00000000-0005-0000-0000-000031030000}"/>
    <cellStyle name="20% - Accent2 12" xfId="5726" hidden="1" xr:uid="{00000000-0005-0000-0000-000032030000}"/>
    <cellStyle name="20% - Accent2 12" xfId="5801" hidden="1" xr:uid="{00000000-0005-0000-0000-000033030000}"/>
    <cellStyle name="20% - Accent2 12" xfId="5876" hidden="1" xr:uid="{00000000-0005-0000-0000-000034030000}"/>
    <cellStyle name="20% - Accent2 12" xfId="5954" hidden="1" xr:uid="{00000000-0005-0000-0000-000035030000}"/>
    <cellStyle name="20% - Accent2 12" xfId="6540" hidden="1" xr:uid="{00000000-0005-0000-0000-000036030000}"/>
    <cellStyle name="20% - Accent2 12" xfId="6615" hidden="1" xr:uid="{00000000-0005-0000-0000-000037030000}"/>
    <cellStyle name="20% - Accent2 12" xfId="6694" hidden="1" xr:uid="{00000000-0005-0000-0000-000038030000}"/>
    <cellStyle name="20% - Accent2 12" xfId="6782" hidden="1" xr:uid="{00000000-0005-0000-0000-000039030000}"/>
    <cellStyle name="20% - Accent2 12" xfId="6353" hidden="1" xr:uid="{00000000-0005-0000-0000-00003A030000}"/>
    <cellStyle name="20% - Accent2 12" xfId="6207" hidden="1" xr:uid="{00000000-0005-0000-0000-00003B030000}"/>
    <cellStyle name="20% - Accent2 12" xfId="7135" hidden="1" xr:uid="{00000000-0005-0000-0000-00003C030000}"/>
    <cellStyle name="20% - Accent2 12" xfId="7210" hidden="1" xr:uid="{00000000-0005-0000-0000-00003D030000}"/>
    <cellStyle name="20% - Accent2 12" xfId="7288" hidden="1" xr:uid="{00000000-0005-0000-0000-00003E030000}"/>
    <cellStyle name="20% - Accent2 12" xfId="7353" hidden="1" xr:uid="{00000000-0005-0000-0000-00003F030000}"/>
    <cellStyle name="20% - Accent2 12" xfId="6236" hidden="1" xr:uid="{00000000-0005-0000-0000-000040030000}"/>
    <cellStyle name="20% - Accent2 12" xfId="6228" hidden="1" xr:uid="{00000000-0005-0000-0000-000041030000}"/>
    <cellStyle name="20% - Accent2 12" xfId="7667" hidden="1" xr:uid="{00000000-0005-0000-0000-000042030000}"/>
    <cellStyle name="20% - Accent2 12" xfId="7742" hidden="1" xr:uid="{00000000-0005-0000-0000-000043030000}"/>
    <cellStyle name="20% - Accent2 12" xfId="7820" hidden="1" xr:uid="{00000000-0005-0000-0000-000044030000}"/>
    <cellStyle name="20% - Accent2 12" xfId="8004" hidden="1" xr:uid="{00000000-0005-0000-0000-000045030000}"/>
    <cellStyle name="20% - Accent2 12" xfId="8079" hidden="1" xr:uid="{00000000-0005-0000-0000-000046030000}"/>
    <cellStyle name="20% - Accent2 12" xfId="8157" hidden="1" xr:uid="{00000000-0005-0000-0000-000047030000}"/>
    <cellStyle name="20% - Accent2 12" xfId="8341" hidden="1" xr:uid="{00000000-0005-0000-0000-000048030000}"/>
    <cellStyle name="20% - Accent2 12" xfId="8416" hidden="1" xr:uid="{00000000-0005-0000-0000-000049030000}"/>
    <cellStyle name="20% - Accent2 13" xfId="383" hidden="1" xr:uid="{00000000-0005-0000-0000-00004A030000}"/>
    <cellStyle name="20% - Accent2 13" xfId="498" hidden="1" xr:uid="{00000000-0005-0000-0000-00004B030000}"/>
    <cellStyle name="20% - Accent2 13" xfId="1221" hidden="1" xr:uid="{00000000-0005-0000-0000-00004C030000}"/>
    <cellStyle name="20% - Accent2 13" xfId="1394" hidden="1" xr:uid="{00000000-0005-0000-0000-00004D030000}"/>
    <cellStyle name="20% - Accent2 13" xfId="1787" hidden="1" xr:uid="{00000000-0005-0000-0000-00004E030000}"/>
    <cellStyle name="20% - Accent2 13" xfId="1935" hidden="1" xr:uid="{00000000-0005-0000-0000-00004F030000}"/>
    <cellStyle name="20% - Accent2 13" xfId="2273" hidden="1" xr:uid="{00000000-0005-0000-0000-000050030000}"/>
    <cellStyle name="20% - Accent2 13" xfId="2610" hidden="1" xr:uid="{00000000-0005-0000-0000-000051030000}"/>
    <cellStyle name="20% - Accent2 13" xfId="3175" hidden="1" xr:uid="{00000000-0005-0000-0000-000052030000}"/>
    <cellStyle name="20% - Accent2 13" xfId="3290" hidden="1" xr:uid="{00000000-0005-0000-0000-000053030000}"/>
    <cellStyle name="20% - Accent2 13" xfId="4013" hidden="1" xr:uid="{00000000-0005-0000-0000-000054030000}"/>
    <cellStyle name="20% - Accent2 13" xfId="4186" hidden="1" xr:uid="{00000000-0005-0000-0000-000055030000}"/>
    <cellStyle name="20% - Accent2 13" xfId="4579" hidden="1" xr:uid="{00000000-0005-0000-0000-000056030000}"/>
    <cellStyle name="20% - Accent2 13" xfId="4727" hidden="1" xr:uid="{00000000-0005-0000-0000-000057030000}"/>
    <cellStyle name="20% - Accent2 13" xfId="5065" hidden="1" xr:uid="{00000000-0005-0000-0000-000058030000}"/>
    <cellStyle name="20% - Accent2 13" xfId="5402" hidden="1" xr:uid="{00000000-0005-0000-0000-000059030000}"/>
    <cellStyle name="20% - Accent2 13" xfId="5967" hidden="1" xr:uid="{00000000-0005-0000-0000-00005A030000}"/>
    <cellStyle name="20% - Accent2 13" xfId="6082" hidden="1" xr:uid="{00000000-0005-0000-0000-00005B030000}"/>
    <cellStyle name="20% - Accent2 13" xfId="6805" hidden="1" xr:uid="{00000000-0005-0000-0000-00005C030000}"/>
    <cellStyle name="20% - Accent2 13" xfId="6978" hidden="1" xr:uid="{00000000-0005-0000-0000-00005D030000}"/>
    <cellStyle name="20% - Accent2 13" xfId="7371" hidden="1" xr:uid="{00000000-0005-0000-0000-00005E030000}"/>
    <cellStyle name="20% - Accent2 13" xfId="7519" hidden="1" xr:uid="{00000000-0005-0000-0000-00005F030000}"/>
    <cellStyle name="20% - Accent2 13" xfId="7857" hidden="1" xr:uid="{00000000-0005-0000-0000-000060030000}"/>
    <cellStyle name="20% - Accent2 13" xfId="8194" hidden="1" xr:uid="{00000000-0005-0000-0000-000061030000}"/>
    <cellStyle name="20% - Accent2 3 2 3 2" xfId="459" hidden="1" xr:uid="{00000000-0005-0000-0000-000062030000}"/>
    <cellStyle name="20% - Accent2 3 2 3 2" xfId="574" hidden="1" xr:uid="{00000000-0005-0000-0000-000063030000}"/>
    <cellStyle name="20% - Accent2 3 2 3 2" xfId="1297" hidden="1" xr:uid="{00000000-0005-0000-0000-000064030000}"/>
    <cellStyle name="20% - Accent2 3 2 3 2" xfId="1470" hidden="1" xr:uid="{00000000-0005-0000-0000-000065030000}"/>
    <cellStyle name="20% - Accent2 3 2 3 2" xfId="1863" hidden="1" xr:uid="{00000000-0005-0000-0000-000066030000}"/>
    <cellStyle name="20% - Accent2 3 2 3 2" xfId="2011" hidden="1" xr:uid="{00000000-0005-0000-0000-000067030000}"/>
    <cellStyle name="20% - Accent2 3 2 3 2" xfId="2349" hidden="1" xr:uid="{00000000-0005-0000-0000-000068030000}"/>
    <cellStyle name="20% - Accent2 3 2 3 2" xfId="2686" hidden="1" xr:uid="{00000000-0005-0000-0000-000069030000}"/>
    <cellStyle name="20% - Accent2 3 2 3 2" xfId="3251" hidden="1" xr:uid="{00000000-0005-0000-0000-00006A030000}"/>
    <cellStyle name="20% - Accent2 3 2 3 2" xfId="3366" hidden="1" xr:uid="{00000000-0005-0000-0000-00006B030000}"/>
    <cellStyle name="20% - Accent2 3 2 3 2" xfId="4089" hidden="1" xr:uid="{00000000-0005-0000-0000-00006C030000}"/>
    <cellStyle name="20% - Accent2 3 2 3 2" xfId="4262" hidden="1" xr:uid="{00000000-0005-0000-0000-00006D030000}"/>
    <cellStyle name="20% - Accent2 3 2 3 2" xfId="4655" hidden="1" xr:uid="{00000000-0005-0000-0000-00006E030000}"/>
    <cellStyle name="20% - Accent2 3 2 3 2" xfId="4803" hidden="1" xr:uid="{00000000-0005-0000-0000-00006F030000}"/>
    <cellStyle name="20% - Accent2 3 2 3 2" xfId="5141" hidden="1" xr:uid="{00000000-0005-0000-0000-000070030000}"/>
    <cellStyle name="20% - Accent2 3 2 3 2" xfId="5478" hidden="1" xr:uid="{00000000-0005-0000-0000-000071030000}"/>
    <cellStyle name="20% - Accent2 3 2 3 2" xfId="6043" hidden="1" xr:uid="{00000000-0005-0000-0000-000072030000}"/>
    <cellStyle name="20% - Accent2 3 2 3 2" xfId="6158" hidden="1" xr:uid="{00000000-0005-0000-0000-000073030000}"/>
    <cellStyle name="20% - Accent2 3 2 3 2" xfId="6881" hidden="1" xr:uid="{00000000-0005-0000-0000-000074030000}"/>
    <cellStyle name="20% - Accent2 3 2 3 2" xfId="7054" hidden="1" xr:uid="{00000000-0005-0000-0000-000075030000}"/>
    <cellStyle name="20% - Accent2 3 2 3 2" xfId="7447" hidden="1" xr:uid="{00000000-0005-0000-0000-000076030000}"/>
    <cellStyle name="20% - Accent2 3 2 3 2" xfId="7595" hidden="1" xr:uid="{00000000-0005-0000-0000-000077030000}"/>
    <cellStyle name="20% - Accent2 3 2 3 2" xfId="7933" hidden="1" xr:uid="{00000000-0005-0000-0000-000078030000}"/>
    <cellStyle name="20% - Accent2 3 2 3 2" xfId="8270" hidden="1" xr:uid="{00000000-0005-0000-0000-000079030000}"/>
    <cellStyle name="20% - Accent2 3 2 4 2" xfId="412" hidden="1" xr:uid="{00000000-0005-0000-0000-00007A030000}"/>
    <cellStyle name="20% - Accent2 3 2 4 2" xfId="527" hidden="1" xr:uid="{00000000-0005-0000-0000-00007B030000}"/>
    <cellStyle name="20% - Accent2 3 2 4 2" xfId="1250" hidden="1" xr:uid="{00000000-0005-0000-0000-00007C030000}"/>
    <cellStyle name="20% - Accent2 3 2 4 2" xfId="1423" hidden="1" xr:uid="{00000000-0005-0000-0000-00007D030000}"/>
    <cellStyle name="20% - Accent2 3 2 4 2" xfId="1816" hidden="1" xr:uid="{00000000-0005-0000-0000-00007E030000}"/>
    <cellStyle name="20% - Accent2 3 2 4 2" xfId="1964" hidden="1" xr:uid="{00000000-0005-0000-0000-00007F030000}"/>
    <cellStyle name="20% - Accent2 3 2 4 2" xfId="2302" hidden="1" xr:uid="{00000000-0005-0000-0000-000080030000}"/>
    <cellStyle name="20% - Accent2 3 2 4 2" xfId="2639" hidden="1" xr:uid="{00000000-0005-0000-0000-000081030000}"/>
    <cellStyle name="20% - Accent2 3 2 4 2" xfId="3204" hidden="1" xr:uid="{00000000-0005-0000-0000-000082030000}"/>
    <cellStyle name="20% - Accent2 3 2 4 2" xfId="3319" hidden="1" xr:uid="{00000000-0005-0000-0000-000083030000}"/>
    <cellStyle name="20% - Accent2 3 2 4 2" xfId="4042" hidden="1" xr:uid="{00000000-0005-0000-0000-000084030000}"/>
    <cellStyle name="20% - Accent2 3 2 4 2" xfId="4215" hidden="1" xr:uid="{00000000-0005-0000-0000-000085030000}"/>
    <cellStyle name="20% - Accent2 3 2 4 2" xfId="4608" hidden="1" xr:uid="{00000000-0005-0000-0000-000086030000}"/>
    <cellStyle name="20% - Accent2 3 2 4 2" xfId="4756" hidden="1" xr:uid="{00000000-0005-0000-0000-000087030000}"/>
    <cellStyle name="20% - Accent2 3 2 4 2" xfId="5094" hidden="1" xr:uid="{00000000-0005-0000-0000-000088030000}"/>
    <cellStyle name="20% - Accent2 3 2 4 2" xfId="5431" hidden="1" xr:uid="{00000000-0005-0000-0000-000089030000}"/>
    <cellStyle name="20% - Accent2 3 2 4 2" xfId="5996" hidden="1" xr:uid="{00000000-0005-0000-0000-00008A030000}"/>
    <cellStyle name="20% - Accent2 3 2 4 2" xfId="6111" hidden="1" xr:uid="{00000000-0005-0000-0000-00008B030000}"/>
    <cellStyle name="20% - Accent2 3 2 4 2" xfId="6834" hidden="1" xr:uid="{00000000-0005-0000-0000-00008C030000}"/>
    <cellStyle name="20% - Accent2 3 2 4 2" xfId="7007" hidden="1" xr:uid="{00000000-0005-0000-0000-00008D030000}"/>
    <cellStyle name="20% - Accent2 3 2 4 2" xfId="7400" hidden="1" xr:uid="{00000000-0005-0000-0000-00008E030000}"/>
    <cellStyle name="20% - Accent2 3 2 4 2" xfId="7548" hidden="1" xr:uid="{00000000-0005-0000-0000-00008F030000}"/>
    <cellStyle name="20% - Accent2 3 2 4 2" xfId="7886" hidden="1" xr:uid="{00000000-0005-0000-0000-000090030000}"/>
    <cellStyle name="20% - Accent2 3 2 4 2" xfId="8223" hidden="1" xr:uid="{00000000-0005-0000-0000-000091030000}"/>
    <cellStyle name="20% - Accent2 3 3 3 2" xfId="411" hidden="1" xr:uid="{00000000-0005-0000-0000-000092030000}"/>
    <cellStyle name="20% - Accent2 3 3 3 2" xfId="526" hidden="1" xr:uid="{00000000-0005-0000-0000-000093030000}"/>
    <cellStyle name="20% - Accent2 3 3 3 2" xfId="1249" hidden="1" xr:uid="{00000000-0005-0000-0000-000094030000}"/>
    <cellStyle name="20% - Accent2 3 3 3 2" xfId="1422" hidden="1" xr:uid="{00000000-0005-0000-0000-000095030000}"/>
    <cellStyle name="20% - Accent2 3 3 3 2" xfId="1815" hidden="1" xr:uid="{00000000-0005-0000-0000-000096030000}"/>
    <cellStyle name="20% - Accent2 3 3 3 2" xfId="1963" hidden="1" xr:uid="{00000000-0005-0000-0000-000097030000}"/>
    <cellStyle name="20% - Accent2 3 3 3 2" xfId="2301" hidden="1" xr:uid="{00000000-0005-0000-0000-000098030000}"/>
    <cellStyle name="20% - Accent2 3 3 3 2" xfId="2638" hidden="1" xr:uid="{00000000-0005-0000-0000-000099030000}"/>
    <cellStyle name="20% - Accent2 3 3 3 2" xfId="3203" hidden="1" xr:uid="{00000000-0005-0000-0000-00009A030000}"/>
    <cellStyle name="20% - Accent2 3 3 3 2" xfId="3318" hidden="1" xr:uid="{00000000-0005-0000-0000-00009B030000}"/>
    <cellStyle name="20% - Accent2 3 3 3 2" xfId="4041" hidden="1" xr:uid="{00000000-0005-0000-0000-00009C030000}"/>
    <cellStyle name="20% - Accent2 3 3 3 2" xfId="4214" hidden="1" xr:uid="{00000000-0005-0000-0000-00009D030000}"/>
    <cellStyle name="20% - Accent2 3 3 3 2" xfId="4607" hidden="1" xr:uid="{00000000-0005-0000-0000-00009E030000}"/>
    <cellStyle name="20% - Accent2 3 3 3 2" xfId="4755" hidden="1" xr:uid="{00000000-0005-0000-0000-00009F030000}"/>
    <cellStyle name="20% - Accent2 3 3 3 2" xfId="5093" hidden="1" xr:uid="{00000000-0005-0000-0000-0000A0030000}"/>
    <cellStyle name="20% - Accent2 3 3 3 2" xfId="5430" hidden="1" xr:uid="{00000000-0005-0000-0000-0000A1030000}"/>
    <cellStyle name="20% - Accent2 3 3 3 2" xfId="5995" hidden="1" xr:uid="{00000000-0005-0000-0000-0000A2030000}"/>
    <cellStyle name="20% - Accent2 3 3 3 2" xfId="6110" hidden="1" xr:uid="{00000000-0005-0000-0000-0000A3030000}"/>
    <cellStyle name="20% - Accent2 3 3 3 2" xfId="6833" hidden="1" xr:uid="{00000000-0005-0000-0000-0000A4030000}"/>
    <cellStyle name="20% - Accent2 3 3 3 2" xfId="7006" hidden="1" xr:uid="{00000000-0005-0000-0000-0000A5030000}"/>
    <cellStyle name="20% - Accent2 3 3 3 2" xfId="7399" hidden="1" xr:uid="{00000000-0005-0000-0000-0000A6030000}"/>
    <cellStyle name="20% - Accent2 3 3 3 2" xfId="7547" hidden="1" xr:uid="{00000000-0005-0000-0000-0000A7030000}"/>
    <cellStyle name="20% - Accent2 3 3 3 2" xfId="7885" hidden="1" xr:uid="{00000000-0005-0000-0000-0000A8030000}"/>
    <cellStyle name="20% - Accent2 3 3 3 2" xfId="8222" hidden="1" xr:uid="{00000000-0005-0000-0000-0000A9030000}"/>
    <cellStyle name="20% - Accent2 4 2 3 2" xfId="460" hidden="1" xr:uid="{00000000-0005-0000-0000-0000AA030000}"/>
    <cellStyle name="20% - Accent2 4 2 3 2" xfId="575" hidden="1" xr:uid="{00000000-0005-0000-0000-0000AB030000}"/>
    <cellStyle name="20% - Accent2 4 2 3 2" xfId="1298" hidden="1" xr:uid="{00000000-0005-0000-0000-0000AC030000}"/>
    <cellStyle name="20% - Accent2 4 2 3 2" xfId="1471" hidden="1" xr:uid="{00000000-0005-0000-0000-0000AD030000}"/>
    <cellStyle name="20% - Accent2 4 2 3 2" xfId="1864" hidden="1" xr:uid="{00000000-0005-0000-0000-0000AE030000}"/>
    <cellStyle name="20% - Accent2 4 2 3 2" xfId="2012" hidden="1" xr:uid="{00000000-0005-0000-0000-0000AF030000}"/>
    <cellStyle name="20% - Accent2 4 2 3 2" xfId="2350" hidden="1" xr:uid="{00000000-0005-0000-0000-0000B0030000}"/>
    <cellStyle name="20% - Accent2 4 2 3 2" xfId="2687" hidden="1" xr:uid="{00000000-0005-0000-0000-0000B1030000}"/>
    <cellStyle name="20% - Accent2 4 2 3 2" xfId="3252" hidden="1" xr:uid="{00000000-0005-0000-0000-0000B2030000}"/>
    <cellStyle name="20% - Accent2 4 2 3 2" xfId="3367" hidden="1" xr:uid="{00000000-0005-0000-0000-0000B3030000}"/>
    <cellStyle name="20% - Accent2 4 2 3 2" xfId="4090" hidden="1" xr:uid="{00000000-0005-0000-0000-0000B4030000}"/>
    <cellStyle name="20% - Accent2 4 2 3 2" xfId="4263" hidden="1" xr:uid="{00000000-0005-0000-0000-0000B5030000}"/>
    <cellStyle name="20% - Accent2 4 2 3 2" xfId="4656" hidden="1" xr:uid="{00000000-0005-0000-0000-0000B6030000}"/>
    <cellStyle name="20% - Accent2 4 2 3 2" xfId="4804" hidden="1" xr:uid="{00000000-0005-0000-0000-0000B7030000}"/>
    <cellStyle name="20% - Accent2 4 2 3 2" xfId="5142" hidden="1" xr:uid="{00000000-0005-0000-0000-0000B8030000}"/>
    <cellStyle name="20% - Accent2 4 2 3 2" xfId="5479" hidden="1" xr:uid="{00000000-0005-0000-0000-0000B9030000}"/>
    <cellStyle name="20% - Accent2 4 2 3 2" xfId="6044" hidden="1" xr:uid="{00000000-0005-0000-0000-0000BA030000}"/>
    <cellStyle name="20% - Accent2 4 2 3 2" xfId="6159" hidden="1" xr:uid="{00000000-0005-0000-0000-0000BB030000}"/>
    <cellStyle name="20% - Accent2 4 2 3 2" xfId="6882" hidden="1" xr:uid="{00000000-0005-0000-0000-0000BC030000}"/>
    <cellStyle name="20% - Accent2 4 2 3 2" xfId="7055" hidden="1" xr:uid="{00000000-0005-0000-0000-0000BD030000}"/>
    <cellStyle name="20% - Accent2 4 2 3 2" xfId="7448" hidden="1" xr:uid="{00000000-0005-0000-0000-0000BE030000}"/>
    <cellStyle name="20% - Accent2 4 2 3 2" xfId="7596" hidden="1" xr:uid="{00000000-0005-0000-0000-0000BF030000}"/>
    <cellStyle name="20% - Accent2 4 2 3 2" xfId="7934" hidden="1" xr:uid="{00000000-0005-0000-0000-0000C0030000}"/>
    <cellStyle name="20% - Accent2 4 2 3 2" xfId="8271" hidden="1" xr:uid="{00000000-0005-0000-0000-0000C1030000}"/>
    <cellStyle name="20% - Accent2 4 2 4 2" xfId="414" hidden="1" xr:uid="{00000000-0005-0000-0000-0000C2030000}"/>
    <cellStyle name="20% - Accent2 4 2 4 2" xfId="529" hidden="1" xr:uid="{00000000-0005-0000-0000-0000C3030000}"/>
    <cellStyle name="20% - Accent2 4 2 4 2" xfId="1252" hidden="1" xr:uid="{00000000-0005-0000-0000-0000C4030000}"/>
    <cellStyle name="20% - Accent2 4 2 4 2" xfId="1425" hidden="1" xr:uid="{00000000-0005-0000-0000-0000C5030000}"/>
    <cellStyle name="20% - Accent2 4 2 4 2" xfId="1818" hidden="1" xr:uid="{00000000-0005-0000-0000-0000C6030000}"/>
    <cellStyle name="20% - Accent2 4 2 4 2" xfId="1966" hidden="1" xr:uid="{00000000-0005-0000-0000-0000C7030000}"/>
    <cellStyle name="20% - Accent2 4 2 4 2" xfId="2304" hidden="1" xr:uid="{00000000-0005-0000-0000-0000C8030000}"/>
    <cellStyle name="20% - Accent2 4 2 4 2" xfId="2641" hidden="1" xr:uid="{00000000-0005-0000-0000-0000C9030000}"/>
    <cellStyle name="20% - Accent2 4 2 4 2" xfId="3206" hidden="1" xr:uid="{00000000-0005-0000-0000-0000CA030000}"/>
    <cellStyle name="20% - Accent2 4 2 4 2" xfId="3321" hidden="1" xr:uid="{00000000-0005-0000-0000-0000CB030000}"/>
    <cellStyle name="20% - Accent2 4 2 4 2" xfId="4044" hidden="1" xr:uid="{00000000-0005-0000-0000-0000CC030000}"/>
    <cellStyle name="20% - Accent2 4 2 4 2" xfId="4217" hidden="1" xr:uid="{00000000-0005-0000-0000-0000CD030000}"/>
    <cellStyle name="20% - Accent2 4 2 4 2" xfId="4610" hidden="1" xr:uid="{00000000-0005-0000-0000-0000CE030000}"/>
    <cellStyle name="20% - Accent2 4 2 4 2" xfId="4758" hidden="1" xr:uid="{00000000-0005-0000-0000-0000CF030000}"/>
    <cellStyle name="20% - Accent2 4 2 4 2" xfId="5096" hidden="1" xr:uid="{00000000-0005-0000-0000-0000D0030000}"/>
    <cellStyle name="20% - Accent2 4 2 4 2" xfId="5433" hidden="1" xr:uid="{00000000-0005-0000-0000-0000D1030000}"/>
    <cellStyle name="20% - Accent2 4 2 4 2" xfId="5998" hidden="1" xr:uid="{00000000-0005-0000-0000-0000D2030000}"/>
    <cellStyle name="20% - Accent2 4 2 4 2" xfId="6113" hidden="1" xr:uid="{00000000-0005-0000-0000-0000D3030000}"/>
    <cellStyle name="20% - Accent2 4 2 4 2" xfId="6836" hidden="1" xr:uid="{00000000-0005-0000-0000-0000D4030000}"/>
    <cellStyle name="20% - Accent2 4 2 4 2" xfId="7009" hidden="1" xr:uid="{00000000-0005-0000-0000-0000D5030000}"/>
    <cellStyle name="20% - Accent2 4 2 4 2" xfId="7402" hidden="1" xr:uid="{00000000-0005-0000-0000-0000D6030000}"/>
    <cellStyle name="20% - Accent2 4 2 4 2" xfId="7550" hidden="1" xr:uid="{00000000-0005-0000-0000-0000D7030000}"/>
    <cellStyle name="20% - Accent2 4 2 4 2" xfId="7888" hidden="1" xr:uid="{00000000-0005-0000-0000-0000D8030000}"/>
    <cellStyle name="20% - Accent2 4 2 4 2" xfId="8225" hidden="1" xr:uid="{00000000-0005-0000-0000-0000D9030000}"/>
    <cellStyle name="20% - Accent2 4 3 3 2" xfId="413" hidden="1" xr:uid="{00000000-0005-0000-0000-0000DA030000}"/>
    <cellStyle name="20% - Accent2 4 3 3 2" xfId="528" hidden="1" xr:uid="{00000000-0005-0000-0000-0000DB030000}"/>
    <cellStyle name="20% - Accent2 4 3 3 2" xfId="1251" hidden="1" xr:uid="{00000000-0005-0000-0000-0000DC030000}"/>
    <cellStyle name="20% - Accent2 4 3 3 2" xfId="1424" hidden="1" xr:uid="{00000000-0005-0000-0000-0000DD030000}"/>
    <cellStyle name="20% - Accent2 4 3 3 2" xfId="1817" hidden="1" xr:uid="{00000000-0005-0000-0000-0000DE030000}"/>
    <cellStyle name="20% - Accent2 4 3 3 2" xfId="1965" hidden="1" xr:uid="{00000000-0005-0000-0000-0000DF030000}"/>
    <cellStyle name="20% - Accent2 4 3 3 2" xfId="2303" hidden="1" xr:uid="{00000000-0005-0000-0000-0000E0030000}"/>
    <cellStyle name="20% - Accent2 4 3 3 2" xfId="2640" hidden="1" xr:uid="{00000000-0005-0000-0000-0000E1030000}"/>
    <cellStyle name="20% - Accent2 4 3 3 2" xfId="3205" hidden="1" xr:uid="{00000000-0005-0000-0000-0000E2030000}"/>
    <cellStyle name="20% - Accent2 4 3 3 2" xfId="3320" hidden="1" xr:uid="{00000000-0005-0000-0000-0000E3030000}"/>
    <cellStyle name="20% - Accent2 4 3 3 2" xfId="4043" hidden="1" xr:uid="{00000000-0005-0000-0000-0000E4030000}"/>
    <cellStyle name="20% - Accent2 4 3 3 2" xfId="4216" hidden="1" xr:uid="{00000000-0005-0000-0000-0000E5030000}"/>
    <cellStyle name="20% - Accent2 4 3 3 2" xfId="4609" hidden="1" xr:uid="{00000000-0005-0000-0000-0000E6030000}"/>
    <cellStyle name="20% - Accent2 4 3 3 2" xfId="4757" hidden="1" xr:uid="{00000000-0005-0000-0000-0000E7030000}"/>
    <cellStyle name="20% - Accent2 4 3 3 2" xfId="5095" hidden="1" xr:uid="{00000000-0005-0000-0000-0000E8030000}"/>
    <cellStyle name="20% - Accent2 4 3 3 2" xfId="5432" hidden="1" xr:uid="{00000000-0005-0000-0000-0000E9030000}"/>
    <cellStyle name="20% - Accent2 4 3 3 2" xfId="5997" hidden="1" xr:uid="{00000000-0005-0000-0000-0000EA030000}"/>
    <cellStyle name="20% - Accent2 4 3 3 2" xfId="6112" hidden="1" xr:uid="{00000000-0005-0000-0000-0000EB030000}"/>
    <cellStyle name="20% - Accent2 4 3 3 2" xfId="6835" hidden="1" xr:uid="{00000000-0005-0000-0000-0000EC030000}"/>
    <cellStyle name="20% - Accent2 4 3 3 2" xfId="7008" hidden="1" xr:uid="{00000000-0005-0000-0000-0000ED030000}"/>
    <cellStyle name="20% - Accent2 4 3 3 2" xfId="7401" hidden="1" xr:uid="{00000000-0005-0000-0000-0000EE030000}"/>
    <cellStyle name="20% - Accent2 4 3 3 2" xfId="7549" hidden="1" xr:uid="{00000000-0005-0000-0000-0000EF030000}"/>
    <cellStyle name="20% - Accent2 4 3 3 2" xfId="7887" hidden="1" xr:uid="{00000000-0005-0000-0000-0000F0030000}"/>
    <cellStyle name="20% - Accent2 4 3 3 2" xfId="8224" hidden="1" xr:uid="{00000000-0005-0000-0000-0000F1030000}"/>
    <cellStyle name="20% - Accent2 5 2" xfId="397" hidden="1" xr:uid="{00000000-0005-0000-0000-0000F2030000}"/>
    <cellStyle name="20% - Accent2 5 2" xfId="512" hidden="1" xr:uid="{00000000-0005-0000-0000-0000F3030000}"/>
    <cellStyle name="20% - Accent2 5 2" xfId="1235" hidden="1" xr:uid="{00000000-0005-0000-0000-0000F4030000}"/>
    <cellStyle name="20% - Accent2 5 2" xfId="1408" hidden="1" xr:uid="{00000000-0005-0000-0000-0000F5030000}"/>
    <cellStyle name="20% - Accent2 5 2" xfId="1801" hidden="1" xr:uid="{00000000-0005-0000-0000-0000F6030000}"/>
    <cellStyle name="20% - Accent2 5 2" xfId="1949" hidden="1" xr:uid="{00000000-0005-0000-0000-0000F7030000}"/>
    <cellStyle name="20% - Accent2 5 2" xfId="2287" hidden="1" xr:uid="{00000000-0005-0000-0000-0000F8030000}"/>
    <cellStyle name="20% - Accent2 5 2" xfId="2624" hidden="1" xr:uid="{00000000-0005-0000-0000-0000F9030000}"/>
    <cellStyle name="20% - Accent2 5 2" xfId="3189" hidden="1" xr:uid="{00000000-0005-0000-0000-0000FA030000}"/>
    <cellStyle name="20% - Accent2 5 2" xfId="3304" hidden="1" xr:uid="{00000000-0005-0000-0000-0000FB030000}"/>
    <cellStyle name="20% - Accent2 5 2" xfId="4027" hidden="1" xr:uid="{00000000-0005-0000-0000-0000FC030000}"/>
    <cellStyle name="20% - Accent2 5 2" xfId="4200" hidden="1" xr:uid="{00000000-0005-0000-0000-0000FD030000}"/>
    <cellStyle name="20% - Accent2 5 2" xfId="4593" hidden="1" xr:uid="{00000000-0005-0000-0000-0000FE030000}"/>
    <cellStyle name="20% - Accent2 5 2" xfId="4741" hidden="1" xr:uid="{00000000-0005-0000-0000-0000FF030000}"/>
    <cellStyle name="20% - Accent2 5 2" xfId="5079" hidden="1" xr:uid="{00000000-0005-0000-0000-000000040000}"/>
    <cellStyle name="20% - Accent2 5 2" xfId="5416" hidden="1" xr:uid="{00000000-0005-0000-0000-000001040000}"/>
    <cellStyle name="20% - Accent2 5 2" xfId="5981" hidden="1" xr:uid="{00000000-0005-0000-0000-000002040000}"/>
    <cellStyle name="20% - Accent2 5 2" xfId="6096" hidden="1" xr:uid="{00000000-0005-0000-0000-000003040000}"/>
    <cellStyle name="20% - Accent2 5 2" xfId="6819" hidden="1" xr:uid="{00000000-0005-0000-0000-000004040000}"/>
    <cellStyle name="20% - Accent2 5 2" xfId="6992" hidden="1" xr:uid="{00000000-0005-0000-0000-000005040000}"/>
    <cellStyle name="20% - Accent2 5 2" xfId="7385" hidden="1" xr:uid="{00000000-0005-0000-0000-000006040000}"/>
    <cellStyle name="20% - Accent2 5 2" xfId="7533" hidden="1" xr:uid="{00000000-0005-0000-0000-000007040000}"/>
    <cellStyle name="20% - Accent2 5 2" xfId="7871" hidden="1" xr:uid="{00000000-0005-0000-0000-000008040000}"/>
    <cellStyle name="20% - Accent2 5 2" xfId="8208" hidden="1" xr:uid="{00000000-0005-0000-0000-000009040000}"/>
    <cellStyle name="20% - Accent2 7" xfId="74" hidden="1" xr:uid="{00000000-0005-0000-0000-00000A040000}"/>
    <cellStyle name="20% - Accent2 7" xfId="68" hidden="1" xr:uid="{00000000-0005-0000-0000-00000B040000}"/>
    <cellStyle name="20% - Accent2 7" xfId="227" hidden="1" xr:uid="{00000000-0005-0000-0000-00000C040000}"/>
    <cellStyle name="20% - Accent2 7" xfId="303" hidden="1" xr:uid="{00000000-0005-0000-0000-00000D040000}"/>
    <cellStyle name="20% - Accent2 7" xfId="882" hidden="1" xr:uid="{00000000-0005-0000-0000-00000E040000}"/>
    <cellStyle name="20% - Accent2 7" xfId="966" hidden="1" xr:uid="{00000000-0005-0000-0000-00000F040000}"/>
    <cellStyle name="20% - Accent2 7" xfId="1042" hidden="1" xr:uid="{00000000-0005-0000-0000-000010040000}"/>
    <cellStyle name="20% - Accent2 7" xfId="797" hidden="1" xr:uid="{00000000-0005-0000-0000-000011040000}"/>
    <cellStyle name="20% - Accent2 7" xfId="786" hidden="1" xr:uid="{00000000-0005-0000-0000-000012040000}"/>
    <cellStyle name="20% - Accent2 7" xfId="753" hidden="1" xr:uid="{00000000-0005-0000-0000-000013040000}"/>
    <cellStyle name="20% - Accent2 7" xfId="1497" hidden="1" xr:uid="{00000000-0005-0000-0000-000014040000}"/>
    <cellStyle name="20% - Accent2 7" xfId="1561" hidden="1" xr:uid="{00000000-0005-0000-0000-000015040000}"/>
    <cellStyle name="20% - Accent2 7" xfId="1637" hidden="1" xr:uid="{00000000-0005-0000-0000-000016040000}"/>
    <cellStyle name="20% - Accent2 7" xfId="67" hidden="1" xr:uid="{00000000-0005-0000-0000-000017040000}"/>
    <cellStyle name="20% - Accent2 7" xfId="653" hidden="1" xr:uid="{00000000-0005-0000-0000-000018040000}"/>
    <cellStyle name="20% - Accent2 7" xfId="902" hidden="1" xr:uid="{00000000-0005-0000-0000-000019040000}"/>
    <cellStyle name="20% - Accent2 7" xfId="2033" hidden="1" xr:uid="{00000000-0005-0000-0000-00001A040000}"/>
    <cellStyle name="20% - Accent2 7" xfId="2093" hidden="1" xr:uid="{00000000-0005-0000-0000-00001B040000}"/>
    <cellStyle name="20% - Accent2 7" xfId="2169" hidden="1" xr:uid="{00000000-0005-0000-0000-00001C040000}"/>
    <cellStyle name="20% - Accent2 7" xfId="2371" hidden="1" xr:uid="{00000000-0005-0000-0000-00001D040000}"/>
    <cellStyle name="20% - Accent2 7" xfId="2430" hidden="1" xr:uid="{00000000-0005-0000-0000-00001E040000}"/>
    <cellStyle name="20% - Accent2 7" xfId="2506" hidden="1" xr:uid="{00000000-0005-0000-0000-00001F040000}"/>
    <cellStyle name="20% - Accent2 7" xfId="2708" hidden="1" xr:uid="{00000000-0005-0000-0000-000020040000}"/>
    <cellStyle name="20% - Accent2 7" xfId="2767" hidden="1" xr:uid="{00000000-0005-0000-0000-000021040000}"/>
    <cellStyle name="20% - Accent2 7" xfId="2866" hidden="1" xr:uid="{00000000-0005-0000-0000-000022040000}"/>
    <cellStyle name="20% - Accent2 7" xfId="2860" hidden="1" xr:uid="{00000000-0005-0000-0000-000023040000}"/>
    <cellStyle name="20% - Accent2 7" xfId="3019" hidden="1" xr:uid="{00000000-0005-0000-0000-000024040000}"/>
    <cellStyle name="20% - Accent2 7" xfId="3095" hidden="1" xr:uid="{00000000-0005-0000-0000-000025040000}"/>
    <cellStyle name="20% - Accent2 7" xfId="3674" hidden="1" xr:uid="{00000000-0005-0000-0000-000026040000}"/>
    <cellStyle name="20% - Accent2 7" xfId="3758" hidden="1" xr:uid="{00000000-0005-0000-0000-000027040000}"/>
    <cellStyle name="20% - Accent2 7" xfId="3834" hidden="1" xr:uid="{00000000-0005-0000-0000-000028040000}"/>
    <cellStyle name="20% - Accent2 7" xfId="3589" hidden="1" xr:uid="{00000000-0005-0000-0000-000029040000}"/>
    <cellStyle name="20% - Accent2 7" xfId="3578" hidden="1" xr:uid="{00000000-0005-0000-0000-00002A040000}"/>
    <cellStyle name="20% - Accent2 7" xfId="3545" hidden="1" xr:uid="{00000000-0005-0000-0000-00002B040000}"/>
    <cellStyle name="20% - Accent2 7" xfId="4289" hidden="1" xr:uid="{00000000-0005-0000-0000-00002C040000}"/>
    <cellStyle name="20% - Accent2 7" xfId="4353" hidden="1" xr:uid="{00000000-0005-0000-0000-00002D040000}"/>
    <cellStyle name="20% - Accent2 7" xfId="4429" hidden="1" xr:uid="{00000000-0005-0000-0000-00002E040000}"/>
    <cellStyle name="20% - Accent2 7" xfId="2859" hidden="1" xr:uid="{00000000-0005-0000-0000-00002F040000}"/>
    <cellStyle name="20% - Accent2 7" xfId="3445" hidden="1" xr:uid="{00000000-0005-0000-0000-000030040000}"/>
    <cellStyle name="20% - Accent2 7" xfId="3694" hidden="1" xr:uid="{00000000-0005-0000-0000-000031040000}"/>
    <cellStyle name="20% - Accent2 7" xfId="4825" hidden="1" xr:uid="{00000000-0005-0000-0000-000032040000}"/>
    <cellStyle name="20% - Accent2 7" xfId="4885" hidden="1" xr:uid="{00000000-0005-0000-0000-000033040000}"/>
    <cellStyle name="20% - Accent2 7" xfId="4961" hidden="1" xr:uid="{00000000-0005-0000-0000-000034040000}"/>
    <cellStyle name="20% - Accent2 7" xfId="5163" hidden="1" xr:uid="{00000000-0005-0000-0000-000035040000}"/>
    <cellStyle name="20% - Accent2 7" xfId="5222" hidden="1" xr:uid="{00000000-0005-0000-0000-000036040000}"/>
    <cellStyle name="20% - Accent2 7" xfId="5298" hidden="1" xr:uid="{00000000-0005-0000-0000-000037040000}"/>
    <cellStyle name="20% - Accent2 7" xfId="5500" hidden="1" xr:uid="{00000000-0005-0000-0000-000038040000}"/>
    <cellStyle name="20% - Accent2 7" xfId="5559" hidden="1" xr:uid="{00000000-0005-0000-0000-000039040000}"/>
    <cellStyle name="20% - Accent2 7" xfId="5658" hidden="1" xr:uid="{00000000-0005-0000-0000-00003A040000}"/>
    <cellStyle name="20% - Accent2 7" xfId="5652" hidden="1" xr:uid="{00000000-0005-0000-0000-00003B040000}"/>
    <cellStyle name="20% - Accent2 7" xfId="5811" hidden="1" xr:uid="{00000000-0005-0000-0000-00003C040000}"/>
    <cellStyle name="20% - Accent2 7" xfId="5887" hidden="1" xr:uid="{00000000-0005-0000-0000-00003D040000}"/>
    <cellStyle name="20% - Accent2 7" xfId="6466" hidden="1" xr:uid="{00000000-0005-0000-0000-00003E040000}"/>
    <cellStyle name="20% - Accent2 7" xfId="6550" hidden="1" xr:uid="{00000000-0005-0000-0000-00003F040000}"/>
    <cellStyle name="20% - Accent2 7" xfId="6626" hidden="1" xr:uid="{00000000-0005-0000-0000-000040040000}"/>
    <cellStyle name="20% - Accent2 7" xfId="6381" hidden="1" xr:uid="{00000000-0005-0000-0000-000041040000}"/>
    <cellStyle name="20% - Accent2 7" xfId="6370" hidden="1" xr:uid="{00000000-0005-0000-0000-000042040000}"/>
    <cellStyle name="20% - Accent2 7" xfId="6337" hidden="1" xr:uid="{00000000-0005-0000-0000-000043040000}"/>
    <cellStyle name="20% - Accent2 7" xfId="7081" hidden="1" xr:uid="{00000000-0005-0000-0000-000044040000}"/>
    <cellStyle name="20% - Accent2 7" xfId="7145" hidden="1" xr:uid="{00000000-0005-0000-0000-000045040000}"/>
    <cellStyle name="20% - Accent2 7" xfId="7221" hidden="1" xr:uid="{00000000-0005-0000-0000-000046040000}"/>
    <cellStyle name="20% - Accent2 7" xfId="5651" hidden="1" xr:uid="{00000000-0005-0000-0000-000047040000}"/>
    <cellStyle name="20% - Accent2 7" xfId="6237" hidden="1" xr:uid="{00000000-0005-0000-0000-000048040000}"/>
    <cellStyle name="20% - Accent2 7" xfId="6486" hidden="1" xr:uid="{00000000-0005-0000-0000-000049040000}"/>
    <cellStyle name="20% - Accent2 7" xfId="7617" hidden="1" xr:uid="{00000000-0005-0000-0000-00004A040000}"/>
    <cellStyle name="20% - Accent2 7" xfId="7677" hidden="1" xr:uid="{00000000-0005-0000-0000-00004B040000}"/>
    <cellStyle name="20% - Accent2 7" xfId="7753" hidden="1" xr:uid="{00000000-0005-0000-0000-00004C040000}"/>
    <cellStyle name="20% - Accent2 7" xfId="7955" hidden="1" xr:uid="{00000000-0005-0000-0000-00004D040000}"/>
    <cellStyle name="20% - Accent2 7" xfId="8014" hidden="1" xr:uid="{00000000-0005-0000-0000-00004E040000}"/>
    <cellStyle name="20% - Accent2 7" xfId="8090" hidden="1" xr:uid="{00000000-0005-0000-0000-00004F040000}"/>
    <cellStyle name="20% - Accent2 7" xfId="8292" hidden="1" xr:uid="{00000000-0005-0000-0000-000050040000}"/>
    <cellStyle name="20% - Accent2 7" xfId="8351" hidden="1" xr:uid="{00000000-0005-0000-0000-000051040000}"/>
    <cellStyle name="20% - Accent2 8" xfId="90" hidden="1" xr:uid="{00000000-0005-0000-0000-000052040000}"/>
    <cellStyle name="20% - Accent2 8" xfId="173" hidden="1" xr:uid="{00000000-0005-0000-0000-000053040000}"/>
    <cellStyle name="20% - Accent2 8" xfId="249" hidden="1" xr:uid="{00000000-0005-0000-0000-000054040000}"/>
    <cellStyle name="20% - Accent2 8" xfId="327" hidden="1" xr:uid="{00000000-0005-0000-0000-000055040000}"/>
    <cellStyle name="20% - Accent2 8" xfId="912" hidden="1" xr:uid="{00000000-0005-0000-0000-000056040000}"/>
    <cellStyle name="20% - Accent2 8" xfId="988" hidden="1" xr:uid="{00000000-0005-0000-0000-000057040000}"/>
    <cellStyle name="20% - Accent2 8" xfId="1067" hidden="1" xr:uid="{00000000-0005-0000-0000-000058040000}"/>
    <cellStyle name="20% - Accent2 8" xfId="756" hidden="1" xr:uid="{00000000-0005-0000-0000-000059040000}"/>
    <cellStyle name="20% - Accent2 8" xfId="811" hidden="1" xr:uid="{00000000-0005-0000-0000-00005A040000}"/>
    <cellStyle name="20% - Accent2 8" xfId="846" hidden="1" xr:uid="{00000000-0005-0000-0000-00005B040000}"/>
    <cellStyle name="20% - Accent2 8" xfId="1507" hidden="1" xr:uid="{00000000-0005-0000-0000-00005C040000}"/>
    <cellStyle name="20% - Accent2 8" xfId="1583" hidden="1" xr:uid="{00000000-0005-0000-0000-00005D040000}"/>
    <cellStyle name="20% - Accent2 8" xfId="1661" hidden="1" xr:uid="{00000000-0005-0000-0000-00005E040000}"/>
    <cellStyle name="20% - Accent2 8" xfId="640" hidden="1" xr:uid="{00000000-0005-0000-0000-00005F040000}"/>
    <cellStyle name="20% - Accent2 8" xfId="1183" hidden="1" xr:uid="{00000000-0005-0000-0000-000060040000}"/>
    <cellStyle name="20% - Accent2 8" xfId="1328" hidden="1" xr:uid="{00000000-0005-0000-0000-000061040000}"/>
    <cellStyle name="20% - Accent2 8" xfId="2039" hidden="1" xr:uid="{00000000-0005-0000-0000-000062040000}"/>
    <cellStyle name="20% - Accent2 8" xfId="2115" hidden="1" xr:uid="{00000000-0005-0000-0000-000063040000}"/>
    <cellStyle name="20% - Accent2 8" xfId="2193" hidden="1" xr:uid="{00000000-0005-0000-0000-000064040000}"/>
    <cellStyle name="20% - Accent2 8" xfId="2376" hidden="1" xr:uid="{00000000-0005-0000-0000-000065040000}"/>
    <cellStyle name="20% - Accent2 8" xfId="2452" hidden="1" xr:uid="{00000000-0005-0000-0000-000066040000}"/>
    <cellStyle name="20% - Accent2 8" xfId="2530" hidden="1" xr:uid="{00000000-0005-0000-0000-000067040000}"/>
    <cellStyle name="20% - Accent2 8" xfId="2713" hidden="1" xr:uid="{00000000-0005-0000-0000-000068040000}"/>
    <cellStyle name="20% - Accent2 8" xfId="2789" hidden="1" xr:uid="{00000000-0005-0000-0000-000069040000}"/>
    <cellStyle name="20% - Accent2 8" xfId="2882" hidden="1" xr:uid="{00000000-0005-0000-0000-00006A040000}"/>
    <cellStyle name="20% - Accent2 8" xfId="2965" hidden="1" xr:uid="{00000000-0005-0000-0000-00006B040000}"/>
    <cellStyle name="20% - Accent2 8" xfId="3041" hidden="1" xr:uid="{00000000-0005-0000-0000-00006C040000}"/>
    <cellStyle name="20% - Accent2 8" xfId="3119" hidden="1" xr:uid="{00000000-0005-0000-0000-00006D040000}"/>
    <cellStyle name="20% - Accent2 8" xfId="3704" hidden="1" xr:uid="{00000000-0005-0000-0000-00006E040000}"/>
    <cellStyle name="20% - Accent2 8" xfId="3780" hidden="1" xr:uid="{00000000-0005-0000-0000-00006F040000}"/>
    <cellStyle name="20% - Accent2 8" xfId="3859" hidden="1" xr:uid="{00000000-0005-0000-0000-000070040000}"/>
    <cellStyle name="20% - Accent2 8" xfId="3548" hidden="1" xr:uid="{00000000-0005-0000-0000-000071040000}"/>
    <cellStyle name="20% - Accent2 8" xfId="3603" hidden="1" xr:uid="{00000000-0005-0000-0000-000072040000}"/>
    <cellStyle name="20% - Accent2 8" xfId="3638" hidden="1" xr:uid="{00000000-0005-0000-0000-000073040000}"/>
    <cellStyle name="20% - Accent2 8" xfId="4299" hidden="1" xr:uid="{00000000-0005-0000-0000-000074040000}"/>
    <cellStyle name="20% - Accent2 8" xfId="4375" hidden="1" xr:uid="{00000000-0005-0000-0000-000075040000}"/>
    <cellStyle name="20% - Accent2 8" xfId="4453" hidden="1" xr:uid="{00000000-0005-0000-0000-000076040000}"/>
    <cellStyle name="20% - Accent2 8" xfId="3432" hidden="1" xr:uid="{00000000-0005-0000-0000-000077040000}"/>
    <cellStyle name="20% - Accent2 8" xfId="3975" hidden="1" xr:uid="{00000000-0005-0000-0000-000078040000}"/>
    <cellStyle name="20% - Accent2 8" xfId="4120" hidden="1" xr:uid="{00000000-0005-0000-0000-000079040000}"/>
    <cellStyle name="20% - Accent2 8" xfId="4831" hidden="1" xr:uid="{00000000-0005-0000-0000-00007A040000}"/>
    <cellStyle name="20% - Accent2 8" xfId="4907" hidden="1" xr:uid="{00000000-0005-0000-0000-00007B040000}"/>
    <cellStyle name="20% - Accent2 8" xfId="4985" hidden="1" xr:uid="{00000000-0005-0000-0000-00007C040000}"/>
    <cellStyle name="20% - Accent2 8" xfId="5168" hidden="1" xr:uid="{00000000-0005-0000-0000-00007D040000}"/>
    <cellStyle name="20% - Accent2 8" xfId="5244" hidden="1" xr:uid="{00000000-0005-0000-0000-00007E040000}"/>
    <cellStyle name="20% - Accent2 8" xfId="5322" hidden="1" xr:uid="{00000000-0005-0000-0000-00007F040000}"/>
    <cellStyle name="20% - Accent2 8" xfId="5505" hidden="1" xr:uid="{00000000-0005-0000-0000-000080040000}"/>
    <cellStyle name="20% - Accent2 8" xfId="5581" hidden="1" xr:uid="{00000000-0005-0000-0000-000081040000}"/>
    <cellStyle name="20% - Accent2 8" xfId="5674" hidden="1" xr:uid="{00000000-0005-0000-0000-000082040000}"/>
    <cellStyle name="20% - Accent2 8" xfId="5757" hidden="1" xr:uid="{00000000-0005-0000-0000-000083040000}"/>
    <cellStyle name="20% - Accent2 8" xfId="5833" hidden="1" xr:uid="{00000000-0005-0000-0000-000084040000}"/>
    <cellStyle name="20% - Accent2 8" xfId="5911" hidden="1" xr:uid="{00000000-0005-0000-0000-000085040000}"/>
    <cellStyle name="20% - Accent2 8" xfId="6496" hidden="1" xr:uid="{00000000-0005-0000-0000-000086040000}"/>
    <cellStyle name="20% - Accent2 8" xfId="6572" hidden="1" xr:uid="{00000000-0005-0000-0000-000087040000}"/>
    <cellStyle name="20% - Accent2 8" xfId="6651" hidden="1" xr:uid="{00000000-0005-0000-0000-000088040000}"/>
    <cellStyle name="20% - Accent2 8" xfId="6340" hidden="1" xr:uid="{00000000-0005-0000-0000-000089040000}"/>
    <cellStyle name="20% - Accent2 8" xfId="6395" hidden="1" xr:uid="{00000000-0005-0000-0000-00008A040000}"/>
    <cellStyle name="20% - Accent2 8" xfId="6430" hidden="1" xr:uid="{00000000-0005-0000-0000-00008B040000}"/>
    <cellStyle name="20% - Accent2 8" xfId="7091" hidden="1" xr:uid="{00000000-0005-0000-0000-00008C040000}"/>
    <cellStyle name="20% - Accent2 8" xfId="7167" hidden="1" xr:uid="{00000000-0005-0000-0000-00008D040000}"/>
    <cellStyle name="20% - Accent2 8" xfId="7245" hidden="1" xr:uid="{00000000-0005-0000-0000-00008E040000}"/>
    <cellStyle name="20% - Accent2 8" xfId="6224" hidden="1" xr:uid="{00000000-0005-0000-0000-00008F040000}"/>
    <cellStyle name="20% - Accent2 8" xfId="6767" hidden="1" xr:uid="{00000000-0005-0000-0000-000090040000}"/>
    <cellStyle name="20% - Accent2 8" xfId="6912" hidden="1" xr:uid="{00000000-0005-0000-0000-000091040000}"/>
    <cellStyle name="20% - Accent2 8" xfId="7623" hidden="1" xr:uid="{00000000-0005-0000-0000-000092040000}"/>
    <cellStyle name="20% - Accent2 8" xfId="7699" hidden="1" xr:uid="{00000000-0005-0000-0000-000093040000}"/>
    <cellStyle name="20% - Accent2 8" xfId="7777" hidden="1" xr:uid="{00000000-0005-0000-0000-000094040000}"/>
    <cellStyle name="20% - Accent2 8" xfId="7960" hidden="1" xr:uid="{00000000-0005-0000-0000-000095040000}"/>
    <cellStyle name="20% - Accent2 8" xfId="8036" hidden="1" xr:uid="{00000000-0005-0000-0000-000096040000}"/>
    <cellStyle name="20% - Accent2 8" xfId="8114" hidden="1" xr:uid="{00000000-0005-0000-0000-000097040000}"/>
    <cellStyle name="20% - Accent2 8" xfId="8297" hidden="1" xr:uid="{00000000-0005-0000-0000-000098040000}"/>
    <cellStyle name="20% - Accent2 8" xfId="8373" hidden="1" xr:uid="{00000000-0005-0000-0000-000099040000}"/>
    <cellStyle name="20% - Accent2 9" xfId="103" hidden="1" xr:uid="{00000000-0005-0000-0000-00009A040000}"/>
    <cellStyle name="20% - Accent2 9" xfId="177" hidden="1" xr:uid="{00000000-0005-0000-0000-00009B040000}"/>
    <cellStyle name="20% - Accent2 9" xfId="253" hidden="1" xr:uid="{00000000-0005-0000-0000-00009C040000}"/>
    <cellStyle name="20% - Accent2 9" xfId="331" hidden="1" xr:uid="{00000000-0005-0000-0000-00009D040000}"/>
    <cellStyle name="20% - Accent2 9" xfId="916" hidden="1" xr:uid="{00000000-0005-0000-0000-00009E040000}"/>
    <cellStyle name="20% - Accent2 9" xfId="992" hidden="1" xr:uid="{00000000-0005-0000-0000-00009F040000}"/>
    <cellStyle name="20% - Accent2 9" xfId="1071" hidden="1" xr:uid="{00000000-0005-0000-0000-0000A0040000}"/>
    <cellStyle name="20% - Accent2 9" xfId="1184" hidden="1" xr:uid="{00000000-0005-0000-0000-0000A1040000}"/>
    <cellStyle name="20% - Accent2 9" xfId="628" hidden="1" xr:uid="{00000000-0005-0000-0000-0000A2040000}"/>
    <cellStyle name="20% - Accent2 9" xfId="780" hidden="1" xr:uid="{00000000-0005-0000-0000-0000A3040000}"/>
    <cellStyle name="20% - Accent2 9" xfId="1511" hidden="1" xr:uid="{00000000-0005-0000-0000-0000A4040000}"/>
    <cellStyle name="20% - Accent2 9" xfId="1587" hidden="1" xr:uid="{00000000-0005-0000-0000-0000A5040000}"/>
    <cellStyle name="20% - Accent2 9" xfId="1665" hidden="1" xr:uid="{00000000-0005-0000-0000-0000A6040000}"/>
    <cellStyle name="20% - Accent2 9" xfId="1760" hidden="1" xr:uid="{00000000-0005-0000-0000-0000A7040000}"/>
    <cellStyle name="20% - Accent2 9" xfId="744" hidden="1" xr:uid="{00000000-0005-0000-0000-0000A8040000}"/>
    <cellStyle name="20% - Accent2 9" xfId="763" hidden="1" xr:uid="{00000000-0005-0000-0000-0000A9040000}"/>
    <cellStyle name="20% - Accent2 9" xfId="2043" hidden="1" xr:uid="{00000000-0005-0000-0000-0000AA040000}"/>
    <cellStyle name="20% - Accent2 9" xfId="2119" hidden="1" xr:uid="{00000000-0005-0000-0000-0000AB040000}"/>
    <cellStyle name="20% - Accent2 9" xfId="2197" hidden="1" xr:uid="{00000000-0005-0000-0000-0000AC040000}"/>
    <cellStyle name="20% - Accent2 9" xfId="2380" hidden="1" xr:uid="{00000000-0005-0000-0000-0000AD040000}"/>
    <cellStyle name="20% - Accent2 9" xfId="2456" hidden="1" xr:uid="{00000000-0005-0000-0000-0000AE040000}"/>
    <cellStyle name="20% - Accent2 9" xfId="2534" hidden="1" xr:uid="{00000000-0005-0000-0000-0000AF040000}"/>
    <cellStyle name="20% - Accent2 9" xfId="2717" hidden="1" xr:uid="{00000000-0005-0000-0000-0000B0040000}"/>
    <cellStyle name="20% - Accent2 9" xfId="2793" hidden="1" xr:uid="{00000000-0005-0000-0000-0000B1040000}"/>
    <cellStyle name="20% - Accent2 9" xfId="2895" hidden="1" xr:uid="{00000000-0005-0000-0000-0000B2040000}"/>
    <cellStyle name="20% - Accent2 9" xfId="2969" hidden="1" xr:uid="{00000000-0005-0000-0000-0000B3040000}"/>
    <cellStyle name="20% - Accent2 9" xfId="3045" hidden="1" xr:uid="{00000000-0005-0000-0000-0000B4040000}"/>
    <cellStyle name="20% - Accent2 9" xfId="3123" hidden="1" xr:uid="{00000000-0005-0000-0000-0000B5040000}"/>
    <cellStyle name="20% - Accent2 9" xfId="3708" hidden="1" xr:uid="{00000000-0005-0000-0000-0000B6040000}"/>
    <cellStyle name="20% - Accent2 9" xfId="3784" hidden="1" xr:uid="{00000000-0005-0000-0000-0000B7040000}"/>
    <cellStyle name="20% - Accent2 9" xfId="3863" hidden="1" xr:uid="{00000000-0005-0000-0000-0000B8040000}"/>
    <cellStyle name="20% - Accent2 9" xfId="3976" hidden="1" xr:uid="{00000000-0005-0000-0000-0000B9040000}"/>
    <cellStyle name="20% - Accent2 9" xfId="3420" hidden="1" xr:uid="{00000000-0005-0000-0000-0000BA040000}"/>
    <cellStyle name="20% - Accent2 9" xfId="3572" hidden="1" xr:uid="{00000000-0005-0000-0000-0000BB040000}"/>
    <cellStyle name="20% - Accent2 9" xfId="4303" hidden="1" xr:uid="{00000000-0005-0000-0000-0000BC040000}"/>
    <cellStyle name="20% - Accent2 9" xfId="4379" hidden="1" xr:uid="{00000000-0005-0000-0000-0000BD040000}"/>
    <cellStyle name="20% - Accent2 9" xfId="4457" hidden="1" xr:uid="{00000000-0005-0000-0000-0000BE040000}"/>
    <cellStyle name="20% - Accent2 9" xfId="4552" hidden="1" xr:uid="{00000000-0005-0000-0000-0000BF040000}"/>
    <cellStyle name="20% - Accent2 9" xfId="3536" hidden="1" xr:uid="{00000000-0005-0000-0000-0000C0040000}"/>
    <cellStyle name="20% - Accent2 9" xfId="3555" hidden="1" xr:uid="{00000000-0005-0000-0000-0000C1040000}"/>
    <cellStyle name="20% - Accent2 9" xfId="4835" hidden="1" xr:uid="{00000000-0005-0000-0000-0000C2040000}"/>
    <cellStyle name="20% - Accent2 9" xfId="4911" hidden="1" xr:uid="{00000000-0005-0000-0000-0000C3040000}"/>
    <cellStyle name="20% - Accent2 9" xfId="4989" hidden="1" xr:uid="{00000000-0005-0000-0000-0000C4040000}"/>
    <cellStyle name="20% - Accent2 9" xfId="5172" hidden="1" xr:uid="{00000000-0005-0000-0000-0000C5040000}"/>
    <cellStyle name="20% - Accent2 9" xfId="5248" hidden="1" xr:uid="{00000000-0005-0000-0000-0000C6040000}"/>
    <cellStyle name="20% - Accent2 9" xfId="5326" hidden="1" xr:uid="{00000000-0005-0000-0000-0000C7040000}"/>
    <cellStyle name="20% - Accent2 9" xfId="5509" hidden="1" xr:uid="{00000000-0005-0000-0000-0000C8040000}"/>
    <cellStyle name="20% - Accent2 9" xfId="5585" hidden="1" xr:uid="{00000000-0005-0000-0000-0000C9040000}"/>
    <cellStyle name="20% - Accent2 9" xfId="5687" hidden="1" xr:uid="{00000000-0005-0000-0000-0000CA040000}"/>
    <cellStyle name="20% - Accent2 9" xfId="5761" hidden="1" xr:uid="{00000000-0005-0000-0000-0000CB040000}"/>
    <cellStyle name="20% - Accent2 9" xfId="5837" hidden="1" xr:uid="{00000000-0005-0000-0000-0000CC040000}"/>
    <cellStyle name="20% - Accent2 9" xfId="5915" hidden="1" xr:uid="{00000000-0005-0000-0000-0000CD040000}"/>
    <cellStyle name="20% - Accent2 9" xfId="6500" hidden="1" xr:uid="{00000000-0005-0000-0000-0000CE040000}"/>
    <cellStyle name="20% - Accent2 9" xfId="6576" hidden="1" xr:uid="{00000000-0005-0000-0000-0000CF040000}"/>
    <cellStyle name="20% - Accent2 9" xfId="6655" hidden="1" xr:uid="{00000000-0005-0000-0000-0000D0040000}"/>
    <cellStyle name="20% - Accent2 9" xfId="6768" hidden="1" xr:uid="{00000000-0005-0000-0000-0000D1040000}"/>
    <cellStyle name="20% - Accent2 9" xfId="6212" hidden="1" xr:uid="{00000000-0005-0000-0000-0000D2040000}"/>
    <cellStyle name="20% - Accent2 9" xfId="6364" hidden="1" xr:uid="{00000000-0005-0000-0000-0000D3040000}"/>
    <cellStyle name="20% - Accent2 9" xfId="7095" hidden="1" xr:uid="{00000000-0005-0000-0000-0000D4040000}"/>
    <cellStyle name="20% - Accent2 9" xfId="7171" hidden="1" xr:uid="{00000000-0005-0000-0000-0000D5040000}"/>
    <cellStyle name="20% - Accent2 9" xfId="7249" hidden="1" xr:uid="{00000000-0005-0000-0000-0000D6040000}"/>
    <cellStyle name="20% - Accent2 9" xfId="7344" hidden="1" xr:uid="{00000000-0005-0000-0000-0000D7040000}"/>
    <cellStyle name="20% - Accent2 9" xfId="6328" hidden="1" xr:uid="{00000000-0005-0000-0000-0000D8040000}"/>
    <cellStyle name="20% - Accent2 9" xfId="6347" hidden="1" xr:uid="{00000000-0005-0000-0000-0000D9040000}"/>
    <cellStyle name="20% - Accent2 9" xfId="7627" hidden="1" xr:uid="{00000000-0005-0000-0000-0000DA040000}"/>
    <cellStyle name="20% - Accent2 9" xfId="7703" hidden="1" xr:uid="{00000000-0005-0000-0000-0000DB040000}"/>
    <cellStyle name="20% - Accent2 9" xfId="7781" hidden="1" xr:uid="{00000000-0005-0000-0000-0000DC040000}"/>
    <cellStyle name="20% - Accent2 9" xfId="7964" hidden="1" xr:uid="{00000000-0005-0000-0000-0000DD040000}"/>
    <cellStyle name="20% - Accent2 9" xfId="8040" hidden="1" xr:uid="{00000000-0005-0000-0000-0000DE040000}"/>
    <cellStyle name="20% - Accent2 9" xfId="8118" hidden="1" xr:uid="{00000000-0005-0000-0000-0000DF040000}"/>
    <cellStyle name="20% - Accent2 9" xfId="8301" hidden="1" xr:uid="{00000000-0005-0000-0000-0000E0040000}"/>
    <cellStyle name="20% - Accent2 9" xfId="8377" hidden="1" xr:uid="{00000000-0005-0000-0000-0000E1040000}"/>
    <cellStyle name="20% - Accent3" xfId="31" builtinId="38" hidden="1"/>
    <cellStyle name="20% - Accent3 10" xfId="118" hidden="1" xr:uid="{00000000-0005-0000-0000-0000E3040000}"/>
    <cellStyle name="20% - Accent3 10" xfId="192" hidden="1" xr:uid="{00000000-0005-0000-0000-0000E4040000}"/>
    <cellStyle name="20% - Accent3 10" xfId="268" hidden="1" xr:uid="{00000000-0005-0000-0000-0000E5040000}"/>
    <cellStyle name="20% - Accent3 10" xfId="346" hidden="1" xr:uid="{00000000-0005-0000-0000-0000E6040000}"/>
    <cellStyle name="20% - Accent3 10" xfId="931" hidden="1" xr:uid="{00000000-0005-0000-0000-0000E7040000}"/>
    <cellStyle name="20% - Accent3 10" xfId="1007" hidden="1" xr:uid="{00000000-0005-0000-0000-0000E8040000}"/>
    <cellStyle name="20% - Accent3 10" xfId="1086" hidden="1" xr:uid="{00000000-0005-0000-0000-0000E9040000}"/>
    <cellStyle name="20% - Accent3 10" xfId="1181" hidden="1" xr:uid="{00000000-0005-0000-0000-0000EA040000}"/>
    <cellStyle name="20% - Accent3 10" xfId="867" hidden="1" xr:uid="{00000000-0005-0000-0000-0000EB040000}"/>
    <cellStyle name="20% - Accent3 10" xfId="720" hidden="1" xr:uid="{00000000-0005-0000-0000-0000EC040000}"/>
    <cellStyle name="20% - Accent3 10" xfId="1526" hidden="1" xr:uid="{00000000-0005-0000-0000-0000ED040000}"/>
    <cellStyle name="20% - Accent3 10" xfId="1602" hidden="1" xr:uid="{00000000-0005-0000-0000-0000EE040000}"/>
    <cellStyle name="20% - Accent3 10" xfId="1680" hidden="1" xr:uid="{00000000-0005-0000-0000-0000EF040000}"/>
    <cellStyle name="20% - Accent3 10" xfId="1759" hidden="1" xr:uid="{00000000-0005-0000-0000-0000F0040000}"/>
    <cellStyle name="20% - Accent3 10" xfId="764" hidden="1" xr:uid="{00000000-0005-0000-0000-0000F1040000}"/>
    <cellStyle name="20% - Accent3 10" xfId="735" hidden="1" xr:uid="{00000000-0005-0000-0000-0000F2040000}"/>
    <cellStyle name="20% - Accent3 10" xfId="2058" hidden="1" xr:uid="{00000000-0005-0000-0000-0000F3040000}"/>
    <cellStyle name="20% - Accent3 10" xfId="2134" hidden="1" xr:uid="{00000000-0005-0000-0000-0000F4040000}"/>
    <cellStyle name="20% - Accent3 10" xfId="2212" hidden="1" xr:uid="{00000000-0005-0000-0000-0000F5040000}"/>
    <cellStyle name="20% - Accent3 10" xfId="2395" hidden="1" xr:uid="{00000000-0005-0000-0000-0000F6040000}"/>
    <cellStyle name="20% - Accent3 10" xfId="2471" hidden="1" xr:uid="{00000000-0005-0000-0000-0000F7040000}"/>
    <cellStyle name="20% - Accent3 10" xfId="2549" hidden="1" xr:uid="{00000000-0005-0000-0000-0000F8040000}"/>
    <cellStyle name="20% - Accent3 10" xfId="2732" hidden="1" xr:uid="{00000000-0005-0000-0000-0000F9040000}"/>
    <cellStyle name="20% - Accent3 10" xfId="2808" hidden="1" xr:uid="{00000000-0005-0000-0000-0000FA040000}"/>
    <cellStyle name="20% - Accent3 10" xfId="2910" hidden="1" xr:uid="{00000000-0005-0000-0000-0000FB040000}"/>
    <cellStyle name="20% - Accent3 10" xfId="2984" hidden="1" xr:uid="{00000000-0005-0000-0000-0000FC040000}"/>
    <cellStyle name="20% - Accent3 10" xfId="3060" hidden="1" xr:uid="{00000000-0005-0000-0000-0000FD040000}"/>
    <cellStyle name="20% - Accent3 10" xfId="3138" hidden="1" xr:uid="{00000000-0005-0000-0000-0000FE040000}"/>
    <cellStyle name="20% - Accent3 10" xfId="3723" hidden="1" xr:uid="{00000000-0005-0000-0000-0000FF040000}"/>
    <cellStyle name="20% - Accent3 10" xfId="3799" hidden="1" xr:uid="{00000000-0005-0000-0000-000000050000}"/>
    <cellStyle name="20% - Accent3 10" xfId="3878" hidden="1" xr:uid="{00000000-0005-0000-0000-000001050000}"/>
    <cellStyle name="20% - Accent3 10" xfId="3973" hidden="1" xr:uid="{00000000-0005-0000-0000-000002050000}"/>
    <cellStyle name="20% - Accent3 10" xfId="3659" hidden="1" xr:uid="{00000000-0005-0000-0000-000003050000}"/>
    <cellStyle name="20% - Accent3 10" xfId="3512" hidden="1" xr:uid="{00000000-0005-0000-0000-000004050000}"/>
    <cellStyle name="20% - Accent3 10" xfId="4318" hidden="1" xr:uid="{00000000-0005-0000-0000-000005050000}"/>
    <cellStyle name="20% - Accent3 10" xfId="4394" hidden="1" xr:uid="{00000000-0005-0000-0000-000006050000}"/>
    <cellStyle name="20% - Accent3 10" xfId="4472" hidden="1" xr:uid="{00000000-0005-0000-0000-000007050000}"/>
    <cellStyle name="20% - Accent3 10" xfId="4551" hidden="1" xr:uid="{00000000-0005-0000-0000-000008050000}"/>
    <cellStyle name="20% - Accent3 10" xfId="3556" hidden="1" xr:uid="{00000000-0005-0000-0000-000009050000}"/>
    <cellStyle name="20% - Accent3 10" xfId="3527" hidden="1" xr:uid="{00000000-0005-0000-0000-00000A050000}"/>
    <cellStyle name="20% - Accent3 10" xfId="4850" hidden="1" xr:uid="{00000000-0005-0000-0000-00000B050000}"/>
    <cellStyle name="20% - Accent3 10" xfId="4926" hidden="1" xr:uid="{00000000-0005-0000-0000-00000C050000}"/>
    <cellStyle name="20% - Accent3 10" xfId="5004" hidden="1" xr:uid="{00000000-0005-0000-0000-00000D050000}"/>
    <cellStyle name="20% - Accent3 10" xfId="5187" hidden="1" xr:uid="{00000000-0005-0000-0000-00000E050000}"/>
    <cellStyle name="20% - Accent3 10" xfId="5263" hidden="1" xr:uid="{00000000-0005-0000-0000-00000F050000}"/>
    <cellStyle name="20% - Accent3 10" xfId="5341" hidden="1" xr:uid="{00000000-0005-0000-0000-000010050000}"/>
    <cellStyle name="20% - Accent3 10" xfId="5524" hidden="1" xr:uid="{00000000-0005-0000-0000-000011050000}"/>
    <cellStyle name="20% - Accent3 10" xfId="5600" hidden="1" xr:uid="{00000000-0005-0000-0000-000012050000}"/>
    <cellStyle name="20% - Accent3 10" xfId="5702" hidden="1" xr:uid="{00000000-0005-0000-0000-000013050000}"/>
    <cellStyle name="20% - Accent3 10" xfId="5776" hidden="1" xr:uid="{00000000-0005-0000-0000-000014050000}"/>
    <cellStyle name="20% - Accent3 10" xfId="5852" hidden="1" xr:uid="{00000000-0005-0000-0000-000015050000}"/>
    <cellStyle name="20% - Accent3 10" xfId="5930" hidden="1" xr:uid="{00000000-0005-0000-0000-000016050000}"/>
    <cellStyle name="20% - Accent3 10" xfId="6515" hidden="1" xr:uid="{00000000-0005-0000-0000-000017050000}"/>
    <cellStyle name="20% - Accent3 10" xfId="6591" hidden="1" xr:uid="{00000000-0005-0000-0000-000018050000}"/>
    <cellStyle name="20% - Accent3 10" xfId="6670" hidden="1" xr:uid="{00000000-0005-0000-0000-000019050000}"/>
    <cellStyle name="20% - Accent3 10" xfId="6765" hidden="1" xr:uid="{00000000-0005-0000-0000-00001A050000}"/>
    <cellStyle name="20% - Accent3 10" xfId="6451" hidden="1" xr:uid="{00000000-0005-0000-0000-00001B050000}"/>
    <cellStyle name="20% - Accent3 10" xfId="6304" hidden="1" xr:uid="{00000000-0005-0000-0000-00001C050000}"/>
    <cellStyle name="20% - Accent3 10" xfId="7110" hidden="1" xr:uid="{00000000-0005-0000-0000-00001D050000}"/>
    <cellStyle name="20% - Accent3 10" xfId="7186" hidden="1" xr:uid="{00000000-0005-0000-0000-00001E050000}"/>
    <cellStyle name="20% - Accent3 10" xfId="7264" hidden="1" xr:uid="{00000000-0005-0000-0000-00001F050000}"/>
    <cellStyle name="20% - Accent3 10" xfId="7343" hidden="1" xr:uid="{00000000-0005-0000-0000-000020050000}"/>
    <cellStyle name="20% - Accent3 10" xfId="6348" hidden="1" xr:uid="{00000000-0005-0000-0000-000021050000}"/>
    <cellStyle name="20% - Accent3 10" xfId="6319" hidden="1" xr:uid="{00000000-0005-0000-0000-000022050000}"/>
    <cellStyle name="20% - Accent3 10" xfId="7642" hidden="1" xr:uid="{00000000-0005-0000-0000-000023050000}"/>
    <cellStyle name="20% - Accent3 10" xfId="7718" hidden="1" xr:uid="{00000000-0005-0000-0000-000024050000}"/>
    <cellStyle name="20% - Accent3 10" xfId="7796" hidden="1" xr:uid="{00000000-0005-0000-0000-000025050000}"/>
    <cellStyle name="20% - Accent3 10" xfId="7979" hidden="1" xr:uid="{00000000-0005-0000-0000-000026050000}"/>
    <cellStyle name="20% - Accent3 10" xfId="8055" hidden="1" xr:uid="{00000000-0005-0000-0000-000027050000}"/>
    <cellStyle name="20% - Accent3 10" xfId="8133" hidden="1" xr:uid="{00000000-0005-0000-0000-000028050000}"/>
    <cellStyle name="20% - Accent3 10" xfId="8316" hidden="1" xr:uid="{00000000-0005-0000-0000-000029050000}"/>
    <cellStyle name="20% - Accent3 10" xfId="8392" hidden="1" xr:uid="{00000000-0005-0000-0000-00002A050000}"/>
    <cellStyle name="20% - Accent3 11" xfId="131" hidden="1" xr:uid="{00000000-0005-0000-0000-00002B050000}"/>
    <cellStyle name="20% - Accent3 11" xfId="205" hidden="1" xr:uid="{00000000-0005-0000-0000-00002C050000}"/>
    <cellStyle name="20% - Accent3 11" xfId="281" hidden="1" xr:uid="{00000000-0005-0000-0000-00002D050000}"/>
    <cellStyle name="20% - Accent3 11" xfId="359" hidden="1" xr:uid="{00000000-0005-0000-0000-00002E050000}"/>
    <cellStyle name="20% - Accent3 11" xfId="944" hidden="1" xr:uid="{00000000-0005-0000-0000-00002F050000}"/>
    <cellStyle name="20% - Accent3 11" xfId="1020" hidden="1" xr:uid="{00000000-0005-0000-0000-000030050000}"/>
    <cellStyle name="20% - Accent3 11" xfId="1099" hidden="1" xr:uid="{00000000-0005-0000-0000-000031050000}"/>
    <cellStyle name="20% - Accent3 11" xfId="1143" hidden="1" xr:uid="{00000000-0005-0000-0000-000032050000}"/>
    <cellStyle name="20% - Accent3 11" xfId="841" hidden="1" xr:uid="{00000000-0005-0000-0000-000033050000}"/>
    <cellStyle name="20% - Accent3 11" xfId="730" hidden="1" xr:uid="{00000000-0005-0000-0000-000034050000}"/>
    <cellStyle name="20% - Accent3 11" xfId="1539" hidden="1" xr:uid="{00000000-0005-0000-0000-000035050000}"/>
    <cellStyle name="20% - Accent3 11" xfId="1615" hidden="1" xr:uid="{00000000-0005-0000-0000-000036050000}"/>
    <cellStyle name="20% - Accent3 11" xfId="1693" hidden="1" xr:uid="{00000000-0005-0000-0000-000037050000}"/>
    <cellStyle name="20% - Accent3 11" xfId="1731" hidden="1" xr:uid="{00000000-0005-0000-0000-000038050000}"/>
    <cellStyle name="20% - Accent3 11" xfId="1505" hidden="1" xr:uid="{00000000-0005-0000-0000-000039050000}"/>
    <cellStyle name="20% - Accent3 11" xfId="877" hidden="1" xr:uid="{00000000-0005-0000-0000-00003A050000}"/>
    <cellStyle name="20% - Accent3 11" xfId="2071" hidden="1" xr:uid="{00000000-0005-0000-0000-00003B050000}"/>
    <cellStyle name="20% - Accent3 11" xfId="2147" hidden="1" xr:uid="{00000000-0005-0000-0000-00003C050000}"/>
    <cellStyle name="20% - Accent3 11" xfId="2225" hidden="1" xr:uid="{00000000-0005-0000-0000-00003D050000}"/>
    <cellStyle name="20% - Accent3 11" xfId="2408" hidden="1" xr:uid="{00000000-0005-0000-0000-00003E050000}"/>
    <cellStyle name="20% - Accent3 11" xfId="2484" hidden="1" xr:uid="{00000000-0005-0000-0000-00003F050000}"/>
    <cellStyle name="20% - Accent3 11" xfId="2562" hidden="1" xr:uid="{00000000-0005-0000-0000-000040050000}"/>
    <cellStyle name="20% - Accent3 11" xfId="2745" hidden="1" xr:uid="{00000000-0005-0000-0000-000041050000}"/>
    <cellStyle name="20% - Accent3 11" xfId="2821" hidden="1" xr:uid="{00000000-0005-0000-0000-000042050000}"/>
    <cellStyle name="20% - Accent3 11" xfId="2923" hidden="1" xr:uid="{00000000-0005-0000-0000-000043050000}"/>
    <cellStyle name="20% - Accent3 11" xfId="2997" hidden="1" xr:uid="{00000000-0005-0000-0000-000044050000}"/>
    <cellStyle name="20% - Accent3 11" xfId="3073" hidden="1" xr:uid="{00000000-0005-0000-0000-000045050000}"/>
    <cellStyle name="20% - Accent3 11" xfId="3151" hidden="1" xr:uid="{00000000-0005-0000-0000-000046050000}"/>
    <cellStyle name="20% - Accent3 11" xfId="3736" hidden="1" xr:uid="{00000000-0005-0000-0000-000047050000}"/>
    <cellStyle name="20% - Accent3 11" xfId="3812" hidden="1" xr:uid="{00000000-0005-0000-0000-000048050000}"/>
    <cellStyle name="20% - Accent3 11" xfId="3891" hidden="1" xr:uid="{00000000-0005-0000-0000-000049050000}"/>
    <cellStyle name="20% - Accent3 11" xfId="3935" hidden="1" xr:uid="{00000000-0005-0000-0000-00004A050000}"/>
    <cellStyle name="20% - Accent3 11" xfId="3633" hidden="1" xr:uid="{00000000-0005-0000-0000-00004B050000}"/>
    <cellStyle name="20% - Accent3 11" xfId="3522" hidden="1" xr:uid="{00000000-0005-0000-0000-00004C050000}"/>
    <cellStyle name="20% - Accent3 11" xfId="4331" hidden="1" xr:uid="{00000000-0005-0000-0000-00004D050000}"/>
    <cellStyle name="20% - Accent3 11" xfId="4407" hidden="1" xr:uid="{00000000-0005-0000-0000-00004E050000}"/>
    <cellStyle name="20% - Accent3 11" xfId="4485" hidden="1" xr:uid="{00000000-0005-0000-0000-00004F050000}"/>
    <cellStyle name="20% - Accent3 11" xfId="4523" hidden="1" xr:uid="{00000000-0005-0000-0000-000050050000}"/>
    <cellStyle name="20% - Accent3 11" xfId="4297" hidden="1" xr:uid="{00000000-0005-0000-0000-000051050000}"/>
    <cellStyle name="20% - Accent3 11" xfId="3669" hidden="1" xr:uid="{00000000-0005-0000-0000-000052050000}"/>
    <cellStyle name="20% - Accent3 11" xfId="4863" hidden="1" xr:uid="{00000000-0005-0000-0000-000053050000}"/>
    <cellStyle name="20% - Accent3 11" xfId="4939" hidden="1" xr:uid="{00000000-0005-0000-0000-000054050000}"/>
    <cellStyle name="20% - Accent3 11" xfId="5017" hidden="1" xr:uid="{00000000-0005-0000-0000-000055050000}"/>
    <cellStyle name="20% - Accent3 11" xfId="5200" hidden="1" xr:uid="{00000000-0005-0000-0000-000056050000}"/>
    <cellStyle name="20% - Accent3 11" xfId="5276" hidden="1" xr:uid="{00000000-0005-0000-0000-000057050000}"/>
    <cellStyle name="20% - Accent3 11" xfId="5354" hidden="1" xr:uid="{00000000-0005-0000-0000-000058050000}"/>
    <cellStyle name="20% - Accent3 11" xfId="5537" hidden="1" xr:uid="{00000000-0005-0000-0000-000059050000}"/>
    <cellStyle name="20% - Accent3 11" xfId="5613" hidden="1" xr:uid="{00000000-0005-0000-0000-00005A050000}"/>
    <cellStyle name="20% - Accent3 11" xfId="5715" hidden="1" xr:uid="{00000000-0005-0000-0000-00005B050000}"/>
    <cellStyle name="20% - Accent3 11" xfId="5789" hidden="1" xr:uid="{00000000-0005-0000-0000-00005C050000}"/>
    <cellStyle name="20% - Accent3 11" xfId="5865" hidden="1" xr:uid="{00000000-0005-0000-0000-00005D050000}"/>
    <cellStyle name="20% - Accent3 11" xfId="5943" hidden="1" xr:uid="{00000000-0005-0000-0000-00005E050000}"/>
    <cellStyle name="20% - Accent3 11" xfId="6528" hidden="1" xr:uid="{00000000-0005-0000-0000-00005F050000}"/>
    <cellStyle name="20% - Accent3 11" xfId="6604" hidden="1" xr:uid="{00000000-0005-0000-0000-000060050000}"/>
    <cellStyle name="20% - Accent3 11" xfId="6683" hidden="1" xr:uid="{00000000-0005-0000-0000-000061050000}"/>
    <cellStyle name="20% - Accent3 11" xfId="6727" hidden="1" xr:uid="{00000000-0005-0000-0000-000062050000}"/>
    <cellStyle name="20% - Accent3 11" xfId="6425" hidden="1" xr:uid="{00000000-0005-0000-0000-000063050000}"/>
    <cellStyle name="20% - Accent3 11" xfId="6314" hidden="1" xr:uid="{00000000-0005-0000-0000-000064050000}"/>
    <cellStyle name="20% - Accent3 11" xfId="7123" hidden="1" xr:uid="{00000000-0005-0000-0000-000065050000}"/>
    <cellStyle name="20% - Accent3 11" xfId="7199" hidden="1" xr:uid="{00000000-0005-0000-0000-000066050000}"/>
    <cellStyle name="20% - Accent3 11" xfId="7277" hidden="1" xr:uid="{00000000-0005-0000-0000-000067050000}"/>
    <cellStyle name="20% - Accent3 11" xfId="7315" hidden="1" xr:uid="{00000000-0005-0000-0000-000068050000}"/>
    <cellStyle name="20% - Accent3 11" xfId="7089" hidden="1" xr:uid="{00000000-0005-0000-0000-000069050000}"/>
    <cellStyle name="20% - Accent3 11" xfId="6461" hidden="1" xr:uid="{00000000-0005-0000-0000-00006A050000}"/>
    <cellStyle name="20% - Accent3 11" xfId="7655" hidden="1" xr:uid="{00000000-0005-0000-0000-00006B050000}"/>
    <cellStyle name="20% - Accent3 11" xfId="7731" hidden="1" xr:uid="{00000000-0005-0000-0000-00006C050000}"/>
    <cellStyle name="20% - Accent3 11" xfId="7809" hidden="1" xr:uid="{00000000-0005-0000-0000-00006D050000}"/>
    <cellStyle name="20% - Accent3 11" xfId="7992" hidden="1" xr:uid="{00000000-0005-0000-0000-00006E050000}"/>
    <cellStyle name="20% - Accent3 11" xfId="8068" hidden="1" xr:uid="{00000000-0005-0000-0000-00006F050000}"/>
    <cellStyle name="20% - Accent3 11" xfId="8146" hidden="1" xr:uid="{00000000-0005-0000-0000-000070050000}"/>
    <cellStyle name="20% - Accent3 11" xfId="8329" hidden="1" xr:uid="{00000000-0005-0000-0000-000071050000}"/>
    <cellStyle name="20% - Accent3 11" xfId="8405" hidden="1" xr:uid="{00000000-0005-0000-0000-000072050000}"/>
    <cellStyle name="20% - Accent3 12" xfId="144" hidden="1" xr:uid="{00000000-0005-0000-0000-000073050000}"/>
    <cellStyle name="20% - Accent3 12" xfId="219" hidden="1" xr:uid="{00000000-0005-0000-0000-000074050000}"/>
    <cellStyle name="20% - Accent3 12" xfId="294" hidden="1" xr:uid="{00000000-0005-0000-0000-000075050000}"/>
    <cellStyle name="20% - Accent3 12" xfId="372" hidden="1" xr:uid="{00000000-0005-0000-0000-000076050000}"/>
    <cellStyle name="20% - Accent3 12" xfId="958" hidden="1" xr:uid="{00000000-0005-0000-0000-000077050000}"/>
    <cellStyle name="20% - Accent3 12" xfId="1033" hidden="1" xr:uid="{00000000-0005-0000-0000-000078050000}"/>
    <cellStyle name="20% - Accent3 12" xfId="1112" hidden="1" xr:uid="{00000000-0005-0000-0000-000079050000}"/>
    <cellStyle name="20% - Accent3 12" xfId="1172" hidden="1" xr:uid="{00000000-0005-0000-0000-00007A050000}"/>
    <cellStyle name="20% - Accent3 12" xfId="860" hidden="1" xr:uid="{00000000-0005-0000-0000-00007B050000}"/>
    <cellStyle name="20% - Accent3 12" xfId="843" hidden="1" xr:uid="{00000000-0005-0000-0000-00007C050000}"/>
    <cellStyle name="20% - Accent3 12" xfId="1553" hidden="1" xr:uid="{00000000-0005-0000-0000-00007D050000}"/>
    <cellStyle name="20% - Accent3 12" xfId="1628" hidden="1" xr:uid="{00000000-0005-0000-0000-00007E050000}"/>
    <cellStyle name="20% - Accent3 12" xfId="1706" hidden="1" xr:uid="{00000000-0005-0000-0000-00007F050000}"/>
    <cellStyle name="20% - Accent3 12" xfId="1753" hidden="1" xr:uid="{00000000-0005-0000-0000-000080050000}"/>
    <cellStyle name="20% - Accent3 12" xfId="745" hidden="1" xr:uid="{00000000-0005-0000-0000-000081050000}"/>
    <cellStyle name="20% - Accent3 12" xfId="613" hidden="1" xr:uid="{00000000-0005-0000-0000-000082050000}"/>
    <cellStyle name="20% - Accent3 12" xfId="2085" hidden="1" xr:uid="{00000000-0005-0000-0000-000083050000}"/>
    <cellStyle name="20% - Accent3 12" xfId="2160" hidden="1" xr:uid="{00000000-0005-0000-0000-000084050000}"/>
    <cellStyle name="20% - Accent3 12" xfId="2238" hidden="1" xr:uid="{00000000-0005-0000-0000-000085050000}"/>
    <cellStyle name="20% - Accent3 12" xfId="2422" hidden="1" xr:uid="{00000000-0005-0000-0000-000086050000}"/>
    <cellStyle name="20% - Accent3 12" xfId="2497" hidden="1" xr:uid="{00000000-0005-0000-0000-000087050000}"/>
    <cellStyle name="20% - Accent3 12" xfId="2575" hidden="1" xr:uid="{00000000-0005-0000-0000-000088050000}"/>
    <cellStyle name="20% - Accent3 12" xfId="2759" hidden="1" xr:uid="{00000000-0005-0000-0000-000089050000}"/>
    <cellStyle name="20% - Accent3 12" xfId="2834" hidden="1" xr:uid="{00000000-0005-0000-0000-00008A050000}"/>
    <cellStyle name="20% - Accent3 12" xfId="2936" hidden="1" xr:uid="{00000000-0005-0000-0000-00008B050000}"/>
    <cellStyle name="20% - Accent3 12" xfId="3011" hidden="1" xr:uid="{00000000-0005-0000-0000-00008C050000}"/>
    <cellStyle name="20% - Accent3 12" xfId="3086" hidden="1" xr:uid="{00000000-0005-0000-0000-00008D050000}"/>
    <cellStyle name="20% - Accent3 12" xfId="3164" hidden="1" xr:uid="{00000000-0005-0000-0000-00008E050000}"/>
    <cellStyle name="20% - Accent3 12" xfId="3750" hidden="1" xr:uid="{00000000-0005-0000-0000-00008F050000}"/>
    <cellStyle name="20% - Accent3 12" xfId="3825" hidden="1" xr:uid="{00000000-0005-0000-0000-000090050000}"/>
    <cellStyle name="20% - Accent3 12" xfId="3904" hidden="1" xr:uid="{00000000-0005-0000-0000-000091050000}"/>
    <cellStyle name="20% - Accent3 12" xfId="3964" hidden="1" xr:uid="{00000000-0005-0000-0000-000092050000}"/>
    <cellStyle name="20% - Accent3 12" xfId="3652" hidden="1" xr:uid="{00000000-0005-0000-0000-000093050000}"/>
    <cellStyle name="20% - Accent3 12" xfId="3635" hidden="1" xr:uid="{00000000-0005-0000-0000-000094050000}"/>
    <cellStyle name="20% - Accent3 12" xfId="4345" hidden="1" xr:uid="{00000000-0005-0000-0000-000095050000}"/>
    <cellStyle name="20% - Accent3 12" xfId="4420" hidden="1" xr:uid="{00000000-0005-0000-0000-000096050000}"/>
    <cellStyle name="20% - Accent3 12" xfId="4498" hidden="1" xr:uid="{00000000-0005-0000-0000-000097050000}"/>
    <cellStyle name="20% - Accent3 12" xfId="4545" hidden="1" xr:uid="{00000000-0005-0000-0000-000098050000}"/>
    <cellStyle name="20% - Accent3 12" xfId="3537" hidden="1" xr:uid="{00000000-0005-0000-0000-000099050000}"/>
    <cellStyle name="20% - Accent3 12" xfId="3405" hidden="1" xr:uid="{00000000-0005-0000-0000-00009A050000}"/>
    <cellStyle name="20% - Accent3 12" xfId="4877" hidden="1" xr:uid="{00000000-0005-0000-0000-00009B050000}"/>
    <cellStyle name="20% - Accent3 12" xfId="4952" hidden="1" xr:uid="{00000000-0005-0000-0000-00009C050000}"/>
    <cellStyle name="20% - Accent3 12" xfId="5030" hidden="1" xr:uid="{00000000-0005-0000-0000-00009D050000}"/>
    <cellStyle name="20% - Accent3 12" xfId="5214" hidden="1" xr:uid="{00000000-0005-0000-0000-00009E050000}"/>
    <cellStyle name="20% - Accent3 12" xfId="5289" hidden="1" xr:uid="{00000000-0005-0000-0000-00009F050000}"/>
    <cellStyle name="20% - Accent3 12" xfId="5367" hidden="1" xr:uid="{00000000-0005-0000-0000-0000A0050000}"/>
    <cellStyle name="20% - Accent3 12" xfId="5551" hidden="1" xr:uid="{00000000-0005-0000-0000-0000A1050000}"/>
    <cellStyle name="20% - Accent3 12" xfId="5626" hidden="1" xr:uid="{00000000-0005-0000-0000-0000A2050000}"/>
    <cellStyle name="20% - Accent3 12" xfId="5728" hidden="1" xr:uid="{00000000-0005-0000-0000-0000A3050000}"/>
    <cellStyle name="20% - Accent3 12" xfId="5803" hidden="1" xr:uid="{00000000-0005-0000-0000-0000A4050000}"/>
    <cellStyle name="20% - Accent3 12" xfId="5878" hidden="1" xr:uid="{00000000-0005-0000-0000-0000A5050000}"/>
    <cellStyle name="20% - Accent3 12" xfId="5956" hidden="1" xr:uid="{00000000-0005-0000-0000-0000A6050000}"/>
    <cellStyle name="20% - Accent3 12" xfId="6542" hidden="1" xr:uid="{00000000-0005-0000-0000-0000A7050000}"/>
    <cellStyle name="20% - Accent3 12" xfId="6617" hidden="1" xr:uid="{00000000-0005-0000-0000-0000A8050000}"/>
    <cellStyle name="20% - Accent3 12" xfId="6696" hidden="1" xr:uid="{00000000-0005-0000-0000-0000A9050000}"/>
    <cellStyle name="20% - Accent3 12" xfId="6756" hidden="1" xr:uid="{00000000-0005-0000-0000-0000AA050000}"/>
    <cellStyle name="20% - Accent3 12" xfId="6444" hidden="1" xr:uid="{00000000-0005-0000-0000-0000AB050000}"/>
    <cellStyle name="20% - Accent3 12" xfId="6427" hidden="1" xr:uid="{00000000-0005-0000-0000-0000AC050000}"/>
    <cellStyle name="20% - Accent3 12" xfId="7137" hidden="1" xr:uid="{00000000-0005-0000-0000-0000AD050000}"/>
    <cellStyle name="20% - Accent3 12" xfId="7212" hidden="1" xr:uid="{00000000-0005-0000-0000-0000AE050000}"/>
    <cellStyle name="20% - Accent3 12" xfId="7290" hidden="1" xr:uid="{00000000-0005-0000-0000-0000AF050000}"/>
    <cellStyle name="20% - Accent3 12" xfId="7337" hidden="1" xr:uid="{00000000-0005-0000-0000-0000B0050000}"/>
    <cellStyle name="20% - Accent3 12" xfId="6329" hidden="1" xr:uid="{00000000-0005-0000-0000-0000B1050000}"/>
    <cellStyle name="20% - Accent3 12" xfId="6197" hidden="1" xr:uid="{00000000-0005-0000-0000-0000B2050000}"/>
    <cellStyle name="20% - Accent3 12" xfId="7669" hidden="1" xr:uid="{00000000-0005-0000-0000-0000B3050000}"/>
    <cellStyle name="20% - Accent3 12" xfId="7744" hidden="1" xr:uid="{00000000-0005-0000-0000-0000B4050000}"/>
    <cellStyle name="20% - Accent3 12" xfId="7822" hidden="1" xr:uid="{00000000-0005-0000-0000-0000B5050000}"/>
    <cellStyle name="20% - Accent3 12" xfId="8006" hidden="1" xr:uid="{00000000-0005-0000-0000-0000B6050000}"/>
    <cellStyle name="20% - Accent3 12" xfId="8081" hidden="1" xr:uid="{00000000-0005-0000-0000-0000B7050000}"/>
    <cellStyle name="20% - Accent3 12" xfId="8159" hidden="1" xr:uid="{00000000-0005-0000-0000-0000B8050000}"/>
    <cellStyle name="20% - Accent3 12" xfId="8343" hidden="1" xr:uid="{00000000-0005-0000-0000-0000B9050000}"/>
    <cellStyle name="20% - Accent3 12" xfId="8418" hidden="1" xr:uid="{00000000-0005-0000-0000-0000BA050000}"/>
    <cellStyle name="20% - Accent3 13" xfId="385" hidden="1" xr:uid="{00000000-0005-0000-0000-0000BB050000}"/>
    <cellStyle name="20% - Accent3 13" xfId="500" hidden="1" xr:uid="{00000000-0005-0000-0000-0000BC050000}"/>
    <cellStyle name="20% - Accent3 13" xfId="1223" hidden="1" xr:uid="{00000000-0005-0000-0000-0000BD050000}"/>
    <cellStyle name="20% - Accent3 13" xfId="1396" hidden="1" xr:uid="{00000000-0005-0000-0000-0000BE050000}"/>
    <cellStyle name="20% - Accent3 13" xfId="1789" hidden="1" xr:uid="{00000000-0005-0000-0000-0000BF050000}"/>
    <cellStyle name="20% - Accent3 13" xfId="1937" hidden="1" xr:uid="{00000000-0005-0000-0000-0000C0050000}"/>
    <cellStyle name="20% - Accent3 13" xfId="2275" hidden="1" xr:uid="{00000000-0005-0000-0000-0000C1050000}"/>
    <cellStyle name="20% - Accent3 13" xfId="2612" hidden="1" xr:uid="{00000000-0005-0000-0000-0000C2050000}"/>
    <cellStyle name="20% - Accent3 13" xfId="3177" hidden="1" xr:uid="{00000000-0005-0000-0000-0000C3050000}"/>
    <cellStyle name="20% - Accent3 13" xfId="3292" hidden="1" xr:uid="{00000000-0005-0000-0000-0000C4050000}"/>
    <cellStyle name="20% - Accent3 13" xfId="4015" hidden="1" xr:uid="{00000000-0005-0000-0000-0000C5050000}"/>
    <cellStyle name="20% - Accent3 13" xfId="4188" hidden="1" xr:uid="{00000000-0005-0000-0000-0000C6050000}"/>
    <cellStyle name="20% - Accent3 13" xfId="4581" hidden="1" xr:uid="{00000000-0005-0000-0000-0000C7050000}"/>
    <cellStyle name="20% - Accent3 13" xfId="4729" hidden="1" xr:uid="{00000000-0005-0000-0000-0000C8050000}"/>
    <cellStyle name="20% - Accent3 13" xfId="5067" hidden="1" xr:uid="{00000000-0005-0000-0000-0000C9050000}"/>
    <cellStyle name="20% - Accent3 13" xfId="5404" hidden="1" xr:uid="{00000000-0005-0000-0000-0000CA050000}"/>
    <cellStyle name="20% - Accent3 13" xfId="5969" hidden="1" xr:uid="{00000000-0005-0000-0000-0000CB050000}"/>
    <cellStyle name="20% - Accent3 13" xfId="6084" hidden="1" xr:uid="{00000000-0005-0000-0000-0000CC050000}"/>
    <cellStyle name="20% - Accent3 13" xfId="6807" hidden="1" xr:uid="{00000000-0005-0000-0000-0000CD050000}"/>
    <cellStyle name="20% - Accent3 13" xfId="6980" hidden="1" xr:uid="{00000000-0005-0000-0000-0000CE050000}"/>
    <cellStyle name="20% - Accent3 13" xfId="7373" hidden="1" xr:uid="{00000000-0005-0000-0000-0000CF050000}"/>
    <cellStyle name="20% - Accent3 13" xfId="7521" hidden="1" xr:uid="{00000000-0005-0000-0000-0000D0050000}"/>
    <cellStyle name="20% - Accent3 13" xfId="7859" hidden="1" xr:uid="{00000000-0005-0000-0000-0000D1050000}"/>
    <cellStyle name="20% - Accent3 13" xfId="8196" hidden="1" xr:uid="{00000000-0005-0000-0000-0000D2050000}"/>
    <cellStyle name="20% - Accent3 3 2 3 2" xfId="461" hidden="1" xr:uid="{00000000-0005-0000-0000-0000D3050000}"/>
    <cellStyle name="20% - Accent3 3 2 3 2" xfId="576" hidden="1" xr:uid="{00000000-0005-0000-0000-0000D4050000}"/>
    <cellStyle name="20% - Accent3 3 2 3 2" xfId="1299" hidden="1" xr:uid="{00000000-0005-0000-0000-0000D5050000}"/>
    <cellStyle name="20% - Accent3 3 2 3 2" xfId="1472" hidden="1" xr:uid="{00000000-0005-0000-0000-0000D6050000}"/>
    <cellStyle name="20% - Accent3 3 2 3 2" xfId="1865" hidden="1" xr:uid="{00000000-0005-0000-0000-0000D7050000}"/>
    <cellStyle name="20% - Accent3 3 2 3 2" xfId="2013" hidden="1" xr:uid="{00000000-0005-0000-0000-0000D8050000}"/>
    <cellStyle name="20% - Accent3 3 2 3 2" xfId="2351" hidden="1" xr:uid="{00000000-0005-0000-0000-0000D9050000}"/>
    <cellStyle name="20% - Accent3 3 2 3 2" xfId="2688" hidden="1" xr:uid="{00000000-0005-0000-0000-0000DA050000}"/>
    <cellStyle name="20% - Accent3 3 2 3 2" xfId="3253" hidden="1" xr:uid="{00000000-0005-0000-0000-0000DB050000}"/>
    <cellStyle name="20% - Accent3 3 2 3 2" xfId="3368" hidden="1" xr:uid="{00000000-0005-0000-0000-0000DC050000}"/>
    <cellStyle name="20% - Accent3 3 2 3 2" xfId="4091" hidden="1" xr:uid="{00000000-0005-0000-0000-0000DD050000}"/>
    <cellStyle name="20% - Accent3 3 2 3 2" xfId="4264" hidden="1" xr:uid="{00000000-0005-0000-0000-0000DE050000}"/>
    <cellStyle name="20% - Accent3 3 2 3 2" xfId="4657" hidden="1" xr:uid="{00000000-0005-0000-0000-0000DF050000}"/>
    <cellStyle name="20% - Accent3 3 2 3 2" xfId="4805" hidden="1" xr:uid="{00000000-0005-0000-0000-0000E0050000}"/>
    <cellStyle name="20% - Accent3 3 2 3 2" xfId="5143" hidden="1" xr:uid="{00000000-0005-0000-0000-0000E1050000}"/>
    <cellStyle name="20% - Accent3 3 2 3 2" xfId="5480" hidden="1" xr:uid="{00000000-0005-0000-0000-0000E2050000}"/>
    <cellStyle name="20% - Accent3 3 2 3 2" xfId="6045" hidden="1" xr:uid="{00000000-0005-0000-0000-0000E3050000}"/>
    <cellStyle name="20% - Accent3 3 2 3 2" xfId="6160" hidden="1" xr:uid="{00000000-0005-0000-0000-0000E4050000}"/>
    <cellStyle name="20% - Accent3 3 2 3 2" xfId="6883" hidden="1" xr:uid="{00000000-0005-0000-0000-0000E5050000}"/>
    <cellStyle name="20% - Accent3 3 2 3 2" xfId="7056" hidden="1" xr:uid="{00000000-0005-0000-0000-0000E6050000}"/>
    <cellStyle name="20% - Accent3 3 2 3 2" xfId="7449" hidden="1" xr:uid="{00000000-0005-0000-0000-0000E7050000}"/>
    <cellStyle name="20% - Accent3 3 2 3 2" xfId="7597" hidden="1" xr:uid="{00000000-0005-0000-0000-0000E8050000}"/>
    <cellStyle name="20% - Accent3 3 2 3 2" xfId="7935" hidden="1" xr:uid="{00000000-0005-0000-0000-0000E9050000}"/>
    <cellStyle name="20% - Accent3 3 2 3 2" xfId="8272" hidden="1" xr:uid="{00000000-0005-0000-0000-0000EA050000}"/>
    <cellStyle name="20% - Accent3 3 2 4 2" xfId="416" hidden="1" xr:uid="{00000000-0005-0000-0000-0000EB050000}"/>
    <cellStyle name="20% - Accent3 3 2 4 2" xfId="531" hidden="1" xr:uid="{00000000-0005-0000-0000-0000EC050000}"/>
    <cellStyle name="20% - Accent3 3 2 4 2" xfId="1254" hidden="1" xr:uid="{00000000-0005-0000-0000-0000ED050000}"/>
    <cellStyle name="20% - Accent3 3 2 4 2" xfId="1427" hidden="1" xr:uid="{00000000-0005-0000-0000-0000EE050000}"/>
    <cellStyle name="20% - Accent3 3 2 4 2" xfId="1820" hidden="1" xr:uid="{00000000-0005-0000-0000-0000EF050000}"/>
    <cellStyle name="20% - Accent3 3 2 4 2" xfId="1968" hidden="1" xr:uid="{00000000-0005-0000-0000-0000F0050000}"/>
    <cellStyle name="20% - Accent3 3 2 4 2" xfId="2306" hidden="1" xr:uid="{00000000-0005-0000-0000-0000F1050000}"/>
    <cellStyle name="20% - Accent3 3 2 4 2" xfId="2643" hidden="1" xr:uid="{00000000-0005-0000-0000-0000F2050000}"/>
    <cellStyle name="20% - Accent3 3 2 4 2" xfId="3208" hidden="1" xr:uid="{00000000-0005-0000-0000-0000F3050000}"/>
    <cellStyle name="20% - Accent3 3 2 4 2" xfId="3323" hidden="1" xr:uid="{00000000-0005-0000-0000-0000F4050000}"/>
    <cellStyle name="20% - Accent3 3 2 4 2" xfId="4046" hidden="1" xr:uid="{00000000-0005-0000-0000-0000F5050000}"/>
    <cellStyle name="20% - Accent3 3 2 4 2" xfId="4219" hidden="1" xr:uid="{00000000-0005-0000-0000-0000F6050000}"/>
    <cellStyle name="20% - Accent3 3 2 4 2" xfId="4612" hidden="1" xr:uid="{00000000-0005-0000-0000-0000F7050000}"/>
    <cellStyle name="20% - Accent3 3 2 4 2" xfId="4760" hidden="1" xr:uid="{00000000-0005-0000-0000-0000F8050000}"/>
    <cellStyle name="20% - Accent3 3 2 4 2" xfId="5098" hidden="1" xr:uid="{00000000-0005-0000-0000-0000F9050000}"/>
    <cellStyle name="20% - Accent3 3 2 4 2" xfId="5435" hidden="1" xr:uid="{00000000-0005-0000-0000-0000FA050000}"/>
    <cellStyle name="20% - Accent3 3 2 4 2" xfId="6000" hidden="1" xr:uid="{00000000-0005-0000-0000-0000FB050000}"/>
    <cellStyle name="20% - Accent3 3 2 4 2" xfId="6115" hidden="1" xr:uid="{00000000-0005-0000-0000-0000FC050000}"/>
    <cellStyle name="20% - Accent3 3 2 4 2" xfId="6838" hidden="1" xr:uid="{00000000-0005-0000-0000-0000FD050000}"/>
    <cellStyle name="20% - Accent3 3 2 4 2" xfId="7011" hidden="1" xr:uid="{00000000-0005-0000-0000-0000FE050000}"/>
    <cellStyle name="20% - Accent3 3 2 4 2" xfId="7404" hidden="1" xr:uid="{00000000-0005-0000-0000-0000FF050000}"/>
    <cellStyle name="20% - Accent3 3 2 4 2" xfId="7552" hidden="1" xr:uid="{00000000-0005-0000-0000-000000060000}"/>
    <cellStyle name="20% - Accent3 3 2 4 2" xfId="7890" hidden="1" xr:uid="{00000000-0005-0000-0000-000001060000}"/>
    <cellStyle name="20% - Accent3 3 2 4 2" xfId="8227" hidden="1" xr:uid="{00000000-0005-0000-0000-000002060000}"/>
    <cellStyle name="20% - Accent3 3 3 3 2" xfId="415" hidden="1" xr:uid="{00000000-0005-0000-0000-000003060000}"/>
    <cellStyle name="20% - Accent3 3 3 3 2" xfId="530" hidden="1" xr:uid="{00000000-0005-0000-0000-000004060000}"/>
    <cellStyle name="20% - Accent3 3 3 3 2" xfId="1253" hidden="1" xr:uid="{00000000-0005-0000-0000-000005060000}"/>
    <cellStyle name="20% - Accent3 3 3 3 2" xfId="1426" hidden="1" xr:uid="{00000000-0005-0000-0000-000006060000}"/>
    <cellStyle name="20% - Accent3 3 3 3 2" xfId="1819" hidden="1" xr:uid="{00000000-0005-0000-0000-000007060000}"/>
    <cellStyle name="20% - Accent3 3 3 3 2" xfId="1967" hidden="1" xr:uid="{00000000-0005-0000-0000-000008060000}"/>
    <cellStyle name="20% - Accent3 3 3 3 2" xfId="2305" hidden="1" xr:uid="{00000000-0005-0000-0000-000009060000}"/>
    <cellStyle name="20% - Accent3 3 3 3 2" xfId="2642" hidden="1" xr:uid="{00000000-0005-0000-0000-00000A060000}"/>
    <cellStyle name="20% - Accent3 3 3 3 2" xfId="3207" hidden="1" xr:uid="{00000000-0005-0000-0000-00000B060000}"/>
    <cellStyle name="20% - Accent3 3 3 3 2" xfId="3322" hidden="1" xr:uid="{00000000-0005-0000-0000-00000C060000}"/>
    <cellStyle name="20% - Accent3 3 3 3 2" xfId="4045" hidden="1" xr:uid="{00000000-0005-0000-0000-00000D060000}"/>
    <cellStyle name="20% - Accent3 3 3 3 2" xfId="4218" hidden="1" xr:uid="{00000000-0005-0000-0000-00000E060000}"/>
    <cellStyle name="20% - Accent3 3 3 3 2" xfId="4611" hidden="1" xr:uid="{00000000-0005-0000-0000-00000F060000}"/>
    <cellStyle name="20% - Accent3 3 3 3 2" xfId="4759" hidden="1" xr:uid="{00000000-0005-0000-0000-000010060000}"/>
    <cellStyle name="20% - Accent3 3 3 3 2" xfId="5097" hidden="1" xr:uid="{00000000-0005-0000-0000-000011060000}"/>
    <cellStyle name="20% - Accent3 3 3 3 2" xfId="5434" hidden="1" xr:uid="{00000000-0005-0000-0000-000012060000}"/>
    <cellStyle name="20% - Accent3 3 3 3 2" xfId="5999" hidden="1" xr:uid="{00000000-0005-0000-0000-000013060000}"/>
    <cellStyle name="20% - Accent3 3 3 3 2" xfId="6114" hidden="1" xr:uid="{00000000-0005-0000-0000-000014060000}"/>
    <cellStyle name="20% - Accent3 3 3 3 2" xfId="6837" hidden="1" xr:uid="{00000000-0005-0000-0000-000015060000}"/>
    <cellStyle name="20% - Accent3 3 3 3 2" xfId="7010" hidden="1" xr:uid="{00000000-0005-0000-0000-000016060000}"/>
    <cellStyle name="20% - Accent3 3 3 3 2" xfId="7403" hidden="1" xr:uid="{00000000-0005-0000-0000-000017060000}"/>
    <cellStyle name="20% - Accent3 3 3 3 2" xfId="7551" hidden="1" xr:uid="{00000000-0005-0000-0000-000018060000}"/>
    <cellStyle name="20% - Accent3 3 3 3 2" xfId="7889" hidden="1" xr:uid="{00000000-0005-0000-0000-000019060000}"/>
    <cellStyle name="20% - Accent3 3 3 3 2" xfId="8226" hidden="1" xr:uid="{00000000-0005-0000-0000-00001A060000}"/>
    <cellStyle name="20% - Accent3 4 2 3 2" xfId="462" hidden="1" xr:uid="{00000000-0005-0000-0000-00001B060000}"/>
    <cellStyle name="20% - Accent3 4 2 3 2" xfId="577" hidden="1" xr:uid="{00000000-0005-0000-0000-00001C060000}"/>
    <cellStyle name="20% - Accent3 4 2 3 2" xfId="1300" hidden="1" xr:uid="{00000000-0005-0000-0000-00001D060000}"/>
    <cellStyle name="20% - Accent3 4 2 3 2" xfId="1473" hidden="1" xr:uid="{00000000-0005-0000-0000-00001E060000}"/>
    <cellStyle name="20% - Accent3 4 2 3 2" xfId="1866" hidden="1" xr:uid="{00000000-0005-0000-0000-00001F060000}"/>
    <cellStyle name="20% - Accent3 4 2 3 2" xfId="2014" hidden="1" xr:uid="{00000000-0005-0000-0000-000020060000}"/>
    <cellStyle name="20% - Accent3 4 2 3 2" xfId="2352" hidden="1" xr:uid="{00000000-0005-0000-0000-000021060000}"/>
    <cellStyle name="20% - Accent3 4 2 3 2" xfId="2689" hidden="1" xr:uid="{00000000-0005-0000-0000-000022060000}"/>
    <cellStyle name="20% - Accent3 4 2 3 2" xfId="3254" hidden="1" xr:uid="{00000000-0005-0000-0000-000023060000}"/>
    <cellStyle name="20% - Accent3 4 2 3 2" xfId="3369" hidden="1" xr:uid="{00000000-0005-0000-0000-000024060000}"/>
    <cellStyle name="20% - Accent3 4 2 3 2" xfId="4092" hidden="1" xr:uid="{00000000-0005-0000-0000-000025060000}"/>
    <cellStyle name="20% - Accent3 4 2 3 2" xfId="4265" hidden="1" xr:uid="{00000000-0005-0000-0000-000026060000}"/>
    <cellStyle name="20% - Accent3 4 2 3 2" xfId="4658" hidden="1" xr:uid="{00000000-0005-0000-0000-000027060000}"/>
    <cellStyle name="20% - Accent3 4 2 3 2" xfId="4806" hidden="1" xr:uid="{00000000-0005-0000-0000-000028060000}"/>
    <cellStyle name="20% - Accent3 4 2 3 2" xfId="5144" hidden="1" xr:uid="{00000000-0005-0000-0000-000029060000}"/>
    <cellStyle name="20% - Accent3 4 2 3 2" xfId="5481" hidden="1" xr:uid="{00000000-0005-0000-0000-00002A060000}"/>
    <cellStyle name="20% - Accent3 4 2 3 2" xfId="6046" hidden="1" xr:uid="{00000000-0005-0000-0000-00002B060000}"/>
    <cellStyle name="20% - Accent3 4 2 3 2" xfId="6161" hidden="1" xr:uid="{00000000-0005-0000-0000-00002C060000}"/>
    <cellStyle name="20% - Accent3 4 2 3 2" xfId="6884" hidden="1" xr:uid="{00000000-0005-0000-0000-00002D060000}"/>
    <cellStyle name="20% - Accent3 4 2 3 2" xfId="7057" hidden="1" xr:uid="{00000000-0005-0000-0000-00002E060000}"/>
    <cellStyle name="20% - Accent3 4 2 3 2" xfId="7450" hidden="1" xr:uid="{00000000-0005-0000-0000-00002F060000}"/>
    <cellStyle name="20% - Accent3 4 2 3 2" xfId="7598" hidden="1" xr:uid="{00000000-0005-0000-0000-000030060000}"/>
    <cellStyle name="20% - Accent3 4 2 3 2" xfId="7936" hidden="1" xr:uid="{00000000-0005-0000-0000-000031060000}"/>
    <cellStyle name="20% - Accent3 4 2 3 2" xfId="8273" hidden="1" xr:uid="{00000000-0005-0000-0000-000032060000}"/>
    <cellStyle name="20% - Accent3 4 2 4 2" xfId="418" hidden="1" xr:uid="{00000000-0005-0000-0000-000033060000}"/>
    <cellStyle name="20% - Accent3 4 2 4 2" xfId="533" hidden="1" xr:uid="{00000000-0005-0000-0000-000034060000}"/>
    <cellStyle name="20% - Accent3 4 2 4 2" xfId="1256" hidden="1" xr:uid="{00000000-0005-0000-0000-000035060000}"/>
    <cellStyle name="20% - Accent3 4 2 4 2" xfId="1429" hidden="1" xr:uid="{00000000-0005-0000-0000-000036060000}"/>
    <cellStyle name="20% - Accent3 4 2 4 2" xfId="1822" hidden="1" xr:uid="{00000000-0005-0000-0000-000037060000}"/>
    <cellStyle name="20% - Accent3 4 2 4 2" xfId="1970" hidden="1" xr:uid="{00000000-0005-0000-0000-000038060000}"/>
    <cellStyle name="20% - Accent3 4 2 4 2" xfId="2308" hidden="1" xr:uid="{00000000-0005-0000-0000-000039060000}"/>
    <cellStyle name="20% - Accent3 4 2 4 2" xfId="2645" hidden="1" xr:uid="{00000000-0005-0000-0000-00003A060000}"/>
    <cellStyle name="20% - Accent3 4 2 4 2" xfId="3210" hidden="1" xr:uid="{00000000-0005-0000-0000-00003B060000}"/>
    <cellStyle name="20% - Accent3 4 2 4 2" xfId="3325" hidden="1" xr:uid="{00000000-0005-0000-0000-00003C060000}"/>
    <cellStyle name="20% - Accent3 4 2 4 2" xfId="4048" hidden="1" xr:uid="{00000000-0005-0000-0000-00003D060000}"/>
    <cellStyle name="20% - Accent3 4 2 4 2" xfId="4221" hidden="1" xr:uid="{00000000-0005-0000-0000-00003E060000}"/>
    <cellStyle name="20% - Accent3 4 2 4 2" xfId="4614" hidden="1" xr:uid="{00000000-0005-0000-0000-00003F060000}"/>
    <cellStyle name="20% - Accent3 4 2 4 2" xfId="4762" hidden="1" xr:uid="{00000000-0005-0000-0000-000040060000}"/>
    <cellStyle name="20% - Accent3 4 2 4 2" xfId="5100" hidden="1" xr:uid="{00000000-0005-0000-0000-000041060000}"/>
    <cellStyle name="20% - Accent3 4 2 4 2" xfId="5437" hidden="1" xr:uid="{00000000-0005-0000-0000-000042060000}"/>
    <cellStyle name="20% - Accent3 4 2 4 2" xfId="6002" hidden="1" xr:uid="{00000000-0005-0000-0000-000043060000}"/>
    <cellStyle name="20% - Accent3 4 2 4 2" xfId="6117" hidden="1" xr:uid="{00000000-0005-0000-0000-000044060000}"/>
    <cellStyle name="20% - Accent3 4 2 4 2" xfId="6840" hidden="1" xr:uid="{00000000-0005-0000-0000-000045060000}"/>
    <cellStyle name="20% - Accent3 4 2 4 2" xfId="7013" hidden="1" xr:uid="{00000000-0005-0000-0000-000046060000}"/>
    <cellStyle name="20% - Accent3 4 2 4 2" xfId="7406" hidden="1" xr:uid="{00000000-0005-0000-0000-000047060000}"/>
    <cellStyle name="20% - Accent3 4 2 4 2" xfId="7554" hidden="1" xr:uid="{00000000-0005-0000-0000-000048060000}"/>
    <cellStyle name="20% - Accent3 4 2 4 2" xfId="7892" hidden="1" xr:uid="{00000000-0005-0000-0000-000049060000}"/>
    <cellStyle name="20% - Accent3 4 2 4 2" xfId="8229" hidden="1" xr:uid="{00000000-0005-0000-0000-00004A060000}"/>
    <cellStyle name="20% - Accent3 4 3 3 2" xfId="417" hidden="1" xr:uid="{00000000-0005-0000-0000-00004B060000}"/>
    <cellStyle name="20% - Accent3 4 3 3 2" xfId="532" hidden="1" xr:uid="{00000000-0005-0000-0000-00004C060000}"/>
    <cellStyle name="20% - Accent3 4 3 3 2" xfId="1255" hidden="1" xr:uid="{00000000-0005-0000-0000-00004D060000}"/>
    <cellStyle name="20% - Accent3 4 3 3 2" xfId="1428" hidden="1" xr:uid="{00000000-0005-0000-0000-00004E060000}"/>
    <cellStyle name="20% - Accent3 4 3 3 2" xfId="1821" hidden="1" xr:uid="{00000000-0005-0000-0000-00004F060000}"/>
    <cellStyle name="20% - Accent3 4 3 3 2" xfId="1969" hidden="1" xr:uid="{00000000-0005-0000-0000-000050060000}"/>
    <cellStyle name="20% - Accent3 4 3 3 2" xfId="2307" hidden="1" xr:uid="{00000000-0005-0000-0000-000051060000}"/>
    <cellStyle name="20% - Accent3 4 3 3 2" xfId="2644" hidden="1" xr:uid="{00000000-0005-0000-0000-000052060000}"/>
    <cellStyle name="20% - Accent3 4 3 3 2" xfId="3209" hidden="1" xr:uid="{00000000-0005-0000-0000-000053060000}"/>
    <cellStyle name="20% - Accent3 4 3 3 2" xfId="3324" hidden="1" xr:uid="{00000000-0005-0000-0000-000054060000}"/>
    <cellStyle name="20% - Accent3 4 3 3 2" xfId="4047" hidden="1" xr:uid="{00000000-0005-0000-0000-000055060000}"/>
    <cellStyle name="20% - Accent3 4 3 3 2" xfId="4220" hidden="1" xr:uid="{00000000-0005-0000-0000-000056060000}"/>
    <cellStyle name="20% - Accent3 4 3 3 2" xfId="4613" hidden="1" xr:uid="{00000000-0005-0000-0000-000057060000}"/>
    <cellStyle name="20% - Accent3 4 3 3 2" xfId="4761" hidden="1" xr:uid="{00000000-0005-0000-0000-000058060000}"/>
    <cellStyle name="20% - Accent3 4 3 3 2" xfId="5099" hidden="1" xr:uid="{00000000-0005-0000-0000-000059060000}"/>
    <cellStyle name="20% - Accent3 4 3 3 2" xfId="5436" hidden="1" xr:uid="{00000000-0005-0000-0000-00005A060000}"/>
    <cellStyle name="20% - Accent3 4 3 3 2" xfId="6001" hidden="1" xr:uid="{00000000-0005-0000-0000-00005B060000}"/>
    <cellStyle name="20% - Accent3 4 3 3 2" xfId="6116" hidden="1" xr:uid="{00000000-0005-0000-0000-00005C060000}"/>
    <cellStyle name="20% - Accent3 4 3 3 2" xfId="6839" hidden="1" xr:uid="{00000000-0005-0000-0000-00005D060000}"/>
    <cellStyle name="20% - Accent3 4 3 3 2" xfId="7012" hidden="1" xr:uid="{00000000-0005-0000-0000-00005E060000}"/>
    <cellStyle name="20% - Accent3 4 3 3 2" xfId="7405" hidden="1" xr:uid="{00000000-0005-0000-0000-00005F060000}"/>
    <cellStyle name="20% - Accent3 4 3 3 2" xfId="7553" hidden="1" xr:uid="{00000000-0005-0000-0000-000060060000}"/>
    <cellStyle name="20% - Accent3 4 3 3 2" xfId="7891" hidden="1" xr:uid="{00000000-0005-0000-0000-000061060000}"/>
    <cellStyle name="20% - Accent3 4 3 3 2" xfId="8228" hidden="1" xr:uid="{00000000-0005-0000-0000-000062060000}"/>
    <cellStyle name="20% - Accent3 5 2" xfId="399" hidden="1" xr:uid="{00000000-0005-0000-0000-000063060000}"/>
    <cellStyle name="20% - Accent3 5 2" xfId="514" hidden="1" xr:uid="{00000000-0005-0000-0000-000064060000}"/>
    <cellStyle name="20% - Accent3 5 2" xfId="1237" hidden="1" xr:uid="{00000000-0005-0000-0000-000065060000}"/>
    <cellStyle name="20% - Accent3 5 2" xfId="1410" hidden="1" xr:uid="{00000000-0005-0000-0000-000066060000}"/>
    <cellStyle name="20% - Accent3 5 2" xfId="1803" hidden="1" xr:uid="{00000000-0005-0000-0000-000067060000}"/>
    <cellStyle name="20% - Accent3 5 2" xfId="1951" hidden="1" xr:uid="{00000000-0005-0000-0000-000068060000}"/>
    <cellStyle name="20% - Accent3 5 2" xfId="2289" hidden="1" xr:uid="{00000000-0005-0000-0000-000069060000}"/>
    <cellStyle name="20% - Accent3 5 2" xfId="2626" hidden="1" xr:uid="{00000000-0005-0000-0000-00006A060000}"/>
    <cellStyle name="20% - Accent3 5 2" xfId="3191" hidden="1" xr:uid="{00000000-0005-0000-0000-00006B060000}"/>
    <cellStyle name="20% - Accent3 5 2" xfId="3306" hidden="1" xr:uid="{00000000-0005-0000-0000-00006C060000}"/>
    <cellStyle name="20% - Accent3 5 2" xfId="4029" hidden="1" xr:uid="{00000000-0005-0000-0000-00006D060000}"/>
    <cellStyle name="20% - Accent3 5 2" xfId="4202" hidden="1" xr:uid="{00000000-0005-0000-0000-00006E060000}"/>
    <cellStyle name="20% - Accent3 5 2" xfId="4595" hidden="1" xr:uid="{00000000-0005-0000-0000-00006F060000}"/>
    <cellStyle name="20% - Accent3 5 2" xfId="4743" hidden="1" xr:uid="{00000000-0005-0000-0000-000070060000}"/>
    <cellStyle name="20% - Accent3 5 2" xfId="5081" hidden="1" xr:uid="{00000000-0005-0000-0000-000071060000}"/>
    <cellStyle name="20% - Accent3 5 2" xfId="5418" hidden="1" xr:uid="{00000000-0005-0000-0000-000072060000}"/>
    <cellStyle name="20% - Accent3 5 2" xfId="5983" hidden="1" xr:uid="{00000000-0005-0000-0000-000073060000}"/>
    <cellStyle name="20% - Accent3 5 2" xfId="6098" hidden="1" xr:uid="{00000000-0005-0000-0000-000074060000}"/>
    <cellStyle name="20% - Accent3 5 2" xfId="6821" hidden="1" xr:uid="{00000000-0005-0000-0000-000075060000}"/>
    <cellStyle name="20% - Accent3 5 2" xfId="6994" hidden="1" xr:uid="{00000000-0005-0000-0000-000076060000}"/>
    <cellStyle name="20% - Accent3 5 2" xfId="7387" hidden="1" xr:uid="{00000000-0005-0000-0000-000077060000}"/>
    <cellStyle name="20% - Accent3 5 2" xfId="7535" hidden="1" xr:uid="{00000000-0005-0000-0000-000078060000}"/>
    <cellStyle name="20% - Accent3 5 2" xfId="7873" hidden="1" xr:uid="{00000000-0005-0000-0000-000079060000}"/>
    <cellStyle name="20% - Accent3 5 2" xfId="8210" hidden="1" xr:uid="{00000000-0005-0000-0000-00007A060000}"/>
    <cellStyle name="20% - Accent3 7" xfId="76" hidden="1" xr:uid="{00000000-0005-0000-0000-00007B060000}"/>
    <cellStyle name="20% - Accent3 7" xfId="153" hidden="1" xr:uid="{00000000-0005-0000-0000-00007C060000}"/>
    <cellStyle name="20% - Accent3 7" xfId="231" hidden="1" xr:uid="{00000000-0005-0000-0000-00007D060000}"/>
    <cellStyle name="20% - Accent3 7" xfId="309" hidden="1" xr:uid="{00000000-0005-0000-0000-00007E060000}"/>
    <cellStyle name="20% - Accent3 7" xfId="891" hidden="1" xr:uid="{00000000-0005-0000-0000-00007F060000}"/>
    <cellStyle name="20% - Accent3 7" xfId="970" hidden="1" xr:uid="{00000000-0005-0000-0000-000080060000}"/>
    <cellStyle name="20% - Accent3 7" xfId="1048" hidden="1" xr:uid="{00000000-0005-0000-0000-000081060000}"/>
    <cellStyle name="20% - Accent3 7" xfId="881" hidden="1" xr:uid="{00000000-0005-0000-0000-000082060000}"/>
    <cellStyle name="20% - Accent3 7" xfId="1135" hidden="1" xr:uid="{00000000-0005-0000-0000-000083060000}"/>
    <cellStyle name="20% - Accent3 7" xfId="743" hidden="1" xr:uid="{00000000-0005-0000-0000-000084060000}"/>
    <cellStyle name="20% - Accent3 7" xfId="1141" hidden="1" xr:uid="{00000000-0005-0000-0000-000085060000}"/>
    <cellStyle name="20% - Accent3 7" xfId="1565" hidden="1" xr:uid="{00000000-0005-0000-0000-000086060000}"/>
    <cellStyle name="20% - Accent3 7" xfId="1643" hidden="1" xr:uid="{00000000-0005-0000-0000-000087060000}"/>
    <cellStyle name="20% - Accent3 7" xfId="1365" hidden="1" xr:uid="{00000000-0005-0000-0000-000088060000}"/>
    <cellStyle name="20% - Accent3 7" xfId="1724" hidden="1" xr:uid="{00000000-0005-0000-0000-000089060000}"/>
    <cellStyle name="20% - Accent3 7" xfId="679" hidden="1" xr:uid="{00000000-0005-0000-0000-00008A060000}"/>
    <cellStyle name="20% - Accent3 7" xfId="1729" hidden="1" xr:uid="{00000000-0005-0000-0000-00008B060000}"/>
    <cellStyle name="20% - Accent3 7" xfId="2097" hidden="1" xr:uid="{00000000-0005-0000-0000-00008C060000}"/>
    <cellStyle name="20% - Accent3 7" xfId="2175" hidden="1" xr:uid="{00000000-0005-0000-0000-00008D060000}"/>
    <cellStyle name="20% - Accent3 7" xfId="740" hidden="1" xr:uid="{00000000-0005-0000-0000-00008E060000}"/>
    <cellStyle name="20% - Accent3 7" xfId="2434" hidden="1" xr:uid="{00000000-0005-0000-0000-00008F060000}"/>
    <cellStyle name="20% - Accent3 7" xfId="2512" hidden="1" xr:uid="{00000000-0005-0000-0000-000090060000}"/>
    <cellStyle name="20% - Accent3 7" xfId="1926" hidden="1" xr:uid="{00000000-0005-0000-0000-000091060000}"/>
    <cellStyle name="20% - Accent3 7" xfId="2771" hidden="1" xr:uid="{00000000-0005-0000-0000-000092060000}"/>
    <cellStyle name="20% - Accent3 7" xfId="2868" hidden="1" xr:uid="{00000000-0005-0000-0000-000093060000}"/>
    <cellStyle name="20% - Accent3 7" xfId="2945" hidden="1" xr:uid="{00000000-0005-0000-0000-000094060000}"/>
    <cellStyle name="20% - Accent3 7" xfId="3023" hidden="1" xr:uid="{00000000-0005-0000-0000-000095060000}"/>
    <cellStyle name="20% - Accent3 7" xfId="3101" hidden="1" xr:uid="{00000000-0005-0000-0000-000096060000}"/>
    <cellStyle name="20% - Accent3 7" xfId="3683" hidden="1" xr:uid="{00000000-0005-0000-0000-000097060000}"/>
    <cellStyle name="20% - Accent3 7" xfId="3762" hidden="1" xr:uid="{00000000-0005-0000-0000-000098060000}"/>
    <cellStyle name="20% - Accent3 7" xfId="3840" hidden="1" xr:uid="{00000000-0005-0000-0000-000099060000}"/>
    <cellStyle name="20% - Accent3 7" xfId="3673" hidden="1" xr:uid="{00000000-0005-0000-0000-00009A060000}"/>
    <cellStyle name="20% - Accent3 7" xfId="3927" hidden="1" xr:uid="{00000000-0005-0000-0000-00009B060000}"/>
    <cellStyle name="20% - Accent3 7" xfId="3535" hidden="1" xr:uid="{00000000-0005-0000-0000-00009C060000}"/>
    <cellStyle name="20% - Accent3 7" xfId="3933" hidden="1" xr:uid="{00000000-0005-0000-0000-00009D060000}"/>
    <cellStyle name="20% - Accent3 7" xfId="4357" hidden="1" xr:uid="{00000000-0005-0000-0000-00009E060000}"/>
    <cellStyle name="20% - Accent3 7" xfId="4435" hidden="1" xr:uid="{00000000-0005-0000-0000-00009F060000}"/>
    <cellStyle name="20% - Accent3 7" xfId="4157" hidden="1" xr:uid="{00000000-0005-0000-0000-0000A0060000}"/>
    <cellStyle name="20% - Accent3 7" xfId="4516" hidden="1" xr:uid="{00000000-0005-0000-0000-0000A1060000}"/>
    <cellStyle name="20% - Accent3 7" xfId="3471" hidden="1" xr:uid="{00000000-0005-0000-0000-0000A2060000}"/>
    <cellStyle name="20% - Accent3 7" xfId="4521" hidden="1" xr:uid="{00000000-0005-0000-0000-0000A3060000}"/>
    <cellStyle name="20% - Accent3 7" xfId="4889" hidden="1" xr:uid="{00000000-0005-0000-0000-0000A4060000}"/>
    <cellStyle name="20% - Accent3 7" xfId="4967" hidden="1" xr:uid="{00000000-0005-0000-0000-0000A5060000}"/>
    <cellStyle name="20% - Accent3 7" xfId="3532" hidden="1" xr:uid="{00000000-0005-0000-0000-0000A6060000}"/>
    <cellStyle name="20% - Accent3 7" xfId="5226" hidden="1" xr:uid="{00000000-0005-0000-0000-0000A7060000}"/>
    <cellStyle name="20% - Accent3 7" xfId="5304" hidden="1" xr:uid="{00000000-0005-0000-0000-0000A8060000}"/>
    <cellStyle name="20% - Accent3 7" xfId="4718" hidden="1" xr:uid="{00000000-0005-0000-0000-0000A9060000}"/>
    <cellStyle name="20% - Accent3 7" xfId="5563" hidden="1" xr:uid="{00000000-0005-0000-0000-0000AA060000}"/>
    <cellStyle name="20% - Accent3 7" xfId="5660" hidden="1" xr:uid="{00000000-0005-0000-0000-0000AB060000}"/>
    <cellStyle name="20% - Accent3 7" xfId="5737" hidden="1" xr:uid="{00000000-0005-0000-0000-0000AC060000}"/>
    <cellStyle name="20% - Accent3 7" xfId="5815" hidden="1" xr:uid="{00000000-0005-0000-0000-0000AD060000}"/>
    <cellStyle name="20% - Accent3 7" xfId="5893" hidden="1" xr:uid="{00000000-0005-0000-0000-0000AE060000}"/>
    <cellStyle name="20% - Accent3 7" xfId="6475" hidden="1" xr:uid="{00000000-0005-0000-0000-0000AF060000}"/>
    <cellStyle name="20% - Accent3 7" xfId="6554" hidden="1" xr:uid="{00000000-0005-0000-0000-0000B0060000}"/>
    <cellStyle name="20% - Accent3 7" xfId="6632" hidden="1" xr:uid="{00000000-0005-0000-0000-0000B1060000}"/>
    <cellStyle name="20% - Accent3 7" xfId="6465" hidden="1" xr:uid="{00000000-0005-0000-0000-0000B2060000}"/>
    <cellStyle name="20% - Accent3 7" xfId="6719" hidden="1" xr:uid="{00000000-0005-0000-0000-0000B3060000}"/>
    <cellStyle name="20% - Accent3 7" xfId="6327" hidden="1" xr:uid="{00000000-0005-0000-0000-0000B4060000}"/>
    <cellStyle name="20% - Accent3 7" xfId="6725" hidden="1" xr:uid="{00000000-0005-0000-0000-0000B5060000}"/>
    <cellStyle name="20% - Accent3 7" xfId="7149" hidden="1" xr:uid="{00000000-0005-0000-0000-0000B6060000}"/>
    <cellStyle name="20% - Accent3 7" xfId="7227" hidden="1" xr:uid="{00000000-0005-0000-0000-0000B7060000}"/>
    <cellStyle name="20% - Accent3 7" xfId="6949" hidden="1" xr:uid="{00000000-0005-0000-0000-0000B8060000}"/>
    <cellStyle name="20% - Accent3 7" xfId="7308" hidden="1" xr:uid="{00000000-0005-0000-0000-0000B9060000}"/>
    <cellStyle name="20% - Accent3 7" xfId="6263" hidden="1" xr:uid="{00000000-0005-0000-0000-0000BA060000}"/>
    <cellStyle name="20% - Accent3 7" xfId="7313" hidden="1" xr:uid="{00000000-0005-0000-0000-0000BB060000}"/>
    <cellStyle name="20% - Accent3 7" xfId="7681" hidden="1" xr:uid="{00000000-0005-0000-0000-0000BC060000}"/>
    <cellStyle name="20% - Accent3 7" xfId="7759" hidden="1" xr:uid="{00000000-0005-0000-0000-0000BD060000}"/>
    <cellStyle name="20% - Accent3 7" xfId="6324" hidden="1" xr:uid="{00000000-0005-0000-0000-0000BE060000}"/>
    <cellStyle name="20% - Accent3 7" xfId="8018" hidden="1" xr:uid="{00000000-0005-0000-0000-0000BF060000}"/>
    <cellStyle name="20% - Accent3 7" xfId="8096" hidden="1" xr:uid="{00000000-0005-0000-0000-0000C0060000}"/>
    <cellStyle name="20% - Accent3 7" xfId="7510" hidden="1" xr:uid="{00000000-0005-0000-0000-0000C1060000}"/>
    <cellStyle name="20% - Accent3 7" xfId="8355" hidden="1" xr:uid="{00000000-0005-0000-0000-0000C2060000}"/>
    <cellStyle name="20% - Accent3 8" xfId="92" hidden="1" xr:uid="{00000000-0005-0000-0000-0000C3060000}"/>
    <cellStyle name="20% - Accent3 8" xfId="159" hidden="1" xr:uid="{00000000-0005-0000-0000-0000C4060000}"/>
    <cellStyle name="20% - Accent3 8" xfId="237" hidden="1" xr:uid="{00000000-0005-0000-0000-0000C5060000}"/>
    <cellStyle name="20% - Accent3 8" xfId="315" hidden="1" xr:uid="{00000000-0005-0000-0000-0000C6060000}"/>
    <cellStyle name="20% - Accent3 8" xfId="897" hidden="1" xr:uid="{00000000-0005-0000-0000-0000C7060000}"/>
    <cellStyle name="20% - Accent3 8" xfId="976" hidden="1" xr:uid="{00000000-0005-0000-0000-0000C8060000}"/>
    <cellStyle name="20% - Accent3 8" xfId="1055" hidden="1" xr:uid="{00000000-0005-0000-0000-0000C9060000}"/>
    <cellStyle name="20% - Accent3 8" xfId="862" hidden="1" xr:uid="{00000000-0005-0000-0000-0000CA060000}"/>
    <cellStyle name="20% - Accent3 8" xfId="1159" hidden="1" xr:uid="{00000000-0005-0000-0000-0000CB060000}"/>
    <cellStyle name="20% - Accent3 8" xfId="600" hidden="1" xr:uid="{00000000-0005-0000-0000-0000CC060000}"/>
    <cellStyle name="20% - Accent3 8" xfId="1503" hidden="1" xr:uid="{00000000-0005-0000-0000-0000CD060000}"/>
    <cellStyle name="20% - Accent3 8" xfId="1571" hidden="1" xr:uid="{00000000-0005-0000-0000-0000CE060000}"/>
    <cellStyle name="20% - Accent3 8" xfId="1649" hidden="1" xr:uid="{00000000-0005-0000-0000-0000CF060000}"/>
    <cellStyle name="20% - Accent3 8" xfId="1132" hidden="1" xr:uid="{00000000-0005-0000-0000-0000D0060000}"/>
    <cellStyle name="20% - Accent3 8" xfId="1743" hidden="1" xr:uid="{00000000-0005-0000-0000-0000D1060000}"/>
    <cellStyle name="20% - Accent3 8" xfId="879" hidden="1" xr:uid="{00000000-0005-0000-0000-0000D2060000}"/>
    <cellStyle name="20% - Accent3 8" xfId="2036" hidden="1" xr:uid="{00000000-0005-0000-0000-0000D3060000}"/>
    <cellStyle name="20% - Accent3 8" xfId="2103" hidden="1" xr:uid="{00000000-0005-0000-0000-0000D4060000}"/>
    <cellStyle name="20% - Accent3 8" xfId="2181" hidden="1" xr:uid="{00000000-0005-0000-0000-0000D5060000}"/>
    <cellStyle name="20% - Accent3 8" xfId="2373" hidden="1" xr:uid="{00000000-0005-0000-0000-0000D6060000}"/>
    <cellStyle name="20% - Accent3 8" xfId="2440" hidden="1" xr:uid="{00000000-0005-0000-0000-0000D7060000}"/>
    <cellStyle name="20% - Accent3 8" xfId="2518" hidden="1" xr:uid="{00000000-0005-0000-0000-0000D8060000}"/>
    <cellStyle name="20% - Accent3 8" xfId="2710" hidden="1" xr:uid="{00000000-0005-0000-0000-0000D9060000}"/>
    <cellStyle name="20% - Accent3 8" xfId="2777" hidden="1" xr:uid="{00000000-0005-0000-0000-0000DA060000}"/>
    <cellStyle name="20% - Accent3 8" xfId="2884" hidden="1" xr:uid="{00000000-0005-0000-0000-0000DB060000}"/>
    <cellStyle name="20% - Accent3 8" xfId="2951" hidden="1" xr:uid="{00000000-0005-0000-0000-0000DC060000}"/>
    <cellStyle name="20% - Accent3 8" xfId="3029" hidden="1" xr:uid="{00000000-0005-0000-0000-0000DD060000}"/>
    <cellStyle name="20% - Accent3 8" xfId="3107" hidden="1" xr:uid="{00000000-0005-0000-0000-0000DE060000}"/>
    <cellStyle name="20% - Accent3 8" xfId="3689" hidden="1" xr:uid="{00000000-0005-0000-0000-0000DF060000}"/>
    <cellStyle name="20% - Accent3 8" xfId="3768" hidden="1" xr:uid="{00000000-0005-0000-0000-0000E0060000}"/>
    <cellStyle name="20% - Accent3 8" xfId="3847" hidden="1" xr:uid="{00000000-0005-0000-0000-0000E1060000}"/>
    <cellStyle name="20% - Accent3 8" xfId="3654" hidden="1" xr:uid="{00000000-0005-0000-0000-0000E2060000}"/>
    <cellStyle name="20% - Accent3 8" xfId="3951" hidden="1" xr:uid="{00000000-0005-0000-0000-0000E3060000}"/>
    <cellStyle name="20% - Accent3 8" xfId="3392" hidden="1" xr:uid="{00000000-0005-0000-0000-0000E4060000}"/>
    <cellStyle name="20% - Accent3 8" xfId="4295" hidden="1" xr:uid="{00000000-0005-0000-0000-0000E5060000}"/>
    <cellStyle name="20% - Accent3 8" xfId="4363" hidden="1" xr:uid="{00000000-0005-0000-0000-0000E6060000}"/>
    <cellStyle name="20% - Accent3 8" xfId="4441" hidden="1" xr:uid="{00000000-0005-0000-0000-0000E7060000}"/>
    <cellStyle name="20% - Accent3 8" xfId="3924" hidden="1" xr:uid="{00000000-0005-0000-0000-0000E8060000}"/>
    <cellStyle name="20% - Accent3 8" xfId="4535" hidden="1" xr:uid="{00000000-0005-0000-0000-0000E9060000}"/>
    <cellStyle name="20% - Accent3 8" xfId="3671" hidden="1" xr:uid="{00000000-0005-0000-0000-0000EA060000}"/>
    <cellStyle name="20% - Accent3 8" xfId="4828" hidden="1" xr:uid="{00000000-0005-0000-0000-0000EB060000}"/>
    <cellStyle name="20% - Accent3 8" xfId="4895" hidden="1" xr:uid="{00000000-0005-0000-0000-0000EC060000}"/>
    <cellStyle name="20% - Accent3 8" xfId="4973" hidden="1" xr:uid="{00000000-0005-0000-0000-0000ED060000}"/>
    <cellStyle name="20% - Accent3 8" xfId="5165" hidden="1" xr:uid="{00000000-0005-0000-0000-0000EE060000}"/>
    <cellStyle name="20% - Accent3 8" xfId="5232" hidden="1" xr:uid="{00000000-0005-0000-0000-0000EF060000}"/>
    <cellStyle name="20% - Accent3 8" xfId="5310" hidden="1" xr:uid="{00000000-0005-0000-0000-0000F0060000}"/>
    <cellStyle name="20% - Accent3 8" xfId="5502" hidden="1" xr:uid="{00000000-0005-0000-0000-0000F1060000}"/>
    <cellStyle name="20% - Accent3 8" xfId="5569" hidden="1" xr:uid="{00000000-0005-0000-0000-0000F2060000}"/>
    <cellStyle name="20% - Accent3 8" xfId="5676" hidden="1" xr:uid="{00000000-0005-0000-0000-0000F3060000}"/>
    <cellStyle name="20% - Accent3 8" xfId="5743" hidden="1" xr:uid="{00000000-0005-0000-0000-0000F4060000}"/>
    <cellStyle name="20% - Accent3 8" xfId="5821" hidden="1" xr:uid="{00000000-0005-0000-0000-0000F5060000}"/>
    <cellStyle name="20% - Accent3 8" xfId="5899" hidden="1" xr:uid="{00000000-0005-0000-0000-0000F6060000}"/>
    <cellStyle name="20% - Accent3 8" xfId="6481" hidden="1" xr:uid="{00000000-0005-0000-0000-0000F7060000}"/>
    <cellStyle name="20% - Accent3 8" xfId="6560" hidden="1" xr:uid="{00000000-0005-0000-0000-0000F8060000}"/>
    <cellStyle name="20% - Accent3 8" xfId="6639" hidden="1" xr:uid="{00000000-0005-0000-0000-0000F9060000}"/>
    <cellStyle name="20% - Accent3 8" xfId="6446" hidden="1" xr:uid="{00000000-0005-0000-0000-0000FA060000}"/>
    <cellStyle name="20% - Accent3 8" xfId="6743" hidden="1" xr:uid="{00000000-0005-0000-0000-0000FB060000}"/>
    <cellStyle name="20% - Accent3 8" xfId="6184" hidden="1" xr:uid="{00000000-0005-0000-0000-0000FC060000}"/>
    <cellStyle name="20% - Accent3 8" xfId="7087" hidden="1" xr:uid="{00000000-0005-0000-0000-0000FD060000}"/>
    <cellStyle name="20% - Accent3 8" xfId="7155" hidden="1" xr:uid="{00000000-0005-0000-0000-0000FE060000}"/>
    <cellStyle name="20% - Accent3 8" xfId="7233" hidden="1" xr:uid="{00000000-0005-0000-0000-0000FF060000}"/>
    <cellStyle name="20% - Accent3 8" xfId="6716" hidden="1" xr:uid="{00000000-0005-0000-0000-000000070000}"/>
    <cellStyle name="20% - Accent3 8" xfId="7327" hidden="1" xr:uid="{00000000-0005-0000-0000-000001070000}"/>
    <cellStyle name="20% - Accent3 8" xfId="6463" hidden="1" xr:uid="{00000000-0005-0000-0000-000002070000}"/>
    <cellStyle name="20% - Accent3 8" xfId="7620" hidden="1" xr:uid="{00000000-0005-0000-0000-000003070000}"/>
    <cellStyle name="20% - Accent3 8" xfId="7687" hidden="1" xr:uid="{00000000-0005-0000-0000-000004070000}"/>
    <cellStyle name="20% - Accent3 8" xfId="7765" hidden="1" xr:uid="{00000000-0005-0000-0000-000005070000}"/>
    <cellStyle name="20% - Accent3 8" xfId="7957" hidden="1" xr:uid="{00000000-0005-0000-0000-000006070000}"/>
    <cellStyle name="20% - Accent3 8" xfId="8024" hidden="1" xr:uid="{00000000-0005-0000-0000-000007070000}"/>
    <cellStyle name="20% - Accent3 8" xfId="8102" hidden="1" xr:uid="{00000000-0005-0000-0000-000008070000}"/>
    <cellStyle name="20% - Accent3 8" xfId="8294" hidden="1" xr:uid="{00000000-0005-0000-0000-000009070000}"/>
    <cellStyle name="20% - Accent3 8" xfId="8361" hidden="1" xr:uid="{00000000-0005-0000-0000-00000A070000}"/>
    <cellStyle name="20% - Accent3 9" xfId="105" hidden="1" xr:uid="{00000000-0005-0000-0000-00000B070000}"/>
    <cellStyle name="20% - Accent3 9" xfId="179" hidden="1" xr:uid="{00000000-0005-0000-0000-00000C070000}"/>
    <cellStyle name="20% - Accent3 9" xfId="255" hidden="1" xr:uid="{00000000-0005-0000-0000-00000D070000}"/>
    <cellStyle name="20% - Accent3 9" xfId="333" hidden="1" xr:uid="{00000000-0005-0000-0000-00000E070000}"/>
    <cellStyle name="20% - Accent3 9" xfId="918" hidden="1" xr:uid="{00000000-0005-0000-0000-00000F070000}"/>
    <cellStyle name="20% - Accent3 9" xfId="994" hidden="1" xr:uid="{00000000-0005-0000-0000-000010070000}"/>
    <cellStyle name="20% - Accent3 9" xfId="1073" hidden="1" xr:uid="{00000000-0005-0000-0000-000011070000}"/>
    <cellStyle name="20% - Accent3 9" xfId="1331" hidden="1" xr:uid="{00000000-0005-0000-0000-000012070000}"/>
    <cellStyle name="20% - Accent3 9" xfId="715" hidden="1" xr:uid="{00000000-0005-0000-0000-000013070000}"/>
    <cellStyle name="20% - Accent3 9" xfId="607" hidden="1" xr:uid="{00000000-0005-0000-0000-000014070000}"/>
    <cellStyle name="20% - Accent3 9" xfId="1513" hidden="1" xr:uid="{00000000-0005-0000-0000-000015070000}"/>
    <cellStyle name="20% - Accent3 9" xfId="1589" hidden="1" xr:uid="{00000000-0005-0000-0000-000016070000}"/>
    <cellStyle name="20% - Accent3 9" xfId="1667" hidden="1" xr:uid="{00000000-0005-0000-0000-000017070000}"/>
    <cellStyle name="20% - Accent3 9" xfId="1891" hidden="1" xr:uid="{00000000-0005-0000-0000-000018070000}"/>
    <cellStyle name="20% - Accent3 9" xfId="746" hidden="1" xr:uid="{00000000-0005-0000-0000-000019070000}"/>
    <cellStyle name="20% - Accent3 9" xfId="853" hidden="1" xr:uid="{00000000-0005-0000-0000-00001A070000}"/>
    <cellStyle name="20% - Accent3 9" xfId="2045" hidden="1" xr:uid="{00000000-0005-0000-0000-00001B070000}"/>
    <cellStyle name="20% - Accent3 9" xfId="2121" hidden="1" xr:uid="{00000000-0005-0000-0000-00001C070000}"/>
    <cellStyle name="20% - Accent3 9" xfId="2199" hidden="1" xr:uid="{00000000-0005-0000-0000-00001D070000}"/>
    <cellStyle name="20% - Accent3 9" xfId="2382" hidden="1" xr:uid="{00000000-0005-0000-0000-00001E070000}"/>
    <cellStyle name="20% - Accent3 9" xfId="2458" hidden="1" xr:uid="{00000000-0005-0000-0000-00001F070000}"/>
    <cellStyle name="20% - Accent3 9" xfId="2536" hidden="1" xr:uid="{00000000-0005-0000-0000-000020070000}"/>
    <cellStyle name="20% - Accent3 9" xfId="2719" hidden="1" xr:uid="{00000000-0005-0000-0000-000021070000}"/>
    <cellStyle name="20% - Accent3 9" xfId="2795" hidden="1" xr:uid="{00000000-0005-0000-0000-000022070000}"/>
    <cellStyle name="20% - Accent3 9" xfId="2897" hidden="1" xr:uid="{00000000-0005-0000-0000-000023070000}"/>
    <cellStyle name="20% - Accent3 9" xfId="2971" hidden="1" xr:uid="{00000000-0005-0000-0000-000024070000}"/>
    <cellStyle name="20% - Accent3 9" xfId="3047" hidden="1" xr:uid="{00000000-0005-0000-0000-000025070000}"/>
    <cellStyle name="20% - Accent3 9" xfId="3125" hidden="1" xr:uid="{00000000-0005-0000-0000-000026070000}"/>
    <cellStyle name="20% - Accent3 9" xfId="3710" hidden="1" xr:uid="{00000000-0005-0000-0000-000027070000}"/>
    <cellStyle name="20% - Accent3 9" xfId="3786" hidden="1" xr:uid="{00000000-0005-0000-0000-000028070000}"/>
    <cellStyle name="20% - Accent3 9" xfId="3865" hidden="1" xr:uid="{00000000-0005-0000-0000-000029070000}"/>
    <cellStyle name="20% - Accent3 9" xfId="4123" hidden="1" xr:uid="{00000000-0005-0000-0000-00002A070000}"/>
    <cellStyle name="20% - Accent3 9" xfId="3507" hidden="1" xr:uid="{00000000-0005-0000-0000-00002B070000}"/>
    <cellStyle name="20% - Accent3 9" xfId="3399" hidden="1" xr:uid="{00000000-0005-0000-0000-00002C070000}"/>
    <cellStyle name="20% - Accent3 9" xfId="4305" hidden="1" xr:uid="{00000000-0005-0000-0000-00002D070000}"/>
    <cellStyle name="20% - Accent3 9" xfId="4381" hidden="1" xr:uid="{00000000-0005-0000-0000-00002E070000}"/>
    <cellStyle name="20% - Accent3 9" xfId="4459" hidden="1" xr:uid="{00000000-0005-0000-0000-00002F070000}"/>
    <cellStyle name="20% - Accent3 9" xfId="4683" hidden="1" xr:uid="{00000000-0005-0000-0000-000030070000}"/>
    <cellStyle name="20% - Accent3 9" xfId="3538" hidden="1" xr:uid="{00000000-0005-0000-0000-000031070000}"/>
    <cellStyle name="20% - Accent3 9" xfId="3645" hidden="1" xr:uid="{00000000-0005-0000-0000-000032070000}"/>
    <cellStyle name="20% - Accent3 9" xfId="4837" hidden="1" xr:uid="{00000000-0005-0000-0000-000033070000}"/>
    <cellStyle name="20% - Accent3 9" xfId="4913" hidden="1" xr:uid="{00000000-0005-0000-0000-000034070000}"/>
    <cellStyle name="20% - Accent3 9" xfId="4991" hidden="1" xr:uid="{00000000-0005-0000-0000-000035070000}"/>
    <cellStyle name="20% - Accent3 9" xfId="5174" hidden="1" xr:uid="{00000000-0005-0000-0000-000036070000}"/>
    <cellStyle name="20% - Accent3 9" xfId="5250" hidden="1" xr:uid="{00000000-0005-0000-0000-000037070000}"/>
    <cellStyle name="20% - Accent3 9" xfId="5328" hidden="1" xr:uid="{00000000-0005-0000-0000-000038070000}"/>
    <cellStyle name="20% - Accent3 9" xfId="5511" hidden="1" xr:uid="{00000000-0005-0000-0000-000039070000}"/>
    <cellStyle name="20% - Accent3 9" xfId="5587" hidden="1" xr:uid="{00000000-0005-0000-0000-00003A070000}"/>
    <cellStyle name="20% - Accent3 9" xfId="5689" hidden="1" xr:uid="{00000000-0005-0000-0000-00003B070000}"/>
    <cellStyle name="20% - Accent3 9" xfId="5763" hidden="1" xr:uid="{00000000-0005-0000-0000-00003C070000}"/>
    <cellStyle name="20% - Accent3 9" xfId="5839" hidden="1" xr:uid="{00000000-0005-0000-0000-00003D070000}"/>
    <cellStyle name="20% - Accent3 9" xfId="5917" hidden="1" xr:uid="{00000000-0005-0000-0000-00003E070000}"/>
    <cellStyle name="20% - Accent3 9" xfId="6502" hidden="1" xr:uid="{00000000-0005-0000-0000-00003F070000}"/>
    <cellStyle name="20% - Accent3 9" xfId="6578" hidden="1" xr:uid="{00000000-0005-0000-0000-000040070000}"/>
    <cellStyle name="20% - Accent3 9" xfId="6657" hidden="1" xr:uid="{00000000-0005-0000-0000-000041070000}"/>
    <cellStyle name="20% - Accent3 9" xfId="6915" hidden="1" xr:uid="{00000000-0005-0000-0000-000042070000}"/>
    <cellStyle name="20% - Accent3 9" xfId="6299" hidden="1" xr:uid="{00000000-0005-0000-0000-000043070000}"/>
    <cellStyle name="20% - Accent3 9" xfId="6191" hidden="1" xr:uid="{00000000-0005-0000-0000-000044070000}"/>
    <cellStyle name="20% - Accent3 9" xfId="7097" hidden="1" xr:uid="{00000000-0005-0000-0000-000045070000}"/>
    <cellStyle name="20% - Accent3 9" xfId="7173" hidden="1" xr:uid="{00000000-0005-0000-0000-000046070000}"/>
    <cellStyle name="20% - Accent3 9" xfId="7251" hidden="1" xr:uid="{00000000-0005-0000-0000-000047070000}"/>
    <cellStyle name="20% - Accent3 9" xfId="7475" hidden="1" xr:uid="{00000000-0005-0000-0000-000048070000}"/>
    <cellStyle name="20% - Accent3 9" xfId="6330" hidden="1" xr:uid="{00000000-0005-0000-0000-000049070000}"/>
    <cellStyle name="20% - Accent3 9" xfId="6437" hidden="1" xr:uid="{00000000-0005-0000-0000-00004A070000}"/>
    <cellStyle name="20% - Accent3 9" xfId="7629" hidden="1" xr:uid="{00000000-0005-0000-0000-00004B070000}"/>
    <cellStyle name="20% - Accent3 9" xfId="7705" hidden="1" xr:uid="{00000000-0005-0000-0000-00004C070000}"/>
    <cellStyle name="20% - Accent3 9" xfId="7783" hidden="1" xr:uid="{00000000-0005-0000-0000-00004D070000}"/>
    <cellStyle name="20% - Accent3 9" xfId="7966" hidden="1" xr:uid="{00000000-0005-0000-0000-00004E070000}"/>
    <cellStyle name="20% - Accent3 9" xfId="8042" hidden="1" xr:uid="{00000000-0005-0000-0000-00004F070000}"/>
    <cellStyle name="20% - Accent3 9" xfId="8120" hidden="1" xr:uid="{00000000-0005-0000-0000-000050070000}"/>
    <cellStyle name="20% - Accent3 9" xfId="8303" hidden="1" xr:uid="{00000000-0005-0000-0000-000051070000}"/>
    <cellStyle name="20% - Accent3 9" xfId="8379" hidden="1" xr:uid="{00000000-0005-0000-0000-000052070000}"/>
    <cellStyle name="20% - Accent4" xfId="35" builtinId="42" hidden="1"/>
    <cellStyle name="20% - Accent4 10" xfId="120" hidden="1" xr:uid="{00000000-0005-0000-0000-000054070000}"/>
    <cellStyle name="20% - Accent4 10" xfId="194" hidden="1" xr:uid="{00000000-0005-0000-0000-000055070000}"/>
    <cellStyle name="20% - Accent4 10" xfId="270" hidden="1" xr:uid="{00000000-0005-0000-0000-000056070000}"/>
    <cellStyle name="20% - Accent4 10" xfId="348" hidden="1" xr:uid="{00000000-0005-0000-0000-000057070000}"/>
    <cellStyle name="20% - Accent4 10" xfId="933" hidden="1" xr:uid="{00000000-0005-0000-0000-000058070000}"/>
    <cellStyle name="20% - Accent4 10" xfId="1009" hidden="1" xr:uid="{00000000-0005-0000-0000-000059070000}"/>
    <cellStyle name="20% - Accent4 10" xfId="1088" hidden="1" xr:uid="{00000000-0005-0000-0000-00005A070000}"/>
    <cellStyle name="20% - Accent4 10" xfId="674" hidden="1" xr:uid="{00000000-0005-0000-0000-00005B070000}"/>
    <cellStyle name="20% - Accent4 10" xfId="675" hidden="1" xr:uid="{00000000-0005-0000-0000-00005C070000}"/>
    <cellStyle name="20% - Accent4 10" xfId="766" hidden="1" xr:uid="{00000000-0005-0000-0000-00005D070000}"/>
    <cellStyle name="20% - Accent4 10" xfId="1528" hidden="1" xr:uid="{00000000-0005-0000-0000-00005E070000}"/>
    <cellStyle name="20% - Accent4 10" xfId="1604" hidden="1" xr:uid="{00000000-0005-0000-0000-00005F070000}"/>
    <cellStyle name="20% - Accent4 10" xfId="1682" hidden="1" xr:uid="{00000000-0005-0000-0000-000060070000}"/>
    <cellStyle name="20% - Accent4 10" xfId="1356" hidden="1" xr:uid="{00000000-0005-0000-0000-000061070000}"/>
    <cellStyle name="20% - Accent4 10" xfId="835" hidden="1" xr:uid="{00000000-0005-0000-0000-000062070000}"/>
    <cellStyle name="20% - Accent4 10" xfId="1129" hidden="1" xr:uid="{00000000-0005-0000-0000-000063070000}"/>
    <cellStyle name="20% - Accent4 10" xfId="2060" hidden="1" xr:uid="{00000000-0005-0000-0000-000064070000}"/>
    <cellStyle name="20% - Accent4 10" xfId="2136" hidden="1" xr:uid="{00000000-0005-0000-0000-000065070000}"/>
    <cellStyle name="20% - Accent4 10" xfId="2214" hidden="1" xr:uid="{00000000-0005-0000-0000-000066070000}"/>
    <cellStyle name="20% - Accent4 10" xfId="2397" hidden="1" xr:uid="{00000000-0005-0000-0000-000067070000}"/>
    <cellStyle name="20% - Accent4 10" xfId="2473" hidden="1" xr:uid="{00000000-0005-0000-0000-000068070000}"/>
    <cellStyle name="20% - Accent4 10" xfId="2551" hidden="1" xr:uid="{00000000-0005-0000-0000-000069070000}"/>
    <cellStyle name="20% - Accent4 10" xfId="2734" hidden="1" xr:uid="{00000000-0005-0000-0000-00006A070000}"/>
    <cellStyle name="20% - Accent4 10" xfId="2810" hidden="1" xr:uid="{00000000-0005-0000-0000-00006B070000}"/>
    <cellStyle name="20% - Accent4 10" xfId="2912" hidden="1" xr:uid="{00000000-0005-0000-0000-00006C070000}"/>
    <cellStyle name="20% - Accent4 10" xfId="2986" hidden="1" xr:uid="{00000000-0005-0000-0000-00006D070000}"/>
    <cellStyle name="20% - Accent4 10" xfId="3062" hidden="1" xr:uid="{00000000-0005-0000-0000-00006E070000}"/>
    <cellStyle name="20% - Accent4 10" xfId="3140" hidden="1" xr:uid="{00000000-0005-0000-0000-00006F070000}"/>
    <cellStyle name="20% - Accent4 10" xfId="3725" hidden="1" xr:uid="{00000000-0005-0000-0000-000070070000}"/>
    <cellStyle name="20% - Accent4 10" xfId="3801" hidden="1" xr:uid="{00000000-0005-0000-0000-000071070000}"/>
    <cellStyle name="20% - Accent4 10" xfId="3880" hidden="1" xr:uid="{00000000-0005-0000-0000-000072070000}"/>
    <cellStyle name="20% - Accent4 10" xfId="3466" hidden="1" xr:uid="{00000000-0005-0000-0000-000073070000}"/>
    <cellStyle name="20% - Accent4 10" xfId="3467" hidden="1" xr:uid="{00000000-0005-0000-0000-000074070000}"/>
    <cellStyle name="20% - Accent4 10" xfId="3558" hidden="1" xr:uid="{00000000-0005-0000-0000-000075070000}"/>
    <cellStyle name="20% - Accent4 10" xfId="4320" hidden="1" xr:uid="{00000000-0005-0000-0000-000076070000}"/>
    <cellStyle name="20% - Accent4 10" xfId="4396" hidden="1" xr:uid="{00000000-0005-0000-0000-000077070000}"/>
    <cellStyle name="20% - Accent4 10" xfId="4474" hidden="1" xr:uid="{00000000-0005-0000-0000-000078070000}"/>
    <cellStyle name="20% - Accent4 10" xfId="4148" hidden="1" xr:uid="{00000000-0005-0000-0000-000079070000}"/>
    <cellStyle name="20% - Accent4 10" xfId="3627" hidden="1" xr:uid="{00000000-0005-0000-0000-00007A070000}"/>
    <cellStyle name="20% - Accent4 10" xfId="3921" hidden="1" xr:uid="{00000000-0005-0000-0000-00007B070000}"/>
    <cellStyle name="20% - Accent4 10" xfId="4852" hidden="1" xr:uid="{00000000-0005-0000-0000-00007C070000}"/>
    <cellStyle name="20% - Accent4 10" xfId="4928" hidden="1" xr:uid="{00000000-0005-0000-0000-00007D070000}"/>
    <cellStyle name="20% - Accent4 10" xfId="5006" hidden="1" xr:uid="{00000000-0005-0000-0000-00007E070000}"/>
    <cellStyle name="20% - Accent4 10" xfId="5189" hidden="1" xr:uid="{00000000-0005-0000-0000-00007F070000}"/>
    <cellStyle name="20% - Accent4 10" xfId="5265" hidden="1" xr:uid="{00000000-0005-0000-0000-000080070000}"/>
    <cellStyle name="20% - Accent4 10" xfId="5343" hidden="1" xr:uid="{00000000-0005-0000-0000-000081070000}"/>
    <cellStyle name="20% - Accent4 10" xfId="5526" hidden="1" xr:uid="{00000000-0005-0000-0000-000082070000}"/>
    <cellStyle name="20% - Accent4 10" xfId="5602" hidden="1" xr:uid="{00000000-0005-0000-0000-000083070000}"/>
    <cellStyle name="20% - Accent4 10" xfId="5704" hidden="1" xr:uid="{00000000-0005-0000-0000-000084070000}"/>
    <cellStyle name="20% - Accent4 10" xfId="5778" hidden="1" xr:uid="{00000000-0005-0000-0000-000085070000}"/>
    <cellStyle name="20% - Accent4 10" xfId="5854" hidden="1" xr:uid="{00000000-0005-0000-0000-000086070000}"/>
    <cellStyle name="20% - Accent4 10" xfId="5932" hidden="1" xr:uid="{00000000-0005-0000-0000-000087070000}"/>
    <cellStyle name="20% - Accent4 10" xfId="6517" hidden="1" xr:uid="{00000000-0005-0000-0000-000088070000}"/>
    <cellStyle name="20% - Accent4 10" xfId="6593" hidden="1" xr:uid="{00000000-0005-0000-0000-000089070000}"/>
    <cellStyle name="20% - Accent4 10" xfId="6672" hidden="1" xr:uid="{00000000-0005-0000-0000-00008A070000}"/>
    <cellStyle name="20% - Accent4 10" xfId="6258" hidden="1" xr:uid="{00000000-0005-0000-0000-00008B070000}"/>
    <cellStyle name="20% - Accent4 10" xfId="6259" hidden="1" xr:uid="{00000000-0005-0000-0000-00008C070000}"/>
    <cellStyle name="20% - Accent4 10" xfId="6350" hidden="1" xr:uid="{00000000-0005-0000-0000-00008D070000}"/>
    <cellStyle name="20% - Accent4 10" xfId="7112" hidden="1" xr:uid="{00000000-0005-0000-0000-00008E070000}"/>
    <cellStyle name="20% - Accent4 10" xfId="7188" hidden="1" xr:uid="{00000000-0005-0000-0000-00008F070000}"/>
    <cellStyle name="20% - Accent4 10" xfId="7266" hidden="1" xr:uid="{00000000-0005-0000-0000-000090070000}"/>
    <cellStyle name="20% - Accent4 10" xfId="6940" hidden="1" xr:uid="{00000000-0005-0000-0000-000091070000}"/>
    <cellStyle name="20% - Accent4 10" xfId="6419" hidden="1" xr:uid="{00000000-0005-0000-0000-000092070000}"/>
    <cellStyle name="20% - Accent4 10" xfId="6713" hidden="1" xr:uid="{00000000-0005-0000-0000-000093070000}"/>
    <cellStyle name="20% - Accent4 10" xfId="7644" hidden="1" xr:uid="{00000000-0005-0000-0000-000094070000}"/>
    <cellStyle name="20% - Accent4 10" xfId="7720" hidden="1" xr:uid="{00000000-0005-0000-0000-000095070000}"/>
    <cellStyle name="20% - Accent4 10" xfId="7798" hidden="1" xr:uid="{00000000-0005-0000-0000-000096070000}"/>
    <cellStyle name="20% - Accent4 10" xfId="7981" hidden="1" xr:uid="{00000000-0005-0000-0000-000097070000}"/>
    <cellStyle name="20% - Accent4 10" xfId="8057" hidden="1" xr:uid="{00000000-0005-0000-0000-000098070000}"/>
    <cellStyle name="20% - Accent4 10" xfId="8135" hidden="1" xr:uid="{00000000-0005-0000-0000-000099070000}"/>
    <cellStyle name="20% - Accent4 10" xfId="8318" hidden="1" xr:uid="{00000000-0005-0000-0000-00009A070000}"/>
    <cellStyle name="20% - Accent4 10" xfId="8394" hidden="1" xr:uid="{00000000-0005-0000-0000-00009B070000}"/>
    <cellStyle name="20% - Accent4 11" xfId="133" hidden="1" xr:uid="{00000000-0005-0000-0000-00009C070000}"/>
    <cellStyle name="20% - Accent4 11" xfId="207" hidden="1" xr:uid="{00000000-0005-0000-0000-00009D070000}"/>
    <cellStyle name="20% - Accent4 11" xfId="283" hidden="1" xr:uid="{00000000-0005-0000-0000-00009E070000}"/>
    <cellStyle name="20% - Accent4 11" xfId="361" hidden="1" xr:uid="{00000000-0005-0000-0000-00009F070000}"/>
    <cellStyle name="20% - Accent4 11" xfId="946" hidden="1" xr:uid="{00000000-0005-0000-0000-0000A0070000}"/>
    <cellStyle name="20% - Accent4 11" xfId="1022" hidden="1" xr:uid="{00000000-0005-0000-0000-0000A1070000}"/>
    <cellStyle name="20% - Accent4 11" xfId="1101" hidden="1" xr:uid="{00000000-0005-0000-0000-0000A2070000}"/>
    <cellStyle name="20% - Accent4 11" xfId="1327" hidden="1" xr:uid="{00000000-0005-0000-0000-0000A3070000}"/>
    <cellStyle name="20% - Accent4 11" xfId="831" hidden="1" xr:uid="{00000000-0005-0000-0000-0000A4070000}"/>
    <cellStyle name="20% - Accent4 11" xfId="719" hidden="1" xr:uid="{00000000-0005-0000-0000-0000A5070000}"/>
    <cellStyle name="20% - Accent4 11" xfId="1541" hidden="1" xr:uid="{00000000-0005-0000-0000-0000A6070000}"/>
    <cellStyle name="20% - Accent4 11" xfId="1617" hidden="1" xr:uid="{00000000-0005-0000-0000-0000A7070000}"/>
    <cellStyle name="20% - Accent4 11" xfId="1695" hidden="1" xr:uid="{00000000-0005-0000-0000-0000A8070000}"/>
    <cellStyle name="20% - Accent4 11" xfId="1890" hidden="1" xr:uid="{00000000-0005-0000-0000-0000A9070000}"/>
    <cellStyle name="20% - Accent4 11" xfId="1386" hidden="1" xr:uid="{00000000-0005-0000-0000-0000AA070000}"/>
    <cellStyle name="20% - Accent4 11" xfId="792" hidden="1" xr:uid="{00000000-0005-0000-0000-0000AB070000}"/>
    <cellStyle name="20% - Accent4 11" xfId="2073" hidden="1" xr:uid="{00000000-0005-0000-0000-0000AC070000}"/>
    <cellStyle name="20% - Accent4 11" xfId="2149" hidden="1" xr:uid="{00000000-0005-0000-0000-0000AD070000}"/>
    <cellStyle name="20% - Accent4 11" xfId="2227" hidden="1" xr:uid="{00000000-0005-0000-0000-0000AE070000}"/>
    <cellStyle name="20% - Accent4 11" xfId="2410" hidden="1" xr:uid="{00000000-0005-0000-0000-0000AF070000}"/>
    <cellStyle name="20% - Accent4 11" xfId="2486" hidden="1" xr:uid="{00000000-0005-0000-0000-0000B0070000}"/>
    <cellStyle name="20% - Accent4 11" xfId="2564" hidden="1" xr:uid="{00000000-0005-0000-0000-0000B1070000}"/>
    <cellStyle name="20% - Accent4 11" xfId="2747" hidden="1" xr:uid="{00000000-0005-0000-0000-0000B2070000}"/>
    <cellStyle name="20% - Accent4 11" xfId="2823" hidden="1" xr:uid="{00000000-0005-0000-0000-0000B3070000}"/>
    <cellStyle name="20% - Accent4 11" xfId="2925" hidden="1" xr:uid="{00000000-0005-0000-0000-0000B4070000}"/>
    <cellStyle name="20% - Accent4 11" xfId="2999" hidden="1" xr:uid="{00000000-0005-0000-0000-0000B5070000}"/>
    <cellStyle name="20% - Accent4 11" xfId="3075" hidden="1" xr:uid="{00000000-0005-0000-0000-0000B6070000}"/>
    <cellStyle name="20% - Accent4 11" xfId="3153" hidden="1" xr:uid="{00000000-0005-0000-0000-0000B7070000}"/>
    <cellStyle name="20% - Accent4 11" xfId="3738" hidden="1" xr:uid="{00000000-0005-0000-0000-0000B8070000}"/>
    <cellStyle name="20% - Accent4 11" xfId="3814" hidden="1" xr:uid="{00000000-0005-0000-0000-0000B9070000}"/>
    <cellStyle name="20% - Accent4 11" xfId="3893" hidden="1" xr:uid="{00000000-0005-0000-0000-0000BA070000}"/>
    <cellStyle name="20% - Accent4 11" xfId="4119" hidden="1" xr:uid="{00000000-0005-0000-0000-0000BB070000}"/>
    <cellStyle name="20% - Accent4 11" xfId="3623" hidden="1" xr:uid="{00000000-0005-0000-0000-0000BC070000}"/>
    <cellStyle name="20% - Accent4 11" xfId="3511" hidden="1" xr:uid="{00000000-0005-0000-0000-0000BD070000}"/>
    <cellStyle name="20% - Accent4 11" xfId="4333" hidden="1" xr:uid="{00000000-0005-0000-0000-0000BE070000}"/>
    <cellStyle name="20% - Accent4 11" xfId="4409" hidden="1" xr:uid="{00000000-0005-0000-0000-0000BF070000}"/>
    <cellStyle name="20% - Accent4 11" xfId="4487" hidden="1" xr:uid="{00000000-0005-0000-0000-0000C0070000}"/>
    <cellStyle name="20% - Accent4 11" xfId="4682" hidden="1" xr:uid="{00000000-0005-0000-0000-0000C1070000}"/>
    <cellStyle name="20% - Accent4 11" xfId="4178" hidden="1" xr:uid="{00000000-0005-0000-0000-0000C2070000}"/>
    <cellStyle name="20% - Accent4 11" xfId="3584" hidden="1" xr:uid="{00000000-0005-0000-0000-0000C3070000}"/>
    <cellStyle name="20% - Accent4 11" xfId="4865" hidden="1" xr:uid="{00000000-0005-0000-0000-0000C4070000}"/>
    <cellStyle name="20% - Accent4 11" xfId="4941" hidden="1" xr:uid="{00000000-0005-0000-0000-0000C5070000}"/>
    <cellStyle name="20% - Accent4 11" xfId="5019" hidden="1" xr:uid="{00000000-0005-0000-0000-0000C6070000}"/>
    <cellStyle name="20% - Accent4 11" xfId="5202" hidden="1" xr:uid="{00000000-0005-0000-0000-0000C7070000}"/>
    <cellStyle name="20% - Accent4 11" xfId="5278" hidden="1" xr:uid="{00000000-0005-0000-0000-0000C8070000}"/>
    <cellStyle name="20% - Accent4 11" xfId="5356" hidden="1" xr:uid="{00000000-0005-0000-0000-0000C9070000}"/>
    <cellStyle name="20% - Accent4 11" xfId="5539" hidden="1" xr:uid="{00000000-0005-0000-0000-0000CA070000}"/>
    <cellStyle name="20% - Accent4 11" xfId="5615" hidden="1" xr:uid="{00000000-0005-0000-0000-0000CB070000}"/>
    <cellStyle name="20% - Accent4 11" xfId="5717" hidden="1" xr:uid="{00000000-0005-0000-0000-0000CC070000}"/>
    <cellStyle name="20% - Accent4 11" xfId="5791" hidden="1" xr:uid="{00000000-0005-0000-0000-0000CD070000}"/>
    <cellStyle name="20% - Accent4 11" xfId="5867" hidden="1" xr:uid="{00000000-0005-0000-0000-0000CE070000}"/>
    <cellStyle name="20% - Accent4 11" xfId="5945" hidden="1" xr:uid="{00000000-0005-0000-0000-0000CF070000}"/>
    <cellStyle name="20% - Accent4 11" xfId="6530" hidden="1" xr:uid="{00000000-0005-0000-0000-0000D0070000}"/>
    <cellStyle name="20% - Accent4 11" xfId="6606" hidden="1" xr:uid="{00000000-0005-0000-0000-0000D1070000}"/>
    <cellStyle name="20% - Accent4 11" xfId="6685" hidden="1" xr:uid="{00000000-0005-0000-0000-0000D2070000}"/>
    <cellStyle name="20% - Accent4 11" xfId="6911" hidden="1" xr:uid="{00000000-0005-0000-0000-0000D3070000}"/>
    <cellStyle name="20% - Accent4 11" xfId="6415" hidden="1" xr:uid="{00000000-0005-0000-0000-0000D4070000}"/>
    <cellStyle name="20% - Accent4 11" xfId="6303" hidden="1" xr:uid="{00000000-0005-0000-0000-0000D5070000}"/>
    <cellStyle name="20% - Accent4 11" xfId="7125" hidden="1" xr:uid="{00000000-0005-0000-0000-0000D6070000}"/>
    <cellStyle name="20% - Accent4 11" xfId="7201" hidden="1" xr:uid="{00000000-0005-0000-0000-0000D7070000}"/>
    <cellStyle name="20% - Accent4 11" xfId="7279" hidden="1" xr:uid="{00000000-0005-0000-0000-0000D8070000}"/>
    <cellStyle name="20% - Accent4 11" xfId="7474" hidden="1" xr:uid="{00000000-0005-0000-0000-0000D9070000}"/>
    <cellStyle name="20% - Accent4 11" xfId="6970" hidden="1" xr:uid="{00000000-0005-0000-0000-0000DA070000}"/>
    <cellStyle name="20% - Accent4 11" xfId="6376" hidden="1" xr:uid="{00000000-0005-0000-0000-0000DB070000}"/>
    <cellStyle name="20% - Accent4 11" xfId="7657" hidden="1" xr:uid="{00000000-0005-0000-0000-0000DC070000}"/>
    <cellStyle name="20% - Accent4 11" xfId="7733" hidden="1" xr:uid="{00000000-0005-0000-0000-0000DD070000}"/>
    <cellStyle name="20% - Accent4 11" xfId="7811" hidden="1" xr:uid="{00000000-0005-0000-0000-0000DE070000}"/>
    <cellStyle name="20% - Accent4 11" xfId="7994" hidden="1" xr:uid="{00000000-0005-0000-0000-0000DF070000}"/>
    <cellStyle name="20% - Accent4 11" xfId="8070" hidden="1" xr:uid="{00000000-0005-0000-0000-0000E0070000}"/>
    <cellStyle name="20% - Accent4 11" xfId="8148" hidden="1" xr:uid="{00000000-0005-0000-0000-0000E1070000}"/>
    <cellStyle name="20% - Accent4 11" xfId="8331" hidden="1" xr:uid="{00000000-0005-0000-0000-0000E2070000}"/>
    <cellStyle name="20% - Accent4 11" xfId="8407" hidden="1" xr:uid="{00000000-0005-0000-0000-0000E3070000}"/>
    <cellStyle name="20% - Accent4 12" xfId="146" hidden="1" xr:uid="{00000000-0005-0000-0000-0000E4070000}"/>
    <cellStyle name="20% - Accent4 12" xfId="221" hidden="1" xr:uid="{00000000-0005-0000-0000-0000E5070000}"/>
    <cellStyle name="20% - Accent4 12" xfId="296" hidden="1" xr:uid="{00000000-0005-0000-0000-0000E6070000}"/>
    <cellStyle name="20% - Accent4 12" xfId="374" hidden="1" xr:uid="{00000000-0005-0000-0000-0000E7070000}"/>
    <cellStyle name="20% - Accent4 12" xfId="960" hidden="1" xr:uid="{00000000-0005-0000-0000-0000E8070000}"/>
    <cellStyle name="20% - Accent4 12" xfId="1035" hidden="1" xr:uid="{00000000-0005-0000-0000-0000E9070000}"/>
    <cellStyle name="20% - Accent4 12" xfId="1114" hidden="1" xr:uid="{00000000-0005-0000-0000-0000EA070000}"/>
    <cellStyle name="20% - Accent4 12" xfId="676" hidden="1" xr:uid="{00000000-0005-0000-0000-0000EB070000}"/>
    <cellStyle name="20% - Accent4 12" xfId="850" hidden="1" xr:uid="{00000000-0005-0000-0000-0000EC070000}"/>
    <cellStyle name="20% - Accent4 12" xfId="806" hidden="1" xr:uid="{00000000-0005-0000-0000-0000ED070000}"/>
    <cellStyle name="20% - Accent4 12" xfId="1555" hidden="1" xr:uid="{00000000-0005-0000-0000-0000EE070000}"/>
    <cellStyle name="20% - Accent4 12" xfId="1630" hidden="1" xr:uid="{00000000-0005-0000-0000-0000EF070000}"/>
    <cellStyle name="20% - Accent4 12" xfId="1708" hidden="1" xr:uid="{00000000-0005-0000-0000-0000F0070000}"/>
    <cellStyle name="20% - Accent4 12" xfId="1191" hidden="1" xr:uid="{00000000-0005-0000-0000-0000F1070000}"/>
    <cellStyle name="20% - Accent4 12" xfId="681" hidden="1" xr:uid="{00000000-0005-0000-0000-0000F2070000}"/>
    <cellStyle name="20% - Accent4 12" xfId="1176" hidden="1" xr:uid="{00000000-0005-0000-0000-0000F3070000}"/>
    <cellStyle name="20% - Accent4 12" xfId="2087" hidden="1" xr:uid="{00000000-0005-0000-0000-0000F4070000}"/>
    <cellStyle name="20% - Accent4 12" xfId="2162" hidden="1" xr:uid="{00000000-0005-0000-0000-0000F5070000}"/>
    <cellStyle name="20% - Accent4 12" xfId="2240" hidden="1" xr:uid="{00000000-0005-0000-0000-0000F6070000}"/>
    <cellStyle name="20% - Accent4 12" xfId="2424" hidden="1" xr:uid="{00000000-0005-0000-0000-0000F7070000}"/>
    <cellStyle name="20% - Accent4 12" xfId="2499" hidden="1" xr:uid="{00000000-0005-0000-0000-0000F8070000}"/>
    <cellStyle name="20% - Accent4 12" xfId="2577" hidden="1" xr:uid="{00000000-0005-0000-0000-0000F9070000}"/>
    <cellStyle name="20% - Accent4 12" xfId="2761" hidden="1" xr:uid="{00000000-0005-0000-0000-0000FA070000}"/>
    <cellStyle name="20% - Accent4 12" xfId="2836" hidden="1" xr:uid="{00000000-0005-0000-0000-0000FB070000}"/>
    <cellStyle name="20% - Accent4 12" xfId="2938" hidden="1" xr:uid="{00000000-0005-0000-0000-0000FC070000}"/>
    <cellStyle name="20% - Accent4 12" xfId="3013" hidden="1" xr:uid="{00000000-0005-0000-0000-0000FD070000}"/>
    <cellStyle name="20% - Accent4 12" xfId="3088" hidden="1" xr:uid="{00000000-0005-0000-0000-0000FE070000}"/>
    <cellStyle name="20% - Accent4 12" xfId="3166" hidden="1" xr:uid="{00000000-0005-0000-0000-0000FF070000}"/>
    <cellStyle name="20% - Accent4 12" xfId="3752" hidden="1" xr:uid="{00000000-0005-0000-0000-000000080000}"/>
    <cellStyle name="20% - Accent4 12" xfId="3827" hidden="1" xr:uid="{00000000-0005-0000-0000-000001080000}"/>
    <cellStyle name="20% - Accent4 12" xfId="3906" hidden="1" xr:uid="{00000000-0005-0000-0000-000002080000}"/>
    <cellStyle name="20% - Accent4 12" xfId="3468" hidden="1" xr:uid="{00000000-0005-0000-0000-000003080000}"/>
    <cellStyle name="20% - Accent4 12" xfId="3642" hidden="1" xr:uid="{00000000-0005-0000-0000-000004080000}"/>
    <cellStyle name="20% - Accent4 12" xfId="3598" hidden="1" xr:uid="{00000000-0005-0000-0000-000005080000}"/>
    <cellStyle name="20% - Accent4 12" xfId="4347" hidden="1" xr:uid="{00000000-0005-0000-0000-000006080000}"/>
    <cellStyle name="20% - Accent4 12" xfId="4422" hidden="1" xr:uid="{00000000-0005-0000-0000-000007080000}"/>
    <cellStyle name="20% - Accent4 12" xfId="4500" hidden="1" xr:uid="{00000000-0005-0000-0000-000008080000}"/>
    <cellStyle name="20% - Accent4 12" xfId="3983" hidden="1" xr:uid="{00000000-0005-0000-0000-000009080000}"/>
    <cellStyle name="20% - Accent4 12" xfId="3473" hidden="1" xr:uid="{00000000-0005-0000-0000-00000A080000}"/>
    <cellStyle name="20% - Accent4 12" xfId="3968" hidden="1" xr:uid="{00000000-0005-0000-0000-00000B080000}"/>
    <cellStyle name="20% - Accent4 12" xfId="4879" hidden="1" xr:uid="{00000000-0005-0000-0000-00000C080000}"/>
    <cellStyle name="20% - Accent4 12" xfId="4954" hidden="1" xr:uid="{00000000-0005-0000-0000-00000D080000}"/>
    <cellStyle name="20% - Accent4 12" xfId="5032" hidden="1" xr:uid="{00000000-0005-0000-0000-00000E080000}"/>
    <cellStyle name="20% - Accent4 12" xfId="5216" hidden="1" xr:uid="{00000000-0005-0000-0000-00000F080000}"/>
    <cellStyle name="20% - Accent4 12" xfId="5291" hidden="1" xr:uid="{00000000-0005-0000-0000-000010080000}"/>
    <cellStyle name="20% - Accent4 12" xfId="5369" hidden="1" xr:uid="{00000000-0005-0000-0000-000011080000}"/>
    <cellStyle name="20% - Accent4 12" xfId="5553" hidden="1" xr:uid="{00000000-0005-0000-0000-000012080000}"/>
    <cellStyle name="20% - Accent4 12" xfId="5628" hidden="1" xr:uid="{00000000-0005-0000-0000-000013080000}"/>
    <cellStyle name="20% - Accent4 12" xfId="5730" hidden="1" xr:uid="{00000000-0005-0000-0000-000014080000}"/>
    <cellStyle name="20% - Accent4 12" xfId="5805" hidden="1" xr:uid="{00000000-0005-0000-0000-000015080000}"/>
    <cellStyle name="20% - Accent4 12" xfId="5880" hidden="1" xr:uid="{00000000-0005-0000-0000-000016080000}"/>
    <cellStyle name="20% - Accent4 12" xfId="5958" hidden="1" xr:uid="{00000000-0005-0000-0000-000017080000}"/>
    <cellStyle name="20% - Accent4 12" xfId="6544" hidden="1" xr:uid="{00000000-0005-0000-0000-000018080000}"/>
    <cellStyle name="20% - Accent4 12" xfId="6619" hidden="1" xr:uid="{00000000-0005-0000-0000-000019080000}"/>
    <cellStyle name="20% - Accent4 12" xfId="6698" hidden="1" xr:uid="{00000000-0005-0000-0000-00001A080000}"/>
    <cellStyle name="20% - Accent4 12" xfId="6260" hidden="1" xr:uid="{00000000-0005-0000-0000-00001B080000}"/>
    <cellStyle name="20% - Accent4 12" xfId="6434" hidden="1" xr:uid="{00000000-0005-0000-0000-00001C080000}"/>
    <cellStyle name="20% - Accent4 12" xfId="6390" hidden="1" xr:uid="{00000000-0005-0000-0000-00001D080000}"/>
    <cellStyle name="20% - Accent4 12" xfId="7139" hidden="1" xr:uid="{00000000-0005-0000-0000-00001E080000}"/>
    <cellStyle name="20% - Accent4 12" xfId="7214" hidden="1" xr:uid="{00000000-0005-0000-0000-00001F080000}"/>
    <cellStyle name="20% - Accent4 12" xfId="7292" hidden="1" xr:uid="{00000000-0005-0000-0000-000020080000}"/>
    <cellStyle name="20% - Accent4 12" xfId="6775" hidden="1" xr:uid="{00000000-0005-0000-0000-000021080000}"/>
    <cellStyle name="20% - Accent4 12" xfId="6265" hidden="1" xr:uid="{00000000-0005-0000-0000-000022080000}"/>
    <cellStyle name="20% - Accent4 12" xfId="6760" hidden="1" xr:uid="{00000000-0005-0000-0000-000023080000}"/>
    <cellStyle name="20% - Accent4 12" xfId="7671" hidden="1" xr:uid="{00000000-0005-0000-0000-000024080000}"/>
    <cellStyle name="20% - Accent4 12" xfId="7746" hidden="1" xr:uid="{00000000-0005-0000-0000-000025080000}"/>
    <cellStyle name="20% - Accent4 12" xfId="7824" hidden="1" xr:uid="{00000000-0005-0000-0000-000026080000}"/>
    <cellStyle name="20% - Accent4 12" xfId="8008" hidden="1" xr:uid="{00000000-0005-0000-0000-000027080000}"/>
    <cellStyle name="20% - Accent4 12" xfId="8083" hidden="1" xr:uid="{00000000-0005-0000-0000-000028080000}"/>
    <cellStyle name="20% - Accent4 12" xfId="8161" hidden="1" xr:uid="{00000000-0005-0000-0000-000029080000}"/>
    <cellStyle name="20% - Accent4 12" xfId="8345" hidden="1" xr:uid="{00000000-0005-0000-0000-00002A080000}"/>
    <cellStyle name="20% - Accent4 12" xfId="8420" hidden="1" xr:uid="{00000000-0005-0000-0000-00002B080000}"/>
    <cellStyle name="20% - Accent4 13" xfId="387" hidden="1" xr:uid="{00000000-0005-0000-0000-00002C080000}"/>
    <cellStyle name="20% - Accent4 13" xfId="502" hidden="1" xr:uid="{00000000-0005-0000-0000-00002D080000}"/>
    <cellStyle name="20% - Accent4 13" xfId="1225" hidden="1" xr:uid="{00000000-0005-0000-0000-00002E080000}"/>
    <cellStyle name="20% - Accent4 13" xfId="1398" hidden="1" xr:uid="{00000000-0005-0000-0000-00002F080000}"/>
    <cellStyle name="20% - Accent4 13" xfId="1791" hidden="1" xr:uid="{00000000-0005-0000-0000-000030080000}"/>
    <cellStyle name="20% - Accent4 13" xfId="1939" hidden="1" xr:uid="{00000000-0005-0000-0000-000031080000}"/>
    <cellStyle name="20% - Accent4 13" xfId="2277" hidden="1" xr:uid="{00000000-0005-0000-0000-000032080000}"/>
    <cellStyle name="20% - Accent4 13" xfId="2614" hidden="1" xr:uid="{00000000-0005-0000-0000-000033080000}"/>
    <cellStyle name="20% - Accent4 13" xfId="3179" hidden="1" xr:uid="{00000000-0005-0000-0000-000034080000}"/>
    <cellStyle name="20% - Accent4 13" xfId="3294" hidden="1" xr:uid="{00000000-0005-0000-0000-000035080000}"/>
    <cellStyle name="20% - Accent4 13" xfId="4017" hidden="1" xr:uid="{00000000-0005-0000-0000-000036080000}"/>
    <cellStyle name="20% - Accent4 13" xfId="4190" hidden="1" xr:uid="{00000000-0005-0000-0000-000037080000}"/>
    <cellStyle name="20% - Accent4 13" xfId="4583" hidden="1" xr:uid="{00000000-0005-0000-0000-000038080000}"/>
    <cellStyle name="20% - Accent4 13" xfId="4731" hidden="1" xr:uid="{00000000-0005-0000-0000-000039080000}"/>
    <cellStyle name="20% - Accent4 13" xfId="5069" hidden="1" xr:uid="{00000000-0005-0000-0000-00003A080000}"/>
    <cellStyle name="20% - Accent4 13" xfId="5406" hidden="1" xr:uid="{00000000-0005-0000-0000-00003B080000}"/>
    <cellStyle name="20% - Accent4 13" xfId="5971" hidden="1" xr:uid="{00000000-0005-0000-0000-00003C080000}"/>
    <cellStyle name="20% - Accent4 13" xfId="6086" hidden="1" xr:uid="{00000000-0005-0000-0000-00003D080000}"/>
    <cellStyle name="20% - Accent4 13" xfId="6809" hidden="1" xr:uid="{00000000-0005-0000-0000-00003E080000}"/>
    <cellStyle name="20% - Accent4 13" xfId="6982" hidden="1" xr:uid="{00000000-0005-0000-0000-00003F080000}"/>
    <cellStyle name="20% - Accent4 13" xfId="7375" hidden="1" xr:uid="{00000000-0005-0000-0000-000040080000}"/>
    <cellStyle name="20% - Accent4 13" xfId="7523" hidden="1" xr:uid="{00000000-0005-0000-0000-000041080000}"/>
    <cellStyle name="20% - Accent4 13" xfId="7861" hidden="1" xr:uid="{00000000-0005-0000-0000-000042080000}"/>
    <cellStyle name="20% - Accent4 13" xfId="8198" hidden="1" xr:uid="{00000000-0005-0000-0000-000043080000}"/>
    <cellStyle name="20% - Accent4 3 2 3 2" xfId="463" hidden="1" xr:uid="{00000000-0005-0000-0000-000044080000}"/>
    <cellStyle name="20% - Accent4 3 2 3 2" xfId="578" hidden="1" xr:uid="{00000000-0005-0000-0000-000045080000}"/>
    <cellStyle name="20% - Accent4 3 2 3 2" xfId="1301" hidden="1" xr:uid="{00000000-0005-0000-0000-000046080000}"/>
    <cellStyle name="20% - Accent4 3 2 3 2" xfId="1474" hidden="1" xr:uid="{00000000-0005-0000-0000-000047080000}"/>
    <cellStyle name="20% - Accent4 3 2 3 2" xfId="1867" hidden="1" xr:uid="{00000000-0005-0000-0000-000048080000}"/>
    <cellStyle name="20% - Accent4 3 2 3 2" xfId="2015" hidden="1" xr:uid="{00000000-0005-0000-0000-000049080000}"/>
    <cellStyle name="20% - Accent4 3 2 3 2" xfId="2353" hidden="1" xr:uid="{00000000-0005-0000-0000-00004A080000}"/>
    <cellStyle name="20% - Accent4 3 2 3 2" xfId="2690" hidden="1" xr:uid="{00000000-0005-0000-0000-00004B080000}"/>
    <cellStyle name="20% - Accent4 3 2 3 2" xfId="3255" hidden="1" xr:uid="{00000000-0005-0000-0000-00004C080000}"/>
    <cellStyle name="20% - Accent4 3 2 3 2" xfId="3370" hidden="1" xr:uid="{00000000-0005-0000-0000-00004D080000}"/>
    <cellStyle name="20% - Accent4 3 2 3 2" xfId="4093" hidden="1" xr:uid="{00000000-0005-0000-0000-00004E080000}"/>
    <cellStyle name="20% - Accent4 3 2 3 2" xfId="4266" hidden="1" xr:uid="{00000000-0005-0000-0000-00004F080000}"/>
    <cellStyle name="20% - Accent4 3 2 3 2" xfId="4659" hidden="1" xr:uid="{00000000-0005-0000-0000-000050080000}"/>
    <cellStyle name="20% - Accent4 3 2 3 2" xfId="4807" hidden="1" xr:uid="{00000000-0005-0000-0000-000051080000}"/>
    <cellStyle name="20% - Accent4 3 2 3 2" xfId="5145" hidden="1" xr:uid="{00000000-0005-0000-0000-000052080000}"/>
    <cellStyle name="20% - Accent4 3 2 3 2" xfId="5482" hidden="1" xr:uid="{00000000-0005-0000-0000-000053080000}"/>
    <cellStyle name="20% - Accent4 3 2 3 2" xfId="6047" hidden="1" xr:uid="{00000000-0005-0000-0000-000054080000}"/>
    <cellStyle name="20% - Accent4 3 2 3 2" xfId="6162" hidden="1" xr:uid="{00000000-0005-0000-0000-000055080000}"/>
    <cellStyle name="20% - Accent4 3 2 3 2" xfId="6885" hidden="1" xr:uid="{00000000-0005-0000-0000-000056080000}"/>
    <cellStyle name="20% - Accent4 3 2 3 2" xfId="7058" hidden="1" xr:uid="{00000000-0005-0000-0000-000057080000}"/>
    <cellStyle name="20% - Accent4 3 2 3 2" xfId="7451" hidden="1" xr:uid="{00000000-0005-0000-0000-000058080000}"/>
    <cellStyle name="20% - Accent4 3 2 3 2" xfId="7599" hidden="1" xr:uid="{00000000-0005-0000-0000-000059080000}"/>
    <cellStyle name="20% - Accent4 3 2 3 2" xfId="7937" hidden="1" xr:uid="{00000000-0005-0000-0000-00005A080000}"/>
    <cellStyle name="20% - Accent4 3 2 3 2" xfId="8274" hidden="1" xr:uid="{00000000-0005-0000-0000-00005B080000}"/>
    <cellStyle name="20% - Accent4 3 2 4 2" xfId="420" hidden="1" xr:uid="{00000000-0005-0000-0000-00005C080000}"/>
    <cellStyle name="20% - Accent4 3 2 4 2" xfId="535" hidden="1" xr:uid="{00000000-0005-0000-0000-00005D080000}"/>
    <cellStyle name="20% - Accent4 3 2 4 2" xfId="1258" hidden="1" xr:uid="{00000000-0005-0000-0000-00005E080000}"/>
    <cellStyle name="20% - Accent4 3 2 4 2" xfId="1431" hidden="1" xr:uid="{00000000-0005-0000-0000-00005F080000}"/>
    <cellStyle name="20% - Accent4 3 2 4 2" xfId="1824" hidden="1" xr:uid="{00000000-0005-0000-0000-000060080000}"/>
    <cellStyle name="20% - Accent4 3 2 4 2" xfId="1972" hidden="1" xr:uid="{00000000-0005-0000-0000-000061080000}"/>
    <cellStyle name="20% - Accent4 3 2 4 2" xfId="2310" hidden="1" xr:uid="{00000000-0005-0000-0000-000062080000}"/>
    <cellStyle name="20% - Accent4 3 2 4 2" xfId="2647" hidden="1" xr:uid="{00000000-0005-0000-0000-000063080000}"/>
    <cellStyle name="20% - Accent4 3 2 4 2" xfId="3212" hidden="1" xr:uid="{00000000-0005-0000-0000-000064080000}"/>
    <cellStyle name="20% - Accent4 3 2 4 2" xfId="3327" hidden="1" xr:uid="{00000000-0005-0000-0000-000065080000}"/>
    <cellStyle name="20% - Accent4 3 2 4 2" xfId="4050" hidden="1" xr:uid="{00000000-0005-0000-0000-000066080000}"/>
    <cellStyle name="20% - Accent4 3 2 4 2" xfId="4223" hidden="1" xr:uid="{00000000-0005-0000-0000-000067080000}"/>
    <cellStyle name="20% - Accent4 3 2 4 2" xfId="4616" hidden="1" xr:uid="{00000000-0005-0000-0000-000068080000}"/>
    <cellStyle name="20% - Accent4 3 2 4 2" xfId="4764" hidden="1" xr:uid="{00000000-0005-0000-0000-000069080000}"/>
    <cellStyle name="20% - Accent4 3 2 4 2" xfId="5102" hidden="1" xr:uid="{00000000-0005-0000-0000-00006A080000}"/>
    <cellStyle name="20% - Accent4 3 2 4 2" xfId="5439" hidden="1" xr:uid="{00000000-0005-0000-0000-00006B080000}"/>
    <cellStyle name="20% - Accent4 3 2 4 2" xfId="6004" hidden="1" xr:uid="{00000000-0005-0000-0000-00006C080000}"/>
    <cellStyle name="20% - Accent4 3 2 4 2" xfId="6119" hidden="1" xr:uid="{00000000-0005-0000-0000-00006D080000}"/>
    <cellStyle name="20% - Accent4 3 2 4 2" xfId="6842" hidden="1" xr:uid="{00000000-0005-0000-0000-00006E080000}"/>
    <cellStyle name="20% - Accent4 3 2 4 2" xfId="7015" hidden="1" xr:uid="{00000000-0005-0000-0000-00006F080000}"/>
    <cellStyle name="20% - Accent4 3 2 4 2" xfId="7408" hidden="1" xr:uid="{00000000-0005-0000-0000-000070080000}"/>
    <cellStyle name="20% - Accent4 3 2 4 2" xfId="7556" hidden="1" xr:uid="{00000000-0005-0000-0000-000071080000}"/>
    <cellStyle name="20% - Accent4 3 2 4 2" xfId="7894" hidden="1" xr:uid="{00000000-0005-0000-0000-000072080000}"/>
    <cellStyle name="20% - Accent4 3 2 4 2" xfId="8231" hidden="1" xr:uid="{00000000-0005-0000-0000-000073080000}"/>
    <cellStyle name="20% - Accent4 3 3 3 2" xfId="419" hidden="1" xr:uid="{00000000-0005-0000-0000-000074080000}"/>
    <cellStyle name="20% - Accent4 3 3 3 2" xfId="534" hidden="1" xr:uid="{00000000-0005-0000-0000-000075080000}"/>
    <cellStyle name="20% - Accent4 3 3 3 2" xfId="1257" hidden="1" xr:uid="{00000000-0005-0000-0000-000076080000}"/>
    <cellStyle name="20% - Accent4 3 3 3 2" xfId="1430" hidden="1" xr:uid="{00000000-0005-0000-0000-000077080000}"/>
    <cellStyle name="20% - Accent4 3 3 3 2" xfId="1823" hidden="1" xr:uid="{00000000-0005-0000-0000-000078080000}"/>
    <cellStyle name="20% - Accent4 3 3 3 2" xfId="1971" hidden="1" xr:uid="{00000000-0005-0000-0000-000079080000}"/>
    <cellStyle name="20% - Accent4 3 3 3 2" xfId="2309" hidden="1" xr:uid="{00000000-0005-0000-0000-00007A080000}"/>
    <cellStyle name="20% - Accent4 3 3 3 2" xfId="2646" hidden="1" xr:uid="{00000000-0005-0000-0000-00007B080000}"/>
    <cellStyle name="20% - Accent4 3 3 3 2" xfId="3211" hidden="1" xr:uid="{00000000-0005-0000-0000-00007C080000}"/>
    <cellStyle name="20% - Accent4 3 3 3 2" xfId="3326" hidden="1" xr:uid="{00000000-0005-0000-0000-00007D080000}"/>
    <cellStyle name="20% - Accent4 3 3 3 2" xfId="4049" hidden="1" xr:uid="{00000000-0005-0000-0000-00007E080000}"/>
    <cellStyle name="20% - Accent4 3 3 3 2" xfId="4222" hidden="1" xr:uid="{00000000-0005-0000-0000-00007F080000}"/>
    <cellStyle name="20% - Accent4 3 3 3 2" xfId="4615" hidden="1" xr:uid="{00000000-0005-0000-0000-000080080000}"/>
    <cellStyle name="20% - Accent4 3 3 3 2" xfId="4763" hidden="1" xr:uid="{00000000-0005-0000-0000-000081080000}"/>
    <cellStyle name="20% - Accent4 3 3 3 2" xfId="5101" hidden="1" xr:uid="{00000000-0005-0000-0000-000082080000}"/>
    <cellStyle name="20% - Accent4 3 3 3 2" xfId="5438" hidden="1" xr:uid="{00000000-0005-0000-0000-000083080000}"/>
    <cellStyle name="20% - Accent4 3 3 3 2" xfId="6003" hidden="1" xr:uid="{00000000-0005-0000-0000-000084080000}"/>
    <cellStyle name="20% - Accent4 3 3 3 2" xfId="6118" hidden="1" xr:uid="{00000000-0005-0000-0000-000085080000}"/>
    <cellStyle name="20% - Accent4 3 3 3 2" xfId="6841" hidden="1" xr:uid="{00000000-0005-0000-0000-000086080000}"/>
    <cellStyle name="20% - Accent4 3 3 3 2" xfId="7014" hidden="1" xr:uid="{00000000-0005-0000-0000-000087080000}"/>
    <cellStyle name="20% - Accent4 3 3 3 2" xfId="7407" hidden="1" xr:uid="{00000000-0005-0000-0000-000088080000}"/>
    <cellStyle name="20% - Accent4 3 3 3 2" xfId="7555" hidden="1" xr:uid="{00000000-0005-0000-0000-000089080000}"/>
    <cellStyle name="20% - Accent4 3 3 3 2" xfId="7893" hidden="1" xr:uid="{00000000-0005-0000-0000-00008A080000}"/>
    <cellStyle name="20% - Accent4 3 3 3 2" xfId="8230" hidden="1" xr:uid="{00000000-0005-0000-0000-00008B080000}"/>
    <cellStyle name="20% - Accent4 4 2 3 2" xfId="464" hidden="1" xr:uid="{00000000-0005-0000-0000-00008C080000}"/>
    <cellStyle name="20% - Accent4 4 2 3 2" xfId="579" hidden="1" xr:uid="{00000000-0005-0000-0000-00008D080000}"/>
    <cellStyle name="20% - Accent4 4 2 3 2" xfId="1302" hidden="1" xr:uid="{00000000-0005-0000-0000-00008E080000}"/>
    <cellStyle name="20% - Accent4 4 2 3 2" xfId="1475" hidden="1" xr:uid="{00000000-0005-0000-0000-00008F080000}"/>
    <cellStyle name="20% - Accent4 4 2 3 2" xfId="1868" hidden="1" xr:uid="{00000000-0005-0000-0000-000090080000}"/>
    <cellStyle name="20% - Accent4 4 2 3 2" xfId="2016" hidden="1" xr:uid="{00000000-0005-0000-0000-000091080000}"/>
    <cellStyle name="20% - Accent4 4 2 3 2" xfId="2354" hidden="1" xr:uid="{00000000-0005-0000-0000-000092080000}"/>
    <cellStyle name="20% - Accent4 4 2 3 2" xfId="2691" hidden="1" xr:uid="{00000000-0005-0000-0000-000093080000}"/>
    <cellStyle name="20% - Accent4 4 2 3 2" xfId="3256" hidden="1" xr:uid="{00000000-0005-0000-0000-000094080000}"/>
    <cellStyle name="20% - Accent4 4 2 3 2" xfId="3371" hidden="1" xr:uid="{00000000-0005-0000-0000-000095080000}"/>
    <cellStyle name="20% - Accent4 4 2 3 2" xfId="4094" hidden="1" xr:uid="{00000000-0005-0000-0000-000096080000}"/>
    <cellStyle name="20% - Accent4 4 2 3 2" xfId="4267" hidden="1" xr:uid="{00000000-0005-0000-0000-000097080000}"/>
    <cellStyle name="20% - Accent4 4 2 3 2" xfId="4660" hidden="1" xr:uid="{00000000-0005-0000-0000-000098080000}"/>
    <cellStyle name="20% - Accent4 4 2 3 2" xfId="4808" hidden="1" xr:uid="{00000000-0005-0000-0000-000099080000}"/>
    <cellStyle name="20% - Accent4 4 2 3 2" xfId="5146" hidden="1" xr:uid="{00000000-0005-0000-0000-00009A080000}"/>
    <cellStyle name="20% - Accent4 4 2 3 2" xfId="5483" hidden="1" xr:uid="{00000000-0005-0000-0000-00009B080000}"/>
    <cellStyle name="20% - Accent4 4 2 3 2" xfId="6048" hidden="1" xr:uid="{00000000-0005-0000-0000-00009C080000}"/>
    <cellStyle name="20% - Accent4 4 2 3 2" xfId="6163" hidden="1" xr:uid="{00000000-0005-0000-0000-00009D080000}"/>
    <cellStyle name="20% - Accent4 4 2 3 2" xfId="6886" hidden="1" xr:uid="{00000000-0005-0000-0000-00009E080000}"/>
    <cellStyle name="20% - Accent4 4 2 3 2" xfId="7059" hidden="1" xr:uid="{00000000-0005-0000-0000-00009F080000}"/>
    <cellStyle name="20% - Accent4 4 2 3 2" xfId="7452" hidden="1" xr:uid="{00000000-0005-0000-0000-0000A0080000}"/>
    <cellStyle name="20% - Accent4 4 2 3 2" xfId="7600" hidden="1" xr:uid="{00000000-0005-0000-0000-0000A1080000}"/>
    <cellStyle name="20% - Accent4 4 2 3 2" xfId="7938" hidden="1" xr:uid="{00000000-0005-0000-0000-0000A2080000}"/>
    <cellStyle name="20% - Accent4 4 2 3 2" xfId="8275" hidden="1" xr:uid="{00000000-0005-0000-0000-0000A3080000}"/>
    <cellStyle name="20% - Accent4 4 2 4 2" xfId="422" hidden="1" xr:uid="{00000000-0005-0000-0000-0000A4080000}"/>
    <cellStyle name="20% - Accent4 4 2 4 2" xfId="537" hidden="1" xr:uid="{00000000-0005-0000-0000-0000A5080000}"/>
    <cellStyle name="20% - Accent4 4 2 4 2" xfId="1260" hidden="1" xr:uid="{00000000-0005-0000-0000-0000A6080000}"/>
    <cellStyle name="20% - Accent4 4 2 4 2" xfId="1433" hidden="1" xr:uid="{00000000-0005-0000-0000-0000A7080000}"/>
    <cellStyle name="20% - Accent4 4 2 4 2" xfId="1826" hidden="1" xr:uid="{00000000-0005-0000-0000-0000A8080000}"/>
    <cellStyle name="20% - Accent4 4 2 4 2" xfId="1974" hidden="1" xr:uid="{00000000-0005-0000-0000-0000A9080000}"/>
    <cellStyle name="20% - Accent4 4 2 4 2" xfId="2312" hidden="1" xr:uid="{00000000-0005-0000-0000-0000AA080000}"/>
    <cellStyle name="20% - Accent4 4 2 4 2" xfId="2649" hidden="1" xr:uid="{00000000-0005-0000-0000-0000AB080000}"/>
    <cellStyle name="20% - Accent4 4 2 4 2" xfId="3214" hidden="1" xr:uid="{00000000-0005-0000-0000-0000AC080000}"/>
    <cellStyle name="20% - Accent4 4 2 4 2" xfId="3329" hidden="1" xr:uid="{00000000-0005-0000-0000-0000AD080000}"/>
    <cellStyle name="20% - Accent4 4 2 4 2" xfId="4052" hidden="1" xr:uid="{00000000-0005-0000-0000-0000AE080000}"/>
    <cellStyle name="20% - Accent4 4 2 4 2" xfId="4225" hidden="1" xr:uid="{00000000-0005-0000-0000-0000AF080000}"/>
    <cellStyle name="20% - Accent4 4 2 4 2" xfId="4618" hidden="1" xr:uid="{00000000-0005-0000-0000-0000B0080000}"/>
    <cellStyle name="20% - Accent4 4 2 4 2" xfId="4766" hidden="1" xr:uid="{00000000-0005-0000-0000-0000B1080000}"/>
    <cellStyle name="20% - Accent4 4 2 4 2" xfId="5104" hidden="1" xr:uid="{00000000-0005-0000-0000-0000B2080000}"/>
    <cellStyle name="20% - Accent4 4 2 4 2" xfId="5441" hidden="1" xr:uid="{00000000-0005-0000-0000-0000B3080000}"/>
    <cellStyle name="20% - Accent4 4 2 4 2" xfId="6006" hidden="1" xr:uid="{00000000-0005-0000-0000-0000B4080000}"/>
    <cellStyle name="20% - Accent4 4 2 4 2" xfId="6121" hidden="1" xr:uid="{00000000-0005-0000-0000-0000B5080000}"/>
    <cellStyle name="20% - Accent4 4 2 4 2" xfId="6844" hidden="1" xr:uid="{00000000-0005-0000-0000-0000B6080000}"/>
    <cellStyle name="20% - Accent4 4 2 4 2" xfId="7017" hidden="1" xr:uid="{00000000-0005-0000-0000-0000B7080000}"/>
    <cellStyle name="20% - Accent4 4 2 4 2" xfId="7410" hidden="1" xr:uid="{00000000-0005-0000-0000-0000B8080000}"/>
    <cellStyle name="20% - Accent4 4 2 4 2" xfId="7558" hidden="1" xr:uid="{00000000-0005-0000-0000-0000B9080000}"/>
    <cellStyle name="20% - Accent4 4 2 4 2" xfId="7896" hidden="1" xr:uid="{00000000-0005-0000-0000-0000BA080000}"/>
    <cellStyle name="20% - Accent4 4 2 4 2" xfId="8233" hidden="1" xr:uid="{00000000-0005-0000-0000-0000BB080000}"/>
    <cellStyle name="20% - Accent4 4 3 3 2" xfId="421" hidden="1" xr:uid="{00000000-0005-0000-0000-0000BC080000}"/>
    <cellStyle name="20% - Accent4 4 3 3 2" xfId="536" hidden="1" xr:uid="{00000000-0005-0000-0000-0000BD080000}"/>
    <cellStyle name="20% - Accent4 4 3 3 2" xfId="1259" hidden="1" xr:uid="{00000000-0005-0000-0000-0000BE080000}"/>
    <cellStyle name="20% - Accent4 4 3 3 2" xfId="1432" hidden="1" xr:uid="{00000000-0005-0000-0000-0000BF080000}"/>
    <cellStyle name="20% - Accent4 4 3 3 2" xfId="1825" hidden="1" xr:uid="{00000000-0005-0000-0000-0000C0080000}"/>
    <cellStyle name="20% - Accent4 4 3 3 2" xfId="1973" hidden="1" xr:uid="{00000000-0005-0000-0000-0000C1080000}"/>
    <cellStyle name="20% - Accent4 4 3 3 2" xfId="2311" hidden="1" xr:uid="{00000000-0005-0000-0000-0000C2080000}"/>
    <cellStyle name="20% - Accent4 4 3 3 2" xfId="2648" hidden="1" xr:uid="{00000000-0005-0000-0000-0000C3080000}"/>
    <cellStyle name="20% - Accent4 4 3 3 2" xfId="3213" hidden="1" xr:uid="{00000000-0005-0000-0000-0000C4080000}"/>
    <cellStyle name="20% - Accent4 4 3 3 2" xfId="3328" hidden="1" xr:uid="{00000000-0005-0000-0000-0000C5080000}"/>
    <cellStyle name="20% - Accent4 4 3 3 2" xfId="4051" hidden="1" xr:uid="{00000000-0005-0000-0000-0000C6080000}"/>
    <cellStyle name="20% - Accent4 4 3 3 2" xfId="4224" hidden="1" xr:uid="{00000000-0005-0000-0000-0000C7080000}"/>
    <cellStyle name="20% - Accent4 4 3 3 2" xfId="4617" hidden="1" xr:uid="{00000000-0005-0000-0000-0000C8080000}"/>
    <cellStyle name="20% - Accent4 4 3 3 2" xfId="4765" hidden="1" xr:uid="{00000000-0005-0000-0000-0000C9080000}"/>
    <cellStyle name="20% - Accent4 4 3 3 2" xfId="5103" hidden="1" xr:uid="{00000000-0005-0000-0000-0000CA080000}"/>
    <cellStyle name="20% - Accent4 4 3 3 2" xfId="5440" hidden="1" xr:uid="{00000000-0005-0000-0000-0000CB080000}"/>
    <cellStyle name="20% - Accent4 4 3 3 2" xfId="6005" hidden="1" xr:uid="{00000000-0005-0000-0000-0000CC080000}"/>
    <cellStyle name="20% - Accent4 4 3 3 2" xfId="6120" hidden="1" xr:uid="{00000000-0005-0000-0000-0000CD080000}"/>
    <cellStyle name="20% - Accent4 4 3 3 2" xfId="6843" hidden="1" xr:uid="{00000000-0005-0000-0000-0000CE080000}"/>
    <cellStyle name="20% - Accent4 4 3 3 2" xfId="7016" hidden="1" xr:uid="{00000000-0005-0000-0000-0000CF080000}"/>
    <cellStyle name="20% - Accent4 4 3 3 2" xfId="7409" hidden="1" xr:uid="{00000000-0005-0000-0000-0000D0080000}"/>
    <cellStyle name="20% - Accent4 4 3 3 2" xfId="7557" hidden="1" xr:uid="{00000000-0005-0000-0000-0000D1080000}"/>
    <cellStyle name="20% - Accent4 4 3 3 2" xfId="7895" hidden="1" xr:uid="{00000000-0005-0000-0000-0000D2080000}"/>
    <cellStyle name="20% - Accent4 4 3 3 2" xfId="8232" hidden="1" xr:uid="{00000000-0005-0000-0000-0000D3080000}"/>
    <cellStyle name="20% - Accent4 5 2" xfId="401" hidden="1" xr:uid="{00000000-0005-0000-0000-0000D4080000}"/>
    <cellStyle name="20% - Accent4 5 2" xfId="516" hidden="1" xr:uid="{00000000-0005-0000-0000-0000D5080000}"/>
    <cellStyle name="20% - Accent4 5 2" xfId="1239" hidden="1" xr:uid="{00000000-0005-0000-0000-0000D6080000}"/>
    <cellStyle name="20% - Accent4 5 2" xfId="1412" hidden="1" xr:uid="{00000000-0005-0000-0000-0000D7080000}"/>
    <cellStyle name="20% - Accent4 5 2" xfId="1805" hidden="1" xr:uid="{00000000-0005-0000-0000-0000D8080000}"/>
    <cellStyle name="20% - Accent4 5 2" xfId="1953" hidden="1" xr:uid="{00000000-0005-0000-0000-0000D9080000}"/>
    <cellStyle name="20% - Accent4 5 2" xfId="2291" hidden="1" xr:uid="{00000000-0005-0000-0000-0000DA080000}"/>
    <cellStyle name="20% - Accent4 5 2" xfId="2628" hidden="1" xr:uid="{00000000-0005-0000-0000-0000DB080000}"/>
    <cellStyle name="20% - Accent4 5 2" xfId="3193" hidden="1" xr:uid="{00000000-0005-0000-0000-0000DC080000}"/>
    <cellStyle name="20% - Accent4 5 2" xfId="3308" hidden="1" xr:uid="{00000000-0005-0000-0000-0000DD080000}"/>
    <cellStyle name="20% - Accent4 5 2" xfId="4031" hidden="1" xr:uid="{00000000-0005-0000-0000-0000DE080000}"/>
    <cellStyle name="20% - Accent4 5 2" xfId="4204" hidden="1" xr:uid="{00000000-0005-0000-0000-0000DF080000}"/>
    <cellStyle name="20% - Accent4 5 2" xfId="4597" hidden="1" xr:uid="{00000000-0005-0000-0000-0000E0080000}"/>
    <cellStyle name="20% - Accent4 5 2" xfId="4745" hidden="1" xr:uid="{00000000-0005-0000-0000-0000E1080000}"/>
    <cellStyle name="20% - Accent4 5 2" xfId="5083" hidden="1" xr:uid="{00000000-0005-0000-0000-0000E2080000}"/>
    <cellStyle name="20% - Accent4 5 2" xfId="5420" hidden="1" xr:uid="{00000000-0005-0000-0000-0000E3080000}"/>
    <cellStyle name="20% - Accent4 5 2" xfId="5985" hidden="1" xr:uid="{00000000-0005-0000-0000-0000E4080000}"/>
    <cellStyle name="20% - Accent4 5 2" xfId="6100" hidden="1" xr:uid="{00000000-0005-0000-0000-0000E5080000}"/>
    <cellStyle name="20% - Accent4 5 2" xfId="6823" hidden="1" xr:uid="{00000000-0005-0000-0000-0000E6080000}"/>
    <cellStyle name="20% - Accent4 5 2" xfId="6996" hidden="1" xr:uid="{00000000-0005-0000-0000-0000E7080000}"/>
    <cellStyle name="20% - Accent4 5 2" xfId="7389" hidden="1" xr:uid="{00000000-0005-0000-0000-0000E8080000}"/>
    <cellStyle name="20% - Accent4 5 2" xfId="7537" hidden="1" xr:uid="{00000000-0005-0000-0000-0000E9080000}"/>
    <cellStyle name="20% - Accent4 5 2" xfId="7875" hidden="1" xr:uid="{00000000-0005-0000-0000-0000EA080000}"/>
    <cellStyle name="20% - Accent4 5 2" xfId="8212" hidden="1" xr:uid="{00000000-0005-0000-0000-0000EB080000}"/>
    <cellStyle name="20% - Accent4 7" xfId="78" hidden="1" xr:uid="{00000000-0005-0000-0000-0000EC080000}"/>
    <cellStyle name="20% - Accent4 7" xfId="174" hidden="1" xr:uid="{00000000-0005-0000-0000-0000ED080000}"/>
    <cellStyle name="20% - Accent4 7" xfId="250" hidden="1" xr:uid="{00000000-0005-0000-0000-0000EE080000}"/>
    <cellStyle name="20% - Accent4 7" xfId="328" hidden="1" xr:uid="{00000000-0005-0000-0000-0000EF080000}"/>
    <cellStyle name="20% - Accent4 7" xfId="913" hidden="1" xr:uid="{00000000-0005-0000-0000-0000F0080000}"/>
    <cellStyle name="20% - Accent4 7" xfId="989" hidden="1" xr:uid="{00000000-0005-0000-0000-0000F1080000}"/>
    <cellStyle name="20% - Accent4 7" xfId="1068" hidden="1" xr:uid="{00000000-0005-0000-0000-0000F2080000}"/>
    <cellStyle name="20% - Accent4 7" xfId="1167" hidden="1" xr:uid="{00000000-0005-0000-0000-0000F3080000}"/>
    <cellStyle name="20% - Accent4 7" xfId="686" hidden="1" xr:uid="{00000000-0005-0000-0000-0000F4080000}"/>
    <cellStyle name="20% - Accent4 7" xfId="857" hidden="1" xr:uid="{00000000-0005-0000-0000-0000F5080000}"/>
    <cellStyle name="20% - Accent4 7" xfId="1508" hidden="1" xr:uid="{00000000-0005-0000-0000-0000F6080000}"/>
    <cellStyle name="20% - Accent4 7" xfId="1584" hidden="1" xr:uid="{00000000-0005-0000-0000-0000F7080000}"/>
    <cellStyle name="20% - Accent4 7" xfId="1662" hidden="1" xr:uid="{00000000-0005-0000-0000-0000F8080000}"/>
    <cellStyle name="20% - Accent4 7" xfId="1749" hidden="1" xr:uid="{00000000-0005-0000-0000-0000F9080000}"/>
    <cellStyle name="20% - Accent4 7" xfId="650" hidden="1" xr:uid="{00000000-0005-0000-0000-0000FA080000}"/>
    <cellStyle name="20% - Accent4 7" xfId="739" hidden="1" xr:uid="{00000000-0005-0000-0000-0000FB080000}"/>
    <cellStyle name="20% - Accent4 7" xfId="2040" hidden="1" xr:uid="{00000000-0005-0000-0000-0000FC080000}"/>
    <cellStyle name="20% - Accent4 7" xfId="2116" hidden="1" xr:uid="{00000000-0005-0000-0000-0000FD080000}"/>
    <cellStyle name="20% - Accent4 7" xfId="2194" hidden="1" xr:uid="{00000000-0005-0000-0000-0000FE080000}"/>
    <cellStyle name="20% - Accent4 7" xfId="2377" hidden="1" xr:uid="{00000000-0005-0000-0000-0000FF080000}"/>
    <cellStyle name="20% - Accent4 7" xfId="2453" hidden="1" xr:uid="{00000000-0005-0000-0000-000000090000}"/>
    <cellStyle name="20% - Accent4 7" xfId="2531" hidden="1" xr:uid="{00000000-0005-0000-0000-000001090000}"/>
    <cellStyle name="20% - Accent4 7" xfId="2714" hidden="1" xr:uid="{00000000-0005-0000-0000-000002090000}"/>
    <cellStyle name="20% - Accent4 7" xfId="2790" hidden="1" xr:uid="{00000000-0005-0000-0000-000003090000}"/>
    <cellStyle name="20% - Accent4 7" xfId="2870" hidden="1" xr:uid="{00000000-0005-0000-0000-000004090000}"/>
    <cellStyle name="20% - Accent4 7" xfId="2966" hidden="1" xr:uid="{00000000-0005-0000-0000-000005090000}"/>
    <cellStyle name="20% - Accent4 7" xfId="3042" hidden="1" xr:uid="{00000000-0005-0000-0000-000006090000}"/>
    <cellStyle name="20% - Accent4 7" xfId="3120" hidden="1" xr:uid="{00000000-0005-0000-0000-000007090000}"/>
    <cellStyle name="20% - Accent4 7" xfId="3705" hidden="1" xr:uid="{00000000-0005-0000-0000-000008090000}"/>
    <cellStyle name="20% - Accent4 7" xfId="3781" hidden="1" xr:uid="{00000000-0005-0000-0000-000009090000}"/>
    <cellStyle name="20% - Accent4 7" xfId="3860" hidden="1" xr:uid="{00000000-0005-0000-0000-00000A090000}"/>
    <cellStyle name="20% - Accent4 7" xfId="3959" hidden="1" xr:uid="{00000000-0005-0000-0000-00000B090000}"/>
    <cellStyle name="20% - Accent4 7" xfId="3478" hidden="1" xr:uid="{00000000-0005-0000-0000-00000C090000}"/>
    <cellStyle name="20% - Accent4 7" xfId="3649" hidden="1" xr:uid="{00000000-0005-0000-0000-00000D090000}"/>
    <cellStyle name="20% - Accent4 7" xfId="4300" hidden="1" xr:uid="{00000000-0005-0000-0000-00000E090000}"/>
    <cellStyle name="20% - Accent4 7" xfId="4376" hidden="1" xr:uid="{00000000-0005-0000-0000-00000F090000}"/>
    <cellStyle name="20% - Accent4 7" xfId="4454" hidden="1" xr:uid="{00000000-0005-0000-0000-000010090000}"/>
    <cellStyle name="20% - Accent4 7" xfId="4541" hidden="1" xr:uid="{00000000-0005-0000-0000-000011090000}"/>
    <cellStyle name="20% - Accent4 7" xfId="3442" hidden="1" xr:uid="{00000000-0005-0000-0000-000012090000}"/>
    <cellStyle name="20% - Accent4 7" xfId="3531" hidden="1" xr:uid="{00000000-0005-0000-0000-000013090000}"/>
    <cellStyle name="20% - Accent4 7" xfId="4832" hidden="1" xr:uid="{00000000-0005-0000-0000-000014090000}"/>
    <cellStyle name="20% - Accent4 7" xfId="4908" hidden="1" xr:uid="{00000000-0005-0000-0000-000015090000}"/>
    <cellStyle name="20% - Accent4 7" xfId="4986" hidden="1" xr:uid="{00000000-0005-0000-0000-000016090000}"/>
    <cellStyle name="20% - Accent4 7" xfId="5169" hidden="1" xr:uid="{00000000-0005-0000-0000-000017090000}"/>
    <cellStyle name="20% - Accent4 7" xfId="5245" hidden="1" xr:uid="{00000000-0005-0000-0000-000018090000}"/>
    <cellStyle name="20% - Accent4 7" xfId="5323" hidden="1" xr:uid="{00000000-0005-0000-0000-000019090000}"/>
    <cellStyle name="20% - Accent4 7" xfId="5506" hidden="1" xr:uid="{00000000-0005-0000-0000-00001A090000}"/>
    <cellStyle name="20% - Accent4 7" xfId="5582" hidden="1" xr:uid="{00000000-0005-0000-0000-00001B090000}"/>
    <cellStyle name="20% - Accent4 7" xfId="5662" hidden="1" xr:uid="{00000000-0005-0000-0000-00001C090000}"/>
    <cellStyle name="20% - Accent4 7" xfId="5758" hidden="1" xr:uid="{00000000-0005-0000-0000-00001D090000}"/>
    <cellStyle name="20% - Accent4 7" xfId="5834" hidden="1" xr:uid="{00000000-0005-0000-0000-00001E090000}"/>
    <cellStyle name="20% - Accent4 7" xfId="5912" hidden="1" xr:uid="{00000000-0005-0000-0000-00001F090000}"/>
    <cellStyle name="20% - Accent4 7" xfId="6497" hidden="1" xr:uid="{00000000-0005-0000-0000-000020090000}"/>
    <cellStyle name="20% - Accent4 7" xfId="6573" hidden="1" xr:uid="{00000000-0005-0000-0000-000021090000}"/>
    <cellStyle name="20% - Accent4 7" xfId="6652" hidden="1" xr:uid="{00000000-0005-0000-0000-000022090000}"/>
    <cellStyle name="20% - Accent4 7" xfId="6751" hidden="1" xr:uid="{00000000-0005-0000-0000-000023090000}"/>
    <cellStyle name="20% - Accent4 7" xfId="6270" hidden="1" xr:uid="{00000000-0005-0000-0000-000024090000}"/>
    <cellStyle name="20% - Accent4 7" xfId="6441" hidden="1" xr:uid="{00000000-0005-0000-0000-000025090000}"/>
    <cellStyle name="20% - Accent4 7" xfId="7092" hidden="1" xr:uid="{00000000-0005-0000-0000-000026090000}"/>
    <cellStyle name="20% - Accent4 7" xfId="7168" hidden="1" xr:uid="{00000000-0005-0000-0000-000027090000}"/>
    <cellStyle name="20% - Accent4 7" xfId="7246" hidden="1" xr:uid="{00000000-0005-0000-0000-000028090000}"/>
    <cellStyle name="20% - Accent4 7" xfId="7333" hidden="1" xr:uid="{00000000-0005-0000-0000-000029090000}"/>
    <cellStyle name="20% - Accent4 7" xfId="6234" hidden="1" xr:uid="{00000000-0005-0000-0000-00002A090000}"/>
    <cellStyle name="20% - Accent4 7" xfId="6323" hidden="1" xr:uid="{00000000-0005-0000-0000-00002B090000}"/>
    <cellStyle name="20% - Accent4 7" xfId="7624" hidden="1" xr:uid="{00000000-0005-0000-0000-00002C090000}"/>
    <cellStyle name="20% - Accent4 7" xfId="7700" hidden="1" xr:uid="{00000000-0005-0000-0000-00002D090000}"/>
    <cellStyle name="20% - Accent4 7" xfId="7778" hidden="1" xr:uid="{00000000-0005-0000-0000-00002E090000}"/>
    <cellStyle name="20% - Accent4 7" xfId="7961" hidden="1" xr:uid="{00000000-0005-0000-0000-00002F090000}"/>
    <cellStyle name="20% - Accent4 7" xfId="8037" hidden="1" xr:uid="{00000000-0005-0000-0000-000030090000}"/>
    <cellStyle name="20% - Accent4 7" xfId="8115" hidden="1" xr:uid="{00000000-0005-0000-0000-000031090000}"/>
    <cellStyle name="20% - Accent4 7" xfId="8298" hidden="1" xr:uid="{00000000-0005-0000-0000-000032090000}"/>
    <cellStyle name="20% - Accent4 7" xfId="8374" hidden="1" xr:uid="{00000000-0005-0000-0000-000033090000}"/>
    <cellStyle name="20% - Accent4 8" xfId="94" hidden="1" xr:uid="{00000000-0005-0000-0000-000034090000}"/>
    <cellStyle name="20% - Accent4 8" xfId="165" hidden="1" xr:uid="{00000000-0005-0000-0000-000035090000}"/>
    <cellStyle name="20% - Accent4 8" xfId="242" hidden="1" xr:uid="{00000000-0005-0000-0000-000036090000}"/>
    <cellStyle name="20% - Accent4 8" xfId="320" hidden="1" xr:uid="{00000000-0005-0000-0000-000037090000}"/>
    <cellStyle name="20% - Accent4 8" xfId="904" hidden="1" xr:uid="{00000000-0005-0000-0000-000038090000}"/>
    <cellStyle name="20% - Accent4 8" xfId="981" hidden="1" xr:uid="{00000000-0005-0000-0000-000039090000}"/>
    <cellStyle name="20% - Accent4 8" xfId="1060" hidden="1" xr:uid="{00000000-0005-0000-0000-00003A090000}"/>
    <cellStyle name="20% - Accent4 8" xfId="1171" hidden="1" xr:uid="{00000000-0005-0000-0000-00003B090000}"/>
    <cellStyle name="20% - Accent4 8" xfId="875" hidden="1" xr:uid="{00000000-0005-0000-0000-00003C090000}"/>
    <cellStyle name="20% - Accent4 8" xfId="768" hidden="1" xr:uid="{00000000-0005-0000-0000-00003D090000}"/>
    <cellStyle name="20% - Accent4 8" xfId="736" hidden="1" xr:uid="{00000000-0005-0000-0000-00003E090000}"/>
    <cellStyle name="20% - Accent4 8" xfId="1576" hidden="1" xr:uid="{00000000-0005-0000-0000-00003F090000}"/>
    <cellStyle name="20% - Accent4 8" xfId="1654" hidden="1" xr:uid="{00000000-0005-0000-0000-000040090000}"/>
    <cellStyle name="20% - Accent4 8" xfId="1752" hidden="1" xr:uid="{00000000-0005-0000-0000-000041090000}"/>
    <cellStyle name="20% - Accent4 8" xfId="717" hidden="1" xr:uid="{00000000-0005-0000-0000-000042090000}"/>
    <cellStyle name="20% - Accent4 8" xfId="800" hidden="1" xr:uid="{00000000-0005-0000-0000-000043090000}"/>
    <cellStyle name="20% - Accent4 8" xfId="784" hidden="1" xr:uid="{00000000-0005-0000-0000-000044090000}"/>
    <cellStyle name="20% - Accent4 8" xfId="2108" hidden="1" xr:uid="{00000000-0005-0000-0000-000045090000}"/>
    <cellStyle name="20% - Accent4 8" xfId="2186" hidden="1" xr:uid="{00000000-0005-0000-0000-000046090000}"/>
    <cellStyle name="20% - Accent4 8" xfId="618" hidden="1" xr:uid="{00000000-0005-0000-0000-000047090000}"/>
    <cellStyle name="20% - Accent4 8" xfId="2445" hidden="1" xr:uid="{00000000-0005-0000-0000-000048090000}"/>
    <cellStyle name="20% - Accent4 8" xfId="2523" hidden="1" xr:uid="{00000000-0005-0000-0000-000049090000}"/>
    <cellStyle name="20% - Accent4 8" xfId="1747" hidden="1" xr:uid="{00000000-0005-0000-0000-00004A090000}"/>
    <cellStyle name="20% - Accent4 8" xfId="2782" hidden="1" xr:uid="{00000000-0005-0000-0000-00004B090000}"/>
    <cellStyle name="20% - Accent4 8" xfId="2886" hidden="1" xr:uid="{00000000-0005-0000-0000-00004C090000}"/>
    <cellStyle name="20% - Accent4 8" xfId="2957" hidden="1" xr:uid="{00000000-0005-0000-0000-00004D090000}"/>
    <cellStyle name="20% - Accent4 8" xfId="3034" hidden="1" xr:uid="{00000000-0005-0000-0000-00004E090000}"/>
    <cellStyle name="20% - Accent4 8" xfId="3112" hidden="1" xr:uid="{00000000-0005-0000-0000-00004F090000}"/>
    <cellStyle name="20% - Accent4 8" xfId="3696" hidden="1" xr:uid="{00000000-0005-0000-0000-000050090000}"/>
    <cellStyle name="20% - Accent4 8" xfId="3773" hidden="1" xr:uid="{00000000-0005-0000-0000-000051090000}"/>
    <cellStyle name="20% - Accent4 8" xfId="3852" hidden="1" xr:uid="{00000000-0005-0000-0000-000052090000}"/>
    <cellStyle name="20% - Accent4 8" xfId="3963" hidden="1" xr:uid="{00000000-0005-0000-0000-000053090000}"/>
    <cellStyle name="20% - Accent4 8" xfId="3667" hidden="1" xr:uid="{00000000-0005-0000-0000-000054090000}"/>
    <cellStyle name="20% - Accent4 8" xfId="3560" hidden="1" xr:uid="{00000000-0005-0000-0000-000055090000}"/>
    <cellStyle name="20% - Accent4 8" xfId="3528" hidden="1" xr:uid="{00000000-0005-0000-0000-000056090000}"/>
    <cellStyle name="20% - Accent4 8" xfId="4368" hidden="1" xr:uid="{00000000-0005-0000-0000-000057090000}"/>
    <cellStyle name="20% - Accent4 8" xfId="4446" hidden="1" xr:uid="{00000000-0005-0000-0000-000058090000}"/>
    <cellStyle name="20% - Accent4 8" xfId="4544" hidden="1" xr:uid="{00000000-0005-0000-0000-000059090000}"/>
    <cellStyle name="20% - Accent4 8" xfId="3509" hidden="1" xr:uid="{00000000-0005-0000-0000-00005A090000}"/>
    <cellStyle name="20% - Accent4 8" xfId="3592" hidden="1" xr:uid="{00000000-0005-0000-0000-00005B090000}"/>
    <cellStyle name="20% - Accent4 8" xfId="3576" hidden="1" xr:uid="{00000000-0005-0000-0000-00005C090000}"/>
    <cellStyle name="20% - Accent4 8" xfId="4900" hidden="1" xr:uid="{00000000-0005-0000-0000-00005D090000}"/>
    <cellStyle name="20% - Accent4 8" xfId="4978" hidden="1" xr:uid="{00000000-0005-0000-0000-00005E090000}"/>
    <cellStyle name="20% - Accent4 8" xfId="3410" hidden="1" xr:uid="{00000000-0005-0000-0000-00005F090000}"/>
    <cellStyle name="20% - Accent4 8" xfId="5237" hidden="1" xr:uid="{00000000-0005-0000-0000-000060090000}"/>
    <cellStyle name="20% - Accent4 8" xfId="5315" hidden="1" xr:uid="{00000000-0005-0000-0000-000061090000}"/>
    <cellStyle name="20% - Accent4 8" xfId="4539" hidden="1" xr:uid="{00000000-0005-0000-0000-000062090000}"/>
    <cellStyle name="20% - Accent4 8" xfId="5574" hidden="1" xr:uid="{00000000-0005-0000-0000-000063090000}"/>
    <cellStyle name="20% - Accent4 8" xfId="5678" hidden="1" xr:uid="{00000000-0005-0000-0000-000064090000}"/>
    <cellStyle name="20% - Accent4 8" xfId="5749" hidden="1" xr:uid="{00000000-0005-0000-0000-000065090000}"/>
    <cellStyle name="20% - Accent4 8" xfId="5826" hidden="1" xr:uid="{00000000-0005-0000-0000-000066090000}"/>
    <cellStyle name="20% - Accent4 8" xfId="5904" hidden="1" xr:uid="{00000000-0005-0000-0000-000067090000}"/>
    <cellStyle name="20% - Accent4 8" xfId="6488" hidden="1" xr:uid="{00000000-0005-0000-0000-000068090000}"/>
    <cellStyle name="20% - Accent4 8" xfId="6565" hidden="1" xr:uid="{00000000-0005-0000-0000-000069090000}"/>
    <cellStyle name="20% - Accent4 8" xfId="6644" hidden="1" xr:uid="{00000000-0005-0000-0000-00006A090000}"/>
    <cellStyle name="20% - Accent4 8" xfId="6755" hidden="1" xr:uid="{00000000-0005-0000-0000-00006B090000}"/>
    <cellStyle name="20% - Accent4 8" xfId="6459" hidden="1" xr:uid="{00000000-0005-0000-0000-00006C090000}"/>
    <cellStyle name="20% - Accent4 8" xfId="6352" hidden="1" xr:uid="{00000000-0005-0000-0000-00006D090000}"/>
    <cellStyle name="20% - Accent4 8" xfId="6320" hidden="1" xr:uid="{00000000-0005-0000-0000-00006E090000}"/>
    <cellStyle name="20% - Accent4 8" xfId="7160" hidden="1" xr:uid="{00000000-0005-0000-0000-00006F090000}"/>
    <cellStyle name="20% - Accent4 8" xfId="7238" hidden="1" xr:uid="{00000000-0005-0000-0000-000070090000}"/>
    <cellStyle name="20% - Accent4 8" xfId="7336" hidden="1" xr:uid="{00000000-0005-0000-0000-000071090000}"/>
    <cellStyle name="20% - Accent4 8" xfId="6301" hidden="1" xr:uid="{00000000-0005-0000-0000-000072090000}"/>
    <cellStyle name="20% - Accent4 8" xfId="6384" hidden="1" xr:uid="{00000000-0005-0000-0000-000073090000}"/>
    <cellStyle name="20% - Accent4 8" xfId="6368" hidden="1" xr:uid="{00000000-0005-0000-0000-000074090000}"/>
    <cellStyle name="20% - Accent4 8" xfId="7692" hidden="1" xr:uid="{00000000-0005-0000-0000-000075090000}"/>
    <cellStyle name="20% - Accent4 8" xfId="7770" hidden="1" xr:uid="{00000000-0005-0000-0000-000076090000}"/>
    <cellStyle name="20% - Accent4 8" xfId="6202" hidden="1" xr:uid="{00000000-0005-0000-0000-000077090000}"/>
    <cellStyle name="20% - Accent4 8" xfId="8029" hidden="1" xr:uid="{00000000-0005-0000-0000-000078090000}"/>
    <cellStyle name="20% - Accent4 8" xfId="8107" hidden="1" xr:uid="{00000000-0005-0000-0000-000079090000}"/>
    <cellStyle name="20% - Accent4 8" xfId="7331" hidden="1" xr:uid="{00000000-0005-0000-0000-00007A090000}"/>
    <cellStyle name="20% - Accent4 8" xfId="8366" hidden="1" xr:uid="{00000000-0005-0000-0000-00007B090000}"/>
    <cellStyle name="20% - Accent4 9" xfId="107" hidden="1" xr:uid="{00000000-0005-0000-0000-00007C090000}"/>
    <cellStyle name="20% - Accent4 9" xfId="181" hidden="1" xr:uid="{00000000-0005-0000-0000-00007D090000}"/>
    <cellStyle name="20% - Accent4 9" xfId="257" hidden="1" xr:uid="{00000000-0005-0000-0000-00007E090000}"/>
    <cellStyle name="20% - Accent4 9" xfId="335" hidden="1" xr:uid="{00000000-0005-0000-0000-00007F090000}"/>
    <cellStyle name="20% - Accent4 9" xfId="920" hidden="1" xr:uid="{00000000-0005-0000-0000-000080090000}"/>
    <cellStyle name="20% - Accent4 9" xfId="996" hidden="1" xr:uid="{00000000-0005-0000-0000-000081090000}"/>
    <cellStyle name="20% - Accent4 9" xfId="1075" hidden="1" xr:uid="{00000000-0005-0000-0000-000082090000}"/>
    <cellStyle name="20% - Accent4 9" xfId="1344" hidden="1" xr:uid="{00000000-0005-0000-0000-000083090000}"/>
    <cellStyle name="20% - Accent4 9" xfId="810" hidden="1" xr:uid="{00000000-0005-0000-0000-000084090000}"/>
    <cellStyle name="20% - Accent4 9" xfId="838" hidden="1" xr:uid="{00000000-0005-0000-0000-000085090000}"/>
    <cellStyle name="20% - Accent4 9" xfId="1515" hidden="1" xr:uid="{00000000-0005-0000-0000-000086090000}"/>
    <cellStyle name="20% - Accent4 9" xfId="1591" hidden="1" xr:uid="{00000000-0005-0000-0000-000087090000}"/>
    <cellStyle name="20% - Accent4 9" xfId="1669" hidden="1" xr:uid="{00000000-0005-0000-0000-000088090000}"/>
    <cellStyle name="20% - Accent4 9" xfId="1902" hidden="1" xr:uid="{00000000-0005-0000-0000-000089090000}"/>
    <cellStyle name="20% - Accent4 9" xfId="1359" hidden="1" xr:uid="{00000000-0005-0000-0000-00008A090000}"/>
    <cellStyle name="20% - Accent4 9" xfId="1390" hidden="1" xr:uid="{00000000-0005-0000-0000-00008B090000}"/>
    <cellStyle name="20% - Accent4 9" xfId="2047" hidden="1" xr:uid="{00000000-0005-0000-0000-00008C090000}"/>
    <cellStyle name="20% - Accent4 9" xfId="2123" hidden="1" xr:uid="{00000000-0005-0000-0000-00008D090000}"/>
    <cellStyle name="20% - Accent4 9" xfId="2201" hidden="1" xr:uid="{00000000-0005-0000-0000-00008E090000}"/>
    <cellStyle name="20% - Accent4 9" xfId="2384" hidden="1" xr:uid="{00000000-0005-0000-0000-00008F090000}"/>
    <cellStyle name="20% - Accent4 9" xfId="2460" hidden="1" xr:uid="{00000000-0005-0000-0000-000090090000}"/>
    <cellStyle name="20% - Accent4 9" xfId="2538" hidden="1" xr:uid="{00000000-0005-0000-0000-000091090000}"/>
    <cellStyle name="20% - Accent4 9" xfId="2721" hidden="1" xr:uid="{00000000-0005-0000-0000-000092090000}"/>
    <cellStyle name="20% - Accent4 9" xfId="2797" hidden="1" xr:uid="{00000000-0005-0000-0000-000093090000}"/>
    <cellStyle name="20% - Accent4 9" xfId="2899" hidden="1" xr:uid="{00000000-0005-0000-0000-000094090000}"/>
    <cellStyle name="20% - Accent4 9" xfId="2973" hidden="1" xr:uid="{00000000-0005-0000-0000-000095090000}"/>
    <cellStyle name="20% - Accent4 9" xfId="3049" hidden="1" xr:uid="{00000000-0005-0000-0000-000096090000}"/>
    <cellStyle name="20% - Accent4 9" xfId="3127" hidden="1" xr:uid="{00000000-0005-0000-0000-000097090000}"/>
    <cellStyle name="20% - Accent4 9" xfId="3712" hidden="1" xr:uid="{00000000-0005-0000-0000-000098090000}"/>
    <cellStyle name="20% - Accent4 9" xfId="3788" hidden="1" xr:uid="{00000000-0005-0000-0000-000099090000}"/>
    <cellStyle name="20% - Accent4 9" xfId="3867" hidden="1" xr:uid="{00000000-0005-0000-0000-00009A090000}"/>
    <cellStyle name="20% - Accent4 9" xfId="4136" hidden="1" xr:uid="{00000000-0005-0000-0000-00009B090000}"/>
    <cellStyle name="20% - Accent4 9" xfId="3602" hidden="1" xr:uid="{00000000-0005-0000-0000-00009C090000}"/>
    <cellStyle name="20% - Accent4 9" xfId="3630" hidden="1" xr:uid="{00000000-0005-0000-0000-00009D090000}"/>
    <cellStyle name="20% - Accent4 9" xfId="4307" hidden="1" xr:uid="{00000000-0005-0000-0000-00009E090000}"/>
    <cellStyle name="20% - Accent4 9" xfId="4383" hidden="1" xr:uid="{00000000-0005-0000-0000-00009F090000}"/>
    <cellStyle name="20% - Accent4 9" xfId="4461" hidden="1" xr:uid="{00000000-0005-0000-0000-0000A0090000}"/>
    <cellStyle name="20% - Accent4 9" xfId="4694" hidden="1" xr:uid="{00000000-0005-0000-0000-0000A1090000}"/>
    <cellStyle name="20% - Accent4 9" xfId="4151" hidden="1" xr:uid="{00000000-0005-0000-0000-0000A2090000}"/>
    <cellStyle name="20% - Accent4 9" xfId="4182" hidden="1" xr:uid="{00000000-0005-0000-0000-0000A3090000}"/>
    <cellStyle name="20% - Accent4 9" xfId="4839" hidden="1" xr:uid="{00000000-0005-0000-0000-0000A4090000}"/>
    <cellStyle name="20% - Accent4 9" xfId="4915" hidden="1" xr:uid="{00000000-0005-0000-0000-0000A5090000}"/>
    <cellStyle name="20% - Accent4 9" xfId="4993" hidden="1" xr:uid="{00000000-0005-0000-0000-0000A6090000}"/>
    <cellStyle name="20% - Accent4 9" xfId="5176" hidden="1" xr:uid="{00000000-0005-0000-0000-0000A7090000}"/>
    <cellStyle name="20% - Accent4 9" xfId="5252" hidden="1" xr:uid="{00000000-0005-0000-0000-0000A8090000}"/>
    <cellStyle name="20% - Accent4 9" xfId="5330" hidden="1" xr:uid="{00000000-0005-0000-0000-0000A9090000}"/>
    <cellStyle name="20% - Accent4 9" xfId="5513" hidden="1" xr:uid="{00000000-0005-0000-0000-0000AA090000}"/>
    <cellStyle name="20% - Accent4 9" xfId="5589" hidden="1" xr:uid="{00000000-0005-0000-0000-0000AB090000}"/>
    <cellStyle name="20% - Accent4 9" xfId="5691" hidden="1" xr:uid="{00000000-0005-0000-0000-0000AC090000}"/>
    <cellStyle name="20% - Accent4 9" xfId="5765" hidden="1" xr:uid="{00000000-0005-0000-0000-0000AD090000}"/>
    <cellStyle name="20% - Accent4 9" xfId="5841" hidden="1" xr:uid="{00000000-0005-0000-0000-0000AE090000}"/>
    <cellStyle name="20% - Accent4 9" xfId="5919" hidden="1" xr:uid="{00000000-0005-0000-0000-0000AF090000}"/>
    <cellStyle name="20% - Accent4 9" xfId="6504" hidden="1" xr:uid="{00000000-0005-0000-0000-0000B0090000}"/>
    <cellStyle name="20% - Accent4 9" xfId="6580" hidden="1" xr:uid="{00000000-0005-0000-0000-0000B1090000}"/>
    <cellStyle name="20% - Accent4 9" xfId="6659" hidden="1" xr:uid="{00000000-0005-0000-0000-0000B2090000}"/>
    <cellStyle name="20% - Accent4 9" xfId="6928" hidden="1" xr:uid="{00000000-0005-0000-0000-0000B3090000}"/>
    <cellStyle name="20% - Accent4 9" xfId="6394" hidden="1" xr:uid="{00000000-0005-0000-0000-0000B4090000}"/>
    <cellStyle name="20% - Accent4 9" xfId="6422" hidden="1" xr:uid="{00000000-0005-0000-0000-0000B5090000}"/>
    <cellStyle name="20% - Accent4 9" xfId="7099" hidden="1" xr:uid="{00000000-0005-0000-0000-0000B6090000}"/>
    <cellStyle name="20% - Accent4 9" xfId="7175" hidden="1" xr:uid="{00000000-0005-0000-0000-0000B7090000}"/>
    <cellStyle name="20% - Accent4 9" xfId="7253" hidden="1" xr:uid="{00000000-0005-0000-0000-0000B8090000}"/>
    <cellStyle name="20% - Accent4 9" xfId="7486" hidden="1" xr:uid="{00000000-0005-0000-0000-0000B9090000}"/>
    <cellStyle name="20% - Accent4 9" xfId="6943" hidden="1" xr:uid="{00000000-0005-0000-0000-0000BA090000}"/>
    <cellStyle name="20% - Accent4 9" xfId="6974" hidden="1" xr:uid="{00000000-0005-0000-0000-0000BB090000}"/>
    <cellStyle name="20% - Accent4 9" xfId="7631" hidden="1" xr:uid="{00000000-0005-0000-0000-0000BC090000}"/>
    <cellStyle name="20% - Accent4 9" xfId="7707" hidden="1" xr:uid="{00000000-0005-0000-0000-0000BD090000}"/>
    <cellStyle name="20% - Accent4 9" xfId="7785" hidden="1" xr:uid="{00000000-0005-0000-0000-0000BE090000}"/>
    <cellStyle name="20% - Accent4 9" xfId="7968" hidden="1" xr:uid="{00000000-0005-0000-0000-0000BF090000}"/>
    <cellStyle name="20% - Accent4 9" xfId="8044" hidden="1" xr:uid="{00000000-0005-0000-0000-0000C0090000}"/>
    <cellStyle name="20% - Accent4 9" xfId="8122" hidden="1" xr:uid="{00000000-0005-0000-0000-0000C1090000}"/>
    <cellStyle name="20% - Accent4 9" xfId="8305" hidden="1" xr:uid="{00000000-0005-0000-0000-0000C2090000}"/>
    <cellStyle name="20% - Accent4 9" xfId="8381" hidden="1" xr:uid="{00000000-0005-0000-0000-0000C3090000}"/>
    <cellStyle name="20% - Accent5" xfId="39" builtinId="46" hidden="1"/>
    <cellStyle name="20% - Accent5 10" xfId="135" hidden="1" xr:uid="{00000000-0005-0000-0000-0000C5090000}"/>
    <cellStyle name="20% - Accent5 10" xfId="209" hidden="1" xr:uid="{00000000-0005-0000-0000-0000C6090000}"/>
    <cellStyle name="20% - Accent5 10" xfId="285" hidden="1" xr:uid="{00000000-0005-0000-0000-0000C7090000}"/>
    <cellStyle name="20% - Accent5 10" xfId="363" hidden="1" xr:uid="{00000000-0005-0000-0000-0000C8090000}"/>
    <cellStyle name="20% - Accent5 10" xfId="948" hidden="1" xr:uid="{00000000-0005-0000-0000-0000C9090000}"/>
    <cellStyle name="20% - Accent5 10" xfId="1024" hidden="1" xr:uid="{00000000-0005-0000-0000-0000CA090000}"/>
    <cellStyle name="20% - Accent5 10" xfId="1103" hidden="1" xr:uid="{00000000-0005-0000-0000-0000CB090000}"/>
    <cellStyle name="20% - Accent5 10" xfId="1138" hidden="1" xr:uid="{00000000-0005-0000-0000-0000CC090000}"/>
    <cellStyle name="20% - Accent5 10" xfId="761" hidden="1" xr:uid="{00000000-0005-0000-0000-0000CD090000}"/>
    <cellStyle name="20% - Accent5 10" xfId="765" hidden="1" xr:uid="{00000000-0005-0000-0000-0000CE090000}"/>
    <cellStyle name="20% - Accent5 10" xfId="1543" hidden="1" xr:uid="{00000000-0005-0000-0000-0000CF090000}"/>
    <cellStyle name="20% - Accent5 10" xfId="1619" hidden="1" xr:uid="{00000000-0005-0000-0000-0000D0090000}"/>
    <cellStyle name="20% - Accent5 10" xfId="1697" hidden="1" xr:uid="{00000000-0005-0000-0000-0000D1090000}"/>
    <cellStyle name="20% - Accent5 10" xfId="1726" hidden="1" xr:uid="{00000000-0005-0000-0000-0000D2090000}"/>
    <cellStyle name="20% - Accent5 10" xfId="672" hidden="1" xr:uid="{00000000-0005-0000-0000-0000D3090000}"/>
    <cellStyle name="20% - Accent5 10" xfId="651" hidden="1" xr:uid="{00000000-0005-0000-0000-0000D4090000}"/>
    <cellStyle name="20% - Accent5 10" xfId="2075" hidden="1" xr:uid="{00000000-0005-0000-0000-0000D5090000}"/>
    <cellStyle name="20% - Accent5 10" xfId="2151" hidden="1" xr:uid="{00000000-0005-0000-0000-0000D6090000}"/>
    <cellStyle name="20% - Accent5 10" xfId="2229" hidden="1" xr:uid="{00000000-0005-0000-0000-0000D7090000}"/>
    <cellStyle name="20% - Accent5 10" xfId="2412" hidden="1" xr:uid="{00000000-0005-0000-0000-0000D8090000}"/>
    <cellStyle name="20% - Accent5 10" xfId="2488" hidden="1" xr:uid="{00000000-0005-0000-0000-0000D9090000}"/>
    <cellStyle name="20% - Accent5 10" xfId="2566" hidden="1" xr:uid="{00000000-0005-0000-0000-0000DA090000}"/>
    <cellStyle name="20% - Accent5 10" xfId="2749" hidden="1" xr:uid="{00000000-0005-0000-0000-0000DB090000}"/>
    <cellStyle name="20% - Accent5 10" xfId="2825" hidden="1" xr:uid="{00000000-0005-0000-0000-0000DC090000}"/>
    <cellStyle name="20% - Accent5 10" xfId="2927" hidden="1" xr:uid="{00000000-0005-0000-0000-0000DD090000}"/>
    <cellStyle name="20% - Accent5 10" xfId="3001" hidden="1" xr:uid="{00000000-0005-0000-0000-0000DE090000}"/>
    <cellStyle name="20% - Accent5 10" xfId="3077" hidden="1" xr:uid="{00000000-0005-0000-0000-0000DF090000}"/>
    <cellStyle name="20% - Accent5 10" xfId="3155" hidden="1" xr:uid="{00000000-0005-0000-0000-0000E0090000}"/>
    <cellStyle name="20% - Accent5 10" xfId="3740" hidden="1" xr:uid="{00000000-0005-0000-0000-0000E1090000}"/>
    <cellStyle name="20% - Accent5 10" xfId="3816" hidden="1" xr:uid="{00000000-0005-0000-0000-0000E2090000}"/>
    <cellStyle name="20% - Accent5 10" xfId="3895" hidden="1" xr:uid="{00000000-0005-0000-0000-0000E3090000}"/>
    <cellStyle name="20% - Accent5 10" xfId="3930" hidden="1" xr:uid="{00000000-0005-0000-0000-0000E4090000}"/>
    <cellStyle name="20% - Accent5 10" xfId="3553" hidden="1" xr:uid="{00000000-0005-0000-0000-0000E5090000}"/>
    <cellStyle name="20% - Accent5 10" xfId="3557" hidden="1" xr:uid="{00000000-0005-0000-0000-0000E6090000}"/>
    <cellStyle name="20% - Accent5 10" xfId="4335" hidden="1" xr:uid="{00000000-0005-0000-0000-0000E7090000}"/>
    <cellStyle name="20% - Accent5 10" xfId="4411" hidden="1" xr:uid="{00000000-0005-0000-0000-0000E8090000}"/>
    <cellStyle name="20% - Accent5 10" xfId="4489" hidden="1" xr:uid="{00000000-0005-0000-0000-0000E9090000}"/>
    <cellStyle name="20% - Accent5 10" xfId="4518" hidden="1" xr:uid="{00000000-0005-0000-0000-0000EA090000}"/>
    <cellStyle name="20% - Accent5 10" xfId="3464" hidden="1" xr:uid="{00000000-0005-0000-0000-0000EB090000}"/>
    <cellStyle name="20% - Accent5 10" xfId="3443" hidden="1" xr:uid="{00000000-0005-0000-0000-0000EC090000}"/>
    <cellStyle name="20% - Accent5 10" xfId="4867" hidden="1" xr:uid="{00000000-0005-0000-0000-0000ED090000}"/>
    <cellStyle name="20% - Accent5 10" xfId="4943" hidden="1" xr:uid="{00000000-0005-0000-0000-0000EE090000}"/>
    <cellStyle name="20% - Accent5 10" xfId="5021" hidden="1" xr:uid="{00000000-0005-0000-0000-0000EF090000}"/>
    <cellStyle name="20% - Accent5 10" xfId="5204" hidden="1" xr:uid="{00000000-0005-0000-0000-0000F0090000}"/>
    <cellStyle name="20% - Accent5 10" xfId="5280" hidden="1" xr:uid="{00000000-0005-0000-0000-0000F1090000}"/>
    <cellStyle name="20% - Accent5 10" xfId="5358" hidden="1" xr:uid="{00000000-0005-0000-0000-0000F2090000}"/>
    <cellStyle name="20% - Accent5 10" xfId="5541" hidden="1" xr:uid="{00000000-0005-0000-0000-0000F3090000}"/>
    <cellStyle name="20% - Accent5 10" xfId="5617" hidden="1" xr:uid="{00000000-0005-0000-0000-0000F4090000}"/>
    <cellStyle name="20% - Accent5 10" xfId="5719" hidden="1" xr:uid="{00000000-0005-0000-0000-0000F5090000}"/>
    <cellStyle name="20% - Accent5 10" xfId="5793" hidden="1" xr:uid="{00000000-0005-0000-0000-0000F6090000}"/>
    <cellStyle name="20% - Accent5 10" xfId="5869" hidden="1" xr:uid="{00000000-0005-0000-0000-0000F7090000}"/>
    <cellStyle name="20% - Accent5 10" xfId="5947" hidden="1" xr:uid="{00000000-0005-0000-0000-0000F8090000}"/>
    <cellStyle name="20% - Accent5 10" xfId="6532" hidden="1" xr:uid="{00000000-0005-0000-0000-0000F9090000}"/>
    <cellStyle name="20% - Accent5 10" xfId="6608" hidden="1" xr:uid="{00000000-0005-0000-0000-0000FA090000}"/>
    <cellStyle name="20% - Accent5 10" xfId="6687" hidden="1" xr:uid="{00000000-0005-0000-0000-0000FB090000}"/>
    <cellStyle name="20% - Accent5 10" xfId="6722" hidden="1" xr:uid="{00000000-0005-0000-0000-0000FC090000}"/>
    <cellStyle name="20% - Accent5 10" xfId="6345" hidden="1" xr:uid="{00000000-0005-0000-0000-0000FD090000}"/>
    <cellStyle name="20% - Accent5 10" xfId="6349" hidden="1" xr:uid="{00000000-0005-0000-0000-0000FE090000}"/>
    <cellStyle name="20% - Accent5 10" xfId="7127" hidden="1" xr:uid="{00000000-0005-0000-0000-0000FF090000}"/>
    <cellStyle name="20% - Accent5 10" xfId="7203" hidden="1" xr:uid="{00000000-0005-0000-0000-0000000A0000}"/>
    <cellStyle name="20% - Accent5 10" xfId="7281" hidden="1" xr:uid="{00000000-0005-0000-0000-0000010A0000}"/>
    <cellStyle name="20% - Accent5 10" xfId="7310" hidden="1" xr:uid="{00000000-0005-0000-0000-0000020A0000}"/>
    <cellStyle name="20% - Accent5 10" xfId="6256" hidden="1" xr:uid="{00000000-0005-0000-0000-0000030A0000}"/>
    <cellStyle name="20% - Accent5 10" xfId="6235" hidden="1" xr:uid="{00000000-0005-0000-0000-0000040A0000}"/>
    <cellStyle name="20% - Accent5 10" xfId="7659" hidden="1" xr:uid="{00000000-0005-0000-0000-0000050A0000}"/>
    <cellStyle name="20% - Accent5 10" xfId="7735" hidden="1" xr:uid="{00000000-0005-0000-0000-0000060A0000}"/>
    <cellStyle name="20% - Accent5 10" xfId="7813" hidden="1" xr:uid="{00000000-0005-0000-0000-0000070A0000}"/>
    <cellStyle name="20% - Accent5 10" xfId="7996" hidden="1" xr:uid="{00000000-0005-0000-0000-0000080A0000}"/>
    <cellStyle name="20% - Accent5 10" xfId="8072" hidden="1" xr:uid="{00000000-0005-0000-0000-0000090A0000}"/>
    <cellStyle name="20% - Accent5 10" xfId="8150" hidden="1" xr:uid="{00000000-0005-0000-0000-00000A0A0000}"/>
    <cellStyle name="20% - Accent5 10" xfId="8333" hidden="1" xr:uid="{00000000-0005-0000-0000-00000B0A0000}"/>
    <cellStyle name="20% - Accent5 10" xfId="8409" hidden="1" xr:uid="{00000000-0005-0000-0000-00000C0A0000}"/>
    <cellStyle name="20% - Accent5 11" xfId="148" hidden="1" xr:uid="{00000000-0005-0000-0000-00000D0A0000}"/>
    <cellStyle name="20% - Accent5 11" xfId="223" hidden="1" xr:uid="{00000000-0005-0000-0000-00000E0A0000}"/>
    <cellStyle name="20% - Accent5 11" xfId="298" hidden="1" xr:uid="{00000000-0005-0000-0000-00000F0A0000}"/>
    <cellStyle name="20% - Accent5 11" xfId="376" hidden="1" xr:uid="{00000000-0005-0000-0000-0000100A0000}"/>
    <cellStyle name="20% - Accent5 11" xfId="962" hidden="1" xr:uid="{00000000-0005-0000-0000-0000110A0000}"/>
    <cellStyle name="20% - Accent5 11" xfId="1037" hidden="1" xr:uid="{00000000-0005-0000-0000-0000120A0000}"/>
    <cellStyle name="20% - Accent5 11" xfId="1116" hidden="1" xr:uid="{00000000-0005-0000-0000-0000130A0000}"/>
    <cellStyle name="20% - Accent5 11" xfId="1197" hidden="1" xr:uid="{00000000-0005-0000-0000-0000140A0000}"/>
    <cellStyle name="20% - Accent5 11" xfId="711" hidden="1" xr:uid="{00000000-0005-0000-0000-0000150A0000}"/>
    <cellStyle name="20% - Accent5 11" xfId="695" hidden="1" xr:uid="{00000000-0005-0000-0000-0000160A0000}"/>
    <cellStyle name="20% - Accent5 11" xfId="1557" hidden="1" xr:uid="{00000000-0005-0000-0000-0000170A0000}"/>
    <cellStyle name="20% - Accent5 11" xfId="1632" hidden="1" xr:uid="{00000000-0005-0000-0000-0000180A0000}"/>
    <cellStyle name="20% - Accent5 11" xfId="1710" hidden="1" xr:uid="{00000000-0005-0000-0000-0000190A0000}"/>
    <cellStyle name="20% - Accent5 11" xfId="1768" hidden="1" xr:uid="{00000000-0005-0000-0000-00001A0A0000}"/>
    <cellStyle name="20% - Accent5 11" xfId="1317" hidden="1" xr:uid="{00000000-0005-0000-0000-00001B0A0000}"/>
    <cellStyle name="20% - Accent5 11" xfId="773" hidden="1" xr:uid="{00000000-0005-0000-0000-00001C0A0000}"/>
    <cellStyle name="20% - Accent5 11" xfId="2089" hidden="1" xr:uid="{00000000-0005-0000-0000-00001D0A0000}"/>
    <cellStyle name="20% - Accent5 11" xfId="2164" hidden="1" xr:uid="{00000000-0005-0000-0000-00001E0A0000}"/>
    <cellStyle name="20% - Accent5 11" xfId="2242" hidden="1" xr:uid="{00000000-0005-0000-0000-00001F0A0000}"/>
    <cellStyle name="20% - Accent5 11" xfId="2426" hidden="1" xr:uid="{00000000-0005-0000-0000-0000200A0000}"/>
    <cellStyle name="20% - Accent5 11" xfId="2501" hidden="1" xr:uid="{00000000-0005-0000-0000-0000210A0000}"/>
    <cellStyle name="20% - Accent5 11" xfId="2579" hidden="1" xr:uid="{00000000-0005-0000-0000-0000220A0000}"/>
    <cellStyle name="20% - Accent5 11" xfId="2763" hidden="1" xr:uid="{00000000-0005-0000-0000-0000230A0000}"/>
    <cellStyle name="20% - Accent5 11" xfId="2838" hidden="1" xr:uid="{00000000-0005-0000-0000-0000240A0000}"/>
    <cellStyle name="20% - Accent5 11" xfId="2940" hidden="1" xr:uid="{00000000-0005-0000-0000-0000250A0000}"/>
    <cellStyle name="20% - Accent5 11" xfId="3015" hidden="1" xr:uid="{00000000-0005-0000-0000-0000260A0000}"/>
    <cellStyle name="20% - Accent5 11" xfId="3090" hidden="1" xr:uid="{00000000-0005-0000-0000-0000270A0000}"/>
    <cellStyle name="20% - Accent5 11" xfId="3168" hidden="1" xr:uid="{00000000-0005-0000-0000-0000280A0000}"/>
    <cellStyle name="20% - Accent5 11" xfId="3754" hidden="1" xr:uid="{00000000-0005-0000-0000-0000290A0000}"/>
    <cellStyle name="20% - Accent5 11" xfId="3829" hidden="1" xr:uid="{00000000-0005-0000-0000-00002A0A0000}"/>
    <cellStyle name="20% - Accent5 11" xfId="3908" hidden="1" xr:uid="{00000000-0005-0000-0000-00002B0A0000}"/>
    <cellStyle name="20% - Accent5 11" xfId="3989" hidden="1" xr:uid="{00000000-0005-0000-0000-00002C0A0000}"/>
    <cellStyle name="20% - Accent5 11" xfId="3503" hidden="1" xr:uid="{00000000-0005-0000-0000-00002D0A0000}"/>
    <cellStyle name="20% - Accent5 11" xfId="3487" hidden="1" xr:uid="{00000000-0005-0000-0000-00002E0A0000}"/>
    <cellStyle name="20% - Accent5 11" xfId="4349" hidden="1" xr:uid="{00000000-0005-0000-0000-00002F0A0000}"/>
    <cellStyle name="20% - Accent5 11" xfId="4424" hidden="1" xr:uid="{00000000-0005-0000-0000-0000300A0000}"/>
    <cellStyle name="20% - Accent5 11" xfId="4502" hidden="1" xr:uid="{00000000-0005-0000-0000-0000310A0000}"/>
    <cellStyle name="20% - Accent5 11" xfId="4560" hidden="1" xr:uid="{00000000-0005-0000-0000-0000320A0000}"/>
    <cellStyle name="20% - Accent5 11" xfId="4109" hidden="1" xr:uid="{00000000-0005-0000-0000-0000330A0000}"/>
    <cellStyle name="20% - Accent5 11" xfId="3565" hidden="1" xr:uid="{00000000-0005-0000-0000-0000340A0000}"/>
    <cellStyle name="20% - Accent5 11" xfId="4881" hidden="1" xr:uid="{00000000-0005-0000-0000-0000350A0000}"/>
    <cellStyle name="20% - Accent5 11" xfId="4956" hidden="1" xr:uid="{00000000-0005-0000-0000-0000360A0000}"/>
    <cellStyle name="20% - Accent5 11" xfId="5034" hidden="1" xr:uid="{00000000-0005-0000-0000-0000370A0000}"/>
    <cellStyle name="20% - Accent5 11" xfId="5218" hidden="1" xr:uid="{00000000-0005-0000-0000-0000380A0000}"/>
    <cellStyle name="20% - Accent5 11" xfId="5293" hidden="1" xr:uid="{00000000-0005-0000-0000-0000390A0000}"/>
    <cellStyle name="20% - Accent5 11" xfId="5371" hidden="1" xr:uid="{00000000-0005-0000-0000-00003A0A0000}"/>
    <cellStyle name="20% - Accent5 11" xfId="5555" hidden="1" xr:uid="{00000000-0005-0000-0000-00003B0A0000}"/>
    <cellStyle name="20% - Accent5 11" xfId="5630" hidden="1" xr:uid="{00000000-0005-0000-0000-00003C0A0000}"/>
    <cellStyle name="20% - Accent5 11" xfId="5732" hidden="1" xr:uid="{00000000-0005-0000-0000-00003D0A0000}"/>
    <cellStyle name="20% - Accent5 11" xfId="5807" hidden="1" xr:uid="{00000000-0005-0000-0000-00003E0A0000}"/>
    <cellStyle name="20% - Accent5 11" xfId="5882" hidden="1" xr:uid="{00000000-0005-0000-0000-00003F0A0000}"/>
    <cellStyle name="20% - Accent5 11" xfId="5960" hidden="1" xr:uid="{00000000-0005-0000-0000-0000400A0000}"/>
    <cellStyle name="20% - Accent5 11" xfId="6546" hidden="1" xr:uid="{00000000-0005-0000-0000-0000410A0000}"/>
    <cellStyle name="20% - Accent5 11" xfId="6621" hidden="1" xr:uid="{00000000-0005-0000-0000-0000420A0000}"/>
    <cellStyle name="20% - Accent5 11" xfId="6700" hidden="1" xr:uid="{00000000-0005-0000-0000-0000430A0000}"/>
    <cellStyle name="20% - Accent5 11" xfId="6781" hidden="1" xr:uid="{00000000-0005-0000-0000-0000440A0000}"/>
    <cellStyle name="20% - Accent5 11" xfId="6295" hidden="1" xr:uid="{00000000-0005-0000-0000-0000450A0000}"/>
    <cellStyle name="20% - Accent5 11" xfId="6279" hidden="1" xr:uid="{00000000-0005-0000-0000-0000460A0000}"/>
    <cellStyle name="20% - Accent5 11" xfId="7141" hidden="1" xr:uid="{00000000-0005-0000-0000-0000470A0000}"/>
    <cellStyle name="20% - Accent5 11" xfId="7216" hidden="1" xr:uid="{00000000-0005-0000-0000-0000480A0000}"/>
    <cellStyle name="20% - Accent5 11" xfId="7294" hidden="1" xr:uid="{00000000-0005-0000-0000-0000490A0000}"/>
    <cellStyle name="20% - Accent5 11" xfId="7352" hidden="1" xr:uid="{00000000-0005-0000-0000-00004A0A0000}"/>
    <cellStyle name="20% - Accent5 11" xfId="6901" hidden="1" xr:uid="{00000000-0005-0000-0000-00004B0A0000}"/>
    <cellStyle name="20% - Accent5 11" xfId="6357" hidden="1" xr:uid="{00000000-0005-0000-0000-00004C0A0000}"/>
    <cellStyle name="20% - Accent5 11" xfId="7673" hidden="1" xr:uid="{00000000-0005-0000-0000-00004D0A0000}"/>
    <cellStyle name="20% - Accent5 11" xfId="7748" hidden="1" xr:uid="{00000000-0005-0000-0000-00004E0A0000}"/>
    <cellStyle name="20% - Accent5 11" xfId="7826" hidden="1" xr:uid="{00000000-0005-0000-0000-00004F0A0000}"/>
    <cellStyle name="20% - Accent5 11" xfId="8010" hidden="1" xr:uid="{00000000-0005-0000-0000-0000500A0000}"/>
    <cellStyle name="20% - Accent5 11" xfId="8085" hidden="1" xr:uid="{00000000-0005-0000-0000-0000510A0000}"/>
    <cellStyle name="20% - Accent5 11" xfId="8163" hidden="1" xr:uid="{00000000-0005-0000-0000-0000520A0000}"/>
    <cellStyle name="20% - Accent5 11" xfId="8347" hidden="1" xr:uid="{00000000-0005-0000-0000-0000530A0000}"/>
    <cellStyle name="20% - Accent5 11" xfId="8422" hidden="1" xr:uid="{00000000-0005-0000-0000-0000540A0000}"/>
    <cellStyle name="20% - Accent5 12" xfId="389" hidden="1" xr:uid="{00000000-0005-0000-0000-0000550A0000}"/>
    <cellStyle name="20% - Accent5 12" xfId="504" hidden="1" xr:uid="{00000000-0005-0000-0000-0000560A0000}"/>
    <cellStyle name="20% - Accent5 12" xfId="1227" hidden="1" xr:uid="{00000000-0005-0000-0000-0000570A0000}"/>
    <cellStyle name="20% - Accent5 12" xfId="1400" hidden="1" xr:uid="{00000000-0005-0000-0000-0000580A0000}"/>
    <cellStyle name="20% - Accent5 12" xfId="1793" hidden="1" xr:uid="{00000000-0005-0000-0000-0000590A0000}"/>
    <cellStyle name="20% - Accent5 12" xfId="1941" hidden="1" xr:uid="{00000000-0005-0000-0000-00005A0A0000}"/>
    <cellStyle name="20% - Accent5 12" xfId="2279" hidden="1" xr:uid="{00000000-0005-0000-0000-00005B0A0000}"/>
    <cellStyle name="20% - Accent5 12" xfId="2616" hidden="1" xr:uid="{00000000-0005-0000-0000-00005C0A0000}"/>
    <cellStyle name="20% - Accent5 12" xfId="3181" hidden="1" xr:uid="{00000000-0005-0000-0000-00005D0A0000}"/>
    <cellStyle name="20% - Accent5 12" xfId="3296" hidden="1" xr:uid="{00000000-0005-0000-0000-00005E0A0000}"/>
    <cellStyle name="20% - Accent5 12" xfId="4019" hidden="1" xr:uid="{00000000-0005-0000-0000-00005F0A0000}"/>
    <cellStyle name="20% - Accent5 12" xfId="4192" hidden="1" xr:uid="{00000000-0005-0000-0000-0000600A0000}"/>
    <cellStyle name="20% - Accent5 12" xfId="4585" hidden="1" xr:uid="{00000000-0005-0000-0000-0000610A0000}"/>
    <cellStyle name="20% - Accent5 12" xfId="4733" hidden="1" xr:uid="{00000000-0005-0000-0000-0000620A0000}"/>
    <cellStyle name="20% - Accent5 12" xfId="5071" hidden="1" xr:uid="{00000000-0005-0000-0000-0000630A0000}"/>
    <cellStyle name="20% - Accent5 12" xfId="5408" hidden="1" xr:uid="{00000000-0005-0000-0000-0000640A0000}"/>
    <cellStyle name="20% - Accent5 12" xfId="5973" hidden="1" xr:uid="{00000000-0005-0000-0000-0000650A0000}"/>
    <cellStyle name="20% - Accent5 12" xfId="6088" hidden="1" xr:uid="{00000000-0005-0000-0000-0000660A0000}"/>
    <cellStyle name="20% - Accent5 12" xfId="6811" hidden="1" xr:uid="{00000000-0005-0000-0000-0000670A0000}"/>
    <cellStyle name="20% - Accent5 12" xfId="6984" hidden="1" xr:uid="{00000000-0005-0000-0000-0000680A0000}"/>
    <cellStyle name="20% - Accent5 12" xfId="7377" hidden="1" xr:uid="{00000000-0005-0000-0000-0000690A0000}"/>
    <cellStyle name="20% - Accent5 12" xfId="7525" hidden="1" xr:uid="{00000000-0005-0000-0000-00006A0A0000}"/>
    <cellStyle name="20% - Accent5 12" xfId="7863" hidden="1" xr:uid="{00000000-0005-0000-0000-00006B0A0000}"/>
    <cellStyle name="20% - Accent5 12" xfId="8200" hidden="1" xr:uid="{00000000-0005-0000-0000-00006C0A0000}"/>
    <cellStyle name="20% - Accent5 3 2 3 2" xfId="465" hidden="1" xr:uid="{00000000-0005-0000-0000-00006D0A0000}"/>
    <cellStyle name="20% - Accent5 3 2 3 2" xfId="580" hidden="1" xr:uid="{00000000-0005-0000-0000-00006E0A0000}"/>
    <cellStyle name="20% - Accent5 3 2 3 2" xfId="1303" hidden="1" xr:uid="{00000000-0005-0000-0000-00006F0A0000}"/>
    <cellStyle name="20% - Accent5 3 2 3 2" xfId="1476" hidden="1" xr:uid="{00000000-0005-0000-0000-0000700A0000}"/>
    <cellStyle name="20% - Accent5 3 2 3 2" xfId="1869" hidden="1" xr:uid="{00000000-0005-0000-0000-0000710A0000}"/>
    <cellStyle name="20% - Accent5 3 2 3 2" xfId="2017" hidden="1" xr:uid="{00000000-0005-0000-0000-0000720A0000}"/>
    <cellStyle name="20% - Accent5 3 2 3 2" xfId="2355" hidden="1" xr:uid="{00000000-0005-0000-0000-0000730A0000}"/>
    <cellStyle name="20% - Accent5 3 2 3 2" xfId="2692" hidden="1" xr:uid="{00000000-0005-0000-0000-0000740A0000}"/>
    <cellStyle name="20% - Accent5 3 2 3 2" xfId="3257" hidden="1" xr:uid="{00000000-0005-0000-0000-0000750A0000}"/>
    <cellStyle name="20% - Accent5 3 2 3 2" xfId="3372" hidden="1" xr:uid="{00000000-0005-0000-0000-0000760A0000}"/>
    <cellStyle name="20% - Accent5 3 2 3 2" xfId="4095" hidden="1" xr:uid="{00000000-0005-0000-0000-0000770A0000}"/>
    <cellStyle name="20% - Accent5 3 2 3 2" xfId="4268" hidden="1" xr:uid="{00000000-0005-0000-0000-0000780A0000}"/>
    <cellStyle name="20% - Accent5 3 2 3 2" xfId="4661" hidden="1" xr:uid="{00000000-0005-0000-0000-0000790A0000}"/>
    <cellStyle name="20% - Accent5 3 2 3 2" xfId="4809" hidden="1" xr:uid="{00000000-0005-0000-0000-00007A0A0000}"/>
    <cellStyle name="20% - Accent5 3 2 3 2" xfId="5147" hidden="1" xr:uid="{00000000-0005-0000-0000-00007B0A0000}"/>
    <cellStyle name="20% - Accent5 3 2 3 2" xfId="5484" hidden="1" xr:uid="{00000000-0005-0000-0000-00007C0A0000}"/>
    <cellStyle name="20% - Accent5 3 2 3 2" xfId="6049" hidden="1" xr:uid="{00000000-0005-0000-0000-00007D0A0000}"/>
    <cellStyle name="20% - Accent5 3 2 3 2" xfId="6164" hidden="1" xr:uid="{00000000-0005-0000-0000-00007E0A0000}"/>
    <cellStyle name="20% - Accent5 3 2 3 2" xfId="6887" hidden="1" xr:uid="{00000000-0005-0000-0000-00007F0A0000}"/>
    <cellStyle name="20% - Accent5 3 2 3 2" xfId="7060" hidden="1" xr:uid="{00000000-0005-0000-0000-0000800A0000}"/>
    <cellStyle name="20% - Accent5 3 2 3 2" xfId="7453" hidden="1" xr:uid="{00000000-0005-0000-0000-0000810A0000}"/>
    <cellStyle name="20% - Accent5 3 2 3 2" xfId="7601" hidden="1" xr:uid="{00000000-0005-0000-0000-0000820A0000}"/>
    <cellStyle name="20% - Accent5 3 2 3 2" xfId="7939" hidden="1" xr:uid="{00000000-0005-0000-0000-0000830A0000}"/>
    <cellStyle name="20% - Accent5 3 2 3 2" xfId="8276" hidden="1" xr:uid="{00000000-0005-0000-0000-0000840A0000}"/>
    <cellStyle name="20% - Accent5 3 2 4 2" xfId="424" hidden="1" xr:uid="{00000000-0005-0000-0000-0000850A0000}"/>
    <cellStyle name="20% - Accent5 3 2 4 2" xfId="539" hidden="1" xr:uid="{00000000-0005-0000-0000-0000860A0000}"/>
    <cellStyle name="20% - Accent5 3 2 4 2" xfId="1262" hidden="1" xr:uid="{00000000-0005-0000-0000-0000870A0000}"/>
    <cellStyle name="20% - Accent5 3 2 4 2" xfId="1435" hidden="1" xr:uid="{00000000-0005-0000-0000-0000880A0000}"/>
    <cellStyle name="20% - Accent5 3 2 4 2" xfId="1828" hidden="1" xr:uid="{00000000-0005-0000-0000-0000890A0000}"/>
    <cellStyle name="20% - Accent5 3 2 4 2" xfId="1976" hidden="1" xr:uid="{00000000-0005-0000-0000-00008A0A0000}"/>
    <cellStyle name="20% - Accent5 3 2 4 2" xfId="2314" hidden="1" xr:uid="{00000000-0005-0000-0000-00008B0A0000}"/>
    <cellStyle name="20% - Accent5 3 2 4 2" xfId="2651" hidden="1" xr:uid="{00000000-0005-0000-0000-00008C0A0000}"/>
    <cellStyle name="20% - Accent5 3 2 4 2" xfId="3216" hidden="1" xr:uid="{00000000-0005-0000-0000-00008D0A0000}"/>
    <cellStyle name="20% - Accent5 3 2 4 2" xfId="3331" hidden="1" xr:uid="{00000000-0005-0000-0000-00008E0A0000}"/>
    <cellStyle name="20% - Accent5 3 2 4 2" xfId="4054" hidden="1" xr:uid="{00000000-0005-0000-0000-00008F0A0000}"/>
    <cellStyle name="20% - Accent5 3 2 4 2" xfId="4227" hidden="1" xr:uid="{00000000-0005-0000-0000-0000900A0000}"/>
    <cellStyle name="20% - Accent5 3 2 4 2" xfId="4620" hidden="1" xr:uid="{00000000-0005-0000-0000-0000910A0000}"/>
    <cellStyle name="20% - Accent5 3 2 4 2" xfId="4768" hidden="1" xr:uid="{00000000-0005-0000-0000-0000920A0000}"/>
    <cellStyle name="20% - Accent5 3 2 4 2" xfId="5106" hidden="1" xr:uid="{00000000-0005-0000-0000-0000930A0000}"/>
    <cellStyle name="20% - Accent5 3 2 4 2" xfId="5443" hidden="1" xr:uid="{00000000-0005-0000-0000-0000940A0000}"/>
    <cellStyle name="20% - Accent5 3 2 4 2" xfId="6008" hidden="1" xr:uid="{00000000-0005-0000-0000-0000950A0000}"/>
    <cellStyle name="20% - Accent5 3 2 4 2" xfId="6123" hidden="1" xr:uid="{00000000-0005-0000-0000-0000960A0000}"/>
    <cellStyle name="20% - Accent5 3 2 4 2" xfId="6846" hidden="1" xr:uid="{00000000-0005-0000-0000-0000970A0000}"/>
    <cellStyle name="20% - Accent5 3 2 4 2" xfId="7019" hidden="1" xr:uid="{00000000-0005-0000-0000-0000980A0000}"/>
    <cellStyle name="20% - Accent5 3 2 4 2" xfId="7412" hidden="1" xr:uid="{00000000-0005-0000-0000-0000990A0000}"/>
    <cellStyle name="20% - Accent5 3 2 4 2" xfId="7560" hidden="1" xr:uid="{00000000-0005-0000-0000-00009A0A0000}"/>
    <cellStyle name="20% - Accent5 3 2 4 2" xfId="7898" hidden="1" xr:uid="{00000000-0005-0000-0000-00009B0A0000}"/>
    <cellStyle name="20% - Accent5 3 2 4 2" xfId="8235" hidden="1" xr:uid="{00000000-0005-0000-0000-00009C0A0000}"/>
    <cellStyle name="20% - Accent5 3 3 3 2" xfId="423" hidden="1" xr:uid="{00000000-0005-0000-0000-00009D0A0000}"/>
    <cellStyle name="20% - Accent5 3 3 3 2" xfId="538" hidden="1" xr:uid="{00000000-0005-0000-0000-00009E0A0000}"/>
    <cellStyle name="20% - Accent5 3 3 3 2" xfId="1261" hidden="1" xr:uid="{00000000-0005-0000-0000-00009F0A0000}"/>
    <cellStyle name="20% - Accent5 3 3 3 2" xfId="1434" hidden="1" xr:uid="{00000000-0005-0000-0000-0000A00A0000}"/>
    <cellStyle name="20% - Accent5 3 3 3 2" xfId="1827" hidden="1" xr:uid="{00000000-0005-0000-0000-0000A10A0000}"/>
    <cellStyle name="20% - Accent5 3 3 3 2" xfId="1975" hidden="1" xr:uid="{00000000-0005-0000-0000-0000A20A0000}"/>
    <cellStyle name="20% - Accent5 3 3 3 2" xfId="2313" hidden="1" xr:uid="{00000000-0005-0000-0000-0000A30A0000}"/>
    <cellStyle name="20% - Accent5 3 3 3 2" xfId="2650" hidden="1" xr:uid="{00000000-0005-0000-0000-0000A40A0000}"/>
    <cellStyle name="20% - Accent5 3 3 3 2" xfId="3215" hidden="1" xr:uid="{00000000-0005-0000-0000-0000A50A0000}"/>
    <cellStyle name="20% - Accent5 3 3 3 2" xfId="3330" hidden="1" xr:uid="{00000000-0005-0000-0000-0000A60A0000}"/>
    <cellStyle name="20% - Accent5 3 3 3 2" xfId="4053" hidden="1" xr:uid="{00000000-0005-0000-0000-0000A70A0000}"/>
    <cellStyle name="20% - Accent5 3 3 3 2" xfId="4226" hidden="1" xr:uid="{00000000-0005-0000-0000-0000A80A0000}"/>
    <cellStyle name="20% - Accent5 3 3 3 2" xfId="4619" hidden="1" xr:uid="{00000000-0005-0000-0000-0000A90A0000}"/>
    <cellStyle name="20% - Accent5 3 3 3 2" xfId="4767" hidden="1" xr:uid="{00000000-0005-0000-0000-0000AA0A0000}"/>
    <cellStyle name="20% - Accent5 3 3 3 2" xfId="5105" hidden="1" xr:uid="{00000000-0005-0000-0000-0000AB0A0000}"/>
    <cellStyle name="20% - Accent5 3 3 3 2" xfId="5442" hidden="1" xr:uid="{00000000-0005-0000-0000-0000AC0A0000}"/>
    <cellStyle name="20% - Accent5 3 3 3 2" xfId="6007" hidden="1" xr:uid="{00000000-0005-0000-0000-0000AD0A0000}"/>
    <cellStyle name="20% - Accent5 3 3 3 2" xfId="6122" hidden="1" xr:uid="{00000000-0005-0000-0000-0000AE0A0000}"/>
    <cellStyle name="20% - Accent5 3 3 3 2" xfId="6845" hidden="1" xr:uid="{00000000-0005-0000-0000-0000AF0A0000}"/>
    <cellStyle name="20% - Accent5 3 3 3 2" xfId="7018" hidden="1" xr:uid="{00000000-0005-0000-0000-0000B00A0000}"/>
    <cellStyle name="20% - Accent5 3 3 3 2" xfId="7411" hidden="1" xr:uid="{00000000-0005-0000-0000-0000B10A0000}"/>
    <cellStyle name="20% - Accent5 3 3 3 2" xfId="7559" hidden="1" xr:uid="{00000000-0005-0000-0000-0000B20A0000}"/>
    <cellStyle name="20% - Accent5 3 3 3 2" xfId="7897" hidden="1" xr:uid="{00000000-0005-0000-0000-0000B30A0000}"/>
    <cellStyle name="20% - Accent5 3 3 3 2" xfId="8234" hidden="1" xr:uid="{00000000-0005-0000-0000-0000B40A0000}"/>
    <cellStyle name="20% - Accent5 4 2 2" xfId="425" hidden="1" xr:uid="{00000000-0005-0000-0000-0000B50A0000}"/>
    <cellStyle name="20% - Accent5 4 2 2" xfId="540" hidden="1" xr:uid="{00000000-0005-0000-0000-0000B60A0000}"/>
    <cellStyle name="20% - Accent5 4 2 2" xfId="1263" hidden="1" xr:uid="{00000000-0005-0000-0000-0000B70A0000}"/>
    <cellStyle name="20% - Accent5 4 2 2" xfId="1436" hidden="1" xr:uid="{00000000-0005-0000-0000-0000B80A0000}"/>
    <cellStyle name="20% - Accent5 4 2 2" xfId="1829" hidden="1" xr:uid="{00000000-0005-0000-0000-0000B90A0000}"/>
    <cellStyle name="20% - Accent5 4 2 2" xfId="1977" hidden="1" xr:uid="{00000000-0005-0000-0000-0000BA0A0000}"/>
    <cellStyle name="20% - Accent5 4 2 2" xfId="2315" hidden="1" xr:uid="{00000000-0005-0000-0000-0000BB0A0000}"/>
    <cellStyle name="20% - Accent5 4 2 2" xfId="2652" hidden="1" xr:uid="{00000000-0005-0000-0000-0000BC0A0000}"/>
    <cellStyle name="20% - Accent5 4 2 2" xfId="3217" hidden="1" xr:uid="{00000000-0005-0000-0000-0000BD0A0000}"/>
    <cellStyle name="20% - Accent5 4 2 2" xfId="3332" hidden="1" xr:uid="{00000000-0005-0000-0000-0000BE0A0000}"/>
    <cellStyle name="20% - Accent5 4 2 2" xfId="4055" hidden="1" xr:uid="{00000000-0005-0000-0000-0000BF0A0000}"/>
    <cellStyle name="20% - Accent5 4 2 2" xfId="4228" hidden="1" xr:uid="{00000000-0005-0000-0000-0000C00A0000}"/>
    <cellStyle name="20% - Accent5 4 2 2" xfId="4621" hidden="1" xr:uid="{00000000-0005-0000-0000-0000C10A0000}"/>
    <cellStyle name="20% - Accent5 4 2 2" xfId="4769" hidden="1" xr:uid="{00000000-0005-0000-0000-0000C20A0000}"/>
    <cellStyle name="20% - Accent5 4 2 2" xfId="5107" hidden="1" xr:uid="{00000000-0005-0000-0000-0000C30A0000}"/>
    <cellStyle name="20% - Accent5 4 2 2" xfId="5444" hidden="1" xr:uid="{00000000-0005-0000-0000-0000C40A0000}"/>
    <cellStyle name="20% - Accent5 4 2 2" xfId="6009" hidden="1" xr:uid="{00000000-0005-0000-0000-0000C50A0000}"/>
    <cellStyle name="20% - Accent5 4 2 2" xfId="6124" hidden="1" xr:uid="{00000000-0005-0000-0000-0000C60A0000}"/>
    <cellStyle name="20% - Accent5 4 2 2" xfId="6847" hidden="1" xr:uid="{00000000-0005-0000-0000-0000C70A0000}"/>
    <cellStyle name="20% - Accent5 4 2 2" xfId="7020" hidden="1" xr:uid="{00000000-0005-0000-0000-0000C80A0000}"/>
    <cellStyle name="20% - Accent5 4 2 2" xfId="7413" hidden="1" xr:uid="{00000000-0005-0000-0000-0000C90A0000}"/>
    <cellStyle name="20% - Accent5 4 2 2" xfId="7561" hidden="1" xr:uid="{00000000-0005-0000-0000-0000CA0A0000}"/>
    <cellStyle name="20% - Accent5 4 2 2" xfId="7899" hidden="1" xr:uid="{00000000-0005-0000-0000-0000CB0A0000}"/>
    <cellStyle name="20% - Accent5 4 2 2" xfId="8236" hidden="1" xr:uid="{00000000-0005-0000-0000-0000CC0A0000}"/>
    <cellStyle name="20% - Accent5 4 3" xfId="403" hidden="1" xr:uid="{00000000-0005-0000-0000-0000CD0A0000}"/>
    <cellStyle name="20% - Accent5 4 3" xfId="518" hidden="1" xr:uid="{00000000-0005-0000-0000-0000CE0A0000}"/>
    <cellStyle name="20% - Accent5 4 3" xfId="1241" hidden="1" xr:uid="{00000000-0005-0000-0000-0000CF0A0000}"/>
    <cellStyle name="20% - Accent5 4 3" xfId="1414" hidden="1" xr:uid="{00000000-0005-0000-0000-0000D00A0000}"/>
    <cellStyle name="20% - Accent5 4 3" xfId="1807" hidden="1" xr:uid="{00000000-0005-0000-0000-0000D10A0000}"/>
    <cellStyle name="20% - Accent5 4 3" xfId="1955" hidden="1" xr:uid="{00000000-0005-0000-0000-0000D20A0000}"/>
    <cellStyle name="20% - Accent5 4 3" xfId="2293" hidden="1" xr:uid="{00000000-0005-0000-0000-0000D30A0000}"/>
    <cellStyle name="20% - Accent5 4 3" xfId="2630" hidden="1" xr:uid="{00000000-0005-0000-0000-0000D40A0000}"/>
    <cellStyle name="20% - Accent5 4 3" xfId="3195" hidden="1" xr:uid="{00000000-0005-0000-0000-0000D50A0000}"/>
    <cellStyle name="20% - Accent5 4 3" xfId="3310" hidden="1" xr:uid="{00000000-0005-0000-0000-0000D60A0000}"/>
    <cellStyle name="20% - Accent5 4 3" xfId="4033" hidden="1" xr:uid="{00000000-0005-0000-0000-0000D70A0000}"/>
    <cellStyle name="20% - Accent5 4 3" xfId="4206" hidden="1" xr:uid="{00000000-0005-0000-0000-0000D80A0000}"/>
    <cellStyle name="20% - Accent5 4 3" xfId="4599" hidden="1" xr:uid="{00000000-0005-0000-0000-0000D90A0000}"/>
    <cellStyle name="20% - Accent5 4 3" xfId="4747" hidden="1" xr:uid="{00000000-0005-0000-0000-0000DA0A0000}"/>
    <cellStyle name="20% - Accent5 4 3" xfId="5085" hidden="1" xr:uid="{00000000-0005-0000-0000-0000DB0A0000}"/>
    <cellStyle name="20% - Accent5 4 3" xfId="5422" hidden="1" xr:uid="{00000000-0005-0000-0000-0000DC0A0000}"/>
    <cellStyle name="20% - Accent5 4 3" xfId="5987" hidden="1" xr:uid="{00000000-0005-0000-0000-0000DD0A0000}"/>
    <cellStyle name="20% - Accent5 4 3" xfId="6102" hidden="1" xr:uid="{00000000-0005-0000-0000-0000DE0A0000}"/>
    <cellStyle name="20% - Accent5 4 3" xfId="6825" hidden="1" xr:uid="{00000000-0005-0000-0000-0000DF0A0000}"/>
    <cellStyle name="20% - Accent5 4 3" xfId="6998" hidden="1" xr:uid="{00000000-0005-0000-0000-0000E00A0000}"/>
    <cellStyle name="20% - Accent5 4 3" xfId="7391" hidden="1" xr:uid="{00000000-0005-0000-0000-0000E10A0000}"/>
    <cellStyle name="20% - Accent5 4 3" xfId="7539" hidden="1" xr:uid="{00000000-0005-0000-0000-0000E20A0000}"/>
    <cellStyle name="20% - Accent5 4 3" xfId="7877" hidden="1" xr:uid="{00000000-0005-0000-0000-0000E30A0000}"/>
    <cellStyle name="20% - Accent5 4 3" xfId="8214" hidden="1" xr:uid="{00000000-0005-0000-0000-0000E40A0000}"/>
    <cellStyle name="20% - Accent5 6" xfId="80" hidden="1" xr:uid="{00000000-0005-0000-0000-0000E50A0000}"/>
    <cellStyle name="20% - Accent5 6" xfId="160" hidden="1" xr:uid="{00000000-0005-0000-0000-0000E60A0000}"/>
    <cellStyle name="20% - Accent5 6" xfId="238" hidden="1" xr:uid="{00000000-0005-0000-0000-0000E70A0000}"/>
    <cellStyle name="20% - Accent5 6" xfId="316" hidden="1" xr:uid="{00000000-0005-0000-0000-0000E80A0000}"/>
    <cellStyle name="20% - Accent5 6" xfId="898" hidden="1" xr:uid="{00000000-0005-0000-0000-0000E90A0000}"/>
    <cellStyle name="20% - Accent5 6" xfId="977" hidden="1" xr:uid="{00000000-0005-0000-0000-0000EA0A0000}"/>
    <cellStyle name="20% - Accent5 6" xfId="1056" hidden="1" xr:uid="{00000000-0005-0000-0000-0000EB0A0000}"/>
    <cellStyle name="20% - Accent5 6" xfId="832" hidden="1" xr:uid="{00000000-0005-0000-0000-0000EC0A0000}"/>
    <cellStyle name="20% - Accent5 6" xfId="1139" hidden="1" xr:uid="{00000000-0005-0000-0000-0000ED0A0000}"/>
    <cellStyle name="20% - Accent5 6" xfId="752" hidden="1" xr:uid="{00000000-0005-0000-0000-0000EE0A0000}"/>
    <cellStyle name="20% - Accent5 6" xfId="1372" hidden="1" xr:uid="{00000000-0005-0000-0000-0000EF0A0000}"/>
    <cellStyle name="20% - Accent5 6" xfId="1572" hidden="1" xr:uid="{00000000-0005-0000-0000-0000F00A0000}"/>
    <cellStyle name="20% - Accent5 6" xfId="1650" hidden="1" xr:uid="{00000000-0005-0000-0000-0000F10A0000}"/>
    <cellStyle name="20% - Accent5 6" xfId="1369" hidden="1" xr:uid="{00000000-0005-0000-0000-0000F20A0000}"/>
    <cellStyle name="20% - Accent5 6" xfId="1727" hidden="1" xr:uid="{00000000-0005-0000-0000-0000F30A0000}"/>
    <cellStyle name="20% - Accent5 6" xfId="693" hidden="1" xr:uid="{00000000-0005-0000-0000-0000F40A0000}"/>
    <cellStyle name="20% - Accent5 6" xfId="1918" hidden="1" xr:uid="{00000000-0005-0000-0000-0000F50A0000}"/>
    <cellStyle name="20% - Accent5 6" xfId="2104" hidden="1" xr:uid="{00000000-0005-0000-0000-0000F60A0000}"/>
    <cellStyle name="20% - Accent5 6" xfId="2182" hidden="1" xr:uid="{00000000-0005-0000-0000-0000F70A0000}"/>
    <cellStyle name="20% - Accent5 6" xfId="2259" hidden="1" xr:uid="{00000000-0005-0000-0000-0000F80A0000}"/>
    <cellStyle name="20% - Accent5 6" xfId="2441" hidden="1" xr:uid="{00000000-0005-0000-0000-0000F90A0000}"/>
    <cellStyle name="20% - Accent5 6" xfId="2519" hidden="1" xr:uid="{00000000-0005-0000-0000-0000FA0A0000}"/>
    <cellStyle name="20% - Accent5 6" xfId="2596" hidden="1" xr:uid="{00000000-0005-0000-0000-0000FB0A0000}"/>
    <cellStyle name="20% - Accent5 6" xfId="2778" hidden="1" xr:uid="{00000000-0005-0000-0000-0000FC0A0000}"/>
    <cellStyle name="20% - Accent5 6" xfId="2872" hidden="1" xr:uid="{00000000-0005-0000-0000-0000FD0A0000}"/>
    <cellStyle name="20% - Accent5 6" xfId="2952" hidden="1" xr:uid="{00000000-0005-0000-0000-0000FE0A0000}"/>
    <cellStyle name="20% - Accent5 6" xfId="3030" hidden="1" xr:uid="{00000000-0005-0000-0000-0000FF0A0000}"/>
    <cellStyle name="20% - Accent5 6" xfId="3108" hidden="1" xr:uid="{00000000-0005-0000-0000-0000000B0000}"/>
    <cellStyle name="20% - Accent5 6" xfId="3690" hidden="1" xr:uid="{00000000-0005-0000-0000-0000010B0000}"/>
    <cellStyle name="20% - Accent5 6" xfId="3769" hidden="1" xr:uid="{00000000-0005-0000-0000-0000020B0000}"/>
    <cellStyle name="20% - Accent5 6" xfId="3848" hidden="1" xr:uid="{00000000-0005-0000-0000-0000030B0000}"/>
    <cellStyle name="20% - Accent5 6" xfId="3624" hidden="1" xr:uid="{00000000-0005-0000-0000-0000040B0000}"/>
    <cellStyle name="20% - Accent5 6" xfId="3931" hidden="1" xr:uid="{00000000-0005-0000-0000-0000050B0000}"/>
    <cellStyle name="20% - Accent5 6" xfId="3544" hidden="1" xr:uid="{00000000-0005-0000-0000-0000060B0000}"/>
    <cellStyle name="20% - Accent5 6" xfId="4164" hidden="1" xr:uid="{00000000-0005-0000-0000-0000070B0000}"/>
    <cellStyle name="20% - Accent5 6" xfId="4364" hidden="1" xr:uid="{00000000-0005-0000-0000-0000080B0000}"/>
    <cellStyle name="20% - Accent5 6" xfId="4442" hidden="1" xr:uid="{00000000-0005-0000-0000-0000090B0000}"/>
    <cellStyle name="20% - Accent5 6" xfId="4161" hidden="1" xr:uid="{00000000-0005-0000-0000-00000A0B0000}"/>
    <cellStyle name="20% - Accent5 6" xfId="4519" hidden="1" xr:uid="{00000000-0005-0000-0000-00000B0B0000}"/>
    <cellStyle name="20% - Accent5 6" xfId="3485" hidden="1" xr:uid="{00000000-0005-0000-0000-00000C0B0000}"/>
    <cellStyle name="20% - Accent5 6" xfId="4710" hidden="1" xr:uid="{00000000-0005-0000-0000-00000D0B0000}"/>
    <cellStyle name="20% - Accent5 6" xfId="4896" hidden="1" xr:uid="{00000000-0005-0000-0000-00000E0B0000}"/>
    <cellStyle name="20% - Accent5 6" xfId="4974" hidden="1" xr:uid="{00000000-0005-0000-0000-00000F0B0000}"/>
    <cellStyle name="20% - Accent5 6" xfId="5051" hidden="1" xr:uid="{00000000-0005-0000-0000-0000100B0000}"/>
    <cellStyle name="20% - Accent5 6" xfId="5233" hidden="1" xr:uid="{00000000-0005-0000-0000-0000110B0000}"/>
    <cellStyle name="20% - Accent5 6" xfId="5311" hidden="1" xr:uid="{00000000-0005-0000-0000-0000120B0000}"/>
    <cellStyle name="20% - Accent5 6" xfId="5388" hidden="1" xr:uid="{00000000-0005-0000-0000-0000130B0000}"/>
    <cellStyle name="20% - Accent5 6" xfId="5570" hidden="1" xr:uid="{00000000-0005-0000-0000-0000140B0000}"/>
    <cellStyle name="20% - Accent5 6" xfId="5664" hidden="1" xr:uid="{00000000-0005-0000-0000-0000150B0000}"/>
    <cellStyle name="20% - Accent5 6" xfId="5744" hidden="1" xr:uid="{00000000-0005-0000-0000-0000160B0000}"/>
    <cellStyle name="20% - Accent5 6" xfId="5822" hidden="1" xr:uid="{00000000-0005-0000-0000-0000170B0000}"/>
    <cellStyle name="20% - Accent5 6" xfId="5900" hidden="1" xr:uid="{00000000-0005-0000-0000-0000180B0000}"/>
    <cellStyle name="20% - Accent5 6" xfId="6482" hidden="1" xr:uid="{00000000-0005-0000-0000-0000190B0000}"/>
    <cellStyle name="20% - Accent5 6" xfId="6561" hidden="1" xr:uid="{00000000-0005-0000-0000-00001A0B0000}"/>
    <cellStyle name="20% - Accent5 6" xfId="6640" hidden="1" xr:uid="{00000000-0005-0000-0000-00001B0B0000}"/>
    <cellStyle name="20% - Accent5 6" xfId="6416" hidden="1" xr:uid="{00000000-0005-0000-0000-00001C0B0000}"/>
    <cellStyle name="20% - Accent5 6" xfId="6723" hidden="1" xr:uid="{00000000-0005-0000-0000-00001D0B0000}"/>
    <cellStyle name="20% - Accent5 6" xfId="6336" hidden="1" xr:uid="{00000000-0005-0000-0000-00001E0B0000}"/>
    <cellStyle name="20% - Accent5 6" xfId="6956" hidden="1" xr:uid="{00000000-0005-0000-0000-00001F0B0000}"/>
    <cellStyle name="20% - Accent5 6" xfId="7156" hidden="1" xr:uid="{00000000-0005-0000-0000-0000200B0000}"/>
    <cellStyle name="20% - Accent5 6" xfId="7234" hidden="1" xr:uid="{00000000-0005-0000-0000-0000210B0000}"/>
    <cellStyle name="20% - Accent5 6" xfId="6953" hidden="1" xr:uid="{00000000-0005-0000-0000-0000220B0000}"/>
    <cellStyle name="20% - Accent5 6" xfId="7311" hidden="1" xr:uid="{00000000-0005-0000-0000-0000230B0000}"/>
    <cellStyle name="20% - Accent5 6" xfId="6277" hidden="1" xr:uid="{00000000-0005-0000-0000-0000240B0000}"/>
    <cellStyle name="20% - Accent5 6" xfId="7502" hidden="1" xr:uid="{00000000-0005-0000-0000-0000250B0000}"/>
    <cellStyle name="20% - Accent5 6" xfId="7688" hidden="1" xr:uid="{00000000-0005-0000-0000-0000260B0000}"/>
    <cellStyle name="20% - Accent5 6" xfId="7766" hidden="1" xr:uid="{00000000-0005-0000-0000-0000270B0000}"/>
    <cellStyle name="20% - Accent5 6" xfId="7843" hidden="1" xr:uid="{00000000-0005-0000-0000-0000280B0000}"/>
    <cellStyle name="20% - Accent5 6" xfId="8025" hidden="1" xr:uid="{00000000-0005-0000-0000-0000290B0000}"/>
    <cellStyle name="20% - Accent5 6" xfId="8103" hidden="1" xr:uid="{00000000-0005-0000-0000-00002A0B0000}"/>
    <cellStyle name="20% - Accent5 6" xfId="8180" hidden="1" xr:uid="{00000000-0005-0000-0000-00002B0B0000}"/>
    <cellStyle name="20% - Accent5 6" xfId="8362" hidden="1" xr:uid="{00000000-0005-0000-0000-00002C0B0000}"/>
    <cellStyle name="20% - Accent5 7" xfId="96" hidden="1" xr:uid="{00000000-0005-0000-0000-00002D0B0000}"/>
    <cellStyle name="20% - Accent5 7" xfId="171" hidden="1" xr:uid="{00000000-0005-0000-0000-00002E0B0000}"/>
    <cellStyle name="20% - Accent5 7" xfId="248" hidden="1" xr:uid="{00000000-0005-0000-0000-00002F0B0000}"/>
    <cellStyle name="20% - Accent5 7" xfId="326" hidden="1" xr:uid="{00000000-0005-0000-0000-0000300B0000}"/>
    <cellStyle name="20% - Accent5 7" xfId="910" hidden="1" xr:uid="{00000000-0005-0000-0000-0000310B0000}"/>
    <cellStyle name="20% - Accent5 7" xfId="987" hidden="1" xr:uid="{00000000-0005-0000-0000-0000320B0000}"/>
    <cellStyle name="20% - Accent5 7" xfId="1066" hidden="1" xr:uid="{00000000-0005-0000-0000-0000330B0000}"/>
    <cellStyle name="20% - Accent5 7" xfId="1155" hidden="1" xr:uid="{00000000-0005-0000-0000-0000340B0000}"/>
    <cellStyle name="20% - Accent5 7" xfId="689" hidden="1" xr:uid="{00000000-0005-0000-0000-0000350B0000}"/>
    <cellStyle name="20% - Accent5 7" xfId="699" hidden="1" xr:uid="{00000000-0005-0000-0000-0000360B0000}"/>
    <cellStyle name="20% - Accent5 7" xfId="1340" hidden="1" xr:uid="{00000000-0005-0000-0000-0000370B0000}"/>
    <cellStyle name="20% - Accent5 7" xfId="1582" hidden="1" xr:uid="{00000000-0005-0000-0000-0000380B0000}"/>
    <cellStyle name="20% - Accent5 7" xfId="1660" hidden="1" xr:uid="{00000000-0005-0000-0000-0000390B0000}"/>
    <cellStyle name="20% - Accent5 7" xfId="1741" hidden="1" xr:uid="{00000000-0005-0000-0000-00003A0B0000}"/>
    <cellStyle name="20% - Accent5 7" xfId="737" hidden="1" xr:uid="{00000000-0005-0000-0000-00003B0B0000}"/>
    <cellStyle name="20% - Accent5 7" xfId="1158" hidden="1" xr:uid="{00000000-0005-0000-0000-00003C0B0000}"/>
    <cellStyle name="20% - Accent5 7" xfId="1898" hidden="1" xr:uid="{00000000-0005-0000-0000-00003D0B0000}"/>
    <cellStyle name="20% - Accent5 7" xfId="2114" hidden="1" xr:uid="{00000000-0005-0000-0000-00003E0B0000}"/>
    <cellStyle name="20% - Accent5 7" xfId="2192" hidden="1" xr:uid="{00000000-0005-0000-0000-00003F0B0000}"/>
    <cellStyle name="20% - Accent5 7" xfId="602" hidden="1" xr:uid="{00000000-0005-0000-0000-0000400B0000}"/>
    <cellStyle name="20% - Accent5 7" xfId="2451" hidden="1" xr:uid="{00000000-0005-0000-0000-0000410B0000}"/>
    <cellStyle name="20% - Accent5 7" xfId="2529" hidden="1" xr:uid="{00000000-0005-0000-0000-0000420B0000}"/>
    <cellStyle name="20% - Accent5 7" xfId="1899" hidden="1" xr:uid="{00000000-0005-0000-0000-0000430B0000}"/>
    <cellStyle name="20% - Accent5 7" xfId="2788" hidden="1" xr:uid="{00000000-0005-0000-0000-0000440B0000}"/>
    <cellStyle name="20% - Accent5 7" xfId="2888" hidden="1" xr:uid="{00000000-0005-0000-0000-0000450B0000}"/>
    <cellStyle name="20% - Accent5 7" xfId="2963" hidden="1" xr:uid="{00000000-0005-0000-0000-0000460B0000}"/>
    <cellStyle name="20% - Accent5 7" xfId="3040" hidden="1" xr:uid="{00000000-0005-0000-0000-0000470B0000}"/>
    <cellStyle name="20% - Accent5 7" xfId="3118" hidden="1" xr:uid="{00000000-0005-0000-0000-0000480B0000}"/>
    <cellStyle name="20% - Accent5 7" xfId="3702" hidden="1" xr:uid="{00000000-0005-0000-0000-0000490B0000}"/>
    <cellStyle name="20% - Accent5 7" xfId="3779" hidden="1" xr:uid="{00000000-0005-0000-0000-00004A0B0000}"/>
    <cellStyle name="20% - Accent5 7" xfId="3858" hidden="1" xr:uid="{00000000-0005-0000-0000-00004B0B0000}"/>
    <cellStyle name="20% - Accent5 7" xfId="3947" hidden="1" xr:uid="{00000000-0005-0000-0000-00004C0B0000}"/>
    <cellStyle name="20% - Accent5 7" xfId="3481" hidden="1" xr:uid="{00000000-0005-0000-0000-00004D0B0000}"/>
    <cellStyle name="20% - Accent5 7" xfId="3491" hidden="1" xr:uid="{00000000-0005-0000-0000-00004E0B0000}"/>
    <cellStyle name="20% - Accent5 7" xfId="4132" hidden="1" xr:uid="{00000000-0005-0000-0000-00004F0B0000}"/>
    <cellStyle name="20% - Accent5 7" xfId="4374" hidden="1" xr:uid="{00000000-0005-0000-0000-0000500B0000}"/>
    <cellStyle name="20% - Accent5 7" xfId="4452" hidden="1" xr:uid="{00000000-0005-0000-0000-0000510B0000}"/>
    <cellStyle name="20% - Accent5 7" xfId="4533" hidden="1" xr:uid="{00000000-0005-0000-0000-0000520B0000}"/>
    <cellStyle name="20% - Accent5 7" xfId="3529" hidden="1" xr:uid="{00000000-0005-0000-0000-0000530B0000}"/>
    <cellStyle name="20% - Accent5 7" xfId="3950" hidden="1" xr:uid="{00000000-0005-0000-0000-0000540B0000}"/>
    <cellStyle name="20% - Accent5 7" xfId="4690" hidden="1" xr:uid="{00000000-0005-0000-0000-0000550B0000}"/>
    <cellStyle name="20% - Accent5 7" xfId="4906" hidden="1" xr:uid="{00000000-0005-0000-0000-0000560B0000}"/>
    <cellStyle name="20% - Accent5 7" xfId="4984" hidden="1" xr:uid="{00000000-0005-0000-0000-0000570B0000}"/>
    <cellStyle name="20% - Accent5 7" xfId="3394" hidden="1" xr:uid="{00000000-0005-0000-0000-0000580B0000}"/>
    <cellStyle name="20% - Accent5 7" xfId="5243" hidden="1" xr:uid="{00000000-0005-0000-0000-0000590B0000}"/>
    <cellStyle name="20% - Accent5 7" xfId="5321" hidden="1" xr:uid="{00000000-0005-0000-0000-00005A0B0000}"/>
    <cellStyle name="20% - Accent5 7" xfId="4691" hidden="1" xr:uid="{00000000-0005-0000-0000-00005B0B0000}"/>
    <cellStyle name="20% - Accent5 7" xfId="5580" hidden="1" xr:uid="{00000000-0005-0000-0000-00005C0B0000}"/>
    <cellStyle name="20% - Accent5 7" xfId="5680" hidden="1" xr:uid="{00000000-0005-0000-0000-00005D0B0000}"/>
    <cellStyle name="20% - Accent5 7" xfId="5755" hidden="1" xr:uid="{00000000-0005-0000-0000-00005E0B0000}"/>
    <cellStyle name="20% - Accent5 7" xfId="5832" hidden="1" xr:uid="{00000000-0005-0000-0000-00005F0B0000}"/>
    <cellStyle name="20% - Accent5 7" xfId="5910" hidden="1" xr:uid="{00000000-0005-0000-0000-0000600B0000}"/>
    <cellStyle name="20% - Accent5 7" xfId="6494" hidden="1" xr:uid="{00000000-0005-0000-0000-0000610B0000}"/>
    <cellStyle name="20% - Accent5 7" xfId="6571" hidden="1" xr:uid="{00000000-0005-0000-0000-0000620B0000}"/>
    <cellStyle name="20% - Accent5 7" xfId="6650" hidden="1" xr:uid="{00000000-0005-0000-0000-0000630B0000}"/>
    <cellStyle name="20% - Accent5 7" xfId="6739" hidden="1" xr:uid="{00000000-0005-0000-0000-0000640B0000}"/>
    <cellStyle name="20% - Accent5 7" xfId="6273" hidden="1" xr:uid="{00000000-0005-0000-0000-0000650B0000}"/>
    <cellStyle name="20% - Accent5 7" xfId="6283" hidden="1" xr:uid="{00000000-0005-0000-0000-0000660B0000}"/>
    <cellStyle name="20% - Accent5 7" xfId="6924" hidden="1" xr:uid="{00000000-0005-0000-0000-0000670B0000}"/>
    <cellStyle name="20% - Accent5 7" xfId="7166" hidden="1" xr:uid="{00000000-0005-0000-0000-0000680B0000}"/>
    <cellStyle name="20% - Accent5 7" xfId="7244" hidden="1" xr:uid="{00000000-0005-0000-0000-0000690B0000}"/>
    <cellStyle name="20% - Accent5 7" xfId="7325" hidden="1" xr:uid="{00000000-0005-0000-0000-00006A0B0000}"/>
    <cellStyle name="20% - Accent5 7" xfId="6321" hidden="1" xr:uid="{00000000-0005-0000-0000-00006B0B0000}"/>
    <cellStyle name="20% - Accent5 7" xfId="6742" hidden="1" xr:uid="{00000000-0005-0000-0000-00006C0B0000}"/>
    <cellStyle name="20% - Accent5 7" xfId="7482" hidden="1" xr:uid="{00000000-0005-0000-0000-00006D0B0000}"/>
    <cellStyle name="20% - Accent5 7" xfId="7698" hidden="1" xr:uid="{00000000-0005-0000-0000-00006E0B0000}"/>
    <cellStyle name="20% - Accent5 7" xfId="7776" hidden="1" xr:uid="{00000000-0005-0000-0000-00006F0B0000}"/>
    <cellStyle name="20% - Accent5 7" xfId="6186" hidden="1" xr:uid="{00000000-0005-0000-0000-0000700B0000}"/>
    <cellStyle name="20% - Accent5 7" xfId="8035" hidden="1" xr:uid="{00000000-0005-0000-0000-0000710B0000}"/>
    <cellStyle name="20% - Accent5 7" xfId="8113" hidden="1" xr:uid="{00000000-0005-0000-0000-0000720B0000}"/>
    <cellStyle name="20% - Accent5 7" xfId="7483" hidden="1" xr:uid="{00000000-0005-0000-0000-0000730B0000}"/>
    <cellStyle name="20% - Accent5 7" xfId="8372" hidden="1" xr:uid="{00000000-0005-0000-0000-0000740B0000}"/>
    <cellStyle name="20% - Accent5 8" xfId="109" hidden="1" xr:uid="{00000000-0005-0000-0000-0000750B0000}"/>
    <cellStyle name="20% - Accent5 8" xfId="183" hidden="1" xr:uid="{00000000-0005-0000-0000-0000760B0000}"/>
    <cellStyle name="20% - Accent5 8" xfId="259" hidden="1" xr:uid="{00000000-0005-0000-0000-0000770B0000}"/>
    <cellStyle name="20% - Accent5 8" xfId="337" hidden="1" xr:uid="{00000000-0005-0000-0000-0000780B0000}"/>
    <cellStyle name="20% - Accent5 8" xfId="922" hidden="1" xr:uid="{00000000-0005-0000-0000-0000790B0000}"/>
    <cellStyle name="20% - Accent5 8" xfId="998" hidden="1" xr:uid="{00000000-0005-0000-0000-00007A0B0000}"/>
    <cellStyle name="20% - Accent5 8" xfId="1077" hidden="1" xr:uid="{00000000-0005-0000-0000-00007B0B0000}"/>
    <cellStyle name="20% - Accent5 8" xfId="1168" hidden="1" xr:uid="{00000000-0005-0000-0000-00007C0B0000}"/>
    <cellStyle name="20% - Accent5 8" xfId="799" hidden="1" xr:uid="{00000000-0005-0000-0000-00007D0B0000}"/>
    <cellStyle name="20% - Accent5 8" xfId="827" hidden="1" xr:uid="{00000000-0005-0000-0000-00007E0B0000}"/>
    <cellStyle name="20% - Accent5 8" xfId="1517" hidden="1" xr:uid="{00000000-0005-0000-0000-00007F0B0000}"/>
    <cellStyle name="20% - Accent5 8" xfId="1593" hidden="1" xr:uid="{00000000-0005-0000-0000-0000800B0000}"/>
    <cellStyle name="20% - Accent5 8" xfId="1671" hidden="1" xr:uid="{00000000-0005-0000-0000-0000810B0000}"/>
    <cellStyle name="20% - Accent5 8" xfId="1750" hidden="1" xr:uid="{00000000-0005-0000-0000-0000820B0000}"/>
    <cellStyle name="20% - Accent5 8" xfId="709" hidden="1" xr:uid="{00000000-0005-0000-0000-0000830B0000}"/>
    <cellStyle name="20% - Accent5 8" xfId="1378" hidden="1" xr:uid="{00000000-0005-0000-0000-0000840B0000}"/>
    <cellStyle name="20% - Accent5 8" xfId="2049" hidden="1" xr:uid="{00000000-0005-0000-0000-0000850B0000}"/>
    <cellStyle name="20% - Accent5 8" xfId="2125" hidden="1" xr:uid="{00000000-0005-0000-0000-0000860B0000}"/>
    <cellStyle name="20% - Accent5 8" xfId="2203" hidden="1" xr:uid="{00000000-0005-0000-0000-0000870B0000}"/>
    <cellStyle name="20% - Accent5 8" xfId="2386" hidden="1" xr:uid="{00000000-0005-0000-0000-0000880B0000}"/>
    <cellStyle name="20% - Accent5 8" xfId="2462" hidden="1" xr:uid="{00000000-0005-0000-0000-0000890B0000}"/>
    <cellStyle name="20% - Accent5 8" xfId="2540" hidden="1" xr:uid="{00000000-0005-0000-0000-00008A0B0000}"/>
    <cellStyle name="20% - Accent5 8" xfId="2723" hidden="1" xr:uid="{00000000-0005-0000-0000-00008B0B0000}"/>
    <cellStyle name="20% - Accent5 8" xfId="2799" hidden="1" xr:uid="{00000000-0005-0000-0000-00008C0B0000}"/>
    <cellStyle name="20% - Accent5 8" xfId="2901" hidden="1" xr:uid="{00000000-0005-0000-0000-00008D0B0000}"/>
    <cellStyle name="20% - Accent5 8" xfId="2975" hidden="1" xr:uid="{00000000-0005-0000-0000-00008E0B0000}"/>
    <cellStyle name="20% - Accent5 8" xfId="3051" hidden="1" xr:uid="{00000000-0005-0000-0000-00008F0B0000}"/>
    <cellStyle name="20% - Accent5 8" xfId="3129" hidden="1" xr:uid="{00000000-0005-0000-0000-0000900B0000}"/>
    <cellStyle name="20% - Accent5 8" xfId="3714" hidden="1" xr:uid="{00000000-0005-0000-0000-0000910B0000}"/>
    <cellStyle name="20% - Accent5 8" xfId="3790" hidden="1" xr:uid="{00000000-0005-0000-0000-0000920B0000}"/>
    <cellStyle name="20% - Accent5 8" xfId="3869" hidden="1" xr:uid="{00000000-0005-0000-0000-0000930B0000}"/>
    <cellStyle name="20% - Accent5 8" xfId="3960" hidden="1" xr:uid="{00000000-0005-0000-0000-0000940B0000}"/>
    <cellStyle name="20% - Accent5 8" xfId="3591" hidden="1" xr:uid="{00000000-0005-0000-0000-0000950B0000}"/>
    <cellStyle name="20% - Accent5 8" xfId="3619" hidden="1" xr:uid="{00000000-0005-0000-0000-0000960B0000}"/>
    <cellStyle name="20% - Accent5 8" xfId="4309" hidden="1" xr:uid="{00000000-0005-0000-0000-0000970B0000}"/>
    <cellStyle name="20% - Accent5 8" xfId="4385" hidden="1" xr:uid="{00000000-0005-0000-0000-0000980B0000}"/>
    <cellStyle name="20% - Accent5 8" xfId="4463" hidden="1" xr:uid="{00000000-0005-0000-0000-0000990B0000}"/>
    <cellStyle name="20% - Accent5 8" xfId="4542" hidden="1" xr:uid="{00000000-0005-0000-0000-00009A0B0000}"/>
    <cellStyle name="20% - Accent5 8" xfId="3501" hidden="1" xr:uid="{00000000-0005-0000-0000-00009B0B0000}"/>
    <cellStyle name="20% - Accent5 8" xfId="4170" hidden="1" xr:uid="{00000000-0005-0000-0000-00009C0B0000}"/>
    <cellStyle name="20% - Accent5 8" xfId="4841" hidden="1" xr:uid="{00000000-0005-0000-0000-00009D0B0000}"/>
    <cellStyle name="20% - Accent5 8" xfId="4917" hidden="1" xr:uid="{00000000-0005-0000-0000-00009E0B0000}"/>
    <cellStyle name="20% - Accent5 8" xfId="4995" hidden="1" xr:uid="{00000000-0005-0000-0000-00009F0B0000}"/>
    <cellStyle name="20% - Accent5 8" xfId="5178" hidden="1" xr:uid="{00000000-0005-0000-0000-0000A00B0000}"/>
    <cellStyle name="20% - Accent5 8" xfId="5254" hidden="1" xr:uid="{00000000-0005-0000-0000-0000A10B0000}"/>
    <cellStyle name="20% - Accent5 8" xfId="5332" hidden="1" xr:uid="{00000000-0005-0000-0000-0000A20B0000}"/>
    <cellStyle name="20% - Accent5 8" xfId="5515" hidden="1" xr:uid="{00000000-0005-0000-0000-0000A30B0000}"/>
    <cellStyle name="20% - Accent5 8" xfId="5591" hidden="1" xr:uid="{00000000-0005-0000-0000-0000A40B0000}"/>
    <cellStyle name="20% - Accent5 8" xfId="5693" hidden="1" xr:uid="{00000000-0005-0000-0000-0000A50B0000}"/>
    <cellStyle name="20% - Accent5 8" xfId="5767" hidden="1" xr:uid="{00000000-0005-0000-0000-0000A60B0000}"/>
    <cellStyle name="20% - Accent5 8" xfId="5843" hidden="1" xr:uid="{00000000-0005-0000-0000-0000A70B0000}"/>
    <cellStyle name="20% - Accent5 8" xfId="5921" hidden="1" xr:uid="{00000000-0005-0000-0000-0000A80B0000}"/>
    <cellStyle name="20% - Accent5 8" xfId="6506" hidden="1" xr:uid="{00000000-0005-0000-0000-0000A90B0000}"/>
    <cellStyle name="20% - Accent5 8" xfId="6582" hidden="1" xr:uid="{00000000-0005-0000-0000-0000AA0B0000}"/>
    <cellStyle name="20% - Accent5 8" xfId="6661" hidden="1" xr:uid="{00000000-0005-0000-0000-0000AB0B0000}"/>
    <cellStyle name="20% - Accent5 8" xfId="6752" hidden="1" xr:uid="{00000000-0005-0000-0000-0000AC0B0000}"/>
    <cellStyle name="20% - Accent5 8" xfId="6383" hidden="1" xr:uid="{00000000-0005-0000-0000-0000AD0B0000}"/>
    <cellStyle name="20% - Accent5 8" xfId="6411" hidden="1" xr:uid="{00000000-0005-0000-0000-0000AE0B0000}"/>
    <cellStyle name="20% - Accent5 8" xfId="7101" hidden="1" xr:uid="{00000000-0005-0000-0000-0000AF0B0000}"/>
    <cellStyle name="20% - Accent5 8" xfId="7177" hidden="1" xr:uid="{00000000-0005-0000-0000-0000B00B0000}"/>
    <cellStyle name="20% - Accent5 8" xfId="7255" hidden="1" xr:uid="{00000000-0005-0000-0000-0000B10B0000}"/>
    <cellStyle name="20% - Accent5 8" xfId="7334" hidden="1" xr:uid="{00000000-0005-0000-0000-0000B20B0000}"/>
    <cellStyle name="20% - Accent5 8" xfId="6293" hidden="1" xr:uid="{00000000-0005-0000-0000-0000B30B0000}"/>
    <cellStyle name="20% - Accent5 8" xfId="6962" hidden="1" xr:uid="{00000000-0005-0000-0000-0000B40B0000}"/>
    <cellStyle name="20% - Accent5 8" xfId="7633" hidden="1" xr:uid="{00000000-0005-0000-0000-0000B50B0000}"/>
    <cellStyle name="20% - Accent5 8" xfId="7709" hidden="1" xr:uid="{00000000-0005-0000-0000-0000B60B0000}"/>
    <cellStyle name="20% - Accent5 8" xfId="7787" hidden="1" xr:uid="{00000000-0005-0000-0000-0000B70B0000}"/>
    <cellStyle name="20% - Accent5 8" xfId="7970" hidden="1" xr:uid="{00000000-0005-0000-0000-0000B80B0000}"/>
    <cellStyle name="20% - Accent5 8" xfId="8046" hidden="1" xr:uid="{00000000-0005-0000-0000-0000B90B0000}"/>
    <cellStyle name="20% - Accent5 8" xfId="8124" hidden="1" xr:uid="{00000000-0005-0000-0000-0000BA0B0000}"/>
    <cellStyle name="20% - Accent5 8" xfId="8307" hidden="1" xr:uid="{00000000-0005-0000-0000-0000BB0B0000}"/>
    <cellStyle name="20% - Accent5 8" xfId="8383" hidden="1" xr:uid="{00000000-0005-0000-0000-0000BC0B0000}"/>
    <cellStyle name="20% - Accent5 9" xfId="122" hidden="1" xr:uid="{00000000-0005-0000-0000-0000BD0B0000}"/>
    <cellStyle name="20% - Accent5 9" xfId="196" hidden="1" xr:uid="{00000000-0005-0000-0000-0000BE0B0000}"/>
    <cellStyle name="20% - Accent5 9" xfId="272" hidden="1" xr:uid="{00000000-0005-0000-0000-0000BF0B0000}"/>
    <cellStyle name="20% - Accent5 9" xfId="350" hidden="1" xr:uid="{00000000-0005-0000-0000-0000C00B0000}"/>
    <cellStyle name="20% - Accent5 9" xfId="935" hidden="1" xr:uid="{00000000-0005-0000-0000-0000C10B0000}"/>
    <cellStyle name="20% - Accent5 9" xfId="1011" hidden="1" xr:uid="{00000000-0005-0000-0000-0000C20B0000}"/>
    <cellStyle name="20% - Accent5 9" xfId="1090" hidden="1" xr:uid="{00000000-0005-0000-0000-0000C30B0000}"/>
    <cellStyle name="20% - Accent5 9" xfId="1196" hidden="1" xr:uid="{00000000-0005-0000-0000-0000C40B0000}"/>
    <cellStyle name="20% - Accent5 9" xfId="776" hidden="1" xr:uid="{00000000-0005-0000-0000-0000C50B0000}"/>
    <cellStyle name="20% - Accent5 9" xfId="856" hidden="1" xr:uid="{00000000-0005-0000-0000-0000C60B0000}"/>
    <cellStyle name="20% - Accent5 9" xfId="1530" hidden="1" xr:uid="{00000000-0005-0000-0000-0000C70B0000}"/>
    <cellStyle name="20% - Accent5 9" xfId="1606" hidden="1" xr:uid="{00000000-0005-0000-0000-0000C80B0000}"/>
    <cellStyle name="20% - Accent5 9" xfId="1684" hidden="1" xr:uid="{00000000-0005-0000-0000-0000C90B0000}"/>
    <cellStyle name="20% - Accent5 9" xfId="1767" hidden="1" xr:uid="{00000000-0005-0000-0000-0000CA0B0000}"/>
    <cellStyle name="20% - Accent5 9" xfId="635" hidden="1" xr:uid="{00000000-0005-0000-0000-0000CB0B0000}"/>
    <cellStyle name="20% - Accent5 9" xfId="819" hidden="1" xr:uid="{00000000-0005-0000-0000-0000CC0B0000}"/>
    <cellStyle name="20% - Accent5 9" xfId="2062" hidden="1" xr:uid="{00000000-0005-0000-0000-0000CD0B0000}"/>
    <cellStyle name="20% - Accent5 9" xfId="2138" hidden="1" xr:uid="{00000000-0005-0000-0000-0000CE0B0000}"/>
    <cellStyle name="20% - Accent5 9" xfId="2216" hidden="1" xr:uid="{00000000-0005-0000-0000-0000CF0B0000}"/>
    <cellStyle name="20% - Accent5 9" xfId="2399" hidden="1" xr:uid="{00000000-0005-0000-0000-0000D00B0000}"/>
    <cellStyle name="20% - Accent5 9" xfId="2475" hidden="1" xr:uid="{00000000-0005-0000-0000-0000D10B0000}"/>
    <cellStyle name="20% - Accent5 9" xfId="2553" hidden="1" xr:uid="{00000000-0005-0000-0000-0000D20B0000}"/>
    <cellStyle name="20% - Accent5 9" xfId="2736" hidden="1" xr:uid="{00000000-0005-0000-0000-0000D30B0000}"/>
    <cellStyle name="20% - Accent5 9" xfId="2812" hidden="1" xr:uid="{00000000-0005-0000-0000-0000D40B0000}"/>
    <cellStyle name="20% - Accent5 9" xfId="2914" hidden="1" xr:uid="{00000000-0005-0000-0000-0000D50B0000}"/>
    <cellStyle name="20% - Accent5 9" xfId="2988" hidden="1" xr:uid="{00000000-0005-0000-0000-0000D60B0000}"/>
    <cellStyle name="20% - Accent5 9" xfId="3064" hidden="1" xr:uid="{00000000-0005-0000-0000-0000D70B0000}"/>
    <cellStyle name="20% - Accent5 9" xfId="3142" hidden="1" xr:uid="{00000000-0005-0000-0000-0000D80B0000}"/>
    <cellStyle name="20% - Accent5 9" xfId="3727" hidden="1" xr:uid="{00000000-0005-0000-0000-0000D90B0000}"/>
    <cellStyle name="20% - Accent5 9" xfId="3803" hidden="1" xr:uid="{00000000-0005-0000-0000-0000DA0B0000}"/>
    <cellStyle name="20% - Accent5 9" xfId="3882" hidden="1" xr:uid="{00000000-0005-0000-0000-0000DB0B0000}"/>
    <cellStyle name="20% - Accent5 9" xfId="3988" hidden="1" xr:uid="{00000000-0005-0000-0000-0000DC0B0000}"/>
    <cellStyle name="20% - Accent5 9" xfId="3568" hidden="1" xr:uid="{00000000-0005-0000-0000-0000DD0B0000}"/>
    <cellStyle name="20% - Accent5 9" xfId="3648" hidden="1" xr:uid="{00000000-0005-0000-0000-0000DE0B0000}"/>
    <cellStyle name="20% - Accent5 9" xfId="4322" hidden="1" xr:uid="{00000000-0005-0000-0000-0000DF0B0000}"/>
    <cellStyle name="20% - Accent5 9" xfId="4398" hidden="1" xr:uid="{00000000-0005-0000-0000-0000E00B0000}"/>
    <cellStyle name="20% - Accent5 9" xfId="4476" hidden="1" xr:uid="{00000000-0005-0000-0000-0000E10B0000}"/>
    <cellStyle name="20% - Accent5 9" xfId="4559" hidden="1" xr:uid="{00000000-0005-0000-0000-0000E20B0000}"/>
    <cellStyle name="20% - Accent5 9" xfId="3427" hidden="1" xr:uid="{00000000-0005-0000-0000-0000E30B0000}"/>
    <cellStyle name="20% - Accent5 9" xfId="3611" hidden="1" xr:uid="{00000000-0005-0000-0000-0000E40B0000}"/>
    <cellStyle name="20% - Accent5 9" xfId="4854" hidden="1" xr:uid="{00000000-0005-0000-0000-0000E50B0000}"/>
    <cellStyle name="20% - Accent5 9" xfId="4930" hidden="1" xr:uid="{00000000-0005-0000-0000-0000E60B0000}"/>
    <cellStyle name="20% - Accent5 9" xfId="5008" hidden="1" xr:uid="{00000000-0005-0000-0000-0000E70B0000}"/>
    <cellStyle name="20% - Accent5 9" xfId="5191" hidden="1" xr:uid="{00000000-0005-0000-0000-0000E80B0000}"/>
    <cellStyle name="20% - Accent5 9" xfId="5267" hidden="1" xr:uid="{00000000-0005-0000-0000-0000E90B0000}"/>
    <cellStyle name="20% - Accent5 9" xfId="5345" hidden="1" xr:uid="{00000000-0005-0000-0000-0000EA0B0000}"/>
    <cellStyle name="20% - Accent5 9" xfId="5528" hidden="1" xr:uid="{00000000-0005-0000-0000-0000EB0B0000}"/>
    <cellStyle name="20% - Accent5 9" xfId="5604" hidden="1" xr:uid="{00000000-0005-0000-0000-0000EC0B0000}"/>
    <cellStyle name="20% - Accent5 9" xfId="5706" hidden="1" xr:uid="{00000000-0005-0000-0000-0000ED0B0000}"/>
    <cellStyle name="20% - Accent5 9" xfId="5780" hidden="1" xr:uid="{00000000-0005-0000-0000-0000EE0B0000}"/>
    <cellStyle name="20% - Accent5 9" xfId="5856" hidden="1" xr:uid="{00000000-0005-0000-0000-0000EF0B0000}"/>
    <cellStyle name="20% - Accent5 9" xfId="5934" hidden="1" xr:uid="{00000000-0005-0000-0000-0000F00B0000}"/>
    <cellStyle name="20% - Accent5 9" xfId="6519" hidden="1" xr:uid="{00000000-0005-0000-0000-0000F10B0000}"/>
    <cellStyle name="20% - Accent5 9" xfId="6595" hidden="1" xr:uid="{00000000-0005-0000-0000-0000F20B0000}"/>
    <cellStyle name="20% - Accent5 9" xfId="6674" hidden="1" xr:uid="{00000000-0005-0000-0000-0000F30B0000}"/>
    <cellStyle name="20% - Accent5 9" xfId="6780" hidden="1" xr:uid="{00000000-0005-0000-0000-0000F40B0000}"/>
    <cellStyle name="20% - Accent5 9" xfId="6360" hidden="1" xr:uid="{00000000-0005-0000-0000-0000F50B0000}"/>
    <cellStyle name="20% - Accent5 9" xfId="6440" hidden="1" xr:uid="{00000000-0005-0000-0000-0000F60B0000}"/>
    <cellStyle name="20% - Accent5 9" xfId="7114" hidden="1" xr:uid="{00000000-0005-0000-0000-0000F70B0000}"/>
    <cellStyle name="20% - Accent5 9" xfId="7190" hidden="1" xr:uid="{00000000-0005-0000-0000-0000F80B0000}"/>
    <cellStyle name="20% - Accent5 9" xfId="7268" hidden="1" xr:uid="{00000000-0005-0000-0000-0000F90B0000}"/>
    <cellStyle name="20% - Accent5 9" xfId="7351" hidden="1" xr:uid="{00000000-0005-0000-0000-0000FA0B0000}"/>
    <cellStyle name="20% - Accent5 9" xfId="6219" hidden="1" xr:uid="{00000000-0005-0000-0000-0000FB0B0000}"/>
    <cellStyle name="20% - Accent5 9" xfId="6403" hidden="1" xr:uid="{00000000-0005-0000-0000-0000FC0B0000}"/>
    <cellStyle name="20% - Accent5 9" xfId="7646" hidden="1" xr:uid="{00000000-0005-0000-0000-0000FD0B0000}"/>
    <cellStyle name="20% - Accent5 9" xfId="7722" hidden="1" xr:uid="{00000000-0005-0000-0000-0000FE0B0000}"/>
    <cellStyle name="20% - Accent5 9" xfId="7800" hidden="1" xr:uid="{00000000-0005-0000-0000-0000FF0B0000}"/>
    <cellStyle name="20% - Accent5 9" xfId="7983" hidden="1" xr:uid="{00000000-0005-0000-0000-0000000C0000}"/>
    <cellStyle name="20% - Accent5 9" xfId="8059" hidden="1" xr:uid="{00000000-0005-0000-0000-0000010C0000}"/>
    <cellStyle name="20% - Accent5 9" xfId="8137" hidden="1" xr:uid="{00000000-0005-0000-0000-0000020C0000}"/>
    <cellStyle name="20% - Accent5 9" xfId="8320" hidden="1" xr:uid="{00000000-0005-0000-0000-0000030C0000}"/>
    <cellStyle name="20% - Accent5 9" xfId="8396" hidden="1" xr:uid="{00000000-0005-0000-0000-0000040C0000}"/>
    <cellStyle name="20% - Accent6" xfId="43" builtinId="50" hidden="1"/>
    <cellStyle name="20% - Accent6 10" xfId="124" hidden="1" xr:uid="{00000000-0005-0000-0000-0000060C0000}"/>
    <cellStyle name="20% - Accent6 10" xfId="198" hidden="1" xr:uid="{00000000-0005-0000-0000-0000070C0000}"/>
    <cellStyle name="20% - Accent6 10" xfId="274" hidden="1" xr:uid="{00000000-0005-0000-0000-0000080C0000}"/>
    <cellStyle name="20% - Accent6 10" xfId="352" hidden="1" xr:uid="{00000000-0005-0000-0000-0000090C0000}"/>
    <cellStyle name="20% - Accent6 10" xfId="937" hidden="1" xr:uid="{00000000-0005-0000-0000-00000A0C0000}"/>
    <cellStyle name="20% - Accent6 10" xfId="1013" hidden="1" xr:uid="{00000000-0005-0000-0000-00000B0C0000}"/>
    <cellStyle name="20% - Accent6 10" xfId="1092" hidden="1" xr:uid="{00000000-0005-0000-0000-00000C0C0000}"/>
    <cellStyle name="20% - Accent6 10" xfId="1193" hidden="1" xr:uid="{00000000-0005-0000-0000-00000D0C0000}"/>
    <cellStyle name="20% - Accent6 10" xfId="754" hidden="1" xr:uid="{00000000-0005-0000-0000-00000E0C0000}"/>
    <cellStyle name="20% - Accent6 10" xfId="849" hidden="1" xr:uid="{00000000-0005-0000-0000-00000F0C0000}"/>
    <cellStyle name="20% - Accent6 10" xfId="1532" hidden="1" xr:uid="{00000000-0005-0000-0000-0000100C0000}"/>
    <cellStyle name="20% - Accent6 10" xfId="1608" hidden="1" xr:uid="{00000000-0005-0000-0000-0000110C0000}"/>
    <cellStyle name="20% - Accent6 10" xfId="1686" hidden="1" xr:uid="{00000000-0005-0000-0000-0000120C0000}"/>
    <cellStyle name="20% - Accent6 10" xfId="1764" hidden="1" xr:uid="{00000000-0005-0000-0000-0000130C0000}"/>
    <cellStyle name="20% - Accent6 10" xfId="1182" hidden="1" xr:uid="{00000000-0005-0000-0000-0000140C0000}"/>
    <cellStyle name="20% - Accent6 10" xfId="656" hidden="1" xr:uid="{00000000-0005-0000-0000-0000150C0000}"/>
    <cellStyle name="20% - Accent6 10" xfId="2064" hidden="1" xr:uid="{00000000-0005-0000-0000-0000160C0000}"/>
    <cellStyle name="20% - Accent6 10" xfId="2140" hidden="1" xr:uid="{00000000-0005-0000-0000-0000170C0000}"/>
    <cellStyle name="20% - Accent6 10" xfId="2218" hidden="1" xr:uid="{00000000-0005-0000-0000-0000180C0000}"/>
    <cellStyle name="20% - Accent6 10" xfId="2401" hidden="1" xr:uid="{00000000-0005-0000-0000-0000190C0000}"/>
    <cellStyle name="20% - Accent6 10" xfId="2477" hidden="1" xr:uid="{00000000-0005-0000-0000-00001A0C0000}"/>
    <cellStyle name="20% - Accent6 10" xfId="2555" hidden="1" xr:uid="{00000000-0005-0000-0000-00001B0C0000}"/>
    <cellStyle name="20% - Accent6 10" xfId="2738" hidden="1" xr:uid="{00000000-0005-0000-0000-00001C0C0000}"/>
    <cellStyle name="20% - Accent6 10" xfId="2814" hidden="1" xr:uid="{00000000-0005-0000-0000-00001D0C0000}"/>
    <cellStyle name="20% - Accent6 10" xfId="2916" hidden="1" xr:uid="{00000000-0005-0000-0000-00001E0C0000}"/>
    <cellStyle name="20% - Accent6 10" xfId="2990" hidden="1" xr:uid="{00000000-0005-0000-0000-00001F0C0000}"/>
    <cellStyle name="20% - Accent6 10" xfId="3066" hidden="1" xr:uid="{00000000-0005-0000-0000-0000200C0000}"/>
    <cellStyle name="20% - Accent6 10" xfId="3144" hidden="1" xr:uid="{00000000-0005-0000-0000-0000210C0000}"/>
    <cellStyle name="20% - Accent6 10" xfId="3729" hidden="1" xr:uid="{00000000-0005-0000-0000-0000220C0000}"/>
    <cellStyle name="20% - Accent6 10" xfId="3805" hidden="1" xr:uid="{00000000-0005-0000-0000-0000230C0000}"/>
    <cellStyle name="20% - Accent6 10" xfId="3884" hidden="1" xr:uid="{00000000-0005-0000-0000-0000240C0000}"/>
    <cellStyle name="20% - Accent6 10" xfId="3985" hidden="1" xr:uid="{00000000-0005-0000-0000-0000250C0000}"/>
    <cellStyle name="20% - Accent6 10" xfId="3546" hidden="1" xr:uid="{00000000-0005-0000-0000-0000260C0000}"/>
    <cellStyle name="20% - Accent6 10" xfId="3641" hidden="1" xr:uid="{00000000-0005-0000-0000-0000270C0000}"/>
    <cellStyle name="20% - Accent6 10" xfId="4324" hidden="1" xr:uid="{00000000-0005-0000-0000-0000280C0000}"/>
    <cellStyle name="20% - Accent6 10" xfId="4400" hidden="1" xr:uid="{00000000-0005-0000-0000-0000290C0000}"/>
    <cellStyle name="20% - Accent6 10" xfId="4478" hidden="1" xr:uid="{00000000-0005-0000-0000-00002A0C0000}"/>
    <cellStyle name="20% - Accent6 10" xfId="4556" hidden="1" xr:uid="{00000000-0005-0000-0000-00002B0C0000}"/>
    <cellStyle name="20% - Accent6 10" xfId="3974" hidden="1" xr:uid="{00000000-0005-0000-0000-00002C0C0000}"/>
    <cellStyle name="20% - Accent6 10" xfId="3448" hidden="1" xr:uid="{00000000-0005-0000-0000-00002D0C0000}"/>
    <cellStyle name="20% - Accent6 10" xfId="4856" hidden="1" xr:uid="{00000000-0005-0000-0000-00002E0C0000}"/>
    <cellStyle name="20% - Accent6 10" xfId="4932" hidden="1" xr:uid="{00000000-0005-0000-0000-00002F0C0000}"/>
    <cellStyle name="20% - Accent6 10" xfId="5010" hidden="1" xr:uid="{00000000-0005-0000-0000-0000300C0000}"/>
    <cellStyle name="20% - Accent6 10" xfId="5193" hidden="1" xr:uid="{00000000-0005-0000-0000-0000310C0000}"/>
    <cellStyle name="20% - Accent6 10" xfId="5269" hidden="1" xr:uid="{00000000-0005-0000-0000-0000320C0000}"/>
    <cellStyle name="20% - Accent6 10" xfId="5347" hidden="1" xr:uid="{00000000-0005-0000-0000-0000330C0000}"/>
    <cellStyle name="20% - Accent6 10" xfId="5530" hidden="1" xr:uid="{00000000-0005-0000-0000-0000340C0000}"/>
    <cellStyle name="20% - Accent6 10" xfId="5606" hidden="1" xr:uid="{00000000-0005-0000-0000-0000350C0000}"/>
    <cellStyle name="20% - Accent6 10" xfId="5708" hidden="1" xr:uid="{00000000-0005-0000-0000-0000360C0000}"/>
    <cellStyle name="20% - Accent6 10" xfId="5782" hidden="1" xr:uid="{00000000-0005-0000-0000-0000370C0000}"/>
    <cellStyle name="20% - Accent6 10" xfId="5858" hidden="1" xr:uid="{00000000-0005-0000-0000-0000380C0000}"/>
    <cellStyle name="20% - Accent6 10" xfId="5936" hidden="1" xr:uid="{00000000-0005-0000-0000-0000390C0000}"/>
    <cellStyle name="20% - Accent6 10" xfId="6521" hidden="1" xr:uid="{00000000-0005-0000-0000-00003A0C0000}"/>
    <cellStyle name="20% - Accent6 10" xfId="6597" hidden="1" xr:uid="{00000000-0005-0000-0000-00003B0C0000}"/>
    <cellStyle name="20% - Accent6 10" xfId="6676" hidden="1" xr:uid="{00000000-0005-0000-0000-00003C0C0000}"/>
    <cellStyle name="20% - Accent6 10" xfId="6777" hidden="1" xr:uid="{00000000-0005-0000-0000-00003D0C0000}"/>
    <cellStyle name="20% - Accent6 10" xfId="6338" hidden="1" xr:uid="{00000000-0005-0000-0000-00003E0C0000}"/>
    <cellStyle name="20% - Accent6 10" xfId="6433" hidden="1" xr:uid="{00000000-0005-0000-0000-00003F0C0000}"/>
    <cellStyle name="20% - Accent6 10" xfId="7116" hidden="1" xr:uid="{00000000-0005-0000-0000-0000400C0000}"/>
    <cellStyle name="20% - Accent6 10" xfId="7192" hidden="1" xr:uid="{00000000-0005-0000-0000-0000410C0000}"/>
    <cellStyle name="20% - Accent6 10" xfId="7270" hidden="1" xr:uid="{00000000-0005-0000-0000-0000420C0000}"/>
    <cellStyle name="20% - Accent6 10" xfId="7348" hidden="1" xr:uid="{00000000-0005-0000-0000-0000430C0000}"/>
    <cellStyle name="20% - Accent6 10" xfId="6766" hidden="1" xr:uid="{00000000-0005-0000-0000-0000440C0000}"/>
    <cellStyle name="20% - Accent6 10" xfId="6240" hidden="1" xr:uid="{00000000-0005-0000-0000-0000450C0000}"/>
    <cellStyle name="20% - Accent6 10" xfId="7648" hidden="1" xr:uid="{00000000-0005-0000-0000-0000460C0000}"/>
    <cellStyle name="20% - Accent6 10" xfId="7724" hidden="1" xr:uid="{00000000-0005-0000-0000-0000470C0000}"/>
    <cellStyle name="20% - Accent6 10" xfId="7802" hidden="1" xr:uid="{00000000-0005-0000-0000-0000480C0000}"/>
    <cellStyle name="20% - Accent6 10" xfId="7985" hidden="1" xr:uid="{00000000-0005-0000-0000-0000490C0000}"/>
    <cellStyle name="20% - Accent6 10" xfId="8061" hidden="1" xr:uid="{00000000-0005-0000-0000-00004A0C0000}"/>
    <cellStyle name="20% - Accent6 10" xfId="8139" hidden="1" xr:uid="{00000000-0005-0000-0000-00004B0C0000}"/>
    <cellStyle name="20% - Accent6 10" xfId="8322" hidden="1" xr:uid="{00000000-0005-0000-0000-00004C0C0000}"/>
    <cellStyle name="20% - Accent6 10" xfId="8398" hidden="1" xr:uid="{00000000-0005-0000-0000-00004D0C0000}"/>
    <cellStyle name="20% - Accent6 11" xfId="137" hidden="1" xr:uid="{00000000-0005-0000-0000-00004E0C0000}"/>
    <cellStyle name="20% - Accent6 11" xfId="211" hidden="1" xr:uid="{00000000-0005-0000-0000-00004F0C0000}"/>
    <cellStyle name="20% - Accent6 11" xfId="287" hidden="1" xr:uid="{00000000-0005-0000-0000-0000500C0000}"/>
    <cellStyle name="20% - Accent6 11" xfId="365" hidden="1" xr:uid="{00000000-0005-0000-0000-0000510C0000}"/>
    <cellStyle name="20% - Accent6 11" xfId="950" hidden="1" xr:uid="{00000000-0005-0000-0000-0000520C0000}"/>
    <cellStyle name="20% - Accent6 11" xfId="1026" hidden="1" xr:uid="{00000000-0005-0000-0000-0000530C0000}"/>
    <cellStyle name="20% - Accent6 11" xfId="1105" hidden="1" xr:uid="{00000000-0005-0000-0000-0000540C0000}"/>
    <cellStyle name="20% - Accent6 11" xfId="1148" hidden="1" xr:uid="{00000000-0005-0000-0000-0000550C0000}"/>
    <cellStyle name="20% - Accent6 11" xfId="595" hidden="1" xr:uid="{00000000-0005-0000-0000-0000560C0000}"/>
    <cellStyle name="20% - Accent6 11" xfId="854" hidden="1" xr:uid="{00000000-0005-0000-0000-0000570C0000}"/>
    <cellStyle name="20% - Accent6 11" xfId="1545" hidden="1" xr:uid="{00000000-0005-0000-0000-0000580C0000}"/>
    <cellStyle name="20% - Accent6 11" xfId="1621" hidden="1" xr:uid="{00000000-0005-0000-0000-0000590C0000}"/>
    <cellStyle name="20% - Accent6 11" xfId="1699" hidden="1" xr:uid="{00000000-0005-0000-0000-00005A0C0000}"/>
    <cellStyle name="20% - Accent6 11" xfId="1736" hidden="1" xr:uid="{00000000-0005-0000-0000-00005B0C0000}"/>
    <cellStyle name="20% - Accent6 11" xfId="718" hidden="1" xr:uid="{00000000-0005-0000-0000-00005C0C0000}"/>
    <cellStyle name="20% - Accent6 11" xfId="1334" hidden="1" xr:uid="{00000000-0005-0000-0000-00005D0C0000}"/>
    <cellStyle name="20% - Accent6 11" xfId="2077" hidden="1" xr:uid="{00000000-0005-0000-0000-00005E0C0000}"/>
    <cellStyle name="20% - Accent6 11" xfId="2153" hidden="1" xr:uid="{00000000-0005-0000-0000-00005F0C0000}"/>
    <cellStyle name="20% - Accent6 11" xfId="2231" hidden="1" xr:uid="{00000000-0005-0000-0000-0000600C0000}"/>
    <cellStyle name="20% - Accent6 11" xfId="2414" hidden="1" xr:uid="{00000000-0005-0000-0000-0000610C0000}"/>
    <cellStyle name="20% - Accent6 11" xfId="2490" hidden="1" xr:uid="{00000000-0005-0000-0000-0000620C0000}"/>
    <cellStyle name="20% - Accent6 11" xfId="2568" hidden="1" xr:uid="{00000000-0005-0000-0000-0000630C0000}"/>
    <cellStyle name="20% - Accent6 11" xfId="2751" hidden="1" xr:uid="{00000000-0005-0000-0000-0000640C0000}"/>
    <cellStyle name="20% - Accent6 11" xfId="2827" hidden="1" xr:uid="{00000000-0005-0000-0000-0000650C0000}"/>
    <cellStyle name="20% - Accent6 11" xfId="2929" hidden="1" xr:uid="{00000000-0005-0000-0000-0000660C0000}"/>
    <cellStyle name="20% - Accent6 11" xfId="3003" hidden="1" xr:uid="{00000000-0005-0000-0000-0000670C0000}"/>
    <cellStyle name="20% - Accent6 11" xfId="3079" hidden="1" xr:uid="{00000000-0005-0000-0000-0000680C0000}"/>
    <cellStyle name="20% - Accent6 11" xfId="3157" hidden="1" xr:uid="{00000000-0005-0000-0000-0000690C0000}"/>
    <cellStyle name="20% - Accent6 11" xfId="3742" hidden="1" xr:uid="{00000000-0005-0000-0000-00006A0C0000}"/>
    <cellStyle name="20% - Accent6 11" xfId="3818" hidden="1" xr:uid="{00000000-0005-0000-0000-00006B0C0000}"/>
    <cellStyle name="20% - Accent6 11" xfId="3897" hidden="1" xr:uid="{00000000-0005-0000-0000-00006C0C0000}"/>
    <cellStyle name="20% - Accent6 11" xfId="3940" hidden="1" xr:uid="{00000000-0005-0000-0000-00006D0C0000}"/>
    <cellStyle name="20% - Accent6 11" xfId="3387" hidden="1" xr:uid="{00000000-0005-0000-0000-00006E0C0000}"/>
    <cellStyle name="20% - Accent6 11" xfId="3646" hidden="1" xr:uid="{00000000-0005-0000-0000-00006F0C0000}"/>
    <cellStyle name="20% - Accent6 11" xfId="4337" hidden="1" xr:uid="{00000000-0005-0000-0000-0000700C0000}"/>
    <cellStyle name="20% - Accent6 11" xfId="4413" hidden="1" xr:uid="{00000000-0005-0000-0000-0000710C0000}"/>
    <cellStyle name="20% - Accent6 11" xfId="4491" hidden="1" xr:uid="{00000000-0005-0000-0000-0000720C0000}"/>
    <cellStyle name="20% - Accent6 11" xfId="4528" hidden="1" xr:uid="{00000000-0005-0000-0000-0000730C0000}"/>
    <cellStyle name="20% - Accent6 11" xfId="3510" hidden="1" xr:uid="{00000000-0005-0000-0000-0000740C0000}"/>
    <cellStyle name="20% - Accent6 11" xfId="4126" hidden="1" xr:uid="{00000000-0005-0000-0000-0000750C0000}"/>
    <cellStyle name="20% - Accent6 11" xfId="4869" hidden="1" xr:uid="{00000000-0005-0000-0000-0000760C0000}"/>
    <cellStyle name="20% - Accent6 11" xfId="4945" hidden="1" xr:uid="{00000000-0005-0000-0000-0000770C0000}"/>
    <cellStyle name="20% - Accent6 11" xfId="5023" hidden="1" xr:uid="{00000000-0005-0000-0000-0000780C0000}"/>
    <cellStyle name="20% - Accent6 11" xfId="5206" hidden="1" xr:uid="{00000000-0005-0000-0000-0000790C0000}"/>
    <cellStyle name="20% - Accent6 11" xfId="5282" hidden="1" xr:uid="{00000000-0005-0000-0000-00007A0C0000}"/>
    <cellStyle name="20% - Accent6 11" xfId="5360" hidden="1" xr:uid="{00000000-0005-0000-0000-00007B0C0000}"/>
    <cellStyle name="20% - Accent6 11" xfId="5543" hidden="1" xr:uid="{00000000-0005-0000-0000-00007C0C0000}"/>
    <cellStyle name="20% - Accent6 11" xfId="5619" hidden="1" xr:uid="{00000000-0005-0000-0000-00007D0C0000}"/>
    <cellStyle name="20% - Accent6 11" xfId="5721" hidden="1" xr:uid="{00000000-0005-0000-0000-00007E0C0000}"/>
    <cellStyle name="20% - Accent6 11" xfId="5795" hidden="1" xr:uid="{00000000-0005-0000-0000-00007F0C0000}"/>
    <cellStyle name="20% - Accent6 11" xfId="5871" hidden="1" xr:uid="{00000000-0005-0000-0000-0000800C0000}"/>
    <cellStyle name="20% - Accent6 11" xfId="5949" hidden="1" xr:uid="{00000000-0005-0000-0000-0000810C0000}"/>
    <cellStyle name="20% - Accent6 11" xfId="6534" hidden="1" xr:uid="{00000000-0005-0000-0000-0000820C0000}"/>
    <cellStyle name="20% - Accent6 11" xfId="6610" hidden="1" xr:uid="{00000000-0005-0000-0000-0000830C0000}"/>
    <cellStyle name="20% - Accent6 11" xfId="6689" hidden="1" xr:uid="{00000000-0005-0000-0000-0000840C0000}"/>
    <cellStyle name="20% - Accent6 11" xfId="6732" hidden="1" xr:uid="{00000000-0005-0000-0000-0000850C0000}"/>
    <cellStyle name="20% - Accent6 11" xfId="6179" hidden="1" xr:uid="{00000000-0005-0000-0000-0000860C0000}"/>
    <cellStyle name="20% - Accent6 11" xfId="6438" hidden="1" xr:uid="{00000000-0005-0000-0000-0000870C0000}"/>
    <cellStyle name="20% - Accent6 11" xfId="7129" hidden="1" xr:uid="{00000000-0005-0000-0000-0000880C0000}"/>
    <cellStyle name="20% - Accent6 11" xfId="7205" hidden="1" xr:uid="{00000000-0005-0000-0000-0000890C0000}"/>
    <cellStyle name="20% - Accent6 11" xfId="7283" hidden="1" xr:uid="{00000000-0005-0000-0000-00008A0C0000}"/>
    <cellStyle name="20% - Accent6 11" xfId="7320" hidden="1" xr:uid="{00000000-0005-0000-0000-00008B0C0000}"/>
    <cellStyle name="20% - Accent6 11" xfId="6302" hidden="1" xr:uid="{00000000-0005-0000-0000-00008C0C0000}"/>
    <cellStyle name="20% - Accent6 11" xfId="6918" hidden="1" xr:uid="{00000000-0005-0000-0000-00008D0C0000}"/>
    <cellStyle name="20% - Accent6 11" xfId="7661" hidden="1" xr:uid="{00000000-0005-0000-0000-00008E0C0000}"/>
    <cellStyle name="20% - Accent6 11" xfId="7737" hidden="1" xr:uid="{00000000-0005-0000-0000-00008F0C0000}"/>
    <cellStyle name="20% - Accent6 11" xfId="7815" hidden="1" xr:uid="{00000000-0005-0000-0000-0000900C0000}"/>
    <cellStyle name="20% - Accent6 11" xfId="7998" hidden="1" xr:uid="{00000000-0005-0000-0000-0000910C0000}"/>
    <cellStyle name="20% - Accent6 11" xfId="8074" hidden="1" xr:uid="{00000000-0005-0000-0000-0000920C0000}"/>
    <cellStyle name="20% - Accent6 11" xfId="8152" hidden="1" xr:uid="{00000000-0005-0000-0000-0000930C0000}"/>
    <cellStyle name="20% - Accent6 11" xfId="8335" hidden="1" xr:uid="{00000000-0005-0000-0000-0000940C0000}"/>
    <cellStyle name="20% - Accent6 11" xfId="8411" hidden="1" xr:uid="{00000000-0005-0000-0000-0000950C0000}"/>
    <cellStyle name="20% - Accent6 12" xfId="150" hidden="1" xr:uid="{00000000-0005-0000-0000-0000960C0000}"/>
    <cellStyle name="20% - Accent6 12" xfId="225" hidden="1" xr:uid="{00000000-0005-0000-0000-0000970C0000}"/>
    <cellStyle name="20% - Accent6 12" xfId="300" hidden="1" xr:uid="{00000000-0005-0000-0000-0000980C0000}"/>
    <cellStyle name="20% - Accent6 12" xfId="378" hidden="1" xr:uid="{00000000-0005-0000-0000-0000990C0000}"/>
    <cellStyle name="20% - Accent6 12" xfId="964" hidden="1" xr:uid="{00000000-0005-0000-0000-00009A0C0000}"/>
    <cellStyle name="20% - Accent6 12" xfId="1039" hidden="1" xr:uid="{00000000-0005-0000-0000-00009B0C0000}"/>
    <cellStyle name="20% - Accent6 12" xfId="1118" hidden="1" xr:uid="{00000000-0005-0000-0000-00009C0C0000}"/>
    <cellStyle name="20% - Accent6 12" xfId="1187" hidden="1" xr:uid="{00000000-0005-0000-0000-00009D0C0000}"/>
    <cellStyle name="20% - Accent6 12" xfId="601" hidden="1" xr:uid="{00000000-0005-0000-0000-00009E0C0000}"/>
    <cellStyle name="20% - Accent6 12" xfId="777" hidden="1" xr:uid="{00000000-0005-0000-0000-00009F0C0000}"/>
    <cellStyle name="20% - Accent6 12" xfId="1559" hidden="1" xr:uid="{00000000-0005-0000-0000-0000A00C0000}"/>
    <cellStyle name="20% - Accent6 12" xfId="1634" hidden="1" xr:uid="{00000000-0005-0000-0000-0000A10C0000}"/>
    <cellStyle name="20% - Accent6 12" xfId="1712" hidden="1" xr:uid="{00000000-0005-0000-0000-0000A20C0000}"/>
    <cellStyle name="20% - Accent6 12" xfId="1761" hidden="1" xr:uid="{00000000-0005-0000-0000-0000A30C0000}"/>
    <cellStyle name="20% - Accent6 12" xfId="876" hidden="1" xr:uid="{00000000-0005-0000-0000-0000A40C0000}"/>
    <cellStyle name="20% - Accent6 12" xfId="647" hidden="1" xr:uid="{00000000-0005-0000-0000-0000A50C0000}"/>
    <cellStyle name="20% - Accent6 12" xfId="2091" hidden="1" xr:uid="{00000000-0005-0000-0000-0000A60C0000}"/>
    <cellStyle name="20% - Accent6 12" xfId="2166" hidden="1" xr:uid="{00000000-0005-0000-0000-0000A70C0000}"/>
    <cellStyle name="20% - Accent6 12" xfId="2244" hidden="1" xr:uid="{00000000-0005-0000-0000-0000A80C0000}"/>
    <cellStyle name="20% - Accent6 12" xfId="2428" hidden="1" xr:uid="{00000000-0005-0000-0000-0000A90C0000}"/>
    <cellStyle name="20% - Accent6 12" xfId="2503" hidden="1" xr:uid="{00000000-0005-0000-0000-0000AA0C0000}"/>
    <cellStyle name="20% - Accent6 12" xfId="2581" hidden="1" xr:uid="{00000000-0005-0000-0000-0000AB0C0000}"/>
    <cellStyle name="20% - Accent6 12" xfId="2765" hidden="1" xr:uid="{00000000-0005-0000-0000-0000AC0C0000}"/>
    <cellStyle name="20% - Accent6 12" xfId="2840" hidden="1" xr:uid="{00000000-0005-0000-0000-0000AD0C0000}"/>
    <cellStyle name="20% - Accent6 12" xfId="2942" hidden="1" xr:uid="{00000000-0005-0000-0000-0000AE0C0000}"/>
    <cellStyle name="20% - Accent6 12" xfId="3017" hidden="1" xr:uid="{00000000-0005-0000-0000-0000AF0C0000}"/>
    <cellStyle name="20% - Accent6 12" xfId="3092" hidden="1" xr:uid="{00000000-0005-0000-0000-0000B00C0000}"/>
    <cellStyle name="20% - Accent6 12" xfId="3170" hidden="1" xr:uid="{00000000-0005-0000-0000-0000B10C0000}"/>
    <cellStyle name="20% - Accent6 12" xfId="3756" hidden="1" xr:uid="{00000000-0005-0000-0000-0000B20C0000}"/>
    <cellStyle name="20% - Accent6 12" xfId="3831" hidden="1" xr:uid="{00000000-0005-0000-0000-0000B30C0000}"/>
    <cellStyle name="20% - Accent6 12" xfId="3910" hidden="1" xr:uid="{00000000-0005-0000-0000-0000B40C0000}"/>
    <cellStyle name="20% - Accent6 12" xfId="3979" hidden="1" xr:uid="{00000000-0005-0000-0000-0000B50C0000}"/>
    <cellStyle name="20% - Accent6 12" xfId="3393" hidden="1" xr:uid="{00000000-0005-0000-0000-0000B60C0000}"/>
    <cellStyle name="20% - Accent6 12" xfId="3569" hidden="1" xr:uid="{00000000-0005-0000-0000-0000B70C0000}"/>
    <cellStyle name="20% - Accent6 12" xfId="4351" hidden="1" xr:uid="{00000000-0005-0000-0000-0000B80C0000}"/>
    <cellStyle name="20% - Accent6 12" xfId="4426" hidden="1" xr:uid="{00000000-0005-0000-0000-0000B90C0000}"/>
    <cellStyle name="20% - Accent6 12" xfId="4504" hidden="1" xr:uid="{00000000-0005-0000-0000-0000BA0C0000}"/>
    <cellStyle name="20% - Accent6 12" xfId="4553" hidden="1" xr:uid="{00000000-0005-0000-0000-0000BB0C0000}"/>
    <cellStyle name="20% - Accent6 12" xfId="3668" hidden="1" xr:uid="{00000000-0005-0000-0000-0000BC0C0000}"/>
    <cellStyle name="20% - Accent6 12" xfId="3439" hidden="1" xr:uid="{00000000-0005-0000-0000-0000BD0C0000}"/>
    <cellStyle name="20% - Accent6 12" xfId="4883" hidden="1" xr:uid="{00000000-0005-0000-0000-0000BE0C0000}"/>
    <cellStyle name="20% - Accent6 12" xfId="4958" hidden="1" xr:uid="{00000000-0005-0000-0000-0000BF0C0000}"/>
    <cellStyle name="20% - Accent6 12" xfId="5036" hidden="1" xr:uid="{00000000-0005-0000-0000-0000C00C0000}"/>
    <cellStyle name="20% - Accent6 12" xfId="5220" hidden="1" xr:uid="{00000000-0005-0000-0000-0000C10C0000}"/>
    <cellStyle name="20% - Accent6 12" xfId="5295" hidden="1" xr:uid="{00000000-0005-0000-0000-0000C20C0000}"/>
    <cellStyle name="20% - Accent6 12" xfId="5373" hidden="1" xr:uid="{00000000-0005-0000-0000-0000C30C0000}"/>
    <cellStyle name="20% - Accent6 12" xfId="5557" hidden="1" xr:uid="{00000000-0005-0000-0000-0000C40C0000}"/>
    <cellStyle name="20% - Accent6 12" xfId="5632" hidden="1" xr:uid="{00000000-0005-0000-0000-0000C50C0000}"/>
    <cellStyle name="20% - Accent6 12" xfId="5734" hidden="1" xr:uid="{00000000-0005-0000-0000-0000C60C0000}"/>
    <cellStyle name="20% - Accent6 12" xfId="5809" hidden="1" xr:uid="{00000000-0005-0000-0000-0000C70C0000}"/>
    <cellStyle name="20% - Accent6 12" xfId="5884" hidden="1" xr:uid="{00000000-0005-0000-0000-0000C80C0000}"/>
    <cellStyle name="20% - Accent6 12" xfId="5962" hidden="1" xr:uid="{00000000-0005-0000-0000-0000C90C0000}"/>
    <cellStyle name="20% - Accent6 12" xfId="6548" hidden="1" xr:uid="{00000000-0005-0000-0000-0000CA0C0000}"/>
    <cellStyle name="20% - Accent6 12" xfId="6623" hidden="1" xr:uid="{00000000-0005-0000-0000-0000CB0C0000}"/>
    <cellStyle name="20% - Accent6 12" xfId="6702" hidden="1" xr:uid="{00000000-0005-0000-0000-0000CC0C0000}"/>
    <cellStyle name="20% - Accent6 12" xfId="6771" hidden="1" xr:uid="{00000000-0005-0000-0000-0000CD0C0000}"/>
    <cellStyle name="20% - Accent6 12" xfId="6185" hidden="1" xr:uid="{00000000-0005-0000-0000-0000CE0C0000}"/>
    <cellStyle name="20% - Accent6 12" xfId="6361" hidden="1" xr:uid="{00000000-0005-0000-0000-0000CF0C0000}"/>
    <cellStyle name="20% - Accent6 12" xfId="7143" hidden="1" xr:uid="{00000000-0005-0000-0000-0000D00C0000}"/>
    <cellStyle name="20% - Accent6 12" xfId="7218" hidden="1" xr:uid="{00000000-0005-0000-0000-0000D10C0000}"/>
    <cellStyle name="20% - Accent6 12" xfId="7296" hidden="1" xr:uid="{00000000-0005-0000-0000-0000D20C0000}"/>
    <cellStyle name="20% - Accent6 12" xfId="7345" hidden="1" xr:uid="{00000000-0005-0000-0000-0000D30C0000}"/>
    <cellStyle name="20% - Accent6 12" xfId="6460" hidden="1" xr:uid="{00000000-0005-0000-0000-0000D40C0000}"/>
    <cellStyle name="20% - Accent6 12" xfId="6231" hidden="1" xr:uid="{00000000-0005-0000-0000-0000D50C0000}"/>
    <cellStyle name="20% - Accent6 12" xfId="7675" hidden="1" xr:uid="{00000000-0005-0000-0000-0000D60C0000}"/>
    <cellStyle name="20% - Accent6 12" xfId="7750" hidden="1" xr:uid="{00000000-0005-0000-0000-0000D70C0000}"/>
    <cellStyle name="20% - Accent6 12" xfId="7828" hidden="1" xr:uid="{00000000-0005-0000-0000-0000D80C0000}"/>
    <cellStyle name="20% - Accent6 12" xfId="8012" hidden="1" xr:uid="{00000000-0005-0000-0000-0000D90C0000}"/>
    <cellStyle name="20% - Accent6 12" xfId="8087" hidden="1" xr:uid="{00000000-0005-0000-0000-0000DA0C0000}"/>
    <cellStyle name="20% - Accent6 12" xfId="8165" hidden="1" xr:uid="{00000000-0005-0000-0000-0000DB0C0000}"/>
    <cellStyle name="20% - Accent6 12" xfId="8349" hidden="1" xr:uid="{00000000-0005-0000-0000-0000DC0C0000}"/>
    <cellStyle name="20% - Accent6 12" xfId="8424" hidden="1" xr:uid="{00000000-0005-0000-0000-0000DD0C0000}"/>
    <cellStyle name="20% - Accent6 13" xfId="391" hidden="1" xr:uid="{00000000-0005-0000-0000-0000DE0C0000}"/>
    <cellStyle name="20% - Accent6 13" xfId="506" hidden="1" xr:uid="{00000000-0005-0000-0000-0000DF0C0000}"/>
    <cellStyle name="20% - Accent6 13" xfId="1229" hidden="1" xr:uid="{00000000-0005-0000-0000-0000E00C0000}"/>
    <cellStyle name="20% - Accent6 13" xfId="1402" hidden="1" xr:uid="{00000000-0005-0000-0000-0000E10C0000}"/>
    <cellStyle name="20% - Accent6 13" xfId="1795" hidden="1" xr:uid="{00000000-0005-0000-0000-0000E20C0000}"/>
    <cellStyle name="20% - Accent6 13" xfId="1943" hidden="1" xr:uid="{00000000-0005-0000-0000-0000E30C0000}"/>
    <cellStyle name="20% - Accent6 13" xfId="2281" hidden="1" xr:uid="{00000000-0005-0000-0000-0000E40C0000}"/>
    <cellStyle name="20% - Accent6 13" xfId="2618" hidden="1" xr:uid="{00000000-0005-0000-0000-0000E50C0000}"/>
    <cellStyle name="20% - Accent6 13" xfId="3183" hidden="1" xr:uid="{00000000-0005-0000-0000-0000E60C0000}"/>
    <cellStyle name="20% - Accent6 13" xfId="3298" hidden="1" xr:uid="{00000000-0005-0000-0000-0000E70C0000}"/>
    <cellStyle name="20% - Accent6 13" xfId="4021" hidden="1" xr:uid="{00000000-0005-0000-0000-0000E80C0000}"/>
    <cellStyle name="20% - Accent6 13" xfId="4194" hidden="1" xr:uid="{00000000-0005-0000-0000-0000E90C0000}"/>
    <cellStyle name="20% - Accent6 13" xfId="4587" hidden="1" xr:uid="{00000000-0005-0000-0000-0000EA0C0000}"/>
    <cellStyle name="20% - Accent6 13" xfId="4735" hidden="1" xr:uid="{00000000-0005-0000-0000-0000EB0C0000}"/>
    <cellStyle name="20% - Accent6 13" xfId="5073" hidden="1" xr:uid="{00000000-0005-0000-0000-0000EC0C0000}"/>
    <cellStyle name="20% - Accent6 13" xfId="5410" hidden="1" xr:uid="{00000000-0005-0000-0000-0000ED0C0000}"/>
    <cellStyle name="20% - Accent6 13" xfId="5975" hidden="1" xr:uid="{00000000-0005-0000-0000-0000EE0C0000}"/>
    <cellStyle name="20% - Accent6 13" xfId="6090" hidden="1" xr:uid="{00000000-0005-0000-0000-0000EF0C0000}"/>
    <cellStyle name="20% - Accent6 13" xfId="6813" hidden="1" xr:uid="{00000000-0005-0000-0000-0000F00C0000}"/>
    <cellStyle name="20% - Accent6 13" xfId="6986" hidden="1" xr:uid="{00000000-0005-0000-0000-0000F10C0000}"/>
    <cellStyle name="20% - Accent6 13" xfId="7379" hidden="1" xr:uid="{00000000-0005-0000-0000-0000F20C0000}"/>
    <cellStyle name="20% - Accent6 13" xfId="7527" hidden="1" xr:uid="{00000000-0005-0000-0000-0000F30C0000}"/>
    <cellStyle name="20% - Accent6 13" xfId="7865" hidden="1" xr:uid="{00000000-0005-0000-0000-0000F40C0000}"/>
    <cellStyle name="20% - Accent6 13" xfId="8202" hidden="1" xr:uid="{00000000-0005-0000-0000-0000F50C0000}"/>
    <cellStyle name="20% - Accent6 3 2 3 2" xfId="466" hidden="1" xr:uid="{00000000-0005-0000-0000-0000F60C0000}"/>
    <cellStyle name="20% - Accent6 3 2 3 2" xfId="581" hidden="1" xr:uid="{00000000-0005-0000-0000-0000F70C0000}"/>
    <cellStyle name="20% - Accent6 3 2 3 2" xfId="1304" hidden="1" xr:uid="{00000000-0005-0000-0000-0000F80C0000}"/>
    <cellStyle name="20% - Accent6 3 2 3 2" xfId="1477" hidden="1" xr:uid="{00000000-0005-0000-0000-0000F90C0000}"/>
    <cellStyle name="20% - Accent6 3 2 3 2" xfId="1870" hidden="1" xr:uid="{00000000-0005-0000-0000-0000FA0C0000}"/>
    <cellStyle name="20% - Accent6 3 2 3 2" xfId="2018" hidden="1" xr:uid="{00000000-0005-0000-0000-0000FB0C0000}"/>
    <cellStyle name="20% - Accent6 3 2 3 2" xfId="2356" hidden="1" xr:uid="{00000000-0005-0000-0000-0000FC0C0000}"/>
    <cellStyle name="20% - Accent6 3 2 3 2" xfId="2693" hidden="1" xr:uid="{00000000-0005-0000-0000-0000FD0C0000}"/>
    <cellStyle name="20% - Accent6 3 2 3 2" xfId="3258" hidden="1" xr:uid="{00000000-0005-0000-0000-0000FE0C0000}"/>
    <cellStyle name="20% - Accent6 3 2 3 2" xfId="3373" hidden="1" xr:uid="{00000000-0005-0000-0000-0000FF0C0000}"/>
    <cellStyle name="20% - Accent6 3 2 3 2" xfId="4096" hidden="1" xr:uid="{00000000-0005-0000-0000-0000000D0000}"/>
    <cellStyle name="20% - Accent6 3 2 3 2" xfId="4269" hidden="1" xr:uid="{00000000-0005-0000-0000-0000010D0000}"/>
    <cellStyle name="20% - Accent6 3 2 3 2" xfId="4662" hidden="1" xr:uid="{00000000-0005-0000-0000-0000020D0000}"/>
    <cellStyle name="20% - Accent6 3 2 3 2" xfId="4810" hidden="1" xr:uid="{00000000-0005-0000-0000-0000030D0000}"/>
    <cellStyle name="20% - Accent6 3 2 3 2" xfId="5148" hidden="1" xr:uid="{00000000-0005-0000-0000-0000040D0000}"/>
    <cellStyle name="20% - Accent6 3 2 3 2" xfId="5485" hidden="1" xr:uid="{00000000-0005-0000-0000-0000050D0000}"/>
    <cellStyle name="20% - Accent6 3 2 3 2" xfId="6050" hidden="1" xr:uid="{00000000-0005-0000-0000-0000060D0000}"/>
    <cellStyle name="20% - Accent6 3 2 3 2" xfId="6165" hidden="1" xr:uid="{00000000-0005-0000-0000-0000070D0000}"/>
    <cellStyle name="20% - Accent6 3 2 3 2" xfId="6888" hidden="1" xr:uid="{00000000-0005-0000-0000-0000080D0000}"/>
    <cellStyle name="20% - Accent6 3 2 3 2" xfId="7061" hidden="1" xr:uid="{00000000-0005-0000-0000-0000090D0000}"/>
    <cellStyle name="20% - Accent6 3 2 3 2" xfId="7454" hidden="1" xr:uid="{00000000-0005-0000-0000-00000A0D0000}"/>
    <cellStyle name="20% - Accent6 3 2 3 2" xfId="7602" hidden="1" xr:uid="{00000000-0005-0000-0000-00000B0D0000}"/>
    <cellStyle name="20% - Accent6 3 2 3 2" xfId="7940" hidden="1" xr:uid="{00000000-0005-0000-0000-00000C0D0000}"/>
    <cellStyle name="20% - Accent6 3 2 3 2" xfId="8277" hidden="1" xr:uid="{00000000-0005-0000-0000-00000D0D0000}"/>
    <cellStyle name="20% - Accent6 3 2 4 2" xfId="427" hidden="1" xr:uid="{00000000-0005-0000-0000-00000E0D0000}"/>
    <cellStyle name="20% - Accent6 3 2 4 2" xfId="542" hidden="1" xr:uid="{00000000-0005-0000-0000-00000F0D0000}"/>
    <cellStyle name="20% - Accent6 3 2 4 2" xfId="1265" hidden="1" xr:uid="{00000000-0005-0000-0000-0000100D0000}"/>
    <cellStyle name="20% - Accent6 3 2 4 2" xfId="1438" hidden="1" xr:uid="{00000000-0005-0000-0000-0000110D0000}"/>
    <cellStyle name="20% - Accent6 3 2 4 2" xfId="1831" hidden="1" xr:uid="{00000000-0005-0000-0000-0000120D0000}"/>
    <cellStyle name="20% - Accent6 3 2 4 2" xfId="1979" hidden="1" xr:uid="{00000000-0005-0000-0000-0000130D0000}"/>
    <cellStyle name="20% - Accent6 3 2 4 2" xfId="2317" hidden="1" xr:uid="{00000000-0005-0000-0000-0000140D0000}"/>
    <cellStyle name="20% - Accent6 3 2 4 2" xfId="2654" hidden="1" xr:uid="{00000000-0005-0000-0000-0000150D0000}"/>
    <cellStyle name="20% - Accent6 3 2 4 2" xfId="3219" hidden="1" xr:uid="{00000000-0005-0000-0000-0000160D0000}"/>
    <cellStyle name="20% - Accent6 3 2 4 2" xfId="3334" hidden="1" xr:uid="{00000000-0005-0000-0000-0000170D0000}"/>
    <cellStyle name="20% - Accent6 3 2 4 2" xfId="4057" hidden="1" xr:uid="{00000000-0005-0000-0000-0000180D0000}"/>
    <cellStyle name="20% - Accent6 3 2 4 2" xfId="4230" hidden="1" xr:uid="{00000000-0005-0000-0000-0000190D0000}"/>
    <cellStyle name="20% - Accent6 3 2 4 2" xfId="4623" hidden="1" xr:uid="{00000000-0005-0000-0000-00001A0D0000}"/>
    <cellStyle name="20% - Accent6 3 2 4 2" xfId="4771" hidden="1" xr:uid="{00000000-0005-0000-0000-00001B0D0000}"/>
    <cellStyle name="20% - Accent6 3 2 4 2" xfId="5109" hidden="1" xr:uid="{00000000-0005-0000-0000-00001C0D0000}"/>
    <cellStyle name="20% - Accent6 3 2 4 2" xfId="5446" hidden="1" xr:uid="{00000000-0005-0000-0000-00001D0D0000}"/>
    <cellStyle name="20% - Accent6 3 2 4 2" xfId="6011" hidden="1" xr:uid="{00000000-0005-0000-0000-00001E0D0000}"/>
    <cellStyle name="20% - Accent6 3 2 4 2" xfId="6126" hidden="1" xr:uid="{00000000-0005-0000-0000-00001F0D0000}"/>
    <cellStyle name="20% - Accent6 3 2 4 2" xfId="6849" hidden="1" xr:uid="{00000000-0005-0000-0000-0000200D0000}"/>
    <cellStyle name="20% - Accent6 3 2 4 2" xfId="7022" hidden="1" xr:uid="{00000000-0005-0000-0000-0000210D0000}"/>
    <cellStyle name="20% - Accent6 3 2 4 2" xfId="7415" hidden="1" xr:uid="{00000000-0005-0000-0000-0000220D0000}"/>
    <cellStyle name="20% - Accent6 3 2 4 2" xfId="7563" hidden="1" xr:uid="{00000000-0005-0000-0000-0000230D0000}"/>
    <cellStyle name="20% - Accent6 3 2 4 2" xfId="7901" hidden="1" xr:uid="{00000000-0005-0000-0000-0000240D0000}"/>
    <cellStyle name="20% - Accent6 3 2 4 2" xfId="8238" hidden="1" xr:uid="{00000000-0005-0000-0000-0000250D0000}"/>
    <cellStyle name="20% - Accent6 3 3 3 2" xfId="426" hidden="1" xr:uid="{00000000-0005-0000-0000-0000260D0000}"/>
    <cellStyle name="20% - Accent6 3 3 3 2" xfId="541" hidden="1" xr:uid="{00000000-0005-0000-0000-0000270D0000}"/>
    <cellStyle name="20% - Accent6 3 3 3 2" xfId="1264" hidden="1" xr:uid="{00000000-0005-0000-0000-0000280D0000}"/>
    <cellStyle name="20% - Accent6 3 3 3 2" xfId="1437" hidden="1" xr:uid="{00000000-0005-0000-0000-0000290D0000}"/>
    <cellStyle name="20% - Accent6 3 3 3 2" xfId="1830" hidden="1" xr:uid="{00000000-0005-0000-0000-00002A0D0000}"/>
    <cellStyle name="20% - Accent6 3 3 3 2" xfId="1978" hidden="1" xr:uid="{00000000-0005-0000-0000-00002B0D0000}"/>
    <cellStyle name="20% - Accent6 3 3 3 2" xfId="2316" hidden="1" xr:uid="{00000000-0005-0000-0000-00002C0D0000}"/>
    <cellStyle name="20% - Accent6 3 3 3 2" xfId="2653" hidden="1" xr:uid="{00000000-0005-0000-0000-00002D0D0000}"/>
    <cellStyle name="20% - Accent6 3 3 3 2" xfId="3218" hidden="1" xr:uid="{00000000-0005-0000-0000-00002E0D0000}"/>
    <cellStyle name="20% - Accent6 3 3 3 2" xfId="3333" hidden="1" xr:uid="{00000000-0005-0000-0000-00002F0D0000}"/>
    <cellStyle name="20% - Accent6 3 3 3 2" xfId="4056" hidden="1" xr:uid="{00000000-0005-0000-0000-0000300D0000}"/>
    <cellStyle name="20% - Accent6 3 3 3 2" xfId="4229" hidden="1" xr:uid="{00000000-0005-0000-0000-0000310D0000}"/>
    <cellStyle name="20% - Accent6 3 3 3 2" xfId="4622" hidden="1" xr:uid="{00000000-0005-0000-0000-0000320D0000}"/>
    <cellStyle name="20% - Accent6 3 3 3 2" xfId="4770" hidden="1" xr:uid="{00000000-0005-0000-0000-0000330D0000}"/>
    <cellStyle name="20% - Accent6 3 3 3 2" xfId="5108" hidden="1" xr:uid="{00000000-0005-0000-0000-0000340D0000}"/>
    <cellStyle name="20% - Accent6 3 3 3 2" xfId="5445" hidden="1" xr:uid="{00000000-0005-0000-0000-0000350D0000}"/>
    <cellStyle name="20% - Accent6 3 3 3 2" xfId="6010" hidden="1" xr:uid="{00000000-0005-0000-0000-0000360D0000}"/>
    <cellStyle name="20% - Accent6 3 3 3 2" xfId="6125" hidden="1" xr:uid="{00000000-0005-0000-0000-0000370D0000}"/>
    <cellStyle name="20% - Accent6 3 3 3 2" xfId="6848" hidden="1" xr:uid="{00000000-0005-0000-0000-0000380D0000}"/>
    <cellStyle name="20% - Accent6 3 3 3 2" xfId="7021" hidden="1" xr:uid="{00000000-0005-0000-0000-0000390D0000}"/>
    <cellStyle name="20% - Accent6 3 3 3 2" xfId="7414" hidden="1" xr:uid="{00000000-0005-0000-0000-00003A0D0000}"/>
    <cellStyle name="20% - Accent6 3 3 3 2" xfId="7562" hidden="1" xr:uid="{00000000-0005-0000-0000-00003B0D0000}"/>
    <cellStyle name="20% - Accent6 3 3 3 2" xfId="7900" hidden="1" xr:uid="{00000000-0005-0000-0000-00003C0D0000}"/>
    <cellStyle name="20% - Accent6 3 3 3 2" xfId="8237" hidden="1" xr:uid="{00000000-0005-0000-0000-00003D0D0000}"/>
    <cellStyle name="20% - Accent6 4 2 3 2" xfId="467" hidden="1" xr:uid="{00000000-0005-0000-0000-00003E0D0000}"/>
    <cellStyle name="20% - Accent6 4 2 3 2" xfId="582" hidden="1" xr:uid="{00000000-0005-0000-0000-00003F0D0000}"/>
    <cellStyle name="20% - Accent6 4 2 3 2" xfId="1305" hidden="1" xr:uid="{00000000-0005-0000-0000-0000400D0000}"/>
    <cellStyle name="20% - Accent6 4 2 3 2" xfId="1478" hidden="1" xr:uid="{00000000-0005-0000-0000-0000410D0000}"/>
    <cellStyle name="20% - Accent6 4 2 3 2" xfId="1871" hidden="1" xr:uid="{00000000-0005-0000-0000-0000420D0000}"/>
    <cellStyle name="20% - Accent6 4 2 3 2" xfId="2019" hidden="1" xr:uid="{00000000-0005-0000-0000-0000430D0000}"/>
    <cellStyle name="20% - Accent6 4 2 3 2" xfId="2357" hidden="1" xr:uid="{00000000-0005-0000-0000-0000440D0000}"/>
    <cellStyle name="20% - Accent6 4 2 3 2" xfId="2694" hidden="1" xr:uid="{00000000-0005-0000-0000-0000450D0000}"/>
    <cellStyle name="20% - Accent6 4 2 3 2" xfId="3259" hidden="1" xr:uid="{00000000-0005-0000-0000-0000460D0000}"/>
    <cellStyle name="20% - Accent6 4 2 3 2" xfId="3374" hidden="1" xr:uid="{00000000-0005-0000-0000-0000470D0000}"/>
    <cellStyle name="20% - Accent6 4 2 3 2" xfId="4097" hidden="1" xr:uid="{00000000-0005-0000-0000-0000480D0000}"/>
    <cellStyle name="20% - Accent6 4 2 3 2" xfId="4270" hidden="1" xr:uid="{00000000-0005-0000-0000-0000490D0000}"/>
    <cellStyle name="20% - Accent6 4 2 3 2" xfId="4663" hidden="1" xr:uid="{00000000-0005-0000-0000-00004A0D0000}"/>
    <cellStyle name="20% - Accent6 4 2 3 2" xfId="4811" hidden="1" xr:uid="{00000000-0005-0000-0000-00004B0D0000}"/>
    <cellStyle name="20% - Accent6 4 2 3 2" xfId="5149" hidden="1" xr:uid="{00000000-0005-0000-0000-00004C0D0000}"/>
    <cellStyle name="20% - Accent6 4 2 3 2" xfId="5486" hidden="1" xr:uid="{00000000-0005-0000-0000-00004D0D0000}"/>
    <cellStyle name="20% - Accent6 4 2 3 2" xfId="6051" hidden="1" xr:uid="{00000000-0005-0000-0000-00004E0D0000}"/>
    <cellStyle name="20% - Accent6 4 2 3 2" xfId="6166" hidden="1" xr:uid="{00000000-0005-0000-0000-00004F0D0000}"/>
    <cellStyle name="20% - Accent6 4 2 3 2" xfId="6889" hidden="1" xr:uid="{00000000-0005-0000-0000-0000500D0000}"/>
    <cellStyle name="20% - Accent6 4 2 3 2" xfId="7062" hidden="1" xr:uid="{00000000-0005-0000-0000-0000510D0000}"/>
    <cellStyle name="20% - Accent6 4 2 3 2" xfId="7455" hidden="1" xr:uid="{00000000-0005-0000-0000-0000520D0000}"/>
    <cellStyle name="20% - Accent6 4 2 3 2" xfId="7603" hidden="1" xr:uid="{00000000-0005-0000-0000-0000530D0000}"/>
    <cellStyle name="20% - Accent6 4 2 3 2" xfId="7941" hidden="1" xr:uid="{00000000-0005-0000-0000-0000540D0000}"/>
    <cellStyle name="20% - Accent6 4 2 3 2" xfId="8278" hidden="1" xr:uid="{00000000-0005-0000-0000-0000550D0000}"/>
    <cellStyle name="20% - Accent6 4 2 4 2" xfId="429" hidden="1" xr:uid="{00000000-0005-0000-0000-0000560D0000}"/>
    <cellStyle name="20% - Accent6 4 2 4 2" xfId="544" hidden="1" xr:uid="{00000000-0005-0000-0000-0000570D0000}"/>
    <cellStyle name="20% - Accent6 4 2 4 2" xfId="1267" hidden="1" xr:uid="{00000000-0005-0000-0000-0000580D0000}"/>
    <cellStyle name="20% - Accent6 4 2 4 2" xfId="1440" hidden="1" xr:uid="{00000000-0005-0000-0000-0000590D0000}"/>
    <cellStyle name="20% - Accent6 4 2 4 2" xfId="1833" hidden="1" xr:uid="{00000000-0005-0000-0000-00005A0D0000}"/>
    <cellStyle name="20% - Accent6 4 2 4 2" xfId="1981" hidden="1" xr:uid="{00000000-0005-0000-0000-00005B0D0000}"/>
    <cellStyle name="20% - Accent6 4 2 4 2" xfId="2319" hidden="1" xr:uid="{00000000-0005-0000-0000-00005C0D0000}"/>
    <cellStyle name="20% - Accent6 4 2 4 2" xfId="2656" hidden="1" xr:uid="{00000000-0005-0000-0000-00005D0D0000}"/>
    <cellStyle name="20% - Accent6 4 2 4 2" xfId="3221" hidden="1" xr:uid="{00000000-0005-0000-0000-00005E0D0000}"/>
    <cellStyle name="20% - Accent6 4 2 4 2" xfId="3336" hidden="1" xr:uid="{00000000-0005-0000-0000-00005F0D0000}"/>
    <cellStyle name="20% - Accent6 4 2 4 2" xfId="4059" hidden="1" xr:uid="{00000000-0005-0000-0000-0000600D0000}"/>
    <cellStyle name="20% - Accent6 4 2 4 2" xfId="4232" hidden="1" xr:uid="{00000000-0005-0000-0000-0000610D0000}"/>
    <cellStyle name="20% - Accent6 4 2 4 2" xfId="4625" hidden="1" xr:uid="{00000000-0005-0000-0000-0000620D0000}"/>
    <cellStyle name="20% - Accent6 4 2 4 2" xfId="4773" hidden="1" xr:uid="{00000000-0005-0000-0000-0000630D0000}"/>
    <cellStyle name="20% - Accent6 4 2 4 2" xfId="5111" hidden="1" xr:uid="{00000000-0005-0000-0000-0000640D0000}"/>
    <cellStyle name="20% - Accent6 4 2 4 2" xfId="5448" hidden="1" xr:uid="{00000000-0005-0000-0000-0000650D0000}"/>
    <cellStyle name="20% - Accent6 4 2 4 2" xfId="6013" hidden="1" xr:uid="{00000000-0005-0000-0000-0000660D0000}"/>
    <cellStyle name="20% - Accent6 4 2 4 2" xfId="6128" hidden="1" xr:uid="{00000000-0005-0000-0000-0000670D0000}"/>
    <cellStyle name="20% - Accent6 4 2 4 2" xfId="6851" hidden="1" xr:uid="{00000000-0005-0000-0000-0000680D0000}"/>
    <cellStyle name="20% - Accent6 4 2 4 2" xfId="7024" hidden="1" xr:uid="{00000000-0005-0000-0000-0000690D0000}"/>
    <cellStyle name="20% - Accent6 4 2 4 2" xfId="7417" hidden="1" xr:uid="{00000000-0005-0000-0000-00006A0D0000}"/>
    <cellStyle name="20% - Accent6 4 2 4 2" xfId="7565" hidden="1" xr:uid="{00000000-0005-0000-0000-00006B0D0000}"/>
    <cellStyle name="20% - Accent6 4 2 4 2" xfId="7903" hidden="1" xr:uid="{00000000-0005-0000-0000-00006C0D0000}"/>
    <cellStyle name="20% - Accent6 4 2 4 2" xfId="8240" hidden="1" xr:uid="{00000000-0005-0000-0000-00006D0D0000}"/>
    <cellStyle name="20% - Accent6 4 3 3 2" xfId="428" hidden="1" xr:uid="{00000000-0005-0000-0000-00006E0D0000}"/>
    <cellStyle name="20% - Accent6 4 3 3 2" xfId="543" hidden="1" xr:uid="{00000000-0005-0000-0000-00006F0D0000}"/>
    <cellStyle name="20% - Accent6 4 3 3 2" xfId="1266" hidden="1" xr:uid="{00000000-0005-0000-0000-0000700D0000}"/>
    <cellStyle name="20% - Accent6 4 3 3 2" xfId="1439" hidden="1" xr:uid="{00000000-0005-0000-0000-0000710D0000}"/>
    <cellStyle name="20% - Accent6 4 3 3 2" xfId="1832" hidden="1" xr:uid="{00000000-0005-0000-0000-0000720D0000}"/>
    <cellStyle name="20% - Accent6 4 3 3 2" xfId="1980" hidden="1" xr:uid="{00000000-0005-0000-0000-0000730D0000}"/>
    <cellStyle name="20% - Accent6 4 3 3 2" xfId="2318" hidden="1" xr:uid="{00000000-0005-0000-0000-0000740D0000}"/>
    <cellStyle name="20% - Accent6 4 3 3 2" xfId="2655" hidden="1" xr:uid="{00000000-0005-0000-0000-0000750D0000}"/>
    <cellStyle name="20% - Accent6 4 3 3 2" xfId="3220" hidden="1" xr:uid="{00000000-0005-0000-0000-0000760D0000}"/>
    <cellStyle name="20% - Accent6 4 3 3 2" xfId="3335" hidden="1" xr:uid="{00000000-0005-0000-0000-0000770D0000}"/>
    <cellStyle name="20% - Accent6 4 3 3 2" xfId="4058" hidden="1" xr:uid="{00000000-0005-0000-0000-0000780D0000}"/>
    <cellStyle name="20% - Accent6 4 3 3 2" xfId="4231" hidden="1" xr:uid="{00000000-0005-0000-0000-0000790D0000}"/>
    <cellStyle name="20% - Accent6 4 3 3 2" xfId="4624" hidden="1" xr:uid="{00000000-0005-0000-0000-00007A0D0000}"/>
    <cellStyle name="20% - Accent6 4 3 3 2" xfId="4772" hidden="1" xr:uid="{00000000-0005-0000-0000-00007B0D0000}"/>
    <cellStyle name="20% - Accent6 4 3 3 2" xfId="5110" hidden="1" xr:uid="{00000000-0005-0000-0000-00007C0D0000}"/>
    <cellStyle name="20% - Accent6 4 3 3 2" xfId="5447" hidden="1" xr:uid="{00000000-0005-0000-0000-00007D0D0000}"/>
    <cellStyle name="20% - Accent6 4 3 3 2" xfId="6012" hidden="1" xr:uid="{00000000-0005-0000-0000-00007E0D0000}"/>
    <cellStyle name="20% - Accent6 4 3 3 2" xfId="6127" hidden="1" xr:uid="{00000000-0005-0000-0000-00007F0D0000}"/>
    <cellStyle name="20% - Accent6 4 3 3 2" xfId="6850" hidden="1" xr:uid="{00000000-0005-0000-0000-0000800D0000}"/>
    <cellStyle name="20% - Accent6 4 3 3 2" xfId="7023" hidden="1" xr:uid="{00000000-0005-0000-0000-0000810D0000}"/>
    <cellStyle name="20% - Accent6 4 3 3 2" xfId="7416" hidden="1" xr:uid="{00000000-0005-0000-0000-0000820D0000}"/>
    <cellStyle name="20% - Accent6 4 3 3 2" xfId="7564" hidden="1" xr:uid="{00000000-0005-0000-0000-0000830D0000}"/>
    <cellStyle name="20% - Accent6 4 3 3 2" xfId="7902" hidden="1" xr:uid="{00000000-0005-0000-0000-0000840D0000}"/>
    <cellStyle name="20% - Accent6 4 3 3 2" xfId="8239" hidden="1" xr:uid="{00000000-0005-0000-0000-0000850D0000}"/>
    <cellStyle name="20% - Accent6 5 2" xfId="405" hidden="1" xr:uid="{00000000-0005-0000-0000-0000860D0000}"/>
    <cellStyle name="20% - Accent6 5 2" xfId="520" hidden="1" xr:uid="{00000000-0005-0000-0000-0000870D0000}"/>
    <cellStyle name="20% - Accent6 5 2" xfId="1243" hidden="1" xr:uid="{00000000-0005-0000-0000-0000880D0000}"/>
    <cellStyle name="20% - Accent6 5 2" xfId="1416" hidden="1" xr:uid="{00000000-0005-0000-0000-0000890D0000}"/>
    <cellStyle name="20% - Accent6 5 2" xfId="1809" hidden="1" xr:uid="{00000000-0005-0000-0000-00008A0D0000}"/>
    <cellStyle name="20% - Accent6 5 2" xfId="1957" hidden="1" xr:uid="{00000000-0005-0000-0000-00008B0D0000}"/>
    <cellStyle name="20% - Accent6 5 2" xfId="2295" hidden="1" xr:uid="{00000000-0005-0000-0000-00008C0D0000}"/>
    <cellStyle name="20% - Accent6 5 2" xfId="2632" hidden="1" xr:uid="{00000000-0005-0000-0000-00008D0D0000}"/>
    <cellStyle name="20% - Accent6 5 2" xfId="3197" hidden="1" xr:uid="{00000000-0005-0000-0000-00008E0D0000}"/>
    <cellStyle name="20% - Accent6 5 2" xfId="3312" hidden="1" xr:uid="{00000000-0005-0000-0000-00008F0D0000}"/>
    <cellStyle name="20% - Accent6 5 2" xfId="4035" hidden="1" xr:uid="{00000000-0005-0000-0000-0000900D0000}"/>
    <cellStyle name="20% - Accent6 5 2" xfId="4208" hidden="1" xr:uid="{00000000-0005-0000-0000-0000910D0000}"/>
    <cellStyle name="20% - Accent6 5 2" xfId="4601" hidden="1" xr:uid="{00000000-0005-0000-0000-0000920D0000}"/>
    <cellStyle name="20% - Accent6 5 2" xfId="4749" hidden="1" xr:uid="{00000000-0005-0000-0000-0000930D0000}"/>
    <cellStyle name="20% - Accent6 5 2" xfId="5087" hidden="1" xr:uid="{00000000-0005-0000-0000-0000940D0000}"/>
    <cellStyle name="20% - Accent6 5 2" xfId="5424" hidden="1" xr:uid="{00000000-0005-0000-0000-0000950D0000}"/>
    <cellStyle name="20% - Accent6 5 2" xfId="5989" hidden="1" xr:uid="{00000000-0005-0000-0000-0000960D0000}"/>
    <cellStyle name="20% - Accent6 5 2" xfId="6104" hidden="1" xr:uid="{00000000-0005-0000-0000-0000970D0000}"/>
    <cellStyle name="20% - Accent6 5 2" xfId="6827" hidden="1" xr:uid="{00000000-0005-0000-0000-0000980D0000}"/>
    <cellStyle name="20% - Accent6 5 2" xfId="7000" hidden="1" xr:uid="{00000000-0005-0000-0000-0000990D0000}"/>
    <cellStyle name="20% - Accent6 5 2" xfId="7393" hidden="1" xr:uid="{00000000-0005-0000-0000-00009A0D0000}"/>
    <cellStyle name="20% - Accent6 5 2" xfId="7541" hidden="1" xr:uid="{00000000-0005-0000-0000-00009B0D0000}"/>
    <cellStyle name="20% - Accent6 5 2" xfId="7879" hidden="1" xr:uid="{00000000-0005-0000-0000-00009C0D0000}"/>
    <cellStyle name="20% - Accent6 5 2" xfId="8216" hidden="1" xr:uid="{00000000-0005-0000-0000-00009D0D0000}"/>
    <cellStyle name="20% - Accent6 7" xfId="83" hidden="1" xr:uid="{00000000-0005-0000-0000-00009E0D0000}"/>
    <cellStyle name="20% - Accent6 7" xfId="166" hidden="1" xr:uid="{00000000-0005-0000-0000-00009F0D0000}"/>
    <cellStyle name="20% - Accent6 7" xfId="243" hidden="1" xr:uid="{00000000-0005-0000-0000-0000A00D0000}"/>
    <cellStyle name="20% - Accent6 7" xfId="321" hidden="1" xr:uid="{00000000-0005-0000-0000-0000A10D0000}"/>
    <cellStyle name="20% - Accent6 7" xfId="905" hidden="1" xr:uid="{00000000-0005-0000-0000-0000A20D0000}"/>
    <cellStyle name="20% - Accent6 7" xfId="982" hidden="1" xr:uid="{00000000-0005-0000-0000-0000A30D0000}"/>
    <cellStyle name="20% - Accent6 7" xfId="1061" hidden="1" xr:uid="{00000000-0005-0000-0000-0000A40D0000}"/>
    <cellStyle name="20% - Accent6 7" xfId="1195" hidden="1" xr:uid="{00000000-0005-0000-0000-0000A50D0000}"/>
    <cellStyle name="20% - Accent6 7" xfId="1146" hidden="1" xr:uid="{00000000-0005-0000-0000-0000A60D0000}"/>
    <cellStyle name="20% - Accent6 7" xfId="858" hidden="1" xr:uid="{00000000-0005-0000-0000-0000A70D0000}"/>
    <cellStyle name="20% - Accent6 7" xfId="621" hidden="1" xr:uid="{00000000-0005-0000-0000-0000A80D0000}"/>
    <cellStyle name="20% - Accent6 7" xfId="1577" hidden="1" xr:uid="{00000000-0005-0000-0000-0000A90D0000}"/>
    <cellStyle name="20% - Accent6 7" xfId="1655" hidden="1" xr:uid="{00000000-0005-0000-0000-0000AA0D0000}"/>
    <cellStyle name="20% - Accent6 7" xfId="1766" hidden="1" xr:uid="{00000000-0005-0000-0000-0000AB0D0000}"/>
    <cellStyle name="20% - Accent6 7" xfId="1734" hidden="1" xr:uid="{00000000-0005-0000-0000-0000AC0D0000}"/>
    <cellStyle name="20% - Accent6 7" xfId="1122" hidden="1" xr:uid="{00000000-0005-0000-0000-0000AD0D0000}"/>
    <cellStyle name="20% - Accent6 7" xfId="673" hidden="1" xr:uid="{00000000-0005-0000-0000-0000AE0D0000}"/>
    <cellStyle name="20% - Accent6 7" xfId="2109" hidden="1" xr:uid="{00000000-0005-0000-0000-0000AF0D0000}"/>
    <cellStyle name="20% - Accent6 7" xfId="2187" hidden="1" xr:uid="{00000000-0005-0000-0000-0000B00D0000}"/>
    <cellStyle name="20% - Accent6 7" xfId="1719" hidden="1" xr:uid="{00000000-0005-0000-0000-0000B10D0000}"/>
    <cellStyle name="20% - Accent6 7" xfId="2446" hidden="1" xr:uid="{00000000-0005-0000-0000-0000B20D0000}"/>
    <cellStyle name="20% - Accent6 7" xfId="2524" hidden="1" xr:uid="{00000000-0005-0000-0000-0000B30D0000}"/>
    <cellStyle name="20% - Accent6 7" xfId="1714" hidden="1" xr:uid="{00000000-0005-0000-0000-0000B40D0000}"/>
    <cellStyle name="20% - Accent6 7" xfId="2783" hidden="1" xr:uid="{00000000-0005-0000-0000-0000B50D0000}"/>
    <cellStyle name="20% - Accent6 7" xfId="2875" hidden="1" xr:uid="{00000000-0005-0000-0000-0000B60D0000}"/>
    <cellStyle name="20% - Accent6 7" xfId="2958" hidden="1" xr:uid="{00000000-0005-0000-0000-0000B70D0000}"/>
    <cellStyle name="20% - Accent6 7" xfId="3035" hidden="1" xr:uid="{00000000-0005-0000-0000-0000B80D0000}"/>
    <cellStyle name="20% - Accent6 7" xfId="3113" hidden="1" xr:uid="{00000000-0005-0000-0000-0000B90D0000}"/>
    <cellStyle name="20% - Accent6 7" xfId="3697" hidden="1" xr:uid="{00000000-0005-0000-0000-0000BA0D0000}"/>
    <cellStyle name="20% - Accent6 7" xfId="3774" hidden="1" xr:uid="{00000000-0005-0000-0000-0000BB0D0000}"/>
    <cellStyle name="20% - Accent6 7" xfId="3853" hidden="1" xr:uid="{00000000-0005-0000-0000-0000BC0D0000}"/>
    <cellStyle name="20% - Accent6 7" xfId="3987" hidden="1" xr:uid="{00000000-0005-0000-0000-0000BD0D0000}"/>
    <cellStyle name="20% - Accent6 7" xfId="3938" hidden="1" xr:uid="{00000000-0005-0000-0000-0000BE0D0000}"/>
    <cellStyle name="20% - Accent6 7" xfId="3650" hidden="1" xr:uid="{00000000-0005-0000-0000-0000BF0D0000}"/>
    <cellStyle name="20% - Accent6 7" xfId="3413" hidden="1" xr:uid="{00000000-0005-0000-0000-0000C00D0000}"/>
    <cellStyle name="20% - Accent6 7" xfId="4369" hidden="1" xr:uid="{00000000-0005-0000-0000-0000C10D0000}"/>
    <cellStyle name="20% - Accent6 7" xfId="4447" hidden="1" xr:uid="{00000000-0005-0000-0000-0000C20D0000}"/>
    <cellStyle name="20% - Accent6 7" xfId="4558" hidden="1" xr:uid="{00000000-0005-0000-0000-0000C30D0000}"/>
    <cellStyle name="20% - Accent6 7" xfId="4526" hidden="1" xr:uid="{00000000-0005-0000-0000-0000C40D0000}"/>
    <cellStyle name="20% - Accent6 7" xfId="3914" hidden="1" xr:uid="{00000000-0005-0000-0000-0000C50D0000}"/>
    <cellStyle name="20% - Accent6 7" xfId="3465" hidden="1" xr:uid="{00000000-0005-0000-0000-0000C60D0000}"/>
    <cellStyle name="20% - Accent6 7" xfId="4901" hidden="1" xr:uid="{00000000-0005-0000-0000-0000C70D0000}"/>
    <cellStyle name="20% - Accent6 7" xfId="4979" hidden="1" xr:uid="{00000000-0005-0000-0000-0000C80D0000}"/>
    <cellStyle name="20% - Accent6 7" xfId="4511" hidden="1" xr:uid="{00000000-0005-0000-0000-0000C90D0000}"/>
    <cellStyle name="20% - Accent6 7" xfId="5238" hidden="1" xr:uid="{00000000-0005-0000-0000-0000CA0D0000}"/>
    <cellStyle name="20% - Accent6 7" xfId="5316" hidden="1" xr:uid="{00000000-0005-0000-0000-0000CB0D0000}"/>
    <cellStyle name="20% - Accent6 7" xfId="4506" hidden="1" xr:uid="{00000000-0005-0000-0000-0000CC0D0000}"/>
    <cellStyle name="20% - Accent6 7" xfId="5575" hidden="1" xr:uid="{00000000-0005-0000-0000-0000CD0D0000}"/>
    <cellStyle name="20% - Accent6 7" xfId="5667" hidden="1" xr:uid="{00000000-0005-0000-0000-0000CE0D0000}"/>
    <cellStyle name="20% - Accent6 7" xfId="5750" hidden="1" xr:uid="{00000000-0005-0000-0000-0000CF0D0000}"/>
    <cellStyle name="20% - Accent6 7" xfId="5827" hidden="1" xr:uid="{00000000-0005-0000-0000-0000D00D0000}"/>
    <cellStyle name="20% - Accent6 7" xfId="5905" hidden="1" xr:uid="{00000000-0005-0000-0000-0000D10D0000}"/>
    <cellStyle name="20% - Accent6 7" xfId="6489" hidden="1" xr:uid="{00000000-0005-0000-0000-0000D20D0000}"/>
    <cellStyle name="20% - Accent6 7" xfId="6566" hidden="1" xr:uid="{00000000-0005-0000-0000-0000D30D0000}"/>
    <cellStyle name="20% - Accent6 7" xfId="6645" hidden="1" xr:uid="{00000000-0005-0000-0000-0000D40D0000}"/>
    <cellStyle name="20% - Accent6 7" xfId="6779" hidden="1" xr:uid="{00000000-0005-0000-0000-0000D50D0000}"/>
    <cellStyle name="20% - Accent6 7" xfId="6730" hidden="1" xr:uid="{00000000-0005-0000-0000-0000D60D0000}"/>
    <cellStyle name="20% - Accent6 7" xfId="6442" hidden="1" xr:uid="{00000000-0005-0000-0000-0000D70D0000}"/>
    <cellStyle name="20% - Accent6 7" xfId="6205" hidden="1" xr:uid="{00000000-0005-0000-0000-0000D80D0000}"/>
    <cellStyle name="20% - Accent6 7" xfId="7161" hidden="1" xr:uid="{00000000-0005-0000-0000-0000D90D0000}"/>
    <cellStyle name="20% - Accent6 7" xfId="7239" hidden="1" xr:uid="{00000000-0005-0000-0000-0000DA0D0000}"/>
    <cellStyle name="20% - Accent6 7" xfId="7350" hidden="1" xr:uid="{00000000-0005-0000-0000-0000DB0D0000}"/>
    <cellStyle name="20% - Accent6 7" xfId="7318" hidden="1" xr:uid="{00000000-0005-0000-0000-0000DC0D0000}"/>
    <cellStyle name="20% - Accent6 7" xfId="6706" hidden="1" xr:uid="{00000000-0005-0000-0000-0000DD0D0000}"/>
    <cellStyle name="20% - Accent6 7" xfId="6257" hidden="1" xr:uid="{00000000-0005-0000-0000-0000DE0D0000}"/>
    <cellStyle name="20% - Accent6 7" xfId="7693" hidden="1" xr:uid="{00000000-0005-0000-0000-0000DF0D0000}"/>
    <cellStyle name="20% - Accent6 7" xfId="7771" hidden="1" xr:uid="{00000000-0005-0000-0000-0000E00D0000}"/>
    <cellStyle name="20% - Accent6 7" xfId="7303" hidden="1" xr:uid="{00000000-0005-0000-0000-0000E10D0000}"/>
    <cellStyle name="20% - Accent6 7" xfId="8030" hidden="1" xr:uid="{00000000-0005-0000-0000-0000E20D0000}"/>
    <cellStyle name="20% - Accent6 7" xfId="8108" hidden="1" xr:uid="{00000000-0005-0000-0000-0000E30D0000}"/>
    <cellStyle name="20% - Accent6 7" xfId="7298" hidden="1" xr:uid="{00000000-0005-0000-0000-0000E40D0000}"/>
    <cellStyle name="20% - Accent6 7" xfId="8367" hidden="1" xr:uid="{00000000-0005-0000-0000-0000E50D0000}"/>
    <cellStyle name="20% - Accent6 8" xfId="98" hidden="1" xr:uid="{00000000-0005-0000-0000-0000E60D0000}"/>
    <cellStyle name="20% - Accent6 8" xfId="158" hidden="1" xr:uid="{00000000-0005-0000-0000-0000E70D0000}"/>
    <cellStyle name="20% - Accent6 8" xfId="236" hidden="1" xr:uid="{00000000-0005-0000-0000-0000E80D0000}"/>
    <cellStyle name="20% - Accent6 8" xfId="314" hidden="1" xr:uid="{00000000-0005-0000-0000-0000E90D0000}"/>
    <cellStyle name="20% - Accent6 8" xfId="896" hidden="1" xr:uid="{00000000-0005-0000-0000-0000EA0D0000}"/>
    <cellStyle name="20% - Accent6 8" xfId="975" hidden="1" xr:uid="{00000000-0005-0000-0000-0000EB0D0000}"/>
    <cellStyle name="20% - Accent6 8" xfId="1054" hidden="1" xr:uid="{00000000-0005-0000-0000-0000EC0D0000}"/>
    <cellStyle name="20% - Accent6 8" xfId="723" hidden="1" xr:uid="{00000000-0005-0000-0000-0000ED0D0000}"/>
    <cellStyle name="20% - Accent6 8" xfId="1127" hidden="1" xr:uid="{00000000-0005-0000-0000-0000EE0D0000}"/>
    <cellStyle name="20% - Accent6 8" xfId="829" hidden="1" xr:uid="{00000000-0005-0000-0000-0000EF0D0000}"/>
    <cellStyle name="20% - Accent6 8" xfId="1504" hidden="1" xr:uid="{00000000-0005-0000-0000-0000F00D0000}"/>
    <cellStyle name="20% - Accent6 8" xfId="1570" hidden="1" xr:uid="{00000000-0005-0000-0000-0000F10D0000}"/>
    <cellStyle name="20% - Accent6 8" xfId="1648" hidden="1" xr:uid="{00000000-0005-0000-0000-0000F20D0000}"/>
    <cellStyle name="20% - Accent6 8" xfId="599" hidden="1" xr:uid="{00000000-0005-0000-0000-0000F30D0000}"/>
    <cellStyle name="20% - Accent6 8" xfId="1718" hidden="1" xr:uid="{00000000-0005-0000-0000-0000F40D0000}"/>
    <cellStyle name="20% - Accent6 8" xfId="1502" hidden="1" xr:uid="{00000000-0005-0000-0000-0000F50D0000}"/>
    <cellStyle name="20% - Accent6 8" xfId="2037" hidden="1" xr:uid="{00000000-0005-0000-0000-0000F60D0000}"/>
    <cellStyle name="20% - Accent6 8" xfId="2102" hidden="1" xr:uid="{00000000-0005-0000-0000-0000F70D0000}"/>
    <cellStyle name="20% - Accent6 8" xfId="2180" hidden="1" xr:uid="{00000000-0005-0000-0000-0000F80D0000}"/>
    <cellStyle name="20% - Accent6 8" xfId="2374" hidden="1" xr:uid="{00000000-0005-0000-0000-0000F90D0000}"/>
    <cellStyle name="20% - Accent6 8" xfId="2439" hidden="1" xr:uid="{00000000-0005-0000-0000-0000FA0D0000}"/>
    <cellStyle name="20% - Accent6 8" xfId="2517" hidden="1" xr:uid="{00000000-0005-0000-0000-0000FB0D0000}"/>
    <cellStyle name="20% - Accent6 8" xfId="2711" hidden="1" xr:uid="{00000000-0005-0000-0000-0000FC0D0000}"/>
    <cellStyle name="20% - Accent6 8" xfId="2776" hidden="1" xr:uid="{00000000-0005-0000-0000-0000FD0D0000}"/>
    <cellStyle name="20% - Accent6 8" xfId="2890" hidden="1" xr:uid="{00000000-0005-0000-0000-0000FE0D0000}"/>
    <cellStyle name="20% - Accent6 8" xfId="2950" hidden="1" xr:uid="{00000000-0005-0000-0000-0000FF0D0000}"/>
    <cellStyle name="20% - Accent6 8" xfId="3028" hidden="1" xr:uid="{00000000-0005-0000-0000-0000000E0000}"/>
    <cellStyle name="20% - Accent6 8" xfId="3106" hidden="1" xr:uid="{00000000-0005-0000-0000-0000010E0000}"/>
    <cellStyle name="20% - Accent6 8" xfId="3688" hidden="1" xr:uid="{00000000-0005-0000-0000-0000020E0000}"/>
    <cellStyle name="20% - Accent6 8" xfId="3767" hidden="1" xr:uid="{00000000-0005-0000-0000-0000030E0000}"/>
    <cellStyle name="20% - Accent6 8" xfId="3846" hidden="1" xr:uid="{00000000-0005-0000-0000-0000040E0000}"/>
    <cellStyle name="20% - Accent6 8" xfId="3515" hidden="1" xr:uid="{00000000-0005-0000-0000-0000050E0000}"/>
    <cellStyle name="20% - Accent6 8" xfId="3919" hidden="1" xr:uid="{00000000-0005-0000-0000-0000060E0000}"/>
    <cellStyle name="20% - Accent6 8" xfId="3621" hidden="1" xr:uid="{00000000-0005-0000-0000-0000070E0000}"/>
    <cellStyle name="20% - Accent6 8" xfId="4296" hidden="1" xr:uid="{00000000-0005-0000-0000-0000080E0000}"/>
    <cellStyle name="20% - Accent6 8" xfId="4362" hidden="1" xr:uid="{00000000-0005-0000-0000-0000090E0000}"/>
    <cellStyle name="20% - Accent6 8" xfId="4440" hidden="1" xr:uid="{00000000-0005-0000-0000-00000A0E0000}"/>
    <cellStyle name="20% - Accent6 8" xfId="3391" hidden="1" xr:uid="{00000000-0005-0000-0000-00000B0E0000}"/>
    <cellStyle name="20% - Accent6 8" xfId="4510" hidden="1" xr:uid="{00000000-0005-0000-0000-00000C0E0000}"/>
    <cellStyle name="20% - Accent6 8" xfId="4294" hidden="1" xr:uid="{00000000-0005-0000-0000-00000D0E0000}"/>
    <cellStyle name="20% - Accent6 8" xfId="4829" hidden="1" xr:uid="{00000000-0005-0000-0000-00000E0E0000}"/>
    <cellStyle name="20% - Accent6 8" xfId="4894" hidden="1" xr:uid="{00000000-0005-0000-0000-00000F0E0000}"/>
    <cellStyle name="20% - Accent6 8" xfId="4972" hidden="1" xr:uid="{00000000-0005-0000-0000-0000100E0000}"/>
    <cellStyle name="20% - Accent6 8" xfId="5166" hidden="1" xr:uid="{00000000-0005-0000-0000-0000110E0000}"/>
    <cellStyle name="20% - Accent6 8" xfId="5231" hidden="1" xr:uid="{00000000-0005-0000-0000-0000120E0000}"/>
    <cellStyle name="20% - Accent6 8" xfId="5309" hidden="1" xr:uid="{00000000-0005-0000-0000-0000130E0000}"/>
    <cellStyle name="20% - Accent6 8" xfId="5503" hidden="1" xr:uid="{00000000-0005-0000-0000-0000140E0000}"/>
    <cellStyle name="20% - Accent6 8" xfId="5568" hidden="1" xr:uid="{00000000-0005-0000-0000-0000150E0000}"/>
    <cellStyle name="20% - Accent6 8" xfId="5682" hidden="1" xr:uid="{00000000-0005-0000-0000-0000160E0000}"/>
    <cellStyle name="20% - Accent6 8" xfId="5742" hidden="1" xr:uid="{00000000-0005-0000-0000-0000170E0000}"/>
    <cellStyle name="20% - Accent6 8" xfId="5820" hidden="1" xr:uid="{00000000-0005-0000-0000-0000180E0000}"/>
    <cellStyle name="20% - Accent6 8" xfId="5898" hidden="1" xr:uid="{00000000-0005-0000-0000-0000190E0000}"/>
    <cellStyle name="20% - Accent6 8" xfId="6480" hidden="1" xr:uid="{00000000-0005-0000-0000-00001A0E0000}"/>
    <cellStyle name="20% - Accent6 8" xfId="6559" hidden="1" xr:uid="{00000000-0005-0000-0000-00001B0E0000}"/>
    <cellStyle name="20% - Accent6 8" xfId="6638" hidden="1" xr:uid="{00000000-0005-0000-0000-00001C0E0000}"/>
    <cellStyle name="20% - Accent6 8" xfId="6307" hidden="1" xr:uid="{00000000-0005-0000-0000-00001D0E0000}"/>
    <cellStyle name="20% - Accent6 8" xfId="6711" hidden="1" xr:uid="{00000000-0005-0000-0000-00001E0E0000}"/>
    <cellStyle name="20% - Accent6 8" xfId="6413" hidden="1" xr:uid="{00000000-0005-0000-0000-00001F0E0000}"/>
    <cellStyle name="20% - Accent6 8" xfId="7088" hidden="1" xr:uid="{00000000-0005-0000-0000-0000200E0000}"/>
    <cellStyle name="20% - Accent6 8" xfId="7154" hidden="1" xr:uid="{00000000-0005-0000-0000-0000210E0000}"/>
    <cellStyle name="20% - Accent6 8" xfId="7232" hidden="1" xr:uid="{00000000-0005-0000-0000-0000220E0000}"/>
    <cellStyle name="20% - Accent6 8" xfId="6183" hidden="1" xr:uid="{00000000-0005-0000-0000-0000230E0000}"/>
    <cellStyle name="20% - Accent6 8" xfId="7302" hidden="1" xr:uid="{00000000-0005-0000-0000-0000240E0000}"/>
    <cellStyle name="20% - Accent6 8" xfId="7086" hidden="1" xr:uid="{00000000-0005-0000-0000-0000250E0000}"/>
    <cellStyle name="20% - Accent6 8" xfId="7621" hidden="1" xr:uid="{00000000-0005-0000-0000-0000260E0000}"/>
    <cellStyle name="20% - Accent6 8" xfId="7686" hidden="1" xr:uid="{00000000-0005-0000-0000-0000270E0000}"/>
    <cellStyle name="20% - Accent6 8" xfId="7764" hidden="1" xr:uid="{00000000-0005-0000-0000-0000280E0000}"/>
    <cellStyle name="20% - Accent6 8" xfId="7958" hidden="1" xr:uid="{00000000-0005-0000-0000-0000290E0000}"/>
    <cellStyle name="20% - Accent6 8" xfId="8023" hidden="1" xr:uid="{00000000-0005-0000-0000-00002A0E0000}"/>
    <cellStyle name="20% - Accent6 8" xfId="8101" hidden="1" xr:uid="{00000000-0005-0000-0000-00002B0E0000}"/>
    <cellStyle name="20% - Accent6 8" xfId="8295" hidden="1" xr:uid="{00000000-0005-0000-0000-00002C0E0000}"/>
    <cellStyle name="20% - Accent6 8" xfId="8360" hidden="1" xr:uid="{00000000-0005-0000-0000-00002D0E0000}"/>
    <cellStyle name="20% - Accent6 9" xfId="111" hidden="1" xr:uid="{00000000-0005-0000-0000-00002E0E0000}"/>
    <cellStyle name="20% - Accent6 9" xfId="185" hidden="1" xr:uid="{00000000-0005-0000-0000-00002F0E0000}"/>
    <cellStyle name="20% - Accent6 9" xfId="261" hidden="1" xr:uid="{00000000-0005-0000-0000-0000300E0000}"/>
    <cellStyle name="20% - Accent6 9" xfId="339" hidden="1" xr:uid="{00000000-0005-0000-0000-0000310E0000}"/>
    <cellStyle name="20% - Accent6 9" xfId="924" hidden="1" xr:uid="{00000000-0005-0000-0000-0000320E0000}"/>
    <cellStyle name="20% - Accent6 9" xfId="1000" hidden="1" xr:uid="{00000000-0005-0000-0000-0000330E0000}"/>
    <cellStyle name="20% - Accent6 9" xfId="1079" hidden="1" xr:uid="{00000000-0005-0000-0000-0000340E0000}"/>
    <cellStyle name="20% - Accent6 9" xfId="1338" hidden="1" xr:uid="{00000000-0005-0000-0000-0000350E0000}"/>
    <cellStyle name="20% - Accent6 9" xfId="872" hidden="1" xr:uid="{00000000-0005-0000-0000-0000360E0000}"/>
    <cellStyle name="20% - Accent6 9" xfId="759" hidden="1" xr:uid="{00000000-0005-0000-0000-0000370E0000}"/>
    <cellStyle name="20% - Accent6 9" xfId="1519" hidden="1" xr:uid="{00000000-0005-0000-0000-0000380E0000}"/>
    <cellStyle name="20% - Accent6 9" xfId="1595" hidden="1" xr:uid="{00000000-0005-0000-0000-0000390E0000}"/>
    <cellStyle name="20% - Accent6 9" xfId="1673" hidden="1" xr:uid="{00000000-0005-0000-0000-00003A0E0000}"/>
    <cellStyle name="20% - Accent6 9" xfId="1897" hidden="1" xr:uid="{00000000-0005-0000-0000-00003B0E0000}"/>
    <cellStyle name="20% - Accent6 9" xfId="1374" hidden="1" xr:uid="{00000000-0005-0000-0000-00003C0E0000}"/>
    <cellStyle name="20% - Accent6 9" xfId="1128" hidden="1" xr:uid="{00000000-0005-0000-0000-00003D0E0000}"/>
    <cellStyle name="20% - Accent6 9" xfId="2051" hidden="1" xr:uid="{00000000-0005-0000-0000-00003E0E0000}"/>
    <cellStyle name="20% - Accent6 9" xfId="2127" hidden="1" xr:uid="{00000000-0005-0000-0000-00003F0E0000}"/>
    <cellStyle name="20% - Accent6 9" xfId="2205" hidden="1" xr:uid="{00000000-0005-0000-0000-0000400E0000}"/>
    <cellStyle name="20% - Accent6 9" xfId="2388" hidden="1" xr:uid="{00000000-0005-0000-0000-0000410E0000}"/>
    <cellStyle name="20% - Accent6 9" xfId="2464" hidden="1" xr:uid="{00000000-0005-0000-0000-0000420E0000}"/>
    <cellStyle name="20% - Accent6 9" xfId="2542" hidden="1" xr:uid="{00000000-0005-0000-0000-0000430E0000}"/>
    <cellStyle name="20% - Accent6 9" xfId="2725" hidden="1" xr:uid="{00000000-0005-0000-0000-0000440E0000}"/>
    <cellStyle name="20% - Accent6 9" xfId="2801" hidden="1" xr:uid="{00000000-0005-0000-0000-0000450E0000}"/>
    <cellStyle name="20% - Accent6 9" xfId="2903" hidden="1" xr:uid="{00000000-0005-0000-0000-0000460E0000}"/>
    <cellStyle name="20% - Accent6 9" xfId="2977" hidden="1" xr:uid="{00000000-0005-0000-0000-0000470E0000}"/>
    <cellStyle name="20% - Accent6 9" xfId="3053" hidden="1" xr:uid="{00000000-0005-0000-0000-0000480E0000}"/>
    <cellStyle name="20% - Accent6 9" xfId="3131" hidden="1" xr:uid="{00000000-0005-0000-0000-0000490E0000}"/>
    <cellStyle name="20% - Accent6 9" xfId="3716" hidden="1" xr:uid="{00000000-0005-0000-0000-00004A0E0000}"/>
    <cellStyle name="20% - Accent6 9" xfId="3792" hidden="1" xr:uid="{00000000-0005-0000-0000-00004B0E0000}"/>
    <cellStyle name="20% - Accent6 9" xfId="3871" hidden="1" xr:uid="{00000000-0005-0000-0000-00004C0E0000}"/>
    <cellStyle name="20% - Accent6 9" xfId="4130" hidden="1" xr:uid="{00000000-0005-0000-0000-00004D0E0000}"/>
    <cellStyle name="20% - Accent6 9" xfId="3664" hidden="1" xr:uid="{00000000-0005-0000-0000-00004E0E0000}"/>
    <cellStyle name="20% - Accent6 9" xfId="3551" hidden="1" xr:uid="{00000000-0005-0000-0000-00004F0E0000}"/>
    <cellStyle name="20% - Accent6 9" xfId="4311" hidden="1" xr:uid="{00000000-0005-0000-0000-0000500E0000}"/>
    <cellStyle name="20% - Accent6 9" xfId="4387" hidden="1" xr:uid="{00000000-0005-0000-0000-0000510E0000}"/>
    <cellStyle name="20% - Accent6 9" xfId="4465" hidden="1" xr:uid="{00000000-0005-0000-0000-0000520E0000}"/>
    <cellStyle name="20% - Accent6 9" xfId="4689" hidden="1" xr:uid="{00000000-0005-0000-0000-0000530E0000}"/>
    <cellStyle name="20% - Accent6 9" xfId="4166" hidden="1" xr:uid="{00000000-0005-0000-0000-0000540E0000}"/>
    <cellStyle name="20% - Accent6 9" xfId="3920" hidden="1" xr:uid="{00000000-0005-0000-0000-0000550E0000}"/>
    <cellStyle name="20% - Accent6 9" xfId="4843" hidden="1" xr:uid="{00000000-0005-0000-0000-0000560E0000}"/>
    <cellStyle name="20% - Accent6 9" xfId="4919" hidden="1" xr:uid="{00000000-0005-0000-0000-0000570E0000}"/>
    <cellStyle name="20% - Accent6 9" xfId="4997" hidden="1" xr:uid="{00000000-0005-0000-0000-0000580E0000}"/>
    <cellStyle name="20% - Accent6 9" xfId="5180" hidden="1" xr:uid="{00000000-0005-0000-0000-0000590E0000}"/>
    <cellStyle name="20% - Accent6 9" xfId="5256" hidden="1" xr:uid="{00000000-0005-0000-0000-00005A0E0000}"/>
    <cellStyle name="20% - Accent6 9" xfId="5334" hidden="1" xr:uid="{00000000-0005-0000-0000-00005B0E0000}"/>
    <cellStyle name="20% - Accent6 9" xfId="5517" hidden="1" xr:uid="{00000000-0005-0000-0000-00005C0E0000}"/>
    <cellStyle name="20% - Accent6 9" xfId="5593" hidden="1" xr:uid="{00000000-0005-0000-0000-00005D0E0000}"/>
    <cellStyle name="20% - Accent6 9" xfId="5695" hidden="1" xr:uid="{00000000-0005-0000-0000-00005E0E0000}"/>
    <cellStyle name="20% - Accent6 9" xfId="5769" hidden="1" xr:uid="{00000000-0005-0000-0000-00005F0E0000}"/>
    <cellStyle name="20% - Accent6 9" xfId="5845" hidden="1" xr:uid="{00000000-0005-0000-0000-0000600E0000}"/>
    <cellStyle name="20% - Accent6 9" xfId="5923" hidden="1" xr:uid="{00000000-0005-0000-0000-0000610E0000}"/>
    <cellStyle name="20% - Accent6 9" xfId="6508" hidden="1" xr:uid="{00000000-0005-0000-0000-0000620E0000}"/>
    <cellStyle name="20% - Accent6 9" xfId="6584" hidden="1" xr:uid="{00000000-0005-0000-0000-0000630E0000}"/>
    <cellStyle name="20% - Accent6 9" xfId="6663" hidden="1" xr:uid="{00000000-0005-0000-0000-0000640E0000}"/>
    <cellStyle name="20% - Accent6 9" xfId="6922" hidden="1" xr:uid="{00000000-0005-0000-0000-0000650E0000}"/>
    <cellStyle name="20% - Accent6 9" xfId="6456" hidden="1" xr:uid="{00000000-0005-0000-0000-0000660E0000}"/>
    <cellStyle name="20% - Accent6 9" xfId="6343" hidden="1" xr:uid="{00000000-0005-0000-0000-0000670E0000}"/>
    <cellStyle name="20% - Accent6 9" xfId="7103" hidden="1" xr:uid="{00000000-0005-0000-0000-0000680E0000}"/>
    <cellStyle name="20% - Accent6 9" xfId="7179" hidden="1" xr:uid="{00000000-0005-0000-0000-0000690E0000}"/>
    <cellStyle name="20% - Accent6 9" xfId="7257" hidden="1" xr:uid="{00000000-0005-0000-0000-00006A0E0000}"/>
    <cellStyle name="20% - Accent6 9" xfId="7481" hidden="1" xr:uid="{00000000-0005-0000-0000-00006B0E0000}"/>
    <cellStyle name="20% - Accent6 9" xfId="6958" hidden="1" xr:uid="{00000000-0005-0000-0000-00006C0E0000}"/>
    <cellStyle name="20% - Accent6 9" xfId="6712" hidden="1" xr:uid="{00000000-0005-0000-0000-00006D0E0000}"/>
    <cellStyle name="20% - Accent6 9" xfId="7635" hidden="1" xr:uid="{00000000-0005-0000-0000-00006E0E0000}"/>
    <cellStyle name="20% - Accent6 9" xfId="7711" hidden="1" xr:uid="{00000000-0005-0000-0000-00006F0E0000}"/>
    <cellStyle name="20% - Accent6 9" xfId="7789" hidden="1" xr:uid="{00000000-0005-0000-0000-0000700E0000}"/>
    <cellStyle name="20% - Accent6 9" xfId="7972" hidden="1" xr:uid="{00000000-0005-0000-0000-0000710E0000}"/>
    <cellStyle name="20% - Accent6 9" xfId="8048" hidden="1" xr:uid="{00000000-0005-0000-0000-0000720E0000}"/>
    <cellStyle name="20% - Accent6 9" xfId="8126" hidden="1" xr:uid="{00000000-0005-0000-0000-0000730E0000}"/>
    <cellStyle name="20% - Accent6 9" xfId="8309" hidden="1" xr:uid="{00000000-0005-0000-0000-0000740E0000}"/>
    <cellStyle name="20% - Accent6 9" xfId="8385" hidden="1" xr:uid="{00000000-0005-0000-0000-0000750E0000}"/>
    <cellStyle name="40% - Accent1" xfId="24" builtinId="31" hidden="1"/>
    <cellStyle name="40% - Accent1 10" xfId="115" hidden="1" xr:uid="{00000000-0005-0000-0000-0000770E0000}"/>
    <cellStyle name="40% - Accent1 10" xfId="189" hidden="1" xr:uid="{00000000-0005-0000-0000-0000780E0000}"/>
    <cellStyle name="40% - Accent1 10" xfId="265" hidden="1" xr:uid="{00000000-0005-0000-0000-0000790E0000}"/>
    <cellStyle name="40% - Accent1 10" xfId="343" hidden="1" xr:uid="{00000000-0005-0000-0000-00007A0E0000}"/>
    <cellStyle name="40% - Accent1 10" xfId="928" hidden="1" xr:uid="{00000000-0005-0000-0000-00007B0E0000}"/>
    <cellStyle name="40% - Accent1 10" xfId="1004" hidden="1" xr:uid="{00000000-0005-0000-0000-00007C0E0000}"/>
    <cellStyle name="40% - Accent1 10" xfId="1083" hidden="1" xr:uid="{00000000-0005-0000-0000-00007D0E0000}"/>
    <cellStyle name="40% - Accent1 10" xfId="1177" hidden="1" xr:uid="{00000000-0005-0000-0000-00007E0E0000}"/>
    <cellStyle name="40% - Accent1 10" xfId="678" hidden="1" xr:uid="{00000000-0005-0000-0000-00007F0E0000}"/>
    <cellStyle name="40% - Accent1 10" xfId="808" hidden="1" xr:uid="{00000000-0005-0000-0000-0000800E0000}"/>
    <cellStyle name="40% - Accent1 10" xfId="1523" hidden="1" xr:uid="{00000000-0005-0000-0000-0000810E0000}"/>
    <cellStyle name="40% - Accent1 10" xfId="1599" hidden="1" xr:uid="{00000000-0005-0000-0000-0000820E0000}"/>
    <cellStyle name="40% - Accent1 10" xfId="1677" hidden="1" xr:uid="{00000000-0005-0000-0000-0000830E0000}"/>
    <cellStyle name="40% - Accent1 10" xfId="1756" hidden="1" xr:uid="{00000000-0005-0000-0000-0000840E0000}"/>
    <cellStyle name="40% - Accent1 10" xfId="661" hidden="1" xr:uid="{00000000-0005-0000-0000-0000850E0000}"/>
    <cellStyle name="40% - Accent1 10" xfId="1357" hidden="1" xr:uid="{00000000-0005-0000-0000-0000860E0000}"/>
    <cellStyle name="40% - Accent1 10" xfId="2055" hidden="1" xr:uid="{00000000-0005-0000-0000-0000870E0000}"/>
    <cellStyle name="40% - Accent1 10" xfId="2131" hidden="1" xr:uid="{00000000-0005-0000-0000-0000880E0000}"/>
    <cellStyle name="40% - Accent1 10" xfId="2209" hidden="1" xr:uid="{00000000-0005-0000-0000-0000890E0000}"/>
    <cellStyle name="40% - Accent1 10" xfId="2392" hidden="1" xr:uid="{00000000-0005-0000-0000-00008A0E0000}"/>
    <cellStyle name="40% - Accent1 10" xfId="2468" hidden="1" xr:uid="{00000000-0005-0000-0000-00008B0E0000}"/>
    <cellStyle name="40% - Accent1 10" xfId="2546" hidden="1" xr:uid="{00000000-0005-0000-0000-00008C0E0000}"/>
    <cellStyle name="40% - Accent1 10" xfId="2729" hidden="1" xr:uid="{00000000-0005-0000-0000-00008D0E0000}"/>
    <cellStyle name="40% - Accent1 10" xfId="2805" hidden="1" xr:uid="{00000000-0005-0000-0000-00008E0E0000}"/>
    <cellStyle name="40% - Accent1 10" xfId="2907" hidden="1" xr:uid="{00000000-0005-0000-0000-00008F0E0000}"/>
    <cellStyle name="40% - Accent1 10" xfId="2981" hidden="1" xr:uid="{00000000-0005-0000-0000-0000900E0000}"/>
    <cellStyle name="40% - Accent1 10" xfId="3057" hidden="1" xr:uid="{00000000-0005-0000-0000-0000910E0000}"/>
    <cellStyle name="40% - Accent1 10" xfId="3135" hidden="1" xr:uid="{00000000-0005-0000-0000-0000920E0000}"/>
    <cellStyle name="40% - Accent1 10" xfId="3720" hidden="1" xr:uid="{00000000-0005-0000-0000-0000930E0000}"/>
    <cellStyle name="40% - Accent1 10" xfId="3796" hidden="1" xr:uid="{00000000-0005-0000-0000-0000940E0000}"/>
    <cellStyle name="40% - Accent1 10" xfId="3875" hidden="1" xr:uid="{00000000-0005-0000-0000-0000950E0000}"/>
    <cellStyle name="40% - Accent1 10" xfId="3969" hidden="1" xr:uid="{00000000-0005-0000-0000-0000960E0000}"/>
    <cellStyle name="40% - Accent1 10" xfId="3470" hidden="1" xr:uid="{00000000-0005-0000-0000-0000970E0000}"/>
    <cellStyle name="40% - Accent1 10" xfId="3600" hidden="1" xr:uid="{00000000-0005-0000-0000-0000980E0000}"/>
    <cellStyle name="40% - Accent1 10" xfId="4315" hidden="1" xr:uid="{00000000-0005-0000-0000-0000990E0000}"/>
    <cellStyle name="40% - Accent1 10" xfId="4391" hidden="1" xr:uid="{00000000-0005-0000-0000-00009A0E0000}"/>
    <cellStyle name="40% - Accent1 10" xfId="4469" hidden="1" xr:uid="{00000000-0005-0000-0000-00009B0E0000}"/>
    <cellStyle name="40% - Accent1 10" xfId="4548" hidden="1" xr:uid="{00000000-0005-0000-0000-00009C0E0000}"/>
    <cellStyle name="40% - Accent1 10" xfId="3453" hidden="1" xr:uid="{00000000-0005-0000-0000-00009D0E0000}"/>
    <cellStyle name="40% - Accent1 10" xfId="4149" hidden="1" xr:uid="{00000000-0005-0000-0000-00009E0E0000}"/>
    <cellStyle name="40% - Accent1 10" xfId="4847" hidden="1" xr:uid="{00000000-0005-0000-0000-00009F0E0000}"/>
    <cellStyle name="40% - Accent1 10" xfId="4923" hidden="1" xr:uid="{00000000-0005-0000-0000-0000A00E0000}"/>
    <cellStyle name="40% - Accent1 10" xfId="5001" hidden="1" xr:uid="{00000000-0005-0000-0000-0000A10E0000}"/>
    <cellStyle name="40% - Accent1 10" xfId="5184" hidden="1" xr:uid="{00000000-0005-0000-0000-0000A20E0000}"/>
    <cellStyle name="40% - Accent1 10" xfId="5260" hidden="1" xr:uid="{00000000-0005-0000-0000-0000A30E0000}"/>
    <cellStyle name="40% - Accent1 10" xfId="5338" hidden="1" xr:uid="{00000000-0005-0000-0000-0000A40E0000}"/>
    <cellStyle name="40% - Accent1 10" xfId="5521" hidden="1" xr:uid="{00000000-0005-0000-0000-0000A50E0000}"/>
    <cellStyle name="40% - Accent1 10" xfId="5597" hidden="1" xr:uid="{00000000-0005-0000-0000-0000A60E0000}"/>
    <cellStyle name="40% - Accent1 10" xfId="5699" hidden="1" xr:uid="{00000000-0005-0000-0000-0000A70E0000}"/>
    <cellStyle name="40% - Accent1 10" xfId="5773" hidden="1" xr:uid="{00000000-0005-0000-0000-0000A80E0000}"/>
    <cellStyle name="40% - Accent1 10" xfId="5849" hidden="1" xr:uid="{00000000-0005-0000-0000-0000A90E0000}"/>
    <cellStyle name="40% - Accent1 10" xfId="5927" hidden="1" xr:uid="{00000000-0005-0000-0000-0000AA0E0000}"/>
    <cellStyle name="40% - Accent1 10" xfId="6512" hidden="1" xr:uid="{00000000-0005-0000-0000-0000AB0E0000}"/>
    <cellStyle name="40% - Accent1 10" xfId="6588" hidden="1" xr:uid="{00000000-0005-0000-0000-0000AC0E0000}"/>
    <cellStyle name="40% - Accent1 10" xfId="6667" hidden="1" xr:uid="{00000000-0005-0000-0000-0000AD0E0000}"/>
    <cellStyle name="40% - Accent1 10" xfId="6761" hidden="1" xr:uid="{00000000-0005-0000-0000-0000AE0E0000}"/>
    <cellStyle name="40% - Accent1 10" xfId="6262" hidden="1" xr:uid="{00000000-0005-0000-0000-0000AF0E0000}"/>
    <cellStyle name="40% - Accent1 10" xfId="6392" hidden="1" xr:uid="{00000000-0005-0000-0000-0000B00E0000}"/>
    <cellStyle name="40% - Accent1 10" xfId="7107" hidden="1" xr:uid="{00000000-0005-0000-0000-0000B10E0000}"/>
    <cellStyle name="40% - Accent1 10" xfId="7183" hidden="1" xr:uid="{00000000-0005-0000-0000-0000B20E0000}"/>
    <cellStyle name="40% - Accent1 10" xfId="7261" hidden="1" xr:uid="{00000000-0005-0000-0000-0000B30E0000}"/>
    <cellStyle name="40% - Accent1 10" xfId="7340" hidden="1" xr:uid="{00000000-0005-0000-0000-0000B40E0000}"/>
    <cellStyle name="40% - Accent1 10" xfId="6245" hidden="1" xr:uid="{00000000-0005-0000-0000-0000B50E0000}"/>
    <cellStyle name="40% - Accent1 10" xfId="6941" hidden="1" xr:uid="{00000000-0005-0000-0000-0000B60E0000}"/>
    <cellStyle name="40% - Accent1 10" xfId="7639" hidden="1" xr:uid="{00000000-0005-0000-0000-0000B70E0000}"/>
    <cellStyle name="40% - Accent1 10" xfId="7715" hidden="1" xr:uid="{00000000-0005-0000-0000-0000B80E0000}"/>
    <cellStyle name="40% - Accent1 10" xfId="7793" hidden="1" xr:uid="{00000000-0005-0000-0000-0000B90E0000}"/>
    <cellStyle name="40% - Accent1 10" xfId="7976" hidden="1" xr:uid="{00000000-0005-0000-0000-0000BA0E0000}"/>
    <cellStyle name="40% - Accent1 10" xfId="8052" hidden="1" xr:uid="{00000000-0005-0000-0000-0000BB0E0000}"/>
    <cellStyle name="40% - Accent1 10" xfId="8130" hidden="1" xr:uid="{00000000-0005-0000-0000-0000BC0E0000}"/>
    <cellStyle name="40% - Accent1 10" xfId="8313" hidden="1" xr:uid="{00000000-0005-0000-0000-0000BD0E0000}"/>
    <cellStyle name="40% - Accent1 10" xfId="8389" hidden="1" xr:uid="{00000000-0005-0000-0000-0000BE0E0000}"/>
    <cellStyle name="40% - Accent1 11" xfId="128" hidden="1" xr:uid="{00000000-0005-0000-0000-0000BF0E0000}"/>
    <cellStyle name="40% - Accent1 11" xfId="202" hidden="1" xr:uid="{00000000-0005-0000-0000-0000C00E0000}"/>
    <cellStyle name="40% - Accent1 11" xfId="278" hidden="1" xr:uid="{00000000-0005-0000-0000-0000C10E0000}"/>
    <cellStyle name="40% - Accent1 11" xfId="356" hidden="1" xr:uid="{00000000-0005-0000-0000-0000C20E0000}"/>
    <cellStyle name="40% - Accent1 11" xfId="941" hidden="1" xr:uid="{00000000-0005-0000-0000-0000C30E0000}"/>
    <cellStyle name="40% - Accent1 11" xfId="1017" hidden="1" xr:uid="{00000000-0005-0000-0000-0000C40E0000}"/>
    <cellStyle name="40% - Accent1 11" xfId="1096" hidden="1" xr:uid="{00000000-0005-0000-0000-0000C50E0000}"/>
    <cellStyle name="40% - Accent1 11" xfId="1123" hidden="1" xr:uid="{00000000-0005-0000-0000-0000C60E0000}"/>
    <cellStyle name="40% - Accent1 11" xfId="667" hidden="1" xr:uid="{00000000-0005-0000-0000-0000C70E0000}"/>
    <cellStyle name="40% - Accent1 11" xfId="844" hidden="1" xr:uid="{00000000-0005-0000-0000-0000C80E0000}"/>
    <cellStyle name="40% - Accent1 11" xfId="1536" hidden="1" xr:uid="{00000000-0005-0000-0000-0000C90E0000}"/>
    <cellStyle name="40% - Accent1 11" xfId="1612" hidden="1" xr:uid="{00000000-0005-0000-0000-0000CA0E0000}"/>
    <cellStyle name="40% - Accent1 11" xfId="1690" hidden="1" xr:uid="{00000000-0005-0000-0000-0000CB0E0000}"/>
    <cellStyle name="40% - Accent1 11" xfId="1715" hidden="1" xr:uid="{00000000-0005-0000-0000-0000CC0E0000}"/>
    <cellStyle name="40% - Accent1 11" xfId="598" hidden="1" xr:uid="{00000000-0005-0000-0000-0000CD0E0000}"/>
    <cellStyle name="40% - Accent1 11" xfId="762" hidden="1" xr:uid="{00000000-0005-0000-0000-0000CE0E0000}"/>
    <cellStyle name="40% - Accent1 11" xfId="2068" hidden="1" xr:uid="{00000000-0005-0000-0000-0000CF0E0000}"/>
    <cellStyle name="40% - Accent1 11" xfId="2144" hidden="1" xr:uid="{00000000-0005-0000-0000-0000D00E0000}"/>
    <cellStyle name="40% - Accent1 11" xfId="2222" hidden="1" xr:uid="{00000000-0005-0000-0000-0000D10E0000}"/>
    <cellStyle name="40% - Accent1 11" xfId="2405" hidden="1" xr:uid="{00000000-0005-0000-0000-0000D20E0000}"/>
    <cellStyle name="40% - Accent1 11" xfId="2481" hidden="1" xr:uid="{00000000-0005-0000-0000-0000D30E0000}"/>
    <cellStyle name="40% - Accent1 11" xfId="2559" hidden="1" xr:uid="{00000000-0005-0000-0000-0000D40E0000}"/>
    <cellStyle name="40% - Accent1 11" xfId="2742" hidden="1" xr:uid="{00000000-0005-0000-0000-0000D50E0000}"/>
    <cellStyle name="40% - Accent1 11" xfId="2818" hidden="1" xr:uid="{00000000-0005-0000-0000-0000D60E0000}"/>
    <cellStyle name="40% - Accent1 11" xfId="2920" hidden="1" xr:uid="{00000000-0005-0000-0000-0000D70E0000}"/>
    <cellStyle name="40% - Accent1 11" xfId="2994" hidden="1" xr:uid="{00000000-0005-0000-0000-0000D80E0000}"/>
    <cellStyle name="40% - Accent1 11" xfId="3070" hidden="1" xr:uid="{00000000-0005-0000-0000-0000D90E0000}"/>
    <cellStyle name="40% - Accent1 11" xfId="3148" hidden="1" xr:uid="{00000000-0005-0000-0000-0000DA0E0000}"/>
    <cellStyle name="40% - Accent1 11" xfId="3733" hidden="1" xr:uid="{00000000-0005-0000-0000-0000DB0E0000}"/>
    <cellStyle name="40% - Accent1 11" xfId="3809" hidden="1" xr:uid="{00000000-0005-0000-0000-0000DC0E0000}"/>
    <cellStyle name="40% - Accent1 11" xfId="3888" hidden="1" xr:uid="{00000000-0005-0000-0000-0000DD0E0000}"/>
    <cellStyle name="40% - Accent1 11" xfId="3915" hidden="1" xr:uid="{00000000-0005-0000-0000-0000DE0E0000}"/>
    <cellStyle name="40% - Accent1 11" xfId="3459" hidden="1" xr:uid="{00000000-0005-0000-0000-0000DF0E0000}"/>
    <cellStyle name="40% - Accent1 11" xfId="3636" hidden="1" xr:uid="{00000000-0005-0000-0000-0000E00E0000}"/>
    <cellStyle name="40% - Accent1 11" xfId="4328" hidden="1" xr:uid="{00000000-0005-0000-0000-0000E10E0000}"/>
    <cellStyle name="40% - Accent1 11" xfId="4404" hidden="1" xr:uid="{00000000-0005-0000-0000-0000E20E0000}"/>
    <cellStyle name="40% - Accent1 11" xfId="4482" hidden="1" xr:uid="{00000000-0005-0000-0000-0000E30E0000}"/>
    <cellStyle name="40% - Accent1 11" xfId="4507" hidden="1" xr:uid="{00000000-0005-0000-0000-0000E40E0000}"/>
    <cellStyle name="40% - Accent1 11" xfId="3390" hidden="1" xr:uid="{00000000-0005-0000-0000-0000E50E0000}"/>
    <cellStyle name="40% - Accent1 11" xfId="3554" hidden="1" xr:uid="{00000000-0005-0000-0000-0000E60E0000}"/>
    <cellStyle name="40% - Accent1 11" xfId="4860" hidden="1" xr:uid="{00000000-0005-0000-0000-0000E70E0000}"/>
    <cellStyle name="40% - Accent1 11" xfId="4936" hidden="1" xr:uid="{00000000-0005-0000-0000-0000E80E0000}"/>
    <cellStyle name="40% - Accent1 11" xfId="5014" hidden="1" xr:uid="{00000000-0005-0000-0000-0000E90E0000}"/>
    <cellStyle name="40% - Accent1 11" xfId="5197" hidden="1" xr:uid="{00000000-0005-0000-0000-0000EA0E0000}"/>
    <cellStyle name="40% - Accent1 11" xfId="5273" hidden="1" xr:uid="{00000000-0005-0000-0000-0000EB0E0000}"/>
    <cellStyle name="40% - Accent1 11" xfId="5351" hidden="1" xr:uid="{00000000-0005-0000-0000-0000EC0E0000}"/>
    <cellStyle name="40% - Accent1 11" xfId="5534" hidden="1" xr:uid="{00000000-0005-0000-0000-0000ED0E0000}"/>
    <cellStyle name="40% - Accent1 11" xfId="5610" hidden="1" xr:uid="{00000000-0005-0000-0000-0000EE0E0000}"/>
    <cellStyle name="40% - Accent1 11" xfId="5712" hidden="1" xr:uid="{00000000-0005-0000-0000-0000EF0E0000}"/>
    <cellStyle name="40% - Accent1 11" xfId="5786" hidden="1" xr:uid="{00000000-0005-0000-0000-0000F00E0000}"/>
    <cellStyle name="40% - Accent1 11" xfId="5862" hidden="1" xr:uid="{00000000-0005-0000-0000-0000F10E0000}"/>
    <cellStyle name="40% - Accent1 11" xfId="5940" hidden="1" xr:uid="{00000000-0005-0000-0000-0000F20E0000}"/>
    <cellStyle name="40% - Accent1 11" xfId="6525" hidden="1" xr:uid="{00000000-0005-0000-0000-0000F30E0000}"/>
    <cellStyle name="40% - Accent1 11" xfId="6601" hidden="1" xr:uid="{00000000-0005-0000-0000-0000F40E0000}"/>
    <cellStyle name="40% - Accent1 11" xfId="6680" hidden="1" xr:uid="{00000000-0005-0000-0000-0000F50E0000}"/>
    <cellStyle name="40% - Accent1 11" xfId="6707" hidden="1" xr:uid="{00000000-0005-0000-0000-0000F60E0000}"/>
    <cellStyle name="40% - Accent1 11" xfId="6251" hidden="1" xr:uid="{00000000-0005-0000-0000-0000F70E0000}"/>
    <cellStyle name="40% - Accent1 11" xfId="6428" hidden="1" xr:uid="{00000000-0005-0000-0000-0000F80E0000}"/>
    <cellStyle name="40% - Accent1 11" xfId="7120" hidden="1" xr:uid="{00000000-0005-0000-0000-0000F90E0000}"/>
    <cellStyle name="40% - Accent1 11" xfId="7196" hidden="1" xr:uid="{00000000-0005-0000-0000-0000FA0E0000}"/>
    <cellStyle name="40% - Accent1 11" xfId="7274" hidden="1" xr:uid="{00000000-0005-0000-0000-0000FB0E0000}"/>
    <cellStyle name="40% - Accent1 11" xfId="7299" hidden="1" xr:uid="{00000000-0005-0000-0000-0000FC0E0000}"/>
    <cellStyle name="40% - Accent1 11" xfId="6182" hidden="1" xr:uid="{00000000-0005-0000-0000-0000FD0E0000}"/>
    <cellStyle name="40% - Accent1 11" xfId="6346" hidden="1" xr:uid="{00000000-0005-0000-0000-0000FE0E0000}"/>
    <cellStyle name="40% - Accent1 11" xfId="7652" hidden="1" xr:uid="{00000000-0005-0000-0000-0000FF0E0000}"/>
    <cellStyle name="40% - Accent1 11" xfId="7728" hidden="1" xr:uid="{00000000-0005-0000-0000-0000000F0000}"/>
    <cellStyle name="40% - Accent1 11" xfId="7806" hidden="1" xr:uid="{00000000-0005-0000-0000-0000010F0000}"/>
    <cellStyle name="40% - Accent1 11" xfId="7989" hidden="1" xr:uid="{00000000-0005-0000-0000-0000020F0000}"/>
    <cellStyle name="40% - Accent1 11" xfId="8065" hidden="1" xr:uid="{00000000-0005-0000-0000-0000030F0000}"/>
    <cellStyle name="40% - Accent1 11" xfId="8143" hidden="1" xr:uid="{00000000-0005-0000-0000-0000040F0000}"/>
    <cellStyle name="40% - Accent1 11" xfId="8326" hidden="1" xr:uid="{00000000-0005-0000-0000-0000050F0000}"/>
    <cellStyle name="40% - Accent1 11" xfId="8402" hidden="1" xr:uid="{00000000-0005-0000-0000-0000060F0000}"/>
    <cellStyle name="40% - Accent1 12" xfId="141" hidden="1" xr:uid="{00000000-0005-0000-0000-0000070F0000}"/>
    <cellStyle name="40% - Accent1 12" xfId="216" hidden="1" xr:uid="{00000000-0005-0000-0000-0000080F0000}"/>
    <cellStyle name="40% - Accent1 12" xfId="291" hidden="1" xr:uid="{00000000-0005-0000-0000-0000090F0000}"/>
    <cellStyle name="40% - Accent1 12" xfId="369" hidden="1" xr:uid="{00000000-0005-0000-0000-00000A0F0000}"/>
    <cellStyle name="40% - Accent1 12" xfId="955" hidden="1" xr:uid="{00000000-0005-0000-0000-00000B0F0000}"/>
    <cellStyle name="40% - Accent1 12" xfId="1030" hidden="1" xr:uid="{00000000-0005-0000-0000-00000C0F0000}"/>
    <cellStyle name="40% - Accent1 12" xfId="1109" hidden="1" xr:uid="{00000000-0005-0000-0000-00000D0F0000}"/>
    <cellStyle name="40% - Accent1 12" xfId="1170" hidden="1" xr:uid="{00000000-0005-0000-0000-00000E0F0000}"/>
    <cellStyle name="40% - Accent1 12" xfId="782" hidden="1" xr:uid="{00000000-0005-0000-0000-00000F0F0000}"/>
    <cellStyle name="40% - Accent1 12" xfId="742" hidden="1" xr:uid="{00000000-0005-0000-0000-0000100F0000}"/>
    <cellStyle name="40% - Accent1 12" xfId="1550" hidden="1" xr:uid="{00000000-0005-0000-0000-0000110F0000}"/>
    <cellStyle name="40% - Accent1 12" xfId="1625" hidden="1" xr:uid="{00000000-0005-0000-0000-0000120F0000}"/>
    <cellStyle name="40% - Accent1 12" xfId="1703" hidden="1" xr:uid="{00000000-0005-0000-0000-0000130F0000}"/>
    <cellStyle name="40% - Accent1 12" xfId="1751" hidden="1" xr:uid="{00000000-0005-0000-0000-0000140F0000}"/>
    <cellStyle name="40% - Accent1 12" xfId="848" hidden="1" xr:uid="{00000000-0005-0000-0000-0000150F0000}"/>
    <cellStyle name="40% - Accent1 12" xfId="687" hidden="1" xr:uid="{00000000-0005-0000-0000-0000160F0000}"/>
    <cellStyle name="40% - Accent1 12" xfId="2082" hidden="1" xr:uid="{00000000-0005-0000-0000-0000170F0000}"/>
    <cellStyle name="40% - Accent1 12" xfId="2157" hidden="1" xr:uid="{00000000-0005-0000-0000-0000180F0000}"/>
    <cellStyle name="40% - Accent1 12" xfId="2235" hidden="1" xr:uid="{00000000-0005-0000-0000-0000190F0000}"/>
    <cellStyle name="40% - Accent1 12" xfId="2419" hidden="1" xr:uid="{00000000-0005-0000-0000-00001A0F0000}"/>
    <cellStyle name="40% - Accent1 12" xfId="2494" hidden="1" xr:uid="{00000000-0005-0000-0000-00001B0F0000}"/>
    <cellStyle name="40% - Accent1 12" xfId="2572" hidden="1" xr:uid="{00000000-0005-0000-0000-00001C0F0000}"/>
    <cellStyle name="40% - Accent1 12" xfId="2756" hidden="1" xr:uid="{00000000-0005-0000-0000-00001D0F0000}"/>
    <cellStyle name="40% - Accent1 12" xfId="2831" hidden="1" xr:uid="{00000000-0005-0000-0000-00001E0F0000}"/>
    <cellStyle name="40% - Accent1 12" xfId="2933" hidden="1" xr:uid="{00000000-0005-0000-0000-00001F0F0000}"/>
    <cellStyle name="40% - Accent1 12" xfId="3008" hidden="1" xr:uid="{00000000-0005-0000-0000-0000200F0000}"/>
    <cellStyle name="40% - Accent1 12" xfId="3083" hidden="1" xr:uid="{00000000-0005-0000-0000-0000210F0000}"/>
    <cellStyle name="40% - Accent1 12" xfId="3161" hidden="1" xr:uid="{00000000-0005-0000-0000-0000220F0000}"/>
    <cellStyle name="40% - Accent1 12" xfId="3747" hidden="1" xr:uid="{00000000-0005-0000-0000-0000230F0000}"/>
    <cellStyle name="40% - Accent1 12" xfId="3822" hidden="1" xr:uid="{00000000-0005-0000-0000-0000240F0000}"/>
    <cellStyle name="40% - Accent1 12" xfId="3901" hidden="1" xr:uid="{00000000-0005-0000-0000-0000250F0000}"/>
    <cellStyle name="40% - Accent1 12" xfId="3962" hidden="1" xr:uid="{00000000-0005-0000-0000-0000260F0000}"/>
    <cellStyle name="40% - Accent1 12" xfId="3574" hidden="1" xr:uid="{00000000-0005-0000-0000-0000270F0000}"/>
    <cellStyle name="40% - Accent1 12" xfId="3534" hidden="1" xr:uid="{00000000-0005-0000-0000-0000280F0000}"/>
    <cellStyle name="40% - Accent1 12" xfId="4342" hidden="1" xr:uid="{00000000-0005-0000-0000-0000290F0000}"/>
    <cellStyle name="40% - Accent1 12" xfId="4417" hidden="1" xr:uid="{00000000-0005-0000-0000-00002A0F0000}"/>
    <cellStyle name="40% - Accent1 12" xfId="4495" hidden="1" xr:uid="{00000000-0005-0000-0000-00002B0F0000}"/>
    <cellStyle name="40% - Accent1 12" xfId="4543" hidden="1" xr:uid="{00000000-0005-0000-0000-00002C0F0000}"/>
    <cellStyle name="40% - Accent1 12" xfId="3640" hidden="1" xr:uid="{00000000-0005-0000-0000-00002D0F0000}"/>
    <cellStyle name="40% - Accent1 12" xfId="3479" hidden="1" xr:uid="{00000000-0005-0000-0000-00002E0F0000}"/>
    <cellStyle name="40% - Accent1 12" xfId="4874" hidden="1" xr:uid="{00000000-0005-0000-0000-00002F0F0000}"/>
    <cellStyle name="40% - Accent1 12" xfId="4949" hidden="1" xr:uid="{00000000-0005-0000-0000-0000300F0000}"/>
    <cellStyle name="40% - Accent1 12" xfId="5027" hidden="1" xr:uid="{00000000-0005-0000-0000-0000310F0000}"/>
    <cellStyle name="40% - Accent1 12" xfId="5211" hidden="1" xr:uid="{00000000-0005-0000-0000-0000320F0000}"/>
    <cellStyle name="40% - Accent1 12" xfId="5286" hidden="1" xr:uid="{00000000-0005-0000-0000-0000330F0000}"/>
    <cellStyle name="40% - Accent1 12" xfId="5364" hidden="1" xr:uid="{00000000-0005-0000-0000-0000340F0000}"/>
    <cellStyle name="40% - Accent1 12" xfId="5548" hidden="1" xr:uid="{00000000-0005-0000-0000-0000350F0000}"/>
    <cellStyle name="40% - Accent1 12" xfId="5623" hidden="1" xr:uid="{00000000-0005-0000-0000-0000360F0000}"/>
    <cellStyle name="40% - Accent1 12" xfId="5725" hidden="1" xr:uid="{00000000-0005-0000-0000-0000370F0000}"/>
    <cellStyle name="40% - Accent1 12" xfId="5800" hidden="1" xr:uid="{00000000-0005-0000-0000-0000380F0000}"/>
    <cellStyle name="40% - Accent1 12" xfId="5875" hidden="1" xr:uid="{00000000-0005-0000-0000-0000390F0000}"/>
    <cellStyle name="40% - Accent1 12" xfId="5953" hidden="1" xr:uid="{00000000-0005-0000-0000-00003A0F0000}"/>
    <cellStyle name="40% - Accent1 12" xfId="6539" hidden="1" xr:uid="{00000000-0005-0000-0000-00003B0F0000}"/>
    <cellStyle name="40% - Accent1 12" xfId="6614" hidden="1" xr:uid="{00000000-0005-0000-0000-00003C0F0000}"/>
    <cellStyle name="40% - Accent1 12" xfId="6693" hidden="1" xr:uid="{00000000-0005-0000-0000-00003D0F0000}"/>
    <cellStyle name="40% - Accent1 12" xfId="6754" hidden="1" xr:uid="{00000000-0005-0000-0000-00003E0F0000}"/>
    <cellStyle name="40% - Accent1 12" xfId="6366" hidden="1" xr:uid="{00000000-0005-0000-0000-00003F0F0000}"/>
    <cellStyle name="40% - Accent1 12" xfId="6326" hidden="1" xr:uid="{00000000-0005-0000-0000-0000400F0000}"/>
    <cellStyle name="40% - Accent1 12" xfId="7134" hidden="1" xr:uid="{00000000-0005-0000-0000-0000410F0000}"/>
    <cellStyle name="40% - Accent1 12" xfId="7209" hidden="1" xr:uid="{00000000-0005-0000-0000-0000420F0000}"/>
    <cellStyle name="40% - Accent1 12" xfId="7287" hidden="1" xr:uid="{00000000-0005-0000-0000-0000430F0000}"/>
    <cellStyle name="40% - Accent1 12" xfId="7335" hidden="1" xr:uid="{00000000-0005-0000-0000-0000440F0000}"/>
    <cellStyle name="40% - Accent1 12" xfId="6432" hidden="1" xr:uid="{00000000-0005-0000-0000-0000450F0000}"/>
    <cellStyle name="40% - Accent1 12" xfId="6271" hidden="1" xr:uid="{00000000-0005-0000-0000-0000460F0000}"/>
    <cellStyle name="40% - Accent1 12" xfId="7666" hidden="1" xr:uid="{00000000-0005-0000-0000-0000470F0000}"/>
    <cellStyle name="40% - Accent1 12" xfId="7741" hidden="1" xr:uid="{00000000-0005-0000-0000-0000480F0000}"/>
    <cellStyle name="40% - Accent1 12" xfId="7819" hidden="1" xr:uid="{00000000-0005-0000-0000-0000490F0000}"/>
    <cellStyle name="40% - Accent1 12" xfId="8003" hidden="1" xr:uid="{00000000-0005-0000-0000-00004A0F0000}"/>
    <cellStyle name="40% - Accent1 12" xfId="8078" hidden="1" xr:uid="{00000000-0005-0000-0000-00004B0F0000}"/>
    <cellStyle name="40% - Accent1 12" xfId="8156" hidden="1" xr:uid="{00000000-0005-0000-0000-00004C0F0000}"/>
    <cellStyle name="40% - Accent1 12" xfId="8340" hidden="1" xr:uid="{00000000-0005-0000-0000-00004D0F0000}"/>
    <cellStyle name="40% - Accent1 12" xfId="8415" hidden="1" xr:uid="{00000000-0005-0000-0000-00004E0F0000}"/>
    <cellStyle name="40% - Accent1 13" xfId="382" hidden="1" xr:uid="{00000000-0005-0000-0000-00004F0F0000}"/>
    <cellStyle name="40% - Accent1 13" xfId="497" hidden="1" xr:uid="{00000000-0005-0000-0000-0000500F0000}"/>
    <cellStyle name="40% - Accent1 13" xfId="1220" hidden="1" xr:uid="{00000000-0005-0000-0000-0000510F0000}"/>
    <cellStyle name="40% - Accent1 13" xfId="1393" hidden="1" xr:uid="{00000000-0005-0000-0000-0000520F0000}"/>
    <cellStyle name="40% - Accent1 13" xfId="1786" hidden="1" xr:uid="{00000000-0005-0000-0000-0000530F0000}"/>
    <cellStyle name="40% - Accent1 13" xfId="1934" hidden="1" xr:uid="{00000000-0005-0000-0000-0000540F0000}"/>
    <cellStyle name="40% - Accent1 13" xfId="2272" hidden="1" xr:uid="{00000000-0005-0000-0000-0000550F0000}"/>
    <cellStyle name="40% - Accent1 13" xfId="2609" hidden="1" xr:uid="{00000000-0005-0000-0000-0000560F0000}"/>
    <cellStyle name="40% - Accent1 13" xfId="3174" hidden="1" xr:uid="{00000000-0005-0000-0000-0000570F0000}"/>
    <cellStyle name="40% - Accent1 13" xfId="3289" hidden="1" xr:uid="{00000000-0005-0000-0000-0000580F0000}"/>
    <cellStyle name="40% - Accent1 13" xfId="4012" hidden="1" xr:uid="{00000000-0005-0000-0000-0000590F0000}"/>
    <cellStyle name="40% - Accent1 13" xfId="4185" hidden="1" xr:uid="{00000000-0005-0000-0000-00005A0F0000}"/>
    <cellStyle name="40% - Accent1 13" xfId="4578" hidden="1" xr:uid="{00000000-0005-0000-0000-00005B0F0000}"/>
    <cellStyle name="40% - Accent1 13" xfId="4726" hidden="1" xr:uid="{00000000-0005-0000-0000-00005C0F0000}"/>
    <cellStyle name="40% - Accent1 13" xfId="5064" hidden="1" xr:uid="{00000000-0005-0000-0000-00005D0F0000}"/>
    <cellStyle name="40% - Accent1 13" xfId="5401" hidden="1" xr:uid="{00000000-0005-0000-0000-00005E0F0000}"/>
    <cellStyle name="40% - Accent1 13" xfId="5966" hidden="1" xr:uid="{00000000-0005-0000-0000-00005F0F0000}"/>
    <cellStyle name="40% - Accent1 13" xfId="6081" hidden="1" xr:uid="{00000000-0005-0000-0000-0000600F0000}"/>
    <cellStyle name="40% - Accent1 13" xfId="6804" hidden="1" xr:uid="{00000000-0005-0000-0000-0000610F0000}"/>
    <cellStyle name="40% - Accent1 13" xfId="6977" hidden="1" xr:uid="{00000000-0005-0000-0000-0000620F0000}"/>
    <cellStyle name="40% - Accent1 13" xfId="7370" hidden="1" xr:uid="{00000000-0005-0000-0000-0000630F0000}"/>
    <cellStyle name="40% - Accent1 13" xfId="7518" hidden="1" xr:uid="{00000000-0005-0000-0000-0000640F0000}"/>
    <cellStyle name="40% - Accent1 13" xfId="7856" hidden="1" xr:uid="{00000000-0005-0000-0000-0000650F0000}"/>
    <cellStyle name="40% - Accent1 13" xfId="8193" hidden="1" xr:uid="{00000000-0005-0000-0000-0000660F0000}"/>
    <cellStyle name="40% - Accent1 3 2 3 2" xfId="468" hidden="1" xr:uid="{00000000-0005-0000-0000-0000670F0000}"/>
    <cellStyle name="40% - Accent1 3 2 3 2" xfId="583" hidden="1" xr:uid="{00000000-0005-0000-0000-0000680F0000}"/>
    <cellStyle name="40% - Accent1 3 2 3 2" xfId="1306" hidden="1" xr:uid="{00000000-0005-0000-0000-0000690F0000}"/>
    <cellStyle name="40% - Accent1 3 2 3 2" xfId="1479" hidden="1" xr:uid="{00000000-0005-0000-0000-00006A0F0000}"/>
    <cellStyle name="40% - Accent1 3 2 3 2" xfId="1872" hidden="1" xr:uid="{00000000-0005-0000-0000-00006B0F0000}"/>
    <cellStyle name="40% - Accent1 3 2 3 2" xfId="2020" hidden="1" xr:uid="{00000000-0005-0000-0000-00006C0F0000}"/>
    <cellStyle name="40% - Accent1 3 2 3 2" xfId="2358" hidden="1" xr:uid="{00000000-0005-0000-0000-00006D0F0000}"/>
    <cellStyle name="40% - Accent1 3 2 3 2" xfId="2695" hidden="1" xr:uid="{00000000-0005-0000-0000-00006E0F0000}"/>
    <cellStyle name="40% - Accent1 3 2 3 2" xfId="3260" hidden="1" xr:uid="{00000000-0005-0000-0000-00006F0F0000}"/>
    <cellStyle name="40% - Accent1 3 2 3 2" xfId="3375" hidden="1" xr:uid="{00000000-0005-0000-0000-0000700F0000}"/>
    <cellStyle name="40% - Accent1 3 2 3 2" xfId="4098" hidden="1" xr:uid="{00000000-0005-0000-0000-0000710F0000}"/>
    <cellStyle name="40% - Accent1 3 2 3 2" xfId="4271" hidden="1" xr:uid="{00000000-0005-0000-0000-0000720F0000}"/>
    <cellStyle name="40% - Accent1 3 2 3 2" xfId="4664" hidden="1" xr:uid="{00000000-0005-0000-0000-0000730F0000}"/>
    <cellStyle name="40% - Accent1 3 2 3 2" xfId="4812" hidden="1" xr:uid="{00000000-0005-0000-0000-0000740F0000}"/>
    <cellStyle name="40% - Accent1 3 2 3 2" xfId="5150" hidden="1" xr:uid="{00000000-0005-0000-0000-0000750F0000}"/>
    <cellStyle name="40% - Accent1 3 2 3 2" xfId="5487" hidden="1" xr:uid="{00000000-0005-0000-0000-0000760F0000}"/>
    <cellStyle name="40% - Accent1 3 2 3 2" xfId="6052" hidden="1" xr:uid="{00000000-0005-0000-0000-0000770F0000}"/>
    <cellStyle name="40% - Accent1 3 2 3 2" xfId="6167" hidden="1" xr:uid="{00000000-0005-0000-0000-0000780F0000}"/>
    <cellStyle name="40% - Accent1 3 2 3 2" xfId="6890" hidden="1" xr:uid="{00000000-0005-0000-0000-0000790F0000}"/>
    <cellStyle name="40% - Accent1 3 2 3 2" xfId="7063" hidden="1" xr:uid="{00000000-0005-0000-0000-00007A0F0000}"/>
    <cellStyle name="40% - Accent1 3 2 3 2" xfId="7456" hidden="1" xr:uid="{00000000-0005-0000-0000-00007B0F0000}"/>
    <cellStyle name="40% - Accent1 3 2 3 2" xfId="7604" hidden="1" xr:uid="{00000000-0005-0000-0000-00007C0F0000}"/>
    <cellStyle name="40% - Accent1 3 2 3 2" xfId="7942" hidden="1" xr:uid="{00000000-0005-0000-0000-00007D0F0000}"/>
    <cellStyle name="40% - Accent1 3 2 3 2" xfId="8279" hidden="1" xr:uid="{00000000-0005-0000-0000-00007E0F0000}"/>
    <cellStyle name="40% - Accent1 3 2 4 2" xfId="431" hidden="1" xr:uid="{00000000-0005-0000-0000-00007F0F0000}"/>
    <cellStyle name="40% - Accent1 3 2 4 2" xfId="546" hidden="1" xr:uid="{00000000-0005-0000-0000-0000800F0000}"/>
    <cellStyle name="40% - Accent1 3 2 4 2" xfId="1269" hidden="1" xr:uid="{00000000-0005-0000-0000-0000810F0000}"/>
    <cellStyle name="40% - Accent1 3 2 4 2" xfId="1442" hidden="1" xr:uid="{00000000-0005-0000-0000-0000820F0000}"/>
    <cellStyle name="40% - Accent1 3 2 4 2" xfId="1835" hidden="1" xr:uid="{00000000-0005-0000-0000-0000830F0000}"/>
    <cellStyle name="40% - Accent1 3 2 4 2" xfId="1983" hidden="1" xr:uid="{00000000-0005-0000-0000-0000840F0000}"/>
    <cellStyle name="40% - Accent1 3 2 4 2" xfId="2321" hidden="1" xr:uid="{00000000-0005-0000-0000-0000850F0000}"/>
    <cellStyle name="40% - Accent1 3 2 4 2" xfId="2658" hidden="1" xr:uid="{00000000-0005-0000-0000-0000860F0000}"/>
    <cellStyle name="40% - Accent1 3 2 4 2" xfId="3223" hidden="1" xr:uid="{00000000-0005-0000-0000-0000870F0000}"/>
    <cellStyle name="40% - Accent1 3 2 4 2" xfId="3338" hidden="1" xr:uid="{00000000-0005-0000-0000-0000880F0000}"/>
    <cellStyle name="40% - Accent1 3 2 4 2" xfId="4061" hidden="1" xr:uid="{00000000-0005-0000-0000-0000890F0000}"/>
    <cellStyle name="40% - Accent1 3 2 4 2" xfId="4234" hidden="1" xr:uid="{00000000-0005-0000-0000-00008A0F0000}"/>
    <cellStyle name="40% - Accent1 3 2 4 2" xfId="4627" hidden="1" xr:uid="{00000000-0005-0000-0000-00008B0F0000}"/>
    <cellStyle name="40% - Accent1 3 2 4 2" xfId="4775" hidden="1" xr:uid="{00000000-0005-0000-0000-00008C0F0000}"/>
    <cellStyle name="40% - Accent1 3 2 4 2" xfId="5113" hidden="1" xr:uid="{00000000-0005-0000-0000-00008D0F0000}"/>
    <cellStyle name="40% - Accent1 3 2 4 2" xfId="5450" hidden="1" xr:uid="{00000000-0005-0000-0000-00008E0F0000}"/>
    <cellStyle name="40% - Accent1 3 2 4 2" xfId="6015" hidden="1" xr:uid="{00000000-0005-0000-0000-00008F0F0000}"/>
    <cellStyle name="40% - Accent1 3 2 4 2" xfId="6130" hidden="1" xr:uid="{00000000-0005-0000-0000-0000900F0000}"/>
    <cellStyle name="40% - Accent1 3 2 4 2" xfId="6853" hidden="1" xr:uid="{00000000-0005-0000-0000-0000910F0000}"/>
    <cellStyle name="40% - Accent1 3 2 4 2" xfId="7026" hidden="1" xr:uid="{00000000-0005-0000-0000-0000920F0000}"/>
    <cellStyle name="40% - Accent1 3 2 4 2" xfId="7419" hidden="1" xr:uid="{00000000-0005-0000-0000-0000930F0000}"/>
    <cellStyle name="40% - Accent1 3 2 4 2" xfId="7567" hidden="1" xr:uid="{00000000-0005-0000-0000-0000940F0000}"/>
    <cellStyle name="40% - Accent1 3 2 4 2" xfId="7905" hidden="1" xr:uid="{00000000-0005-0000-0000-0000950F0000}"/>
    <cellStyle name="40% - Accent1 3 2 4 2" xfId="8242" hidden="1" xr:uid="{00000000-0005-0000-0000-0000960F0000}"/>
    <cellStyle name="40% - Accent1 3 3 3 2" xfId="430" hidden="1" xr:uid="{00000000-0005-0000-0000-0000970F0000}"/>
    <cellStyle name="40% - Accent1 3 3 3 2" xfId="545" hidden="1" xr:uid="{00000000-0005-0000-0000-0000980F0000}"/>
    <cellStyle name="40% - Accent1 3 3 3 2" xfId="1268" hidden="1" xr:uid="{00000000-0005-0000-0000-0000990F0000}"/>
    <cellStyle name="40% - Accent1 3 3 3 2" xfId="1441" hidden="1" xr:uid="{00000000-0005-0000-0000-00009A0F0000}"/>
    <cellStyle name="40% - Accent1 3 3 3 2" xfId="1834" hidden="1" xr:uid="{00000000-0005-0000-0000-00009B0F0000}"/>
    <cellStyle name="40% - Accent1 3 3 3 2" xfId="1982" hidden="1" xr:uid="{00000000-0005-0000-0000-00009C0F0000}"/>
    <cellStyle name="40% - Accent1 3 3 3 2" xfId="2320" hidden="1" xr:uid="{00000000-0005-0000-0000-00009D0F0000}"/>
    <cellStyle name="40% - Accent1 3 3 3 2" xfId="2657" hidden="1" xr:uid="{00000000-0005-0000-0000-00009E0F0000}"/>
    <cellStyle name="40% - Accent1 3 3 3 2" xfId="3222" hidden="1" xr:uid="{00000000-0005-0000-0000-00009F0F0000}"/>
    <cellStyle name="40% - Accent1 3 3 3 2" xfId="3337" hidden="1" xr:uid="{00000000-0005-0000-0000-0000A00F0000}"/>
    <cellStyle name="40% - Accent1 3 3 3 2" xfId="4060" hidden="1" xr:uid="{00000000-0005-0000-0000-0000A10F0000}"/>
    <cellStyle name="40% - Accent1 3 3 3 2" xfId="4233" hidden="1" xr:uid="{00000000-0005-0000-0000-0000A20F0000}"/>
    <cellStyle name="40% - Accent1 3 3 3 2" xfId="4626" hidden="1" xr:uid="{00000000-0005-0000-0000-0000A30F0000}"/>
    <cellStyle name="40% - Accent1 3 3 3 2" xfId="4774" hidden="1" xr:uid="{00000000-0005-0000-0000-0000A40F0000}"/>
    <cellStyle name="40% - Accent1 3 3 3 2" xfId="5112" hidden="1" xr:uid="{00000000-0005-0000-0000-0000A50F0000}"/>
    <cellStyle name="40% - Accent1 3 3 3 2" xfId="5449" hidden="1" xr:uid="{00000000-0005-0000-0000-0000A60F0000}"/>
    <cellStyle name="40% - Accent1 3 3 3 2" xfId="6014" hidden="1" xr:uid="{00000000-0005-0000-0000-0000A70F0000}"/>
    <cellStyle name="40% - Accent1 3 3 3 2" xfId="6129" hidden="1" xr:uid="{00000000-0005-0000-0000-0000A80F0000}"/>
    <cellStyle name="40% - Accent1 3 3 3 2" xfId="6852" hidden="1" xr:uid="{00000000-0005-0000-0000-0000A90F0000}"/>
    <cellStyle name="40% - Accent1 3 3 3 2" xfId="7025" hidden="1" xr:uid="{00000000-0005-0000-0000-0000AA0F0000}"/>
    <cellStyle name="40% - Accent1 3 3 3 2" xfId="7418" hidden="1" xr:uid="{00000000-0005-0000-0000-0000AB0F0000}"/>
    <cellStyle name="40% - Accent1 3 3 3 2" xfId="7566" hidden="1" xr:uid="{00000000-0005-0000-0000-0000AC0F0000}"/>
    <cellStyle name="40% - Accent1 3 3 3 2" xfId="7904" hidden="1" xr:uid="{00000000-0005-0000-0000-0000AD0F0000}"/>
    <cellStyle name="40% - Accent1 3 3 3 2" xfId="8241" hidden="1" xr:uid="{00000000-0005-0000-0000-0000AE0F0000}"/>
    <cellStyle name="40% - Accent1 4 2 3 2" xfId="469" hidden="1" xr:uid="{00000000-0005-0000-0000-0000AF0F0000}"/>
    <cellStyle name="40% - Accent1 4 2 3 2" xfId="584" hidden="1" xr:uid="{00000000-0005-0000-0000-0000B00F0000}"/>
    <cellStyle name="40% - Accent1 4 2 3 2" xfId="1307" hidden="1" xr:uid="{00000000-0005-0000-0000-0000B10F0000}"/>
    <cellStyle name="40% - Accent1 4 2 3 2" xfId="1480" hidden="1" xr:uid="{00000000-0005-0000-0000-0000B20F0000}"/>
    <cellStyle name="40% - Accent1 4 2 3 2" xfId="1873" hidden="1" xr:uid="{00000000-0005-0000-0000-0000B30F0000}"/>
    <cellStyle name="40% - Accent1 4 2 3 2" xfId="2021" hidden="1" xr:uid="{00000000-0005-0000-0000-0000B40F0000}"/>
    <cellStyle name="40% - Accent1 4 2 3 2" xfId="2359" hidden="1" xr:uid="{00000000-0005-0000-0000-0000B50F0000}"/>
    <cellStyle name="40% - Accent1 4 2 3 2" xfId="2696" hidden="1" xr:uid="{00000000-0005-0000-0000-0000B60F0000}"/>
    <cellStyle name="40% - Accent1 4 2 3 2" xfId="3261" hidden="1" xr:uid="{00000000-0005-0000-0000-0000B70F0000}"/>
    <cellStyle name="40% - Accent1 4 2 3 2" xfId="3376" hidden="1" xr:uid="{00000000-0005-0000-0000-0000B80F0000}"/>
    <cellStyle name="40% - Accent1 4 2 3 2" xfId="4099" hidden="1" xr:uid="{00000000-0005-0000-0000-0000B90F0000}"/>
    <cellStyle name="40% - Accent1 4 2 3 2" xfId="4272" hidden="1" xr:uid="{00000000-0005-0000-0000-0000BA0F0000}"/>
    <cellStyle name="40% - Accent1 4 2 3 2" xfId="4665" hidden="1" xr:uid="{00000000-0005-0000-0000-0000BB0F0000}"/>
    <cellStyle name="40% - Accent1 4 2 3 2" xfId="4813" hidden="1" xr:uid="{00000000-0005-0000-0000-0000BC0F0000}"/>
    <cellStyle name="40% - Accent1 4 2 3 2" xfId="5151" hidden="1" xr:uid="{00000000-0005-0000-0000-0000BD0F0000}"/>
    <cellStyle name="40% - Accent1 4 2 3 2" xfId="5488" hidden="1" xr:uid="{00000000-0005-0000-0000-0000BE0F0000}"/>
    <cellStyle name="40% - Accent1 4 2 3 2" xfId="6053" hidden="1" xr:uid="{00000000-0005-0000-0000-0000BF0F0000}"/>
    <cellStyle name="40% - Accent1 4 2 3 2" xfId="6168" hidden="1" xr:uid="{00000000-0005-0000-0000-0000C00F0000}"/>
    <cellStyle name="40% - Accent1 4 2 3 2" xfId="6891" hidden="1" xr:uid="{00000000-0005-0000-0000-0000C10F0000}"/>
    <cellStyle name="40% - Accent1 4 2 3 2" xfId="7064" hidden="1" xr:uid="{00000000-0005-0000-0000-0000C20F0000}"/>
    <cellStyle name="40% - Accent1 4 2 3 2" xfId="7457" hidden="1" xr:uid="{00000000-0005-0000-0000-0000C30F0000}"/>
    <cellStyle name="40% - Accent1 4 2 3 2" xfId="7605" hidden="1" xr:uid="{00000000-0005-0000-0000-0000C40F0000}"/>
    <cellStyle name="40% - Accent1 4 2 3 2" xfId="7943" hidden="1" xr:uid="{00000000-0005-0000-0000-0000C50F0000}"/>
    <cellStyle name="40% - Accent1 4 2 3 2" xfId="8280" hidden="1" xr:uid="{00000000-0005-0000-0000-0000C60F0000}"/>
    <cellStyle name="40% - Accent1 4 2 4 2" xfId="433" hidden="1" xr:uid="{00000000-0005-0000-0000-0000C70F0000}"/>
    <cellStyle name="40% - Accent1 4 2 4 2" xfId="548" hidden="1" xr:uid="{00000000-0005-0000-0000-0000C80F0000}"/>
    <cellStyle name="40% - Accent1 4 2 4 2" xfId="1271" hidden="1" xr:uid="{00000000-0005-0000-0000-0000C90F0000}"/>
    <cellStyle name="40% - Accent1 4 2 4 2" xfId="1444" hidden="1" xr:uid="{00000000-0005-0000-0000-0000CA0F0000}"/>
    <cellStyle name="40% - Accent1 4 2 4 2" xfId="1837" hidden="1" xr:uid="{00000000-0005-0000-0000-0000CB0F0000}"/>
    <cellStyle name="40% - Accent1 4 2 4 2" xfId="1985" hidden="1" xr:uid="{00000000-0005-0000-0000-0000CC0F0000}"/>
    <cellStyle name="40% - Accent1 4 2 4 2" xfId="2323" hidden="1" xr:uid="{00000000-0005-0000-0000-0000CD0F0000}"/>
    <cellStyle name="40% - Accent1 4 2 4 2" xfId="2660" hidden="1" xr:uid="{00000000-0005-0000-0000-0000CE0F0000}"/>
    <cellStyle name="40% - Accent1 4 2 4 2" xfId="3225" hidden="1" xr:uid="{00000000-0005-0000-0000-0000CF0F0000}"/>
    <cellStyle name="40% - Accent1 4 2 4 2" xfId="3340" hidden="1" xr:uid="{00000000-0005-0000-0000-0000D00F0000}"/>
    <cellStyle name="40% - Accent1 4 2 4 2" xfId="4063" hidden="1" xr:uid="{00000000-0005-0000-0000-0000D10F0000}"/>
    <cellStyle name="40% - Accent1 4 2 4 2" xfId="4236" hidden="1" xr:uid="{00000000-0005-0000-0000-0000D20F0000}"/>
    <cellStyle name="40% - Accent1 4 2 4 2" xfId="4629" hidden="1" xr:uid="{00000000-0005-0000-0000-0000D30F0000}"/>
    <cellStyle name="40% - Accent1 4 2 4 2" xfId="4777" hidden="1" xr:uid="{00000000-0005-0000-0000-0000D40F0000}"/>
    <cellStyle name="40% - Accent1 4 2 4 2" xfId="5115" hidden="1" xr:uid="{00000000-0005-0000-0000-0000D50F0000}"/>
    <cellStyle name="40% - Accent1 4 2 4 2" xfId="5452" hidden="1" xr:uid="{00000000-0005-0000-0000-0000D60F0000}"/>
    <cellStyle name="40% - Accent1 4 2 4 2" xfId="6017" hidden="1" xr:uid="{00000000-0005-0000-0000-0000D70F0000}"/>
    <cellStyle name="40% - Accent1 4 2 4 2" xfId="6132" hidden="1" xr:uid="{00000000-0005-0000-0000-0000D80F0000}"/>
    <cellStyle name="40% - Accent1 4 2 4 2" xfId="6855" hidden="1" xr:uid="{00000000-0005-0000-0000-0000D90F0000}"/>
    <cellStyle name="40% - Accent1 4 2 4 2" xfId="7028" hidden="1" xr:uid="{00000000-0005-0000-0000-0000DA0F0000}"/>
    <cellStyle name="40% - Accent1 4 2 4 2" xfId="7421" hidden="1" xr:uid="{00000000-0005-0000-0000-0000DB0F0000}"/>
    <cellStyle name="40% - Accent1 4 2 4 2" xfId="7569" hidden="1" xr:uid="{00000000-0005-0000-0000-0000DC0F0000}"/>
    <cellStyle name="40% - Accent1 4 2 4 2" xfId="7907" hidden="1" xr:uid="{00000000-0005-0000-0000-0000DD0F0000}"/>
    <cellStyle name="40% - Accent1 4 2 4 2" xfId="8244" hidden="1" xr:uid="{00000000-0005-0000-0000-0000DE0F0000}"/>
    <cellStyle name="40% - Accent1 4 3 3 2" xfId="432" hidden="1" xr:uid="{00000000-0005-0000-0000-0000DF0F0000}"/>
    <cellStyle name="40% - Accent1 4 3 3 2" xfId="547" hidden="1" xr:uid="{00000000-0005-0000-0000-0000E00F0000}"/>
    <cellStyle name="40% - Accent1 4 3 3 2" xfId="1270" hidden="1" xr:uid="{00000000-0005-0000-0000-0000E10F0000}"/>
    <cellStyle name="40% - Accent1 4 3 3 2" xfId="1443" hidden="1" xr:uid="{00000000-0005-0000-0000-0000E20F0000}"/>
    <cellStyle name="40% - Accent1 4 3 3 2" xfId="1836" hidden="1" xr:uid="{00000000-0005-0000-0000-0000E30F0000}"/>
    <cellStyle name="40% - Accent1 4 3 3 2" xfId="1984" hidden="1" xr:uid="{00000000-0005-0000-0000-0000E40F0000}"/>
    <cellStyle name="40% - Accent1 4 3 3 2" xfId="2322" hidden="1" xr:uid="{00000000-0005-0000-0000-0000E50F0000}"/>
    <cellStyle name="40% - Accent1 4 3 3 2" xfId="2659" hidden="1" xr:uid="{00000000-0005-0000-0000-0000E60F0000}"/>
    <cellStyle name="40% - Accent1 4 3 3 2" xfId="3224" hidden="1" xr:uid="{00000000-0005-0000-0000-0000E70F0000}"/>
    <cellStyle name="40% - Accent1 4 3 3 2" xfId="3339" hidden="1" xr:uid="{00000000-0005-0000-0000-0000E80F0000}"/>
    <cellStyle name="40% - Accent1 4 3 3 2" xfId="4062" hidden="1" xr:uid="{00000000-0005-0000-0000-0000E90F0000}"/>
    <cellStyle name="40% - Accent1 4 3 3 2" xfId="4235" hidden="1" xr:uid="{00000000-0005-0000-0000-0000EA0F0000}"/>
    <cellStyle name="40% - Accent1 4 3 3 2" xfId="4628" hidden="1" xr:uid="{00000000-0005-0000-0000-0000EB0F0000}"/>
    <cellStyle name="40% - Accent1 4 3 3 2" xfId="4776" hidden="1" xr:uid="{00000000-0005-0000-0000-0000EC0F0000}"/>
    <cellStyle name="40% - Accent1 4 3 3 2" xfId="5114" hidden="1" xr:uid="{00000000-0005-0000-0000-0000ED0F0000}"/>
    <cellStyle name="40% - Accent1 4 3 3 2" xfId="5451" hidden="1" xr:uid="{00000000-0005-0000-0000-0000EE0F0000}"/>
    <cellStyle name="40% - Accent1 4 3 3 2" xfId="6016" hidden="1" xr:uid="{00000000-0005-0000-0000-0000EF0F0000}"/>
    <cellStyle name="40% - Accent1 4 3 3 2" xfId="6131" hidden="1" xr:uid="{00000000-0005-0000-0000-0000F00F0000}"/>
    <cellStyle name="40% - Accent1 4 3 3 2" xfId="6854" hidden="1" xr:uid="{00000000-0005-0000-0000-0000F10F0000}"/>
    <cellStyle name="40% - Accent1 4 3 3 2" xfId="7027" hidden="1" xr:uid="{00000000-0005-0000-0000-0000F20F0000}"/>
    <cellStyle name="40% - Accent1 4 3 3 2" xfId="7420" hidden="1" xr:uid="{00000000-0005-0000-0000-0000F30F0000}"/>
    <cellStyle name="40% - Accent1 4 3 3 2" xfId="7568" hidden="1" xr:uid="{00000000-0005-0000-0000-0000F40F0000}"/>
    <cellStyle name="40% - Accent1 4 3 3 2" xfId="7906" hidden="1" xr:uid="{00000000-0005-0000-0000-0000F50F0000}"/>
    <cellStyle name="40% - Accent1 4 3 3 2" xfId="8243" hidden="1" xr:uid="{00000000-0005-0000-0000-0000F60F0000}"/>
    <cellStyle name="40% - Accent1 5 2" xfId="396" hidden="1" xr:uid="{00000000-0005-0000-0000-0000F70F0000}"/>
    <cellStyle name="40% - Accent1 5 2" xfId="511" hidden="1" xr:uid="{00000000-0005-0000-0000-0000F80F0000}"/>
    <cellStyle name="40% - Accent1 5 2" xfId="1234" hidden="1" xr:uid="{00000000-0005-0000-0000-0000F90F0000}"/>
    <cellStyle name="40% - Accent1 5 2" xfId="1407" hidden="1" xr:uid="{00000000-0005-0000-0000-0000FA0F0000}"/>
    <cellStyle name="40% - Accent1 5 2" xfId="1800" hidden="1" xr:uid="{00000000-0005-0000-0000-0000FB0F0000}"/>
    <cellStyle name="40% - Accent1 5 2" xfId="1948" hidden="1" xr:uid="{00000000-0005-0000-0000-0000FC0F0000}"/>
    <cellStyle name="40% - Accent1 5 2" xfId="2286" hidden="1" xr:uid="{00000000-0005-0000-0000-0000FD0F0000}"/>
    <cellStyle name="40% - Accent1 5 2" xfId="2623" hidden="1" xr:uid="{00000000-0005-0000-0000-0000FE0F0000}"/>
    <cellStyle name="40% - Accent1 5 2" xfId="3188" hidden="1" xr:uid="{00000000-0005-0000-0000-0000FF0F0000}"/>
    <cellStyle name="40% - Accent1 5 2" xfId="3303" hidden="1" xr:uid="{00000000-0005-0000-0000-000000100000}"/>
    <cellStyle name="40% - Accent1 5 2" xfId="4026" hidden="1" xr:uid="{00000000-0005-0000-0000-000001100000}"/>
    <cellStyle name="40% - Accent1 5 2" xfId="4199" hidden="1" xr:uid="{00000000-0005-0000-0000-000002100000}"/>
    <cellStyle name="40% - Accent1 5 2" xfId="4592" hidden="1" xr:uid="{00000000-0005-0000-0000-000003100000}"/>
    <cellStyle name="40% - Accent1 5 2" xfId="4740" hidden="1" xr:uid="{00000000-0005-0000-0000-000004100000}"/>
    <cellStyle name="40% - Accent1 5 2" xfId="5078" hidden="1" xr:uid="{00000000-0005-0000-0000-000005100000}"/>
    <cellStyle name="40% - Accent1 5 2" xfId="5415" hidden="1" xr:uid="{00000000-0005-0000-0000-000006100000}"/>
    <cellStyle name="40% - Accent1 5 2" xfId="5980" hidden="1" xr:uid="{00000000-0005-0000-0000-000007100000}"/>
    <cellStyle name="40% - Accent1 5 2" xfId="6095" hidden="1" xr:uid="{00000000-0005-0000-0000-000008100000}"/>
    <cellStyle name="40% - Accent1 5 2" xfId="6818" hidden="1" xr:uid="{00000000-0005-0000-0000-000009100000}"/>
    <cellStyle name="40% - Accent1 5 2" xfId="6991" hidden="1" xr:uid="{00000000-0005-0000-0000-00000A100000}"/>
    <cellStyle name="40% - Accent1 5 2" xfId="7384" hidden="1" xr:uid="{00000000-0005-0000-0000-00000B100000}"/>
    <cellStyle name="40% - Accent1 5 2" xfId="7532" hidden="1" xr:uid="{00000000-0005-0000-0000-00000C100000}"/>
    <cellStyle name="40% - Accent1 5 2" xfId="7870" hidden="1" xr:uid="{00000000-0005-0000-0000-00000D100000}"/>
    <cellStyle name="40% - Accent1 5 2" xfId="8207" hidden="1" xr:uid="{00000000-0005-0000-0000-00000E100000}"/>
    <cellStyle name="40% - Accent1 7" xfId="73" hidden="1" xr:uid="{00000000-0005-0000-0000-00000F100000}"/>
    <cellStyle name="40% - Accent1 7" xfId="85" hidden="1" xr:uid="{00000000-0005-0000-0000-000010100000}"/>
    <cellStyle name="40% - Accent1 7" xfId="213" hidden="1" xr:uid="{00000000-0005-0000-0000-000011100000}"/>
    <cellStyle name="40% - Accent1 7" xfId="304" hidden="1" xr:uid="{00000000-0005-0000-0000-000012100000}"/>
    <cellStyle name="40% - Accent1 7" xfId="888" hidden="1" xr:uid="{00000000-0005-0000-0000-000013100000}"/>
    <cellStyle name="40% - Accent1 7" xfId="952" hidden="1" xr:uid="{00000000-0005-0000-0000-000014100000}"/>
    <cellStyle name="40% - Accent1 7" xfId="1043" hidden="1" xr:uid="{00000000-0005-0000-0000-000015100000}"/>
    <cellStyle name="40% - Accent1 7" xfId="794" hidden="1" xr:uid="{00000000-0005-0000-0000-000016100000}"/>
    <cellStyle name="40% - Accent1 7" xfId="668" hidden="1" xr:uid="{00000000-0005-0000-0000-000017100000}"/>
    <cellStyle name="40% - Accent1 7" xfId="703" hidden="1" xr:uid="{00000000-0005-0000-0000-000018100000}"/>
    <cellStyle name="40% - Accent1 7" xfId="1145" hidden="1" xr:uid="{00000000-0005-0000-0000-000019100000}"/>
    <cellStyle name="40% - Accent1 7" xfId="1547" hidden="1" xr:uid="{00000000-0005-0000-0000-00001A100000}"/>
    <cellStyle name="40% - Accent1 7" xfId="1638" hidden="1" xr:uid="{00000000-0005-0000-0000-00001B100000}"/>
    <cellStyle name="40% - Accent1 7" xfId="1140" hidden="1" xr:uid="{00000000-0005-0000-0000-00001C100000}"/>
    <cellStyle name="40% - Accent1 7" xfId="1208" hidden="1" xr:uid="{00000000-0005-0000-0000-00001D100000}"/>
    <cellStyle name="40% - Accent1 7" xfId="632" hidden="1" xr:uid="{00000000-0005-0000-0000-00001E100000}"/>
    <cellStyle name="40% - Accent1 7" xfId="1733" hidden="1" xr:uid="{00000000-0005-0000-0000-00001F100000}"/>
    <cellStyle name="40% - Accent1 7" xfId="2079" hidden="1" xr:uid="{00000000-0005-0000-0000-000020100000}"/>
    <cellStyle name="40% - Accent1 7" xfId="2170" hidden="1" xr:uid="{00000000-0005-0000-0000-000021100000}"/>
    <cellStyle name="40% - Accent1 7" xfId="813" hidden="1" xr:uid="{00000000-0005-0000-0000-000022100000}"/>
    <cellStyle name="40% - Accent1 7" xfId="2416" hidden="1" xr:uid="{00000000-0005-0000-0000-000023100000}"/>
    <cellStyle name="40% - Accent1 7" xfId="2507" hidden="1" xr:uid="{00000000-0005-0000-0000-000024100000}"/>
    <cellStyle name="40% - Accent1 7" xfId="1371" hidden="1" xr:uid="{00000000-0005-0000-0000-000025100000}"/>
    <cellStyle name="40% - Accent1 7" xfId="2753" hidden="1" xr:uid="{00000000-0005-0000-0000-000026100000}"/>
    <cellStyle name="40% - Accent1 7" xfId="2865" hidden="1" xr:uid="{00000000-0005-0000-0000-000027100000}"/>
    <cellStyle name="40% - Accent1 7" xfId="2877" hidden="1" xr:uid="{00000000-0005-0000-0000-000028100000}"/>
    <cellStyle name="40% - Accent1 7" xfId="3005" hidden="1" xr:uid="{00000000-0005-0000-0000-000029100000}"/>
    <cellStyle name="40% - Accent1 7" xfId="3096" hidden="1" xr:uid="{00000000-0005-0000-0000-00002A100000}"/>
    <cellStyle name="40% - Accent1 7" xfId="3680" hidden="1" xr:uid="{00000000-0005-0000-0000-00002B100000}"/>
    <cellStyle name="40% - Accent1 7" xfId="3744" hidden="1" xr:uid="{00000000-0005-0000-0000-00002C100000}"/>
    <cellStyle name="40% - Accent1 7" xfId="3835" hidden="1" xr:uid="{00000000-0005-0000-0000-00002D100000}"/>
    <cellStyle name="40% - Accent1 7" xfId="3586" hidden="1" xr:uid="{00000000-0005-0000-0000-00002E100000}"/>
    <cellStyle name="40% - Accent1 7" xfId="3460" hidden="1" xr:uid="{00000000-0005-0000-0000-00002F100000}"/>
    <cellStyle name="40% - Accent1 7" xfId="3495" hidden="1" xr:uid="{00000000-0005-0000-0000-000030100000}"/>
    <cellStyle name="40% - Accent1 7" xfId="3937" hidden="1" xr:uid="{00000000-0005-0000-0000-000031100000}"/>
    <cellStyle name="40% - Accent1 7" xfId="4339" hidden="1" xr:uid="{00000000-0005-0000-0000-000032100000}"/>
    <cellStyle name="40% - Accent1 7" xfId="4430" hidden="1" xr:uid="{00000000-0005-0000-0000-000033100000}"/>
    <cellStyle name="40% - Accent1 7" xfId="3932" hidden="1" xr:uid="{00000000-0005-0000-0000-000034100000}"/>
    <cellStyle name="40% - Accent1 7" xfId="4000" hidden="1" xr:uid="{00000000-0005-0000-0000-000035100000}"/>
    <cellStyle name="40% - Accent1 7" xfId="3424" hidden="1" xr:uid="{00000000-0005-0000-0000-000036100000}"/>
    <cellStyle name="40% - Accent1 7" xfId="4525" hidden="1" xr:uid="{00000000-0005-0000-0000-000037100000}"/>
    <cellStyle name="40% - Accent1 7" xfId="4871" hidden="1" xr:uid="{00000000-0005-0000-0000-000038100000}"/>
    <cellStyle name="40% - Accent1 7" xfId="4962" hidden="1" xr:uid="{00000000-0005-0000-0000-000039100000}"/>
    <cellStyle name="40% - Accent1 7" xfId="3605" hidden="1" xr:uid="{00000000-0005-0000-0000-00003A100000}"/>
    <cellStyle name="40% - Accent1 7" xfId="5208" hidden="1" xr:uid="{00000000-0005-0000-0000-00003B100000}"/>
    <cellStyle name="40% - Accent1 7" xfId="5299" hidden="1" xr:uid="{00000000-0005-0000-0000-00003C100000}"/>
    <cellStyle name="40% - Accent1 7" xfId="4163" hidden="1" xr:uid="{00000000-0005-0000-0000-00003D100000}"/>
    <cellStyle name="40% - Accent1 7" xfId="5545" hidden="1" xr:uid="{00000000-0005-0000-0000-00003E100000}"/>
    <cellStyle name="40% - Accent1 7" xfId="5657" hidden="1" xr:uid="{00000000-0005-0000-0000-00003F100000}"/>
    <cellStyle name="40% - Accent1 7" xfId="5669" hidden="1" xr:uid="{00000000-0005-0000-0000-000040100000}"/>
    <cellStyle name="40% - Accent1 7" xfId="5797" hidden="1" xr:uid="{00000000-0005-0000-0000-000041100000}"/>
    <cellStyle name="40% - Accent1 7" xfId="5888" hidden="1" xr:uid="{00000000-0005-0000-0000-000042100000}"/>
    <cellStyle name="40% - Accent1 7" xfId="6472" hidden="1" xr:uid="{00000000-0005-0000-0000-000043100000}"/>
    <cellStyle name="40% - Accent1 7" xfId="6536" hidden="1" xr:uid="{00000000-0005-0000-0000-000044100000}"/>
    <cellStyle name="40% - Accent1 7" xfId="6627" hidden="1" xr:uid="{00000000-0005-0000-0000-000045100000}"/>
    <cellStyle name="40% - Accent1 7" xfId="6378" hidden="1" xr:uid="{00000000-0005-0000-0000-000046100000}"/>
    <cellStyle name="40% - Accent1 7" xfId="6252" hidden="1" xr:uid="{00000000-0005-0000-0000-000047100000}"/>
    <cellStyle name="40% - Accent1 7" xfId="6287" hidden="1" xr:uid="{00000000-0005-0000-0000-000048100000}"/>
    <cellStyle name="40% - Accent1 7" xfId="6729" hidden="1" xr:uid="{00000000-0005-0000-0000-000049100000}"/>
    <cellStyle name="40% - Accent1 7" xfId="7131" hidden="1" xr:uid="{00000000-0005-0000-0000-00004A100000}"/>
    <cellStyle name="40% - Accent1 7" xfId="7222" hidden="1" xr:uid="{00000000-0005-0000-0000-00004B100000}"/>
    <cellStyle name="40% - Accent1 7" xfId="6724" hidden="1" xr:uid="{00000000-0005-0000-0000-00004C100000}"/>
    <cellStyle name="40% - Accent1 7" xfId="6792" hidden="1" xr:uid="{00000000-0005-0000-0000-00004D100000}"/>
    <cellStyle name="40% - Accent1 7" xfId="6216" hidden="1" xr:uid="{00000000-0005-0000-0000-00004E100000}"/>
    <cellStyle name="40% - Accent1 7" xfId="7317" hidden="1" xr:uid="{00000000-0005-0000-0000-00004F100000}"/>
    <cellStyle name="40% - Accent1 7" xfId="7663" hidden="1" xr:uid="{00000000-0005-0000-0000-000050100000}"/>
    <cellStyle name="40% - Accent1 7" xfId="7754" hidden="1" xr:uid="{00000000-0005-0000-0000-000051100000}"/>
    <cellStyle name="40% - Accent1 7" xfId="6397" hidden="1" xr:uid="{00000000-0005-0000-0000-000052100000}"/>
    <cellStyle name="40% - Accent1 7" xfId="8000" hidden="1" xr:uid="{00000000-0005-0000-0000-000053100000}"/>
    <cellStyle name="40% - Accent1 7" xfId="8091" hidden="1" xr:uid="{00000000-0005-0000-0000-000054100000}"/>
    <cellStyle name="40% - Accent1 7" xfId="6955" hidden="1" xr:uid="{00000000-0005-0000-0000-000055100000}"/>
    <cellStyle name="40% - Accent1 7" xfId="8337" hidden="1" xr:uid="{00000000-0005-0000-0000-000056100000}"/>
    <cellStyle name="40% - Accent1 8" xfId="89" hidden="1" xr:uid="{00000000-0005-0000-0000-000057100000}"/>
    <cellStyle name="40% - Accent1 8" xfId="163" hidden="1" xr:uid="{00000000-0005-0000-0000-000058100000}"/>
    <cellStyle name="40% - Accent1 8" xfId="241" hidden="1" xr:uid="{00000000-0005-0000-0000-000059100000}"/>
    <cellStyle name="40% - Accent1 8" xfId="319" hidden="1" xr:uid="{00000000-0005-0000-0000-00005A100000}"/>
    <cellStyle name="40% - Accent1 8" xfId="901" hidden="1" xr:uid="{00000000-0005-0000-0000-00005B100000}"/>
    <cellStyle name="40% - Accent1 8" xfId="980" hidden="1" xr:uid="{00000000-0005-0000-0000-00005C100000}"/>
    <cellStyle name="40% - Accent1 8" xfId="1059" hidden="1" xr:uid="{00000000-0005-0000-0000-00005D100000}"/>
    <cellStyle name="40% - Accent1 8" xfId="741" hidden="1" xr:uid="{00000000-0005-0000-0000-00005E100000}"/>
    <cellStyle name="40% - Accent1 8" xfId="1189" hidden="1" xr:uid="{00000000-0005-0000-0000-00005F100000}"/>
    <cellStyle name="40% - Accent1 8" xfId="710" hidden="1" xr:uid="{00000000-0005-0000-0000-000060100000}"/>
    <cellStyle name="40% - Accent1 8" xfId="726" hidden="1" xr:uid="{00000000-0005-0000-0000-000061100000}"/>
    <cellStyle name="40% - Accent1 8" xfId="1575" hidden="1" xr:uid="{00000000-0005-0000-0000-000062100000}"/>
    <cellStyle name="40% - Accent1 8" xfId="1653" hidden="1" xr:uid="{00000000-0005-0000-0000-000063100000}"/>
    <cellStyle name="40% - Accent1 8" xfId="804" hidden="1" xr:uid="{00000000-0005-0000-0000-000064100000}"/>
    <cellStyle name="40% - Accent1 8" xfId="1762" hidden="1" xr:uid="{00000000-0005-0000-0000-000065100000}"/>
    <cellStyle name="40% - Accent1 8" xfId="818" hidden="1" xr:uid="{00000000-0005-0000-0000-000066100000}"/>
    <cellStyle name="40% - Accent1 8" xfId="870" hidden="1" xr:uid="{00000000-0005-0000-0000-000067100000}"/>
    <cellStyle name="40% - Accent1 8" xfId="2107" hidden="1" xr:uid="{00000000-0005-0000-0000-000068100000}"/>
    <cellStyle name="40% - Accent1 8" xfId="2185" hidden="1" xr:uid="{00000000-0005-0000-0000-000069100000}"/>
    <cellStyle name="40% - Accent1 8" xfId="738" hidden="1" xr:uid="{00000000-0005-0000-0000-00006A100000}"/>
    <cellStyle name="40% - Accent1 8" xfId="2444" hidden="1" xr:uid="{00000000-0005-0000-0000-00006B100000}"/>
    <cellStyle name="40% - Accent1 8" xfId="2522" hidden="1" xr:uid="{00000000-0005-0000-0000-00006C100000}"/>
    <cellStyle name="40% - Accent1 8" xfId="2034" hidden="1" xr:uid="{00000000-0005-0000-0000-00006D100000}"/>
    <cellStyle name="40% - Accent1 8" xfId="2781" hidden="1" xr:uid="{00000000-0005-0000-0000-00006E100000}"/>
    <cellStyle name="40% - Accent1 8" xfId="2881" hidden="1" xr:uid="{00000000-0005-0000-0000-00006F100000}"/>
    <cellStyle name="40% - Accent1 8" xfId="2955" hidden="1" xr:uid="{00000000-0005-0000-0000-000070100000}"/>
    <cellStyle name="40% - Accent1 8" xfId="3033" hidden="1" xr:uid="{00000000-0005-0000-0000-000071100000}"/>
    <cellStyle name="40% - Accent1 8" xfId="3111" hidden="1" xr:uid="{00000000-0005-0000-0000-000072100000}"/>
    <cellStyle name="40% - Accent1 8" xfId="3693" hidden="1" xr:uid="{00000000-0005-0000-0000-000073100000}"/>
    <cellStyle name="40% - Accent1 8" xfId="3772" hidden="1" xr:uid="{00000000-0005-0000-0000-000074100000}"/>
    <cellStyle name="40% - Accent1 8" xfId="3851" hidden="1" xr:uid="{00000000-0005-0000-0000-000075100000}"/>
    <cellStyle name="40% - Accent1 8" xfId="3533" hidden="1" xr:uid="{00000000-0005-0000-0000-000076100000}"/>
    <cellStyle name="40% - Accent1 8" xfId="3981" hidden="1" xr:uid="{00000000-0005-0000-0000-000077100000}"/>
    <cellStyle name="40% - Accent1 8" xfId="3502" hidden="1" xr:uid="{00000000-0005-0000-0000-000078100000}"/>
    <cellStyle name="40% - Accent1 8" xfId="3518" hidden="1" xr:uid="{00000000-0005-0000-0000-000079100000}"/>
    <cellStyle name="40% - Accent1 8" xfId="4367" hidden="1" xr:uid="{00000000-0005-0000-0000-00007A100000}"/>
    <cellStyle name="40% - Accent1 8" xfId="4445" hidden="1" xr:uid="{00000000-0005-0000-0000-00007B100000}"/>
    <cellStyle name="40% - Accent1 8" xfId="3596" hidden="1" xr:uid="{00000000-0005-0000-0000-00007C100000}"/>
    <cellStyle name="40% - Accent1 8" xfId="4554" hidden="1" xr:uid="{00000000-0005-0000-0000-00007D100000}"/>
    <cellStyle name="40% - Accent1 8" xfId="3610" hidden="1" xr:uid="{00000000-0005-0000-0000-00007E100000}"/>
    <cellStyle name="40% - Accent1 8" xfId="3662" hidden="1" xr:uid="{00000000-0005-0000-0000-00007F100000}"/>
    <cellStyle name="40% - Accent1 8" xfId="4899" hidden="1" xr:uid="{00000000-0005-0000-0000-000080100000}"/>
    <cellStyle name="40% - Accent1 8" xfId="4977" hidden="1" xr:uid="{00000000-0005-0000-0000-000081100000}"/>
    <cellStyle name="40% - Accent1 8" xfId="3530" hidden="1" xr:uid="{00000000-0005-0000-0000-000082100000}"/>
    <cellStyle name="40% - Accent1 8" xfId="5236" hidden="1" xr:uid="{00000000-0005-0000-0000-000083100000}"/>
    <cellStyle name="40% - Accent1 8" xfId="5314" hidden="1" xr:uid="{00000000-0005-0000-0000-000084100000}"/>
    <cellStyle name="40% - Accent1 8" xfId="4826" hidden="1" xr:uid="{00000000-0005-0000-0000-000085100000}"/>
    <cellStyle name="40% - Accent1 8" xfId="5573" hidden="1" xr:uid="{00000000-0005-0000-0000-000086100000}"/>
    <cellStyle name="40% - Accent1 8" xfId="5673" hidden="1" xr:uid="{00000000-0005-0000-0000-000087100000}"/>
    <cellStyle name="40% - Accent1 8" xfId="5747" hidden="1" xr:uid="{00000000-0005-0000-0000-000088100000}"/>
    <cellStyle name="40% - Accent1 8" xfId="5825" hidden="1" xr:uid="{00000000-0005-0000-0000-000089100000}"/>
    <cellStyle name="40% - Accent1 8" xfId="5903" hidden="1" xr:uid="{00000000-0005-0000-0000-00008A100000}"/>
    <cellStyle name="40% - Accent1 8" xfId="6485" hidden="1" xr:uid="{00000000-0005-0000-0000-00008B100000}"/>
    <cellStyle name="40% - Accent1 8" xfId="6564" hidden="1" xr:uid="{00000000-0005-0000-0000-00008C100000}"/>
    <cellStyle name="40% - Accent1 8" xfId="6643" hidden="1" xr:uid="{00000000-0005-0000-0000-00008D100000}"/>
    <cellStyle name="40% - Accent1 8" xfId="6325" hidden="1" xr:uid="{00000000-0005-0000-0000-00008E100000}"/>
    <cellStyle name="40% - Accent1 8" xfId="6773" hidden="1" xr:uid="{00000000-0005-0000-0000-00008F100000}"/>
    <cellStyle name="40% - Accent1 8" xfId="6294" hidden="1" xr:uid="{00000000-0005-0000-0000-000090100000}"/>
    <cellStyle name="40% - Accent1 8" xfId="6310" hidden="1" xr:uid="{00000000-0005-0000-0000-000091100000}"/>
    <cellStyle name="40% - Accent1 8" xfId="7159" hidden="1" xr:uid="{00000000-0005-0000-0000-000092100000}"/>
    <cellStyle name="40% - Accent1 8" xfId="7237" hidden="1" xr:uid="{00000000-0005-0000-0000-000093100000}"/>
    <cellStyle name="40% - Accent1 8" xfId="6388" hidden="1" xr:uid="{00000000-0005-0000-0000-000094100000}"/>
    <cellStyle name="40% - Accent1 8" xfId="7346" hidden="1" xr:uid="{00000000-0005-0000-0000-000095100000}"/>
    <cellStyle name="40% - Accent1 8" xfId="6402" hidden="1" xr:uid="{00000000-0005-0000-0000-000096100000}"/>
    <cellStyle name="40% - Accent1 8" xfId="6454" hidden="1" xr:uid="{00000000-0005-0000-0000-000097100000}"/>
    <cellStyle name="40% - Accent1 8" xfId="7691" hidden="1" xr:uid="{00000000-0005-0000-0000-000098100000}"/>
    <cellStyle name="40% - Accent1 8" xfId="7769" hidden="1" xr:uid="{00000000-0005-0000-0000-000099100000}"/>
    <cellStyle name="40% - Accent1 8" xfId="6322" hidden="1" xr:uid="{00000000-0005-0000-0000-00009A100000}"/>
    <cellStyle name="40% - Accent1 8" xfId="8028" hidden="1" xr:uid="{00000000-0005-0000-0000-00009B100000}"/>
    <cellStyle name="40% - Accent1 8" xfId="8106" hidden="1" xr:uid="{00000000-0005-0000-0000-00009C100000}"/>
    <cellStyle name="40% - Accent1 8" xfId="7618" hidden="1" xr:uid="{00000000-0005-0000-0000-00009D100000}"/>
    <cellStyle name="40% - Accent1 8" xfId="8365" hidden="1" xr:uid="{00000000-0005-0000-0000-00009E100000}"/>
    <cellStyle name="40% - Accent1 9" xfId="102" hidden="1" xr:uid="{00000000-0005-0000-0000-00009F100000}"/>
    <cellStyle name="40% - Accent1 9" xfId="176" hidden="1" xr:uid="{00000000-0005-0000-0000-0000A0100000}"/>
    <cellStyle name="40% - Accent1 9" xfId="252" hidden="1" xr:uid="{00000000-0005-0000-0000-0000A1100000}"/>
    <cellStyle name="40% - Accent1 9" xfId="330" hidden="1" xr:uid="{00000000-0005-0000-0000-0000A2100000}"/>
    <cellStyle name="40% - Accent1 9" xfId="915" hidden="1" xr:uid="{00000000-0005-0000-0000-0000A3100000}"/>
    <cellStyle name="40% - Accent1 9" xfId="991" hidden="1" xr:uid="{00000000-0005-0000-0000-0000A4100000}"/>
    <cellStyle name="40% - Accent1 9" xfId="1070" hidden="1" xr:uid="{00000000-0005-0000-0000-0000A5100000}"/>
    <cellStyle name="40% - Accent1 9" xfId="1342" hidden="1" xr:uid="{00000000-0005-0000-0000-0000A6100000}"/>
    <cellStyle name="40% - Accent1 9" xfId="734" hidden="1" xr:uid="{00000000-0005-0000-0000-0000A7100000}"/>
    <cellStyle name="40% - Accent1 9" xfId="751" hidden="1" xr:uid="{00000000-0005-0000-0000-0000A8100000}"/>
    <cellStyle name="40% - Accent1 9" xfId="1510" hidden="1" xr:uid="{00000000-0005-0000-0000-0000A9100000}"/>
    <cellStyle name="40% - Accent1 9" xfId="1586" hidden="1" xr:uid="{00000000-0005-0000-0000-0000AA100000}"/>
    <cellStyle name="40% - Accent1 9" xfId="1664" hidden="1" xr:uid="{00000000-0005-0000-0000-0000AB100000}"/>
    <cellStyle name="40% - Accent1 9" xfId="1900" hidden="1" xr:uid="{00000000-0005-0000-0000-0000AC100000}"/>
    <cellStyle name="40% - Accent1 9" xfId="677" hidden="1" xr:uid="{00000000-0005-0000-0000-0000AD100000}"/>
    <cellStyle name="40% - Accent1 9" xfId="659" hidden="1" xr:uid="{00000000-0005-0000-0000-0000AE100000}"/>
    <cellStyle name="40% - Accent1 9" xfId="2042" hidden="1" xr:uid="{00000000-0005-0000-0000-0000AF100000}"/>
    <cellStyle name="40% - Accent1 9" xfId="2118" hidden="1" xr:uid="{00000000-0005-0000-0000-0000B0100000}"/>
    <cellStyle name="40% - Accent1 9" xfId="2196" hidden="1" xr:uid="{00000000-0005-0000-0000-0000B1100000}"/>
    <cellStyle name="40% - Accent1 9" xfId="2379" hidden="1" xr:uid="{00000000-0005-0000-0000-0000B2100000}"/>
    <cellStyle name="40% - Accent1 9" xfId="2455" hidden="1" xr:uid="{00000000-0005-0000-0000-0000B3100000}"/>
    <cellStyle name="40% - Accent1 9" xfId="2533" hidden="1" xr:uid="{00000000-0005-0000-0000-0000B4100000}"/>
    <cellStyle name="40% - Accent1 9" xfId="2716" hidden="1" xr:uid="{00000000-0005-0000-0000-0000B5100000}"/>
    <cellStyle name="40% - Accent1 9" xfId="2792" hidden="1" xr:uid="{00000000-0005-0000-0000-0000B6100000}"/>
    <cellStyle name="40% - Accent1 9" xfId="2894" hidden="1" xr:uid="{00000000-0005-0000-0000-0000B7100000}"/>
    <cellStyle name="40% - Accent1 9" xfId="2968" hidden="1" xr:uid="{00000000-0005-0000-0000-0000B8100000}"/>
    <cellStyle name="40% - Accent1 9" xfId="3044" hidden="1" xr:uid="{00000000-0005-0000-0000-0000B9100000}"/>
    <cellStyle name="40% - Accent1 9" xfId="3122" hidden="1" xr:uid="{00000000-0005-0000-0000-0000BA100000}"/>
    <cellStyle name="40% - Accent1 9" xfId="3707" hidden="1" xr:uid="{00000000-0005-0000-0000-0000BB100000}"/>
    <cellStyle name="40% - Accent1 9" xfId="3783" hidden="1" xr:uid="{00000000-0005-0000-0000-0000BC100000}"/>
    <cellStyle name="40% - Accent1 9" xfId="3862" hidden="1" xr:uid="{00000000-0005-0000-0000-0000BD100000}"/>
    <cellStyle name="40% - Accent1 9" xfId="4134" hidden="1" xr:uid="{00000000-0005-0000-0000-0000BE100000}"/>
    <cellStyle name="40% - Accent1 9" xfId="3526" hidden="1" xr:uid="{00000000-0005-0000-0000-0000BF100000}"/>
    <cellStyle name="40% - Accent1 9" xfId="3543" hidden="1" xr:uid="{00000000-0005-0000-0000-0000C0100000}"/>
    <cellStyle name="40% - Accent1 9" xfId="4302" hidden="1" xr:uid="{00000000-0005-0000-0000-0000C1100000}"/>
    <cellStyle name="40% - Accent1 9" xfId="4378" hidden="1" xr:uid="{00000000-0005-0000-0000-0000C2100000}"/>
    <cellStyle name="40% - Accent1 9" xfId="4456" hidden="1" xr:uid="{00000000-0005-0000-0000-0000C3100000}"/>
    <cellStyle name="40% - Accent1 9" xfId="4692" hidden="1" xr:uid="{00000000-0005-0000-0000-0000C4100000}"/>
    <cellStyle name="40% - Accent1 9" xfId="3469" hidden="1" xr:uid="{00000000-0005-0000-0000-0000C5100000}"/>
    <cellStyle name="40% - Accent1 9" xfId="3451" hidden="1" xr:uid="{00000000-0005-0000-0000-0000C6100000}"/>
    <cellStyle name="40% - Accent1 9" xfId="4834" hidden="1" xr:uid="{00000000-0005-0000-0000-0000C7100000}"/>
    <cellStyle name="40% - Accent1 9" xfId="4910" hidden="1" xr:uid="{00000000-0005-0000-0000-0000C8100000}"/>
    <cellStyle name="40% - Accent1 9" xfId="4988" hidden="1" xr:uid="{00000000-0005-0000-0000-0000C9100000}"/>
    <cellStyle name="40% - Accent1 9" xfId="5171" hidden="1" xr:uid="{00000000-0005-0000-0000-0000CA100000}"/>
    <cellStyle name="40% - Accent1 9" xfId="5247" hidden="1" xr:uid="{00000000-0005-0000-0000-0000CB100000}"/>
    <cellStyle name="40% - Accent1 9" xfId="5325" hidden="1" xr:uid="{00000000-0005-0000-0000-0000CC100000}"/>
    <cellStyle name="40% - Accent1 9" xfId="5508" hidden="1" xr:uid="{00000000-0005-0000-0000-0000CD100000}"/>
    <cellStyle name="40% - Accent1 9" xfId="5584" hidden="1" xr:uid="{00000000-0005-0000-0000-0000CE100000}"/>
    <cellStyle name="40% - Accent1 9" xfId="5686" hidden="1" xr:uid="{00000000-0005-0000-0000-0000CF100000}"/>
    <cellStyle name="40% - Accent1 9" xfId="5760" hidden="1" xr:uid="{00000000-0005-0000-0000-0000D0100000}"/>
    <cellStyle name="40% - Accent1 9" xfId="5836" hidden="1" xr:uid="{00000000-0005-0000-0000-0000D1100000}"/>
    <cellStyle name="40% - Accent1 9" xfId="5914" hidden="1" xr:uid="{00000000-0005-0000-0000-0000D2100000}"/>
    <cellStyle name="40% - Accent1 9" xfId="6499" hidden="1" xr:uid="{00000000-0005-0000-0000-0000D3100000}"/>
    <cellStyle name="40% - Accent1 9" xfId="6575" hidden="1" xr:uid="{00000000-0005-0000-0000-0000D4100000}"/>
    <cellStyle name="40% - Accent1 9" xfId="6654" hidden="1" xr:uid="{00000000-0005-0000-0000-0000D5100000}"/>
    <cellStyle name="40% - Accent1 9" xfId="6926" hidden="1" xr:uid="{00000000-0005-0000-0000-0000D6100000}"/>
    <cellStyle name="40% - Accent1 9" xfId="6318" hidden="1" xr:uid="{00000000-0005-0000-0000-0000D7100000}"/>
    <cellStyle name="40% - Accent1 9" xfId="6335" hidden="1" xr:uid="{00000000-0005-0000-0000-0000D8100000}"/>
    <cellStyle name="40% - Accent1 9" xfId="7094" hidden="1" xr:uid="{00000000-0005-0000-0000-0000D9100000}"/>
    <cellStyle name="40% - Accent1 9" xfId="7170" hidden="1" xr:uid="{00000000-0005-0000-0000-0000DA100000}"/>
    <cellStyle name="40% - Accent1 9" xfId="7248" hidden="1" xr:uid="{00000000-0005-0000-0000-0000DB100000}"/>
    <cellStyle name="40% - Accent1 9" xfId="7484" hidden="1" xr:uid="{00000000-0005-0000-0000-0000DC100000}"/>
    <cellStyle name="40% - Accent1 9" xfId="6261" hidden="1" xr:uid="{00000000-0005-0000-0000-0000DD100000}"/>
    <cellStyle name="40% - Accent1 9" xfId="6243" hidden="1" xr:uid="{00000000-0005-0000-0000-0000DE100000}"/>
    <cellStyle name="40% - Accent1 9" xfId="7626" hidden="1" xr:uid="{00000000-0005-0000-0000-0000DF100000}"/>
    <cellStyle name="40% - Accent1 9" xfId="7702" hidden="1" xr:uid="{00000000-0005-0000-0000-0000E0100000}"/>
    <cellStyle name="40% - Accent1 9" xfId="7780" hidden="1" xr:uid="{00000000-0005-0000-0000-0000E1100000}"/>
    <cellStyle name="40% - Accent1 9" xfId="7963" hidden="1" xr:uid="{00000000-0005-0000-0000-0000E2100000}"/>
    <cellStyle name="40% - Accent1 9" xfId="8039" hidden="1" xr:uid="{00000000-0005-0000-0000-0000E3100000}"/>
    <cellStyle name="40% - Accent1 9" xfId="8117" hidden="1" xr:uid="{00000000-0005-0000-0000-0000E4100000}"/>
    <cellStyle name="40% - Accent1 9" xfId="8300" hidden="1" xr:uid="{00000000-0005-0000-0000-0000E5100000}"/>
    <cellStyle name="40% - Accent1 9" xfId="8376" hidden="1" xr:uid="{00000000-0005-0000-0000-0000E6100000}"/>
    <cellStyle name="40% - Accent2" xfId="28" builtinId="35" hidden="1"/>
    <cellStyle name="40% - Accent2 10" xfId="130" hidden="1" xr:uid="{00000000-0005-0000-0000-0000E8100000}"/>
    <cellStyle name="40% - Accent2 10" xfId="204" hidden="1" xr:uid="{00000000-0005-0000-0000-0000E9100000}"/>
    <cellStyle name="40% - Accent2 10" xfId="280" hidden="1" xr:uid="{00000000-0005-0000-0000-0000EA100000}"/>
    <cellStyle name="40% - Accent2 10" xfId="358" hidden="1" xr:uid="{00000000-0005-0000-0000-0000EB100000}"/>
    <cellStyle name="40% - Accent2 10" xfId="943" hidden="1" xr:uid="{00000000-0005-0000-0000-0000EC100000}"/>
    <cellStyle name="40% - Accent2 10" xfId="1019" hidden="1" xr:uid="{00000000-0005-0000-0000-0000ED100000}"/>
    <cellStyle name="40% - Accent2 10" xfId="1098" hidden="1" xr:uid="{00000000-0005-0000-0000-0000EE100000}"/>
    <cellStyle name="40% - Accent2 10" xfId="724" hidden="1" xr:uid="{00000000-0005-0000-0000-0000EF100000}"/>
    <cellStyle name="40% - Accent2 10" xfId="685" hidden="1" xr:uid="{00000000-0005-0000-0000-0000F0100000}"/>
    <cellStyle name="40% - Accent2 10" xfId="807" hidden="1" xr:uid="{00000000-0005-0000-0000-0000F1100000}"/>
    <cellStyle name="40% - Accent2 10" xfId="1538" hidden="1" xr:uid="{00000000-0005-0000-0000-0000F2100000}"/>
    <cellStyle name="40% - Accent2 10" xfId="1614" hidden="1" xr:uid="{00000000-0005-0000-0000-0000F3100000}"/>
    <cellStyle name="40% - Accent2 10" xfId="1692" hidden="1" xr:uid="{00000000-0005-0000-0000-0000F4100000}"/>
    <cellStyle name="40% - Accent2 10" xfId="622" hidden="1" xr:uid="{00000000-0005-0000-0000-0000F5100000}"/>
    <cellStyle name="40% - Accent2 10" xfId="821" hidden="1" xr:uid="{00000000-0005-0000-0000-0000F6100000}"/>
    <cellStyle name="40% - Accent2 10" xfId="1163" hidden="1" xr:uid="{00000000-0005-0000-0000-0000F7100000}"/>
    <cellStyle name="40% - Accent2 10" xfId="2070" hidden="1" xr:uid="{00000000-0005-0000-0000-0000F8100000}"/>
    <cellStyle name="40% - Accent2 10" xfId="2146" hidden="1" xr:uid="{00000000-0005-0000-0000-0000F9100000}"/>
    <cellStyle name="40% - Accent2 10" xfId="2224" hidden="1" xr:uid="{00000000-0005-0000-0000-0000FA100000}"/>
    <cellStyle name="40% - Accent2 10" xfId="2407" hidden="1" xr:uid="{00000000-0005-0000-0000-0000FB100000}"/>
    <cellStyle name="40% - Accent2 10" xfId="2483" hidden="1" xr:uid="{00000000-0005-0000-0000-0000FC100000}"/>
    <cellStyle name="40% - Accent2 10" xfId="2561" hidden="1" xr:uid="{00000000-0005-0000-0000-0000FD100000}"/>
    <cellStyle name="40% - Accent2 10" xfId="2744" hidden="1" xr:uid="{00000000-0005-0000-0000-0000FE100000}"/>
    <cellStyle name="40% - Accent2 10" xfId="2820" hidden="1" xr:uid="{00000000-0005-0000-0000-0000FF100000}"/>
    <cellStyle name="40% - Accent2 10" xfId="2922" hidden="1" xr:uid="{00000000-0005-0000-0000-000000110000}"/>
    <cellStyle name="40% - Accent2 10" xfId="2996" hidden="1" xr:uid="{00000000-0005-0000-0000-000001110000}"/>
    <cellStyle name="40% - Accent2 10" xfId="3072" hidden="1" xr:uid="{00000000-0005-0000-0000-000002110000}"/>
    <cellStyle name="40% - Accent2 10" xfId="3150" hidden="1" xr:uid="{00000000-0005-0000-0000-000003110000}"/>
    <cellStyle name="40% - Accent2 10" xfId="3735" hidden="1" xr:uid="{00000000-0005-0000-0000-000004110000}"/>
    <cellStyle name="40% - Accent2 10" xfId="3811" hidden="1" xr:uid="{00000000-0005-0000-0000-000005110000}"/>
    <cellStyle name="40% - Accent2 10" xfId="3890" hidden="1" xr:uid="{00000000-0005-0000-0000-000006110000}"/>
    <cellStyle name="40% - Accent2 10" xfId="3516" hidden="1" xr:uid="{00000000-0005-0000-0000-000007110000}"/>
    <cellStyle name="40% - Accent2 10" xfId="3477" hidden="1" xr:uid="{00000000-0005-0000-0000-000008110000}"/>
    <cellStyle name="40% - Accent2 10" xfId="3599" hidden="1" xr:uid="{00000000-0005-0000-0000-000009110000}"/>
    <cellStyle name="40% - Accent2 10" xfId="4330" hidden="1" xr:uid="{00000000-0005-0000-0000-00000A110000}"/>
    <cellStyle name="40% - Accent2 10" xfId="4406" hidden="1" xr:uid="{00000000-0005-0000-0000-00000B110000}"/>
    <cellStyle name="40% - Accent2 10" xfId="4484" hidden="1" xr:uid="{00000000-0005-0000-0000-00000C110000}"/>
    <cellStyle name="40% - Accent2 10" xfId="3414" hidden="1" xr:uid="{00000000-0005-0000-0000-00000D110000}"/>
    <cellStyle name="40% - Accent2 10" xfId="3613" hidden="1" xr:uid="{00000000-0005-0000-0000-00000E110000}"/>
    <cellStyle name="40% - Accent2 10" xfId="3955" hidden="1" xr:uid="{00000000-0005-0000-0000-00000F110000}"/>
    <cellStyle name="40% - Accent2 10" xfId="4862" hidden="1" xr:uid="{00000000-0005-0000-0000-000010110000}"/>
    <cellStyle name="40% - Accent2 10" xfId="4938" hidden="1" xr:uid="{00000000-0005-0000-0000-000011110000}"/>
    <cellStyle name="40% - Accent2 10" xfId="5016" hidden="1" xr:uid="{00000000-0005-0000-0000-000012110000}"/>
    <cellStyle name="40% - Accent2 10" xfId="5199" hidden="1" xr:uid="{00000000-0005-0000-0000-000013110000}"/>
    <cellStyle name="40% - Accent2 10" xfId="5275" hidden="1" xr:uid="{00000000-0005-0000-0000-000014110000}"/>
    <cellStyle name="40% - Accent2 10" xfId="5353" hidden="1" xr:uid="{00000000-0005-0000-0000-000015110000}"/>
    <cellStyle name="40% - Accent2 10" xfId="5536" hidden="1" xr:uid="{00000000-0005-0000-0000-000016110000}"/>
    <cellStyle name="40% - Accent2 10" xfId="5612" hidden="1" xr:uid="{00000000-0005-0000-0000-000017110000}"/>
    <cellStyle name="40% - Accent2 10" xfId="5714" hidden="1" xr:uid="{00000000-0005-0000-0000-000018110000}"/>
    <cellStyle name="40% - Accent2 10" xfId="5788" hidden="1" xr:uid="{00000000-0005-0000-0000-000019110000}"/>
    <cellStyle name="40% - Accent2 10" xfId="5864" hidden="1" xr:uid="{00000000-0005-0000-0000-00001A110000}"/>
    <cellStyle name="40% - Accent2 10" xfId="5942" hidden="1" xr:uid="{00000000-0005-0000-0000-00001B110000}"/>
    <cellStyle name="40% - Accent2 10" xfId="6527" hidden="1" xr:uid="{00000000-0005-0000-0000-00001C110000}"/>
    <cellStyle name="40% - Accent2 10" xfId="6603" hidden="1" xr:uid="{00000000-0005-0000-0000-00001D110000}"/>
    <cellStyle name="40% - Accent2 10" xfId="6682" hidden="1" xr:uid="{00000000-0005-0000-0000-00001E110000}"/>
    <cellStyle name="40% - Accent2 10" xfId="6308" hidden="1" xr:uid="{00000000-0005-0000-0000-00001F110000}"/>
    <cellStyle name="40% - Accent2 10" xfId="6269" hidden="1" xr:uid="{00000000-0005-0000-0000-000020110000}"/>
    <cellStyle name="40% - Accent2 10" xfId="6391" hidden="1" xr:uid="{00000000-0005-0000-0000-000021110000}"/>
    <cellStyle name="40% - Accent2 10" xfId="7122" hidden="1" xr:uid="{00000000-0005-0000-0000-000022110000}"/>
    <cellStyle name="40% - Accent2 10" xfId="7198" hidden="1" xr:uid="{00000000-0005-0000-0000-000023110000}"/>
    <cellStyle name="40% - Accent2 10" xfId="7276" hidden="1" xr:uid="{00000000-0005-0000-0000-000024110000}"/>
    <cellStyle name="40% - Accent2 10" xfId="6206" hidden="1" xr:uid="{00000000-0005-0000-0000-000025110000}"/>
    <cellStyle name="40% - Accent2 10" xfId="6405" hidden="1" xr:uid="{00000000-0005-0000-0000-000026110000}"/>
    <cellStyle name="40% - Accent2 10" xfId="6747" hidden="1" xr:uid="{00000000-0005-0000-0000-000027110000}"/>
    <cellStyle name="40% - Accent2 10" xfId="7654" hidden="1" xr:uid="{00000000-0005-0000-0000-000028110000}"/>
    <cellStyle name="40% - Accent2 10" xfId="7730" hidden="1" xr:uid="{00000000-0005-0000-0000-000029110000}"/>
    <cellStyle name="40% - Accent2 10" xfId="7808" hidden="1" xr:uid="{00000000-0005-0000-0000-00002A110000}"/>
    <cellStyle name="40% - Accent2 10" xfId="7991" hidden="1" xr:uid="{00000000-0005-0000-0000-00002B110000}"/>
    <cellStyle name="40% - Accent2 10" xfId="8067" hidden="1" xr:uid="{00000000-0005-0000-0000-00002C110000}"/>
    <cellStyle name="40% - Accent2 10" xfId="8145" hidden="1" xr:uid="{00000000-0005-0000-0000-00002D110000}"/>
    <cellStyle name="40% - Accent2 10" xfId="8328" hidden="1" xr:uid="{00000000-0005-0000-0000-00002E110000}"/>
    <cellStyle name="40% - Accent2 10" xfId="8404" hidden="1" xr:uid="{00000000-0005-0000-0000-00002F110000}"/>
    <cellStyle name="40% - Accent2 11" xfId="143" hidden="1" xr:uid="{00000000-0005-0000-0000-000030110000}"/>
    <cellStyle name="40% - Accent2 11" xfId="218" hidden="1" xr:uid="{00000000-0005-0000-0000-000031110000}"/>
    <cellStyle name="40% - Accent2 11" xfId="293" hidden="1" xr:uid="{00000000-0005-0000-0000-000032110000}"/>
    <cellStyle name="40% - Accent2 11" xfId="371" hidden="1" xr:uid="{00000000-0005-0000-0000-000033110000}"/>
    <cellStyle name="40% - Accent2 11" xfId="957" hidden="1" xr:uid="{00000000-0005-0000-0000-000034110000}"/>
    <cellStyle name="40% - Accent2 11" xfId="1032" hidden="1" xr:uid="{00000000-0005-0000-0000-000035110000}"/>
    <cellStyle name="40% - Accent2 11" xfId="1111" hidden="1" xr:uid="{00000000-0005-0000-0000-000036110000}"/>
    <cellStyle name="40% - Accent2 11" xfId="1337" hidden="1" xr:uid="{00000000-0005-0000-0000-000037110000}"/>
    <cellStyle name="40% - Accent2 11" xfId="610" hidden="1" xr:uid="{00000000-0005-0000-0000-000038110000}"/>
    <cellStyle name="40% - Accent2 11" xfId="696" hidden="1" xr:uid="{00000000-0005-0000-0000-000039110000}"/>
    <cellStyle name="40% - Accent2 11" xfId="1552" hidden="1" xr:uid="{00000000-0005-0000-0000-00003A110000}"/>
    <cellStyle name="40% - Accent2 11" xfId="1627" hidden="1" xr:uid="{00000000-0005-0000-0000-00003B110000}"/>
    <cellStyle name="40% - Accent2 11" xfId="1705" hidden="1" xr:uid="{00000000-0005-0000-0000-00003C110000}"/>
    <cellStyle name="40% - Accent2 11" xfId="1896" hidden="1" xr:uid="{00000000-0005-0000-0000-00003D110000}"/>
    <cellStyle name="40% - Accent2 11" xfId="1124" hidden="1" xr:uid="{00000000-0005-0000-0000-00003E110000}"/>
    <cellStyle name="40% - Accent2 11" xfId="1341" hidden="1" xr:uid="{00000000-0005-0000-0000-00003F110000}"/>
    <cellStyle name="40% - Accent2 11" xfId="2084" hidden="1" xr:uid="{00000000-0005-0000-0000-000040110000}"/>
    <cellStyle name="40% - Accent2 11" xfId="2159" hidden="1" xr:uid="{00000000-0005-0000-0000-000041110000}"/>
    <cellStyle name="40% - Accent2 11" xfId="2237" hidden="1" xr:uid="{00000000-0005-0000-0000-000042110000}"/>
    <cellStyle name="40% - Accent2 11" xfId="2421" hidden="1" xr:uid="{00000000-0005-0000-0000-000043110000}"/>
    <cellStyle name="40% - Accent2 11" xfId="2496" hidden="1" xr:uid="{00000000-0005-0000-0000-000044110000}"/>
    <cellStyle name="40% - Accent2 11" xfId="2574" hidden="1" xr:uid="{00000000-0005-0000-0000-000045110000}"/>
    <cellStyle name="40% - Accent2 11" xfId="2758" hidden="1" xr:uid="{00000000-0005-0000-0000-000046110000}"/>
    <cellStyle name="40% - Accent2 11" xfId="2833" hidden="1" xr:uid="{00000000-0005-0000-0000-000047110000}"/>
    <cellStyle name="40% - Accent2 11" xfId="2935" hidden="1" xr:uid="{00000000-0005-0000-0000-000048110000}"/>
    <cellStyle name="40% - Accent2 11" xfId="3010" hidden="1" xr:uid="{00000000-0005-0000-0000-000049110000}"/>
    <cellStyle name="40% - Accent2 11" xfId="3085" hidden="1" xr:uid="{00000000-0005-0000-0000-00004A110000}"/>
    <cellStyle name="40% - Accent2 11" xfId="3163" hidden="1" xr:uid="{00000000-0005-0000-0000-00004B110000}"/>
    <cellStyle name="40% - Accent2 11" xfId="3749" hidden="1" xr:uid="{00000000-0005-0000-0000-00004C110000}"/>
    <cellStyle name="40% - Accent2 11" xfId="3824" hidden="1" xr:uid="{00000000-0005-0000-0000-00004D110000}"/>
    <cellStyle name="40% - Accent2 11" xfId="3903" hidden="1" xr:uid="{00000000-0005-0000-0000-00004E110000}"/>
    <cellStyle name="40% - Accent2 11" xfId="4129" hidden="1" xr:uid="{00000000-0005-0000-0000-00004F110000}"/>
    <cellStyle name="40% - Accent2 11" xfId="3402" hidden="1" xr:uid="{00000000-0005-0000-0000-000050110000}"/>
    <cellStyle name="40% - Accent2 11" xfId="3488" hidden="1" xr:uid="{00000000-0005-0000-0000-000051110000}"/>
    <cellStyle name="40% - Accent2 11" xfId="4344" hidden="1" xr:uid="{00000000-0005-0000-0000-000052110000}"/>
    <cellStyle name="40% - Accent2 11" xfId="4419" hidden="1" xr:uid="{00000000-0005-0000-0000-000053110000}"/>
    <cellStyle name="40% - Accent2 11" xfId="4497" hidden="1" xr:uid="{00000000-0005-0000-0000-000054110000}"/>
    <cellStyle name="40% - Accent2 11" xfId="4688" hidden="1" xr:uid="{00000000-0005-0000-0000-000055110000}"/>
    <cellStyle name="40% - Accent2 11" xfId="3916" hidden="1" xr:uid="{00000000-0005-0000-0000-000056110000}"/>
    <cellStyle name="40% - Accent2 11" xfId="4133" hidden="1" xr:uid="{00000000-0005-0000-0000-000057110000}"/>
    <cellStyle name="40% - Accent2 11" xfId="4876" hidden="1" xr:uid="{00000000-0005-0000-0000-000058110000}"/>
    <cellStyle name="40% - Accent2 11" xfId="4951" hidden="1" xr:uid="{00000000-0005-0000-0000-000059110000}"/>
    <cellStyle name="40% - Accent2 11" xfId="5029" hidden="1" xr:uid="{00000000-0005-0000-0000-00005A110000}"/>
    <cellStyle name="40% - Accent2 11" xfId="5213" hidden="1" xr:uid="{00000000-0005-0000-0000-00005B110000}"/>
    <cellStyle name="40% - Accent2 11" xfId="5288" hidden="1" xr:uid="{00000000-0005-0000-0000-00005C110000}"/>
    <cellStyle name="40% - Accent2 11" xfId="5366" hidden="1" xr:uid="{00000000-0005-0000-0000-00005D110000}"/>
    <cellStyle name="40% - Accent2 11" xfId="5550" hidden="1" xr:uid="{00000000-0005-0000-0000-00005E110000}"/>
    <cellStyle name="40% - Accent2 11" xfId="5625" hidden="1" xr:uid="{00000000-0005-0000-0000-00005F110000}"/>
    <cellStyle name="40% - Accent2 11" xfId="5727" hidden="1" xr:uid="{00000000-0005-0000-0000-000060110000}"/>
    <cellStyle name="40% - Accent2 11" xfId="5802" hidden="1" xr:uid="{00000000-0005-0000-0000-000061110000}"/>
    <cellStyle name="40% - Accent2 11" xfId="5877" hidden="1" xr:uid="{00000000-0005-0000-0000-000062110000}"/>
    <cellStyle name="40% - Accent2 11" xfId="5955" hidden="1" xr:uid="{00000000-0005-0000-0000-000063110000}"/>
    <cellStyle name="40% - Accent2 11" xfId="6541" hidden="1" xr:uid="{00000000-0005-0000-0000-000064110000}"/>
    <cellStyle name="40% - Accent2 11" xfId="6616" hidden="1" xr:uid="{00000000-0005-0000-0000-000065110000}"/>
    <cellStyle name="40% - Accent2 11" xfId="6695" hidden="1" xr:uid="{00000000-0005-0000-0000-000066110000}"/>
    <cellStyle name="40% - Accent2 11" xfId="6921" hidden="1" xr:uid="{00000000-0005-0000-0000-000067110000}"/>
    <cellStyle name="40% - Accent2 11" xfId="6194" hidden="1" xr:uid="{00000000-0005-0000-0000-000068110000}"/>
    <cellStyle name="40% - Accent2 11" xfId="6280" hidden="1" xr:uid="{00000000-0005-0000-0000-000069110000}"/>
    <cellStyle name="40% - Accent2 11" xfId="7136" hidden="1" xr:uid="{00000000-0005-0000-0000-00006A110000}"/>
    <cellStyle name="40% - Accent2 11" xfId="7211" hidden="1" xr:uid="{00000000-0005-0000-0000-00006B110000}"/>
    <cellStyle name="40% - Accent2 11" xfId="7289" hidden="1" xr:uid="{00000000-0005-0000-0000-00006C110000}"/>
    <cellStyle name="40% - Accent2 11" xfId="7480" hidden="1" xr:uid="{00000000-0005-0000-0000-00006D110000}"/>
    <cellStyle name="40% - Accent2 11" xfId="6708" hidden="1" xr:uid="{00000000-0005-0000-0000-00006E110000}"/>
    <cellStyle name="40% - Accent2 11" xfId="6925" hidden="1" xr:uid="{00000000-0005-0000-0000-00006F110000}"/>
    <cellStyle name="40% - Accent2 11" xfId="7668" hidden="1" xr:uid="{00000000-0005-0000-0000-000070110000}"/>
    <cellStyle name="40% - Accent2 11" xfId="7743" hidden="1" xr:uid="{00000000-0005-0000-0000-000071110000}"/>
    <cellStyle name="40% - Accent2 11" xfId="7821" hidden="1" xr:uid="{00000000-0005-0000-0000-000072110000}"/>
    <cellStyle name="40% - Accent2 11" xfId="8005" hidden="1" xr:uid="{00000000-0005-0000-0000-000073110000}"/>
    <cellStyle name="40% - Accent2 11" xfId="8080" hidden="1" xr:uid="{00000000-0005-0000-0000-000074110000}"/>
    <cellStyle name="40% - Accent2 11" xfId="8158" hidden="1" xr:uid="{00000000-0005-0000-0000-000075110000}"/>
    <cellStyle name="40% - Accent2 11" xfId="8342" hidden="1" xr:uid="{00000000-0005-0000-0000-000076110000}"/>
    <cellStyle name="40% - Accent2 11" xfId="8417" hidden="1" xr:uid="{00000000-0005-0000-0000-000077110000}"/>
    <cellStyle name="40% - Accent2 12" xfId="384" hidden="1" xr:uid="{00000000-0005-0000-0000-000078110000}"/>
    <cellStyle name="40% - Accent2 12" xfId="499" hidden="1" xr:uid="{00000000-0005-0000-0000-000079110000}"/>
    <cellStyle name="40% - Accent2 12" xfId="1222" hidden="1" xr:uid="{00000000-0005-0000-0000-00007A110000}"/>
    <cellStyle name="40% - Accent2 12" xfId="1395" hidden="1" xr:uid="{00000000-0005-0000-0000-00007B110000}"/>
    <cellStyle name="40% - Accent2 12" xfId="1788" hidden="1" xr:uid="{00000000-0005-0000-0000-00007C110000}"/>
    <cellStyle name="40% - Accent2 12" xfId="1936" hidden="1" xr:uid="{00000000-0005-0000-0000-00007D110000}"/>
    <cellStyle name="40% - Accent2 12" xfId="2274" hidden="1" xr:uid="{00000000-0005-0000-0000-00007E110000}"/>
    <cellStyle name="40% - Accent2 12" xfId="2611" hidden="1" xr:uid="{00000000-0005-0000-0000-00007F110000}"/>
    <cellStyle name="40% - Accent2 12" xfId="3176" hidden="1" xr:uid="{00000000-0005-0000-0000-000080110000}"/>
    <cellStyle name="40% - Accent2 12" xfId="3291" hidden="1" xr:uid="{00000000-0005-0000-0000-000081110000}"/>
    <cellStyle name="40% - Accent2 12" xfId="4014" hidden="1" xr:uid="{00000000-0005-0000-0000-000082110000}"/>
    <cellStyle name="40% - Accent2 12" xfId="4187" hidden="1" xr:uid="{00000000-0005-0000-0000-000083110000}"/>
    <cellStyle name="40% - Accent2 12" xfId="4580" hidden="1" xr:uid="{00000000-0005-0000-0000-000084110000}"/>
    <cellStyle name="40% - Accent2 12" xfId="4728" hidden="1" xr:uid="{00000000-0005-0000-0000-000085110000}"/>
    <cellStyle name="40% - Accent2 12" xfId="5066" hidden="1" xr:uid="{00000000-0005-0000-0000-000086110000}"/>
    <cellStyle name="40% - Accent2 12" xfId="5403" hidden="1" xr:uid="{00000000-0005-0000-0000-000087110000}"/>
    <cellStyle name="40% - Accent2 12" xfId="5968" hidden="1" xr:uid="{00000000-0005-0000-0000-000088110000}"/>
    <cellStyle name="40% - Accent2 12" xfId="6083" hidden="1" xr:uid="{00000000-0005-0000-0000-000089110000}"/>
    <cellStyle name="40% - Accent2 12" xfId="6806" hidden="1" xr:uid="{00000000-0005-0000-0000-00008A110000}"/>
    <cellStyle name="40% - Accent2 12" xfId="6979" hidden="1" xr:uid="{00000000-0005-0000-0000-00008B110000}"/>
    <cellStyle name="40% - Accent2 12" xfId="7372" hidden="1" xr:uid="{00000000-0005-0000-0000-00008C110000}"/>
    <cellStyle name="40% - Accent2 12" xfId="7520" hidden="1" xr:uid="{00000000-0005-0000-0000-00008D110000}"/>
    <cellStyle name="40% - Accent2 12" xfId="7858" hidden="1" xr:uid="{00000000-0005-0000-0000-00008E110000}"/>
    <cellStyle name="40% - Accent2 12" xfId="8195" hidden="1" xr:uid="{00000000-0005-0000-0000-00008F110000}"/>
    <cellStyle name="40% - Accent2 3 2 3 2" xfId="470" hidden="1" xr:uid="{00000000-0005-0000-0000-000090110000}"/>
    <cellStyle name="40% - Accent2 3 2 3 2" xfId="585" hidden="1" xr:uid="{00000000-0005-0000-0000-000091110000}"/>
    <cellStyle name="40% - Accent2 3 2 3 2" xfId="1308" hidden="1" xr:uid="{00000000-0005-0000-0000-000092110000}"/>
    <cellStyle name="40% - Accent2 3 2 3 2" xfId="1481" hidden="1" xr:uid="{00000000-0005-0000-0000-000093110000}"/>
    <cellStyle name="40% - Accent2 3 2 3 2" xfId="1874" hidden="1" xr:uid="{00000000-0005-0000-0000-000094110000}"/>
    <cellStyle name="40% - Accent2 3 2 3 2" xfId="2022" hidden="1" xr:uid="{00000000-0005-0000-0000-000095110000}"/>
    <cellStyle name="40% - Accent2 3 2 3 2" xfId="2360" hidden="1" xr:uid="{00000000-0005-0000-0000-000096110000}"/>
    <cellStyle name="40% - Accent2 3 2 3 2" xfId="2697" hidden="1" xr:uid="{00000000-0005-0000-0000-000097110000}"/>
    <cellStyle name="40% - Accent2 3 2 3 2" xfId="3262" hidden="1" xr:uid="{00000000-0005-0000-0000-000098110000}"/>
    <cellStyle name="40% - Accent2 3 2 3 2" xfId="3377" hidden="1" xr:uid="{00000000-0005-0000-0000-000099110000}"/>
    <cellStyle name="40% - Accent2 3 2 3 2" xfId="4100" hidden="1" xr:uid="{00000000-0005-0000-0000-00009A110000}"/>
    <cellStyle name="40% - Accent2 3 2 3 2" xfId="4273" hidden="1" xr:uid="{00000000-0005-0000-0000-00009B110000}"/>
    <cellStyle name="40% - Accent2 3 2 3 2" xfId="4666" hidden="1" xr:uid="{00000000-0005-0000-0000-00009C110000}"/>
    <cellStyle name="40% - Accent2 3 2 3 2" xfId="4814" hidden="1" xr:uid="{00000000-0005-0000-0000-00009D110000}"/>
    <cellStyle name="40% - Accent2 3 2 3 2" xfId="5152" hidden="1" xr:uid="{00000000-0005-0000-0000-00009E110000}"/>
    <cellStyle name="40% - Accent2 3 2 3 2" xfId="5489" hidden="1" xr:uid="{00000000-0005-0000-0000-00009F110000}"/>
    <cellStyle name="40% - Accent2 3 2 3 2" xfId="6054" hidden="1" xr:uid="{00000000-0005-0000-0000-0000A0110000}"/>
    <cellStyle name="40% - Accent2 3 2 3 2" xfId="6169" hidden="1" xr:uid="{00000000-0005-0000-0000-0000A1110000}"/>
    <cellStyle name="40% - Accent2 3 2 3 2" xfId="6892" hidden="1" xr:uid="{00000000-0005-0000-0000-0000A2110000}"/>
    <cellStyle name="40% - Accent2 3 2 3 2" xfId="7065" hidden="1" xr:uid="{00000000-0005-0000-0000-0000A3110000}"/>
    <cellStyle name="40% - Accent2 3 2 3 2" xfId="7458" hidden="1" xr:uid="{00000000-0005-0000-0000-0000A4110000}"/>
    <cellStyle name="40% - Accent2 3 2 3 2" xfId="7606" hidden="1" xr:uid="{00000000-0005-0000-0000-0000A5110000}"/>
    <cellStyle name="40% - Accent2 3 2 3 2" xfId="7944" hidden="1" xr:uid="{00000000-0005-0000-0000-0000A6110000}"/>
    <cellStyle name="40% - Accent2 3 2 3 2" xfId="8281" hidden="1" xr:uid="{00000000-0005-0000-0000-0000A7110000}"/>
    <cellStyle name="40% - Accent2 3 2 4 2" xfId="435" hidden="1" xr:uid="{00000000-0005-0000-0000-0000A8110000}"/>
    <cellStyle name="40% - Accent2 3 2 4 2" xfId="550" hidden="1" xr:uid="{00000000-0005-0000-0000-0000A9110000}"/>
    <cellStyle name="40% - Accent2 3 2 4 2" xfId="1273" hidden="1" xr:uid="{00000000-0005-0000-0000-0000AA110000}"/>
    <cellStyle name="40% - Accent2 3 2 4 2" xfId="1446" hidden="1" xr:uid="{00000000-0005-0000-0000-0000AB110000}"/>
    <cellStyle name="40% - Accent2 3 2 4 2" xfId="1839" hidden="1" xr:uid="{00000000-0005-0000-0000-0000AC110000}"/>
    <cellStyle name="40% - Accent2 3 2 4 2" xfId="1987" hidden="1" xr:uid="{00000000-0005-0000-0000-0000AD110000}"/>
    <cellStyle name="40% - Accent2 3 2 4 2" xfId="2325" hidden="1" xr:uid="{00000000-0005-0000-0000-0000AE110000}"/>
    <cellStyle name="40% - Accent2 3 2 4 2" xfId="2662" hidden="1" xr:uid="{00000000-0005-0000-0000-0000AF110000}"/>
    <cellStyle name="40% - Accent2 3 2 4 2" xfId="3227" hidden="1" xr:uid="{00000000-0005-0000-0000-0000B0110000}"/>
    <cellStyle name="40% - Accent2 3 2 4 2" xfId="3342" hidden="1" xr:uid="{00000000-0005-0000-0000-0000B1110000}"/>
    <cellStyle name="40% - Accent2 3 2 4 2" xfId="4065" hidden="1" xr:uid="{00000000-0005-0000-0000-0000B2110000}"/>
    <cellStyle name="40% - Accent2 3 2 4 2" xfId="4238" hidden="1" xr:uid="{00000000-0005-0000-0000-0000B3110000}"/>
    <cellStyle name="40% - Accent2 3 2 4 2" xfId="4631" hidden="1" xr:uid="{00000000-0005-0000-0000-0000B4110000}"/>
    <cellStyle name="40% - Accent2 3 2 4 2" xfId="4779" hidden="1" xr:uid="{00000000-0005-0000-0000-0000B5110000}"/>
    <cellStyle name="40% - Accent2 3 2 4 2" xfId="5117" hidden="1" xr:uid="{00000000-0005-0000-0000-0000B6110000}"/>
    <cellStyle name="40% - Accent2 3 2 4 2" xfId="5454" hidden="1" xr:uid="{00000000-0005-0000-0000-0000B7110000}"/>
    <cellStyle name="40% - Accent2 3 2 4 2" xfId="6019" hidden="1" xr:uid="{00000000-0005-0000-0000-0000B8110000}"/>
    <cellStyle name="40% - Accent2 3 2 4 2" xfId="6134" hidden="1" xr:uid="{00000000-0005-0000-0000-0000B9110000}"/>
    <cellStyle name="40% - Accent2 3 2 4 2" xfId="6857" hidden="1" xr:uid="{00000000-0005-0000-0000-0000BA110000}"/>
    <cellStyle name="40% - Accent2 3 2 4 2" xfId="7030" hidden="1" xr:uid="{00000000-0005-0000-0000-0000BB110000}"/>
    <cellStyle name="40% - Accent2 3 2 4 2" xfId="7423" hidden="1" xr:uid="{00000000-0005-0000-0000-0000BC110000}"/>
    <cellStyle name="40% - Accent2 3 2 4 2" xfId="7571" hidden="1" xr:uid="{00000000-0005-0000-0000-0000BD110000}"/>
    <cellStyle name="40% - Accent2 3 2 4 2" xfId="7909" hidden="1" xr:uid="{00000000-0005-0000-0000-0000BE110000}"/>
    <cellStyle name="40% - Accent2 3 2 4 2" xfId="8246" hidden="1" xr:uid="{00000000-0005-0000-0000-0000BF110000}"/>
    <cellStyle name="40% - Accent2 3 3 3 2" xfId="434" hidden="1" xr:uid="{00000000-0005-0000-0000-0000C0110000}"/>
    <cellStyle name="40% - Accent2 3 3 3 2" xfId="549" hidden="1" xr:uid="{00000000-0005-0000-0000-0000C1110000}"/>
    <cellStyle name="40% - Accent2 3 3 3 2" xfId="1272" hidden="1" xr:uid="{00000000-0005-0000-0000-0000C2110000}"/>
    <cellStyle name="40% - Accent2 3 3 3 2" xfId="1445" hidden="1" xr:uid="{00000000-0005-0000-0000-0000C3110000}"/>
    <cellStyle name="40% - Accent2 3 3 3 2" xfId="1838" hidden="1" xr:uid="{00000000-0005-0000-0000-0000C4110000}"/>
    <cellStyle name="40% - Accent2 3 3 3 2" xfId="1986" hidden="1" xr:uid="{00000000-0005-0000-0000-0000C5110000}"/>
    <cellStyle name="40% - Accent2 3 3 3 2" xfId="2324" hidden="1" xr:uid="{00000000-0005-0000-0000-0000C6110000}"/>
    <cellStyle name="40% - Accent2 3 3 3 2" xfId="2661" hidden="1" xr:uid="{00000000-0005-0000-0000-0000C7110000}"/>
    <cellStyle name="40% - Accent2 3 3 3 2" xfId="3226" hidden="1" xr:uid="{00000000-0005-0000-0000-0000C8110000}"/>
    <cellStyle name="40% - Accent2 3 3 3 2" xfId="3341" hidden="1" xr:uid="{00000000-0005-0000-0000-0000C9110000}"/>
    <cellStyle name="40% - Accent2 3 3 3 2" xfId="4064" hidden="1" xr:uid="{00000000-0005-0000-0000-0000CA110000}"/>
    <cellStyle name="40% - Accent2 3 3 3 2" xfId="4237" hidden="1" xr:uid="{00000000-0005-0000-0000-0000CB110000}"/>
    <cellStyle name="40% - Accent2 3 3 3 2" xfId="4630" hidden="1" xr:uid="{00000000-0005-0000-0000-0000CC110000}"/>
    <cellStyle name="40% - Accent2 3 3 3 2" xfId="4778" hidden="1" xr:uid="{00000000-0005-0000-0000-0000CD110000}"/>
    <cellStyle name="40% - Accent2 3 3 3 2" xfId="5116" hidden="1" xr:uid="{00000000-0005-0000-0000-0000CE110000}"/>
    <cellStyle name="40% - Accent2 3 3 3 2" xfId="5453" hidden="1" xr:uid="{00000000-0005-0000-0000-0000CF110000}"/>
    <cellStyle name="40% - Accent2 3 3 3 2" xfId="6018" hidden="1" xr:uid="{00000000-0005-0000-0000-0000D0110000}"/>
    <cellStyle name="40% - Accent2 3 3 3 2" xfId="6133" hidden="1" xr:uid="{00000000-0005-0000-0000-0000D1110000}"/>
    <cellStyle name="40% - Accent2 3 3 3 2" xfId="6856" hidden="1" xr:uid="{00000000-0005-0000-0000-0000D2110000}"/>
    <cellStyle name="40% - Accent2 3 3 3 2" xfId="7029" hidden="1" xr:uid="{00000000-0005-0000-0000-0000D3110000}"/>
    <cellStyle name="40% - Accent2 3 3 3 2" xfId="7422" hidden="1" xr:uid="{00000000-0005-0000-0000-0000D4110000}"/>
    <cellStyle name="40% - Accent2 3 3 3 2" xfId="7570" hidden="1" xr:uid="{00000000-0005-0000-0000-0000D5110000}"/>
    <cellStyle name="40% - Accent2 3 3 3 2" xfId="7908" hidden="1" xr:uid="{00000000-0005-0000-0000-0000D6110000}"/>
    <cellStyle name="40% - Accent2 3 3 3 2" xfId="8245" hidden="1" xr:uid="{00000000-0005-0000-0000-0000D7110000}"/>
    <cellStyle name="40% - Accent2 4 2 2" xfId="436" hidden="1" xr:uid="{00000000-0005-0000-0000-0000D8110000}"/>
    <cellStyle name="40% - Accent2 4 2 2" xfId="551" hidden="1" xr:uid="{00000000-0005-0000-0000-0000D9110000}"/>
    <cellStyle name="40% - Accent2 4 2 2" xfId="1274" hidden="1" xr:uid="{00000000-0005-0000-0000-0000DA110000}"/>
    <cellStyle name="40% - Accent2 4 2 2" xfId="1447" hidden="1" xr:uid="{00000000-0005-0000-0000-0000DB110000}"/>
    <cellStyle name="40% - Accent2 4 2 2" xfId="1840" hidden="1" xr:uid="{00000000-0005-0000-0000-0000DC110000}"/>
    <cellStyle name="40% - Accent2 4 2 2" xfId="1988" hidden="1" xr:uid="{00000000-0005-0000-0000-0000DD110000}"/>
    <cellStyle name="40% - Accent2 4 2 2" xfId="2326" hidden="1" xr:uid="{00000000-0005-0000-0000-0000DE110000}"/>
    <cellStyle name="40% - Accent2 4 2 2" xfId="2663" hidden="1" xr:uid="{00000000-0005-0000-0000-0000DF110000}"/>
    <cellStyle name="40% - Accent2 4 2 2" xfId="3228" hidden="1" xr:uid="{00000000-0005-0000-0000-0000E0110000}"/>
    <cellStyle name="40% - Accent2 4 2 2" xfId="3343" hidden="1" xr:uid="{00000000-0005-0000-0000-0000E1110000}"/>
    <cellStyle name="40% - Accent2 4 2 2" xfId="4066" hidden="1" xr:uid="{00000000-0005-0000-0000-0000E2110000}"/>
    <cellStyle name="40% - Accent2 4 2 2" xfId="4239" hidden="1" xr:uid="{00000000-0005-0000-0000-0000E3110000}"/>
    <cellStyle name="40% - Accent2 4 2 2" xfId="4632" hidden="1" xr:uid="{00000000-0005-0000-0000-0000E4110000}"/>
    <cellStyle name="40% - Accent2 4 2 2" xfId="4780" hidden="1" xr:uid="{00000000-0005-0000-0000-0000E5110000}"/>
    <cellStyle name="40% - Accent2 4 2 2" xfId="5118" hidden="1" xr:uid="{00000000-0005-0000-0000-0000E6110000}"/>
    <cellStyle name="40% - Accent2 4 2 2" xfId="5455" hidden="1" xr:uid="{00000000-0005-0000-0000-0000E7110000}"/>
    <cellStyle name="40% - Accent2 4 2 2" xfId="6020" hidden="1" xr:uid="{00000000-0005-0000-0000-0000E8110000}"/>
    <cellStyle name="40% - Accent2 4 2 2" xfId="6135" hidden="1" xr:uid="{00000000-0005-0000-0000-0000E9110000}"/>
    <cellStyle name="40% - Accent2 4 2 2" xfId="6858" hidden="1" xr:uid="{00000000-0005-0000-0000-0000EA110000}"/>
    <cellStyle name="40% - Accent2 4 2 2" xfId="7031" hidden="1" xr:uid="{00000000-0005-0000-0000-0000EB110000}"/>
    <cellStyle name="40% - Accent2 4 2 2" xfId="7424" hidden="1" xr:uid="{00000000-0005-0000-0000-0000EC110000}"/>
    <cellStyle name="40% - Accent2 4 2 2" xfId="7572" hidden="1" xr:uid="{00000000-0005-0000-0000-0000ED110000}"/>
    <cellStyle name="40% - Accent2 4 2 2" xfId="7910" hidden="1" xr:uid="{00000000-0005-0000-0000-0000EE110000}"/>
    <cellStyle name="40% - Accent2 4 2 2" xfId="8247" hidden="1" xr:uid="{00000000-0005-0000-0000-0000EF110000}"/>
    <cellStyle name="40% - Accent2 4 3" xfId="398" hidden="1" xr:uid="{00000000-0005-0000-0000-0000F0110000}"/>
    <cellStyle name="40% - Accent2 4 3" xfId="513" hidden="1" xr:uid="{00000000-0005-0000-0000-0000F1110000}"/>
    <cellStyle name="40% - Accent2 4 3" xfId="1236" hidden="1" xr:uid="{00000000-0005-0000-0000-0000F2110000}"/>
    <cellStyle name="40% - Accent2 4 3" xfId="1409" hidden="1" xr:uid="{00000000-0005-0000-0000-0000F3110000}"/>
    <cellStyle name="40% - Accent2 4 3" xfId="1802" hidden="1" xr:uid="{00000000-0005-0000-0000-0000F4110000}"/>
    <cellStyle name="40% - Accent2 4 3" xfId="1950" hidden="1" xr:uid="{00000000-0005-0000-0000-0000F5110000}"/>
    <cellStyle name="40% - Accent2 4 3" xfId="2288" hidden="1" xr:uid="{00000000-0005-0000-0000-0000F6110000}"/>
    <cellStyle name="40% - Accent2 4 3" xfId="2625" hidden="1" xr:uid="{00000000-0005-0000-0000-0000F7110000}"/>
    <cellStyle name="40% - Accent2 4 3" xfId="3190" hidden="1" xr:uid="{00000000-0005-0000-0000-0000F8110000}"/>
    <cellStyle name="40% - Accent2 4 3" xfId="3305" hidden="1" xr:uid="{00000000-0005-0000-0000-0000F9110000}"/>
    <cellStyle name="40% - Accent2 4 3" xfId="4028" hidden="1" xr:uid="{00000000-0005-0000-0000-0000FA110000}"/>
    <cellStyle name="40% - Accent2 4 3" xfId="4201" hidden="1" xr:uid="{00000000-0005-0000-0000-0000FB110000}"/>
    <cellStyle name="40% - Accent2 4 3" xfId="4594" hidden="1" xr:uid="{00000000-0005-0000-0000-0000FC110000}"/>
    <cellStyle name="40% - Accent2 4 3" xfId="4742" hidden="1" xr:uid="{00000000-0005-0000-0000-0000FD110000}"/>
    <cellStyle name="40% - Accent2 4 3" xfId="5080" hidden="1" xr:uid="{00000000-0005-0000-0000-0000FE110000}"/>
    <cellStyle name="40% - Accent2 4 3" xfId="5417" hidden="1" xr:uid="{00000000-0005-0000-0000-0000FF110000}"/>
    <cellStyle name="40% - Accent2 4 3" xfId="5982" hidden="1" xr:uid="{00000000-0005-0000-0000-000000120000}"/>
    <cellStyle name="40% - Accent2 4 3" xfId="6097" hidden="1" xr:uid="{00000000-0005-0000-0000-000001120000}"/>
    <cellStyle name="40% - Accent2 4 3" xfId="6820" hidden="1" xr:uid="{00000000-0005-0000-0000-000002120000}"/>
    <cellStyle name="40% - Accent2 4 3" xfId="6993" hidden="1" xr:uid="{00000000-0005-0000-0000-000003120000}"/>
    <cellStyle name="40% - Accent2 4 3" xfId="7386" hidden="1" xr:uid="{00000000-0005-0000-0000-000004120000}"/>
    <cellStyle name="40% - Accent2 4 3" xfId="7534" hidden="1" xr:uid="{00000000-0005-0000-0000-000005120000}"/>
    <cellStyle name="40% - Accent2 4 3" xfId="7872" hidden="1" xr:uid="{00000000-0005-0000-0000-000006120000}"/>
    <cellStyle name="40% - Accent2 4 3" xfId="8209" hidden="1" xr:uid="{00000000-0005-0000-0000-000007120000}"/>
    <cellStyle name="40% - Accent2 6" xfId="75" hidden="1" xr:uid="{00000000-0005-0000-0000-000008120000}"/>
    <cellStyle name="40% - Accent2 6" xfId="71" hidden="1" xr:uid="{00000000-0005-0000-0000-000009120000}"/>
    <cellStyle name="40% - Accent2 6" xfId="172" hidden="1" xr:uid="{00000000-0005-0000-0000-00000A120000}"/>
    <cellStyle name="40% - Accent2 6" xfId="302" hidden="1" xr:uid="{00000000-0005-0000-0000-00000B120000}"/>
    <cellStyle name="40% - Accent2 6" xfId="885" hidden="1" xr:uid="{00000000-0005-0000-0000-00000C120000}"/>
    <cellStyle name="40% - Accent2 6" xfId="911" hidden="1" xr:uid="{00000000-0005-0000-0000-00000D120000}"/>
    <cellStyle name="40% - Accent2 6" xfId="1041" hidden="1" xr:uid="{00000000-0005-0000-0000-00000E120000}"/>
    <cellStyle name="40% - Accent2 6" xfId="1151" hidden="1" xr:uid="{00000000-0005-0000-0000-00000F120000}"/>
    <cellStyle name="40% - Accent2 6" xfId="822" hidden="1" xr:uid="{00000000-0005-0000-0000-000010120000}"/>
    <cellStyle name="40% - Accent2 6" xfId="702" hidden="1" xr:uid="{00000000-0005-0000-0000-000011120000}"/>
    <cellStyle name="40% - Accent2 6" xfId="663" hidden="1" xr:uid="{00000000-0005-0000-0000-000012120000}"/>
    <cellStyle name="40% - Accent2 6" xfId="1506" hidden="1" xr:uid="{00000000-0005-0000-0000-000013120000}"/>
    <cellStyle name="40% - Accent2 6" xfId="1636" hidden="1" xr:uid="{00000000-0005-0000-0000-000014120000}"/>
    <cellStyle name="40% - Accent2 6" xfId="1738" hidden="1" xr:uid="{00000000-0005-0000-0000-000015120000}"/>
    <cellStyle name="40% - Accent2 6" xfId="1329" hidden="1" xr:uid="{00000000-0005-0000-0000-000016120000}"/>
    <cellStyle name="40% - Accent2 6" xfId="615" hidden="1" xr:uid="{00000000-0005-0000-0000-000017120000}"/>
    <cellStyle name="40% - Accent2 6" xfId="670" hidden="1" xr:uid="{00000000-0005-0000-0000-000018120000}"/>
    <cellStyle name="40% - Accent2 6" xfId="2038" hidden="1" xr:uid="{00000000-0005-0000-0000-000019120000}"/>
    <cellStyle name="40% - Accent2 6" xfId="2168" hidden="1" xr:uid="{00000000-0005-0000-0000-00001A120000}"/>
    <cellStyle name="40% - Accent2 6" xfId="2246" hidden="1" xr:uid="{00000000-0005-0000-0000-00001B120000}"/>
    <cellStyle name="40% - Accent2 6" xfId="2375" hidden="1" xr:uid="{00000000-0005-0000-0000-00001C120000}"/>
    <cellStyle name="40% - Accent2 6" xfId="2505" hidden="1" xr:uid="{00000000-0005-0000-0000-00001D120000}"/>
    <cellStyle name="40% - Accent2 6" xfId="2583" hidden="1" xr:uid="{00000000-0005-0000-0000-00001E120000}"/>
    <cellStyle name="40% - Accent2 6" xfId="2712" hidden="1" xr:uid="{00000000-0005-0000-0000-00001F120000}"/>
    <cellStyle name="40% - Accent2 6" xfId="2867" hidden="1" xr:uid="{00000000-0005-0000-0000-000020120000}"/>
    <cellStyle name="40% - Accent2 6" xfId="2863" hidden="1" xr:uid="{00000000-0005-0000-0000-000021120000}"/>
    <cellStyle name="40% - Accent2 6" xfId="2964" hidden="1" xr:uid="{00000000-0005-0000-0000-000022120000}"/>
    <cellStyle name="40% - Accent2 6" xfId="3094" hidden="1" xr:uid="{00000000-0005-0000-0000-000023120000}"/>
    <cellStyle name="40% - Accent2 6" xfId="3677" hidden="1" xr:uid="{00000000-0005-0000-0000-000024120000}"/>
    <cellStyle name="40% - Accent2 6" xfId="3703" hidden="1" xr:uid="{00000000-0005-0000-0000-000025120000}"/>
    <cellStyle name="40% - Accent2 6" xfId="3833" hidden="1" xr:uid="{00000000-0005-0000-0000-000026120000}"/>
    <cellStyle name="40% - Accent2 6" xfId="3943" hidden="1" xr:uid="{00000000-0005-0000-0000-000027120000}"/>
    <cellStyle name="40% - Accent2 6" xfId="3614" hidden="1" xr:uid="{00000000-0005-0000-0000-000028120000}"/>
    <cellStyle name="40% - Accent2 6" xfId="3494" hidden="1" xr:uid="{00000000-0005-0000-0000-000029120000}"/>
    <cellStyle name="40% - Accent2 6" xfId="3455" hidden="1" xr:uid="{00000000-0005-0000-0000-00002A120000}"/>
    <cellStyle name="40% - Accent2 6" xfId="4298" hidden="1" xr:uid="{00000000-0005-0000-0000-00002B120000}"/>
    <cellStyle name="40% - Accent2 6" xfId="4428" hidden="1" xr:uid="{00000000-0005-0000-0000-00002C120000}"/>
    <cellStyle name="40% - Accent2 6" xfId="4530" hidden="1" xr:uid="{00000000-0005-0000-0000-00002D120000}"/>
    <cellStyle name="40% - Accent2 6" xfId="4121" hidden="1" xr:uid="{00000000-0005-0000-0000-00002E120000}"/>
    <cellStyle name="40% - Accent2 6" xfId="3407" hidden="1" xr:uid="{00000000-0005-0000-0000-00002F120000}"/>
    <cellStyle name="40% - Accent2 6" xfId="3462" hidden="1" xr:uid="{00000000-0005-0000-0000-000030120000}"/>
    <cellStyle name="40% - Accent2 6" xfId="4830" hidden="1" xr:uid="{00000000-0005-0000-0000-000031120000}"/>
    <cellStyle name="40% - Accent2 6" xfId="4960" hidden="1" xr:uid="{00000000-0005-0000-0000-000032120000}"/>
    <cellStyle name="40% - Accent2 6" xfId="5038" hidden="1" xr:uid="{00000000-0005-0000-0000-000033120000}"/>
    <cellStyle name="40% - Accent2 6" xfId="5167" hidden="1" xr:uid="{00000000-0005-0000-0000-000034120000}"/>
    <cellStyle name="40% - Accent2 6" xfId="5297" hidden="1" xr:uid="{00000000-0005-0000-0000-000035120000}"/>
    <cellStyle name="40% - Accent2 6" xfId="5375" hidden="1" xr:uid="{00000000-0005-0000-0000-000036120000}"/>
    <cellStyle name="40% - Accent2 6" xfId="5504" hidden="1" xr:uid="{00000000-0005-0000-0000-000037120000}"/>
    <cellStyle name="40% - Accent2 6" xfId="5659" hidden="1" xr:uid="{00000000-0005-0000-0000-000038120000}"/>
    <cellStyle name="40% - Accent2 6" xfId="5655" hidden="1" xr:uid="{00000000-0005-0000-0000-000039120000}"/>
    <cellStyle name="40% - Accent2 6" xfId="5756" hidden="1" xr:uid="{00000000-0005-0000-0000-00003A120000}"/>
    <cellStyle name="40% - Accent2 6" xfId="5886" hidden="1" xr:uid="{00000000-0005-0000-0000-00003B120000}"/>
    <cellStyle name="40% - Accent2 6" xfId="6469" hidden="1" xr:uid="{00000000-0005-0000-0000-00003C120000}"/>
    <cellStyle name="40% - Accent2 6" xfId="6495" hidden="1" xr:uid="{00000000-0005-0000-0000-00003D120000}"/>
    <cellStyle name="40% - Accent2 6" xfId="6625" hidden="1" xr:uid="{00000000-0005-0000-0000-00003E120000}"/>
    <cellStyle name="40% - Accent2 6" xfId="6735" hidden="1" xr:uid="{00000000-0005-0000-0000-00003F120000}"/>
    <cellStyle name="40% - Accent2 6" xfId="6406" hidden="1" xr:uid="{00000000-0005-0000-0000-000040120000}"/>
    <cellStyle name="40% - Accent2 6" xfId="6286" hidden="1" xr:uid="{00000000-0005-0000-0000-000041120000}"/>
    <cellStyle name="40% - Accent2 6" xfId="6247" hidden="1" xr:uid="{00000000-0005-0000-0000-000042120000}"/>
    <cellStyle name="40% - Accent2 6" xfId="7090" hidden="1" xr:uid="{00000000-0005-0000-0000-000043120000}"/>
    <cellStyle name="40% - Accent2 6" xfId="7220" hidden="1" xr:uid="{00000000-0005-0000-0000-000044120000}"/>
    <cellStyle name="40% - Accent2 6" xfId="7322" hidden="1" xr:uid="{00000000-0005-0000-0000-000045120000}"/>
    <cellStyle name="40% - Accent2 6" xfId="6913" hidden="1" xr:uid="{00000000-0005-0000-0000-000046120000}"/>
    <cellStyle name="40% - Accent2 6" xfId="6199" hidden="1" xr:uid="{00000000-0005-0000-0000-000047120000}"/>
    <cellStyle name="40% - Accent2 6" xfId="6254" hidden="1" xr:uid="{00000000-0005-0000-0000-000048120000}"/>
    <cellStyle name="40% - Accent2 6" xfId="7622" hidden="1" xr:uid="{00000000-0005-0000-0000-000049120000}"/>
    <cellStyle name="40% - Accent2 6" xfId="7752" hidden="1" xr:uid="{00000000-0005-0000-0000-00004A120000}"/>
    <cellStyle name="40% - Accent2 6" xfId="7830" hidden="1" xr:uid="{00000000-0005-0000-0000-00004B120000}"/>
    <cellStyle name="40% - Accent2 6" xfId="7959" hidden="1" xr:uid="{00000000-0005-0000-0000-00004C120000}"/>
    <cellStyle name="40% - Accent2 6" xfId="8089" hidden="1" xr:uid="{00000000-0005-0000-0000-00004D120000}"/>
    <cellStyle name="40% - Accent2 6" xfId="8167" hidden="1" xr:uid="{00000000-0005-0000-0000-00004E120000}"/>
    <cellStyle name="40% - Accent2 6" xfId="8296" hidden="1" xr:uid="{00000000-0005-0000-0000-00004F120000}"/>
    <cellStyle name="40% - Accent2 7" xfId="91" hidden="1" xr:uid="{00000000-0005-0000-0000-000050120000}"/>
    <cellStyle name="40% - Accent2 7" xfId="169" hidden="1" xr:uid="{00000000-0005-0000-0000-000051120000}"/>
    <cellStyle name="40% - Accent2 7" xfId="246" hidden="1" xr:uid="{00000000-0005-0000-0000-000052120000}"/>
    <cellStyle name="40% - Accent2 7" xfId="324" hidden="1" xr:uid="{00000000-0005-0000-0000-000053120000}"/>
    <cellStyle name="40% - Accent2 7" xfId="908" hidden="1" xr:uid="{00000000-0005-0000-0000-000054120000}"/>
    <cellStyle name="40% - Accent2 7" xfId="985" hidden="1" xr:uid="{00000000-0005-0000-0000-000055120000}"/>
    <cellStyle name="40% - Accent2 7" xfId="1064" hidden="1" xr:uid="{00000000-0005-0000-0000-000056120000}"/>
    <cellStyle name="40% - Accent2 7" xfId="629" hidden="1" xr:uid="{00000000-0005-0000-0000-000057120000}"/>
    <cellStyle name="40% - Accent2 7" xfId="1125" hidden="1" xr:uid="{00000000-0005-0000-0000-000058120000}"/>
    <cellStyle name="40% - Accent2 7" xfId="625" hidden="1" xr:uid="{00000000-0005-0000-0000-000059120000}"/>
    <cellStyle name="40% - Accent2 7" xfId="1496" hidden="1" xr:uid="{00000000-0005-0000-0000-00005A120000}"/>
    <cellStyle name="40% - Accent2 7" xfId="1580" hidden="1" xr:uid="{00000000-0005-0000-0000-00005B120000}"/>
    <cellStyle name="40% - Accent2 7" xfId="1658" hidden="1" xr:uid="{00000000-0005-0000-0000-00005C120000}"/>
    <cellStyle name="40% - Accent2 7" xfId="748" hidden="1" xr:uid="{00000000-0005-0000-0000-00005D120000}"/>
    <cellStyle name="40% - Accent2 7" xfId="1716" hidden="1" xr:uid="{00000000-0005-0000-0000-00005E120000}"/>
    <cellStyle name="40% - Accent2 7" xfId="1382" hidden="1" xr:uid="{00000000-0005-0000-0000-00005F120000}"/>
    <cellStyle name="40% - Accent2 7" xfId="2032" hidden="1" xr:uid="{00000000-0005-0000-0000-000060120000}"/>
    <cellStyle name="40% - Accent2 7" xfId="2112" hidden="1" xr:uid="{00000000-0005-0000-0000-000061120000}"/>
    <cellStyle name="40% - Accent2 7" xfId="2190" hidden="1" xr:uid="{00000000-0005-0000-0000-000062120000}"/>
    <cellStyle name="40% - Accent2 7" xfId="2370" hidden="1" xr:uid="{00000000-0005-0000-0000-000063120000}"/>
    <cellStyle name="40% - Accent2 7" xfId="2449" hidden="1" xr:uid="{00000000-0005-0000-0000-000064120000}"/>
    <cellStyle name="40% - Accent2 7" xfId="2527" hidden="1" xr:uid="{00000000-0005-0000-0000-000065120000}"/>
    <cellStyle name="40% - Accent2 7" xfId="2707" hidden="1" xr:uid="{00000000-0005-0000-0000-000066120000}"/>
    <cellStyle name="40% - Accent2 7" xfId="2786" hidden="1" xr:uid="{00000000-0005-0000-0000-000067120000}"/>
    <cellStyle name="40% - Accent2 7" xfId="2883" hidden="1" xr:uid="{00000000-0005-0000-0000-000068120000}"/>
    <cellStyle name="40% - Accent2 7" xfId="2961" hidden="1" xr:uid="{00000000-0005-0000-0000-000069120000}"/>
    <cellStyle name="40% - Accent2 7" xfId="3038" hidden="1" xr:uid="{00000000-0005-0000-0000-00006A120000}"/>
    <cellStyle name="40% - Accent2 7" xfId="3116" hidden="1" xr:uid="{00000000-0005-0000-0000-00006B120000}"/>
    <cellStyle name="40% - Accent2 7" xfId="3700" hidden="1" xr:uid="{00000000-0005-0000-0000-00006C120000}"/>
    <cellStyle name="40% - Accent2 7" xfId="3777" hidden="1" xr:uid="{00000000-0005-0000-0000-00006D120000}"/>
    <cellStyle name="40% - Accent2 7" xfId="3856" hidden="1" xr:uid="{00000000-0005-0000-0000-00006E120000}"/>
    <cellStyle name="40% - Accent2 7" xfId="3421" hidden="1" xr:uid="{00000000-0005-0000-0000-00006F120000}"/>
    <cellStyle name="40% - Accent2 7" xfId="3917" hidden="1" xr:uid="{00000000-0005-0000-0000-000070120000}"/>
    <cellStyle name="40% - Accent2 7" xfId="3417" hidden="1" xr:uid="{00000000-0005-0000-0000-000071120000}"/>
    <cellStyle name="40% - Accent2 7" xfId="4288" hidden="1" xr:uid="{00000000-0005-0000-0000-000072120000}"/>
    <cellStyle name="40% - Accent2 7" xfId="4372" hidden="1" xr:uid="{00000000-0005-0000-0000-000073120000}"/>
    <cellStyle name="40% - Accent2 7" xfId="4450" hidden="1" xr:uid="{00000000-0005-0000-0000-000074120000}"/>
    <cellStyle name="40% - Accent2 7" xfId="3540" hidden="1" xr:uid="{00000000-0005-0000-0000-000075120000}"/>
    <cellStyle name="40% - Accent2 7" xfId="4508" hidden="1" xr:uid="{00000000-0005-0000-0000-000076120000}"/>
    <cellStyle name="40% - Accent2 7" xfId="4174" hidden="1" xr:uid="{00000000-0005-0000-0000-000077120000}"/>
    <cellStyle name="40% - Accent2 7" xfId="4824" hidden="1" xr:uid="{00000000-0005-0000-0000-000078120000}"/>
    <cellStyle name="40% - Accent2 7" xfId="4904" hidden="1" xr:uid="{00000000-0005-0000-0000-000079120000}"/>
    <cellStyle name="40% - Accent2 7" xfId="4982" hidden="1" xr:uid="{00000000-0005-0000-0000-00007A120000}"/>
    <cellStyle name="40% - Accent2 7" xfId="5162" hidden="1" xr:uid="{00000000-0005-0000-0000-00007B120000}"/>
    <cellStyle name="40% - Accent2 7" xfId="5241" hidden="1" xr:uid="{00000000-0005-0000-0000-00007C120000}"/>
    <cellStyle name="40% - Accent2 7" xfId="5319" hidden="1" xr:uid="{00000000-0005-0000-0000-00007D120000}"/>
    <cellStyle name="40% - Accent2 7" xfId="5499" hidden="1" xr:uid="{00000000-0005-0000-0000-00007E120000}"/>
    <cellStyle name="40% - Accent2 7" xfId="5578" hidden="1" xr:uid="{00000000-0005-0000-0000-00007F120000}"/>
    <cellStyle name="40% - Accent2 7" xfId="5675" hidden="1" xr:uid="{00000000-0005-0000-0000-000080120000}"/>
    <cellStyle name="40% - Accent2 7" xfId="5753" hidden="1" xr:uid="{00000000-0005-0000-0000-000081120000}"/>
    <cellStyle name="40% - Accent2 7" xfId="5830" hidden="1" xr:uid="{00000000-0005-0000-0000-000082120000}"/>
    <cellStyle name="40% - Accent2 7" xfId="5908" hidden="1" xr:uid="{00000000-0005-0000-0000-000083120000}"/>
    <cellStyle name="40% - Accent2 7" xfId="6492" hidden="1" xr:uid="{00000000-0005-0000-0000-000084120000}"/>
    <cellStyle name="40% - Accent2 7" xfId="6569" hidden="1" xr:uid="{00000000-0005-0000-0000-000085120000}"/>
    <cellStyle name="40% - Accent2 7" xfId="6648" hidden="1" xr:uid="{00000000-0005-0000-0000-000086120000}"/>
    <cellStyle name="40% - Accent2 7" xfId="6213" hidden="1" xr:uid="{00000000-0005-0000-0000-000087120000}"/>
    <cellStyle name="40% - Accent2 7" xfId="6709" hidden="1" xr:uid="{00000000-0005-0000-0000-000088120000}"/>
    <cellStyle name="40% - Accent2 7" xfId="6209" hidden="1" xr:uid="{00000000-0005-0000-0000-000089120000}"/>
    <cellStyle name="40% - Accent2 7" xfId="7080" hidden="1" xr:uid="{00000000-0005-0000-0000-00008A120000}"/>
    <cellStyle name="40% - Accent2 7" xfId="7164" hidden="1" xr:uid="{00000000-0005-0000-0000-00008B120000}"/>
    <cellStyle name="40% - Accent2 7" xfId="7242" hidden="1" xr:uid="{00000000-0005-0000-0000-00008C120000}"/>
    <cellStyle name="40% - Accent2 7" xfId="6332" hidden="1" xr:uid="{00000000-0005-0000-0000-00008D120000}"/>
    <cellStyle name="40% - Accent2 7" xfId="7300" hidden="1" xr:uid="{00000000-0005-0000-0000-00008E120000}"/>
    <cellStyle name="40% - Accent2 7" xfId="6966" hidden="1" xr:uid="{00000000-0005-0000-0000-00008F120000}"/>
    <cellStyle name="40% - Accent2 7" xfId="7616" hidden="1" xr:uid="{00000000-0005-0000-0000-000090120000}"/>
    <cellStyle name="40% - Accent2 7" xfId="7696" hidden="1" xr:uid="{00000000-0005-0000-0000-000091120000}"/>
    <cellStyle name="40% - Accent2 7" xfId="7774" hidden="1" xr:uid="{00000000-0005-0000-0000-000092120000}"/>
    <cellStyle name="40% - Accent2 7" xfId="7954" hidden="1" xr:uid="{00000000-0005-0000-0000-000093120000}"/>
    <cellStyle name="40% - Accent2 7" xfId="8033" hidden="1" xr:uid="{00000000-0005-0000-0000-000094120000}"/>
    <cellStyle name="40% - Accent2 7" xfId="8111" hidden="1" xr:uid="{00000000-0005-0000-0000-000095120000}"/>
    <cellStyle name="40% - Accent2 7" xfId="8291" hidden="1" xr:uid="{00000000-0005-0000-0000-000096120000}"/>
    <cellStyle name="40% - Accent2 7" xfId="8370" hidden="1" xr:uid="{00000000-0005-0000-0000-000097120000}"/>
    <cellStyle name="40% - Accent2 8" xfId="104" hidden="1" xr:uid="{00000000-0005-0000-0000-000098120000}"/>
    <cellStyle name="40% - Accent2 8" xfId="178" hidden="1" xr:uid="{00000000-0005-0000-0000-000099120000}"/>
    <cellStyle name="40% - Accent2 8" xfId="254" hidden="1" xr:uid="{00000000-0005-0000-0000-00009A120000}"/>
    <cellStyle name="40% - Accent2 8" xfId="332" hidden="1" xr:uid="{00000000-0005-0000-0000-00009B120000}"/>
    <cellStyle name="40% - Accent2 8" xfId="917" hidden="1" xr:uid="{00000000-0005-0000-0000-00009C120000}"/>
    <cellStyle name="40% - Accent2 8" xfId="993" hidden="1" xr:uid="{00000000-0005-0000-0000-00009D120000}"/>
    <cellStyle name="40% - Accent2 8" xfId="1072" hidden="1" xr:uid="{00000000-0005-0000-0000-00009E120000}"/>
    <cellStyle name="40% - Accent2 8" xfId="1323" hidden="1" xr:uid="{00000000-0005-0000-0000-00009F120000}"/>
    <cellStyle name="40% - Accent2 8" xfId="722" hidden="1" xr:uid="{00000000-0005-0000-0000-0000A0120000}"/>
    <cellStyle name="40% - Accent2 8" xfId="665" hidden="1" xr:uid="{00000000-0005-0000-0000-0000A1120000}"/>
    <cellStyle name="40% - Accent2 8" xfId="1512" hidden="1" xr:uid="{00000000-0005-0000-0000-0000A2120000}"/>
    <cellStyle name="40% - Accent2 8" xfId="1588" hidden="1" xr:uid="{00000000-0005-0000-0000-0000A3120000}"/>
    <cellStyle name="40% - Accent2 8" xfId="1666" hidden="1" xr:uid="{00000000-0005-0000-0000-0000A4120000}"/>
    <cellStyle name="40% - Accent2 8" xfId="1887" hidden="1" xr:uid="{00000000-0005-0000-0000-0000A5120000}"/>
    <cellStyle name="40% - Accent2 8" xfId="680" hidden="1" xr:uid="{00000000-0005-0000-0000-0000A6120000}"/>
    <cellStyle name="40% - Accent2 8" xfId="706" hidden="1" xr:uid="{00000000-0005-0000-0000-0000A7120000}"/>
    <cellStyle name="40% - Accent2 8" xfId="2044" hidden="1" xr:uid="{00000000-0005-0000-0000-0000A8120000}"/>
    <cellStyle name="40% - Accent2 8" xfId="2120" hidden="1" xr:uid="{00000000-0005-0000-0000-0000A9120000}"/>
    <cellStyle name="40% - Accent2 8" xfId="2198" hidden="1" xr:uid="{00000000-0005-0000-0000-0000AA120000}"/>
    <cellStyle name="40% - Accent2 8" xfId="2381" hidden="1" xr:uid="{00000000-0005-0000-0000-0000AB120000}"/>
    <cellStyle name="40% - Accent2 8" xfId="2457" hidden="1" xr:uid="{00000000-0005-0000-0000-0000AC120000}"/>
    <cellStyle name="40% - Accent2 8" xfId="2535" hidden="1" xr:uid="{00000000-0005-0000-0000-0000AD120000}"/>
    <cellStyle name="40% - Accent2 8" xfId="2718" hidden="1" xr:uid="{00000000-0005-0000-0000-0000AE120000}"/>
    <cellStyle name="40% - Accent2 8" xfId="2794" hidden="1" xr:uid="{00000000-0005-0000-0000-0000AF120000}"/>
    <cellStyle name="40% - Accent2 8" xfId="2896" hidden="1" xr:uid="{00000000-0005-0000-0000-0000B0120000}"/>
    <cellStyle name="40% - Accent2 8" xfId="2970" hidden="1" xr:uid="{00000000-0005-0000-0000-0000B1120000}"/>
    <cellStyle name="40% - Accent2 8" xfId="3046" hidden="1" xr:uid="{00000000-0005-0000-0000-0000B2120000}"/>
    <cellStyle name="40% - Accent2 8" xfId="3124" hidden="1" xr:uid="{00000000-0005-0000-0000-0000B3120000}"/>
    <cellStyle name="40% - Accent2 8" xfId="3709" hidden="1" xr:uid="{00000000-0005-0000-0000-0000B4120000}"/>
    <cellStyle name="40% - Accent2 8" xfId="3785" hidden="1" xr:uid="{00000000-0005-0000-0000-0000B5120000}"/>
    <cellStyle name="40% - Accent2 8" xfId="3864" hidden="1" xr:uid="{00000000-0005-0000-0000-0000B6120000}"/>
    <cellStyle name="40% - Accent2 8" xfId="4115" hidden="1" xr:uid="{00000000-0005-0000-0000-0000B7120000}"/>
    <cellStyle name="40% - Accent2 8" xfId="3514" hidden="1" xr:uid="{00000000-0005-0000-0000-0000B8120000}"/>
    <cellStyle name="40% - Accent2 8" xfId="3457" hidden="1" xr:uid="{00000000-0005-0000-0000-0000B9120000}"/>
    <cellStyle name="40% - Accent2 8" xfId="4304" hidden="1" xr:uid="{00000000-0005-0000-0000-0000BA120000}"/>
    <cellStyle name="40% - Accent2 8" xfId="4380" hidden="1" xr:uid="{00000000-0005-0000-0000-0000BB120000}"/>
    <cellStyle name="40% - Accent2 8" xfId="4458" hidden="1" xr:uid="{00000000-0005-0000-0000-0000BC120000}"/>
    <cellStyle name="40% - Accent2 8" xfId="4679" hidden="1" xr:uid="{00000000-0005-0000-0000-0000BD120000}"/>
    <cellStyle name="40% - Accent2 8" xfId="3472" hidden="1" xr:uid="{00000000-0005-0000-0000-0000BE120000}"/>
    <cellStyle name="40% - Accent2 8" xfId="3498" hidden="1" xr:uid="{00000000-0005-0000-0000-0000BF120000}"/>
    <cellStyle name="40% - Accent2 8" xfId="4836" hidden="1" xr:uid="{00000000-0005-0000-0000-0000C0120000}"/>
    <cellStyle name="40% - Accent2 8" xfId="4912" hidden="1" xr:uid="{00000000-0005-0000-0000-0000C1120000}"/>
    <cellStyle name="40% - Accent2 8" xfId="4990" hidden="1" xr:uid="{00000000-0005-0000-0000-0000C2120000}"/>
    <cellStyle name="40% - Accent2 8" xfId="5173" hidden="1" xr:uid="{00000000-0005-0000-0000-0000C3120000}"/>
    <cellStyle name="40% - Accent2 8" xfId="5249" hidden="1" xr:uid="{00000000-0005-0000-0000-0000C4120000}"/>
    <cellStyle name="40% - Accent2 8" xfId="5327" hidden="1" xr:uid="{00000000-0005-0000-0000-0000C5120000}"/>
    <cellStyle name="40% - Accent2 8" xfId="5510" hidden="1" xr:uid="{00000000-0005-0000-0000-0000C6120000}"/>
    <cellStyle name="40% - Accent2 8" xfId="5586" hidden="1" xr:uid="{00000000-0005-0000-0000-0000C7120000}"/>
    <cellStyle name="40% - Accent2 8" xfId="5688" hidden="1" xr:uid="{00000000-0005-0000-0000-0000C8120000}"/>
    <cellStyle name="40% - Accent2 8" xfId="5762" hidden="1" xr:uid="{00000000-0005-0000-0000-0000C9120000}"/>
    <cellStyle name="40% - Accent2 8" xfId="5838" hidden="1" xr:uid="{00000000-0005-0000-0000-0000CA120000}"/>
    <cellStyle name="40% - Accent2 8" xfId="5916" hidden="1" xr:uid="{00000000-0005-0000-0000-0000CB120000}"/>
    <cellStyle name="40% - Accent2 8" xfId="6501" hidden="1" xr:uid="{00000000-0005-0000-0000-0000CC120000}"/>
    <cellStyle name="40% - Accent2 8" xfId="6577" hidden="1" xr:uid="{00000000-0005-0000-0000-0000CD120000}"/>
    <cellStyle name="40% - Accent2 8" xfId="6656" hidden="1" xr:uid="{00000000-0005-0000-0000-0000CE120000}"/>
    <cellStyle name="40% - Accent2 8" xfId="6907" hidden="1" xr:uid="{00000000-0005-0000-0000-0000CF120000}"/>
    <cellStyle name="40% - Accent2 8" xfId="6306" hidden="1" xr:uid="{00000000-0005-0000-0000-0000D0120000}"/>
    <cellStyle name="40% - Accent2 8" xfId="6249" hidden="1" xr:uid="{00000000-0005-0000-0000-0000D1120000}"/>
    <cellStyle name="40% - Accent2 8" xfId="7096" hidden="1" xr:uid="{00000000-0005-0000-0000-0000D2120000}"/>
    <cellStyle name="40% - Accent2 8" xfId="7172" hidden="1" xr:uid="{00000000-0005-0000-0000-0000D3120000}"/>
    <cellStyle name="40% - Accent2 8" xfId="7250" hidden="1" xr:uid="{00000000-0005-0000-0000-0000D4120000}"/>
    <cellStyle name="40% - Accent2 8" xfId="7471" hidden="1" xr:uid="{00000000-0005-0000-0000-0000D5120000}"/>
    <cellStyle name="40% - Accent2 8" xfId="6264" hidden="1" xr:uid="{00000000-0005-0000-0000-0000D6120000}"/>
    <cellStyle name="40% - Accent2 8" xfId="6290" hidden="1" xr:uid="{00000000-0005-0000-0000-0000D7120000}"/>
    <cellStyle name="40% - Accent2 8" xfId="7628" hidden="1" xr:uid="{00000000-0005-0000-0000-0000D8120000}"/>
    <cellStyle name="40% - Accent2 8" xfId="7704" hidden="1" xr:uid="{00000000-0005-0000-0000-0000D9120000}"/>
    <cellStyle name="40% - Accent2 8" xfId="7782" hidden="1" xr:uid="{00000000-0005-0000-0000-0000DA120000}"/>
    <cellStyle name="40% - Accent2 8" xfId="7965" hidden="1" xr:uid="{00000000-0005-0000-0000-0000DB120000}"/>
    <cellStyle name="40% - Accent2 8" xfId="8041" hidden="1" xr:uid="{00000000-0005-0000-0000-0000DC120000}"/>
    <cellStyle name="40% - Accent2 8" xfId="8119" hidden="1" xr:uid="{00000000-0005-0000-0000-0000DD120000}"/>
    <cellStyle name="40% - Accent2 8" xfId="8302" hidden="1" xr:uid="{00000000-0005-0000-0000-0000DE120000}"/>
    <cellStyle name="40% - Accent2 8" xfId="8378" hidden="1" xr:uid="{00000000-0005-0000-0000-0000DF120000}"/>
    <cellStyle name="40% - Accent2 9" xfId="117" hidden="1" xr:uid="{00000000-0005-0000-0000-0000E0120000}"/>
    <cellStyle name="40% - Accent2 9" xfId="191" hidden="1" xr:uid="{00000000-0005-0000-0000-0000E1120000}"/>
    <cellStyle name="40% - Accent2 9" xfId="267" hidden="1" xr:uid="{00000000-0005-0000-0000-0000E2120000}"/>
    <cellStyle name="40% - Accent2 9" xfId="345" hidden="1" xr:uid="{00000000-0005-0000-0000-0000E3120000}"/>
    <cellStyle name="40% - Accent2 9" xfId="930" hidden="1" xr:uid="{00000000-0005-0000-0000-0000E4120000}"/>
    <cellStyle name="40% - Accent2 9" xfId="1006" hidden="1" xr:uid="{00000000-0005-0000-0000-0000E5120000}"/>
    <cellStyle name="40% - Accent2 9" xfId="1085" hidden="1" xr:uid="{00000000-0005-0000-0000-0000E6120000}"/>
    <cellStyle name="40% - Accent2 9" xfId="1333" hidden="1" xr:uid="{00000000-0005-0000-0000-0000E7120000}"/>
    <cellStyle name="40% - Accent2 9" xfId="825" hidden="1" xr:uid="{00000000-0005-0000-0000-0000E8120000}"/>
    <cellStyle name="40% - Accent2 9" xfId="698" hidden="1" xr:uid="{00000000-0005-0000-0000-0000E9120000}"/>
    <cellStyle name="40% - Accent2 9" xfId="1525" hidden="1" xr:uid="{00000000-0005-0000-0000-0000EA120000}"/>
    <cellStyle name="40% - Accent2 9" xfId="1601" hidden="1" xr:uid="{00000000-0005-0000-0000-0000EB120000}"/>
    <cellStyle name="40% - Accent2 9" xfId="1679" hidden="1" xr:uid="{00000000-0005-0000-0000-0000EC120000}"/>
    <cellStyle name="40% - Accent2 9" xfId="1893" hidden="1" xr:uid="{00000000-0005-0000-0000-0000ED120000}"/>
    <cellStyle name="40% - Accent2 9" xfId="1178" hidden="1" xr:uid="{00000000-0005-0000-0000-0000EE120000}"/>
    <cellStyle name="40% - Accent2 9" xfId="747" hidden="1" xr:uid="{00000000-0005-0000-0000-0000EF120000}"/>
    <cellStyle name="40% - Accent2 9" xfId="2057" hidden="1" xr:uid="{00000000-0005-0000-0000-0000F0120000}"/>
    <cellStyle name="40% - Accent2 9" xfId="2133" hidden="1" xr:uid="{00000000-0005-0000-0000-0000F1120000}"/>
    <cellStyle name="40% - Accent2 9" xfId="2211" hidden="1" xr:uid="{00000000-0005-0000-0000-0000F2120000}"/>
    <cellStyle name="40% - Accent2 9" xfId="2394" hidden="1" xr:uid="{00000000-0005-0000-0000-0000F3120000}"/>
    <cellStyle name="40% - Accent2 9" xfId="2470" hidden="1" xr:uid="{00000000-0005-0000-0000-0000F4120000}"/>
    <cellStyle name="40% - Accent2 9" xfId="2548" hidden="1" xr:uid="{00000000-0005-0000-0000-0000F5120000}"/>
    <cellStyle name="40% - Accent2 9" xfId="2731" hidden="1" xr:uid="{00000000-0005-0000-0000-0000F6120000}"/>
    <cellStyle name="40% - Accent2 9" xfId="2807" hidden="1" xr:uid="{00000000-0005-0000-0000-0000F7120000}"/>
    <cellStyle name="40% - Accent2 9" xfId="2909" hidden="1" xr:uid="{00000000-0005-0000-0000-0000F8120000}"/>
    <cellStyle name="40% - Accent2 9" xfId="2983" hidden="1" xr:uid="{00000000-0005-0000-0000-0000F9120000}"/>
    <cellStyle name="40% - Accent2 9" xfId="3059" hidden="1" xr:uid="{00000000-0005-0000-0000-0000FA120000}"/>
    <cellStyle name="40% - Accent2 9" xfId="3137" hidden="1" xr:uid="{00000000-0005-0000-0000-0000FB120000}"/>
    <cellStyle name="40% - Accent2 9" xfId="3722" hidden="1" xr:uid="{00000000-0005-0000-0000-0000FC120000}"/>
    <cellStyle name="40% - Accent2 9" xfId="3798" hidden="1" xr:uid="{00000000-0005-0000-0000-0000FD120000}"/>
    <cellStyle name="40% - Accent2 9" xfId="3877" hidden="1" xr:uid="{00000000-0005-0000-0000-0000FE120000}"/>
    <cellStyle name="40% - Accent2 9" xfId="4125" hidden="1" xr:uid="{00000000-0005-0000-0000-0000FF120000}"/>
    <cellStyle name="40% - Accent2 9" xfId="3617" hidden="1" xr:uid="{00000000-0005-0000-0000-000000130000}"/>
    <cellStyle name="40% - Accent2 9" xfId="3490" hidden="1" xr:uid="{00000000-0005-0000-0000-000001130000}"/>
    <cellStyle name="40% - Accent2 9" xfId="4317" hidden="1" xr:uid="{00000000-0005-0000-0000-000002130000}"/>
    <cellStyle name="40% - Accent2 9" xfId="4393" hidden="1" xr:uid="{00000000-0005-0000-0000-000003130000}"/>
    <cellStyle name="40% - Accent2 9" xfId="4471" hidden="1" xr:uid="{00000000-0005-0000-0000-000004130000}"/>
    <cellStyle name="40% - Accent2 9" xfId="4685" hidden="1" xr:uid="{00000000-0005-0000-0000-000005130000}"/>
    <cellStyle name="40% - Accent2 9" xfId="3970" hidden="1" xr:uid="{00000000-0005-0000-0000-000006130000}"/>
    <cellStyle name="40% - Accent2 9" xfId="3539" hidden="1" xr:uid="{00000000-0005-0000-0000-000007130000}"/>
    <cellStyle name="40% - Accent2 9" xfId="4849" hidden="1" xr:uid="{00000000-0005-0000-0000-000008130000}"/>
    <cellStyle name="40% - Accent2 9" xfId="4925" hidden="1" xr:uid="{00000000-0005-0000-0000-000009130000}"/>
    <cellStyle name="40% - Accent2 9" xfId="5003" hidden="1" xr:uid="{00000000-0005-0000-0000-00000A130000}"/>
    <cellStyle name="40% - Accent2 9" xfId="5186" hidden="1" xr:uid="{00000000-0005-0000-0000-00000B130000}"/>
    <cellStyle name="40% - Accent2 9" xfId="5262" hidden="1" xr:uid="{00000000-0005-0000-0000-00000C130000}"/>
    <cellStyle name="40% - Accent2 9" xfId="5340" hidden="1" xr:uid="{00000000-0005-0000-0000-00000D130000}"/>
    <cellStyle name="40% - Accent2 9" xfId="5523" hidden="1" xr:uid="{00000000-0005-0000-0000-00000E130000}"/>
    <cellStyle name="40% - Accent2 9" xfId="5599" hidden="1" xr:uid="{00000000-0005-0000-0000-00000F130000}"/>
    <cellStyle name="40% - Accent2 9" xfId="5701" hidden="1" xr:uid="{00000000-0005-0000-0000-000010130000}"/>
    <cellStyle name="40% - Accent2 9" xfId="5775" hidden="1" xr:uid="{00000000-0005-0000-0000-000011130000}"/>
    <cellStyle name="40% - Accent2 9" xfId="5851" hidden="1" xr:uid="{00000000-0005-0000-0000-000012130000}"/>
    <cellStyle name="40% - Accent2 9" xfId="5929" hidden="1" xr:uid="{00000000-0005-0000-0000-000013130000}"/>
    <cellStyle name="40% - Accent2 9" xfId="6514" hidden="1" xr:uid="{00000000-0005-0000-0000-000014130000}"/>
    <cellStyle name="40% - Accent2 9" xfId="6590" hidden="1" xr:uid="{00000000-0005-0000-0000-000015130000}"/>
    <cellStyle name="40% - Accent2 9" xfId="6669" hidden="1" xr:uid="{00000000-0005-0000-0000-000016130000}"/>
    <cellStyle name="40% - Accent2 9" xfId="6917" hidden="1" xr:uid="{00000000-0005-0000-0000-000017130000}"/>
    <cellStyle name="40% - Accent2 9" xfId="6409" hidden="1" xr:uid="{00000000-0005-0000-0000-000018130000}"/>
    <cellStyle name="40% - Accent2 9" xfId="6282" hidden="1" xr:uid="{00000000-0005-0000-0000-000019130000}"/>
    <cellStyle name="40% - Accent2 9" xfId="7109" hidden="1" xr:uid="{00000000-0005-0000-0000-00001A130000}"/>
    <cellStyle name="40% - Accent2 9" xfId="7185" hidden="1" xr:uid="{00000000-0005-0000-0000-00001B130000}"/>
    <cellStyle name="40% - Accent2 9" xfId="7263" hidden="1" xr:uid="{00000000-0005-0000-0000-00001C130000}"/>
    <cellStyle name="40% - Accent2 9" xfId="7477" hidden="1" xr:uid="{00000000-0005-0000-0000-00001D130000}"/>
    <cellStyle name="40% - Accent2 9" xfId="6762" hidden="1" xr:uid="{00000000-0005-0000-0000-00001E130000}"/>
    <cellStyle name="40% - Accent2 9" xfId="6331" hidden="1" xr:uid="{00000000-0005-0000-0000-00001F130000}"/>
    <cellStyle name="40% - Accent2 9" xfId="7641" hidden="1" xr:uid="{00000000-0005-0000-0000-000020130000}"/>
    <cellStyle name="40% - Accent2 9" xfId="7717" hidden="1" xr:uid="{00000000-0005-0000-0000-000021130000}"/>
    <cellStyle name="40% - Accent2 9" xfId="7795" hidden="1" xr:uid="{00000000-0005-0000-0000-000022130000}"/>
    <cellStyle name="40% - Accent2 9" xfId="7978" hidden="1" xr:uid="{00000000-0005-0000-0000-000023130000}"/>
    <cellStyle name="40% - Accent2 9" xfId="8054" hidden="1" xr:uid="{00000000-0005-0000-0000-000024130000}"/>
    <cellStyle name="40% - Accent2 9" xfId="8132" hidden="1" xr:uid="{00000000-0005-0000-0000-000025130000}"/>
    <cellStyle name="40% - Accent2 9" xfId="8315" hidden="1" xr:uid="{00000000-0005-0000-0000-000026130000}"/>
    <cellStyle name="40% - Accent2 9" xfId="8391" hidden="1" xr:uid="{00000000-0005-0000-0000-000027130000}"/>
    <cellStyle name="40% - Accent3" xfId="32" builtinId="39" hidden="1"/>
    <cellStyle name="40% - Accent3 10" xfId="119" hidden="1" xr:uid="{00000000-0005-0000-0000-000029130000}"/>
    <cellStyle name="40% - Accent3 10" xfId="193" hidden="1" xr:uid="{00000000-0005-0000-0000-00002A130000}"/>
    <cellStyle name="40% - Accent3 10" xfId="269" hidden="1" xr:uid="{00000000-0005-0000-0000-00002B130000}"/>
    <cellStyle name="40% - Accent3 10" xfId="347" hidden="1" xr:uid="{00000000-0005-0000-0000-00002C130000}"/>
    <cellStyle name="40% - Accent3 10" xfId="932" hidden="1" xr:uid="{00000000-0005-0000-0000-00002D130000}"/>
    <cellStyle name="40% - Accent3 10" xfId="1008" hidden="1" xr:uid="{00000000-0005-0000-0000-00002E130000}"/>
    <cellStyle name="40% - Accent3 10" xfId="1087" hidden="1" xr:uid="{00000000-0005-0000-0000-00002F130000}"/>
    <cellStyle name="40% - Accent3 10" xfId="1345" hidden="1" xr:uid="{00000000-0005-0000-0000-000030130000}"/>
    <cellStyle name="40% - Accent3 10" xfId="725" hidden="1" xr:uid="{00000000-0005-0000-0000-000031130000}"/>
    <cellStyle name="40% - Accent3 10" xfId="779" hidden="1" xr:uid="{00000000-0005-0000-0000-000032130000}"/>
    <cellStyle name="40% - Accent3 10" xfId="1527" hidden="1" xr:uid="{00000000-0005-0000-0000-000033130000}"/>
    <cellStyle name="40% - Accent3 10" xfId="1603" hidden="1" xr:uid="{00000000-0005-0000-0000-000034130000}"/>
    <cellStyle name="40% - Accent3 10" xfId="1681" hidden="1" xr:uid="{00000000-0005-0000-0000-000035130000}"/>
    <cellStyle name="40% - Accent3 10" xfId="1903" hidden="1" xr:uid="{00000000-0005-0000-0000-000036130000}"/>
    <cellStyle name="40% - Accent3 10" xfId="1186" hidden="1" xr:uid="{00000000-0005-0000-0000-000037130000}"/>
    <cellStyle name="40% - Accent3 10" xfId="787" hidden="1" xr:uid="{00000000-0005-0000-0000-000038130000}"/>
    <cellStyle name="40% - Accent3 10" xfId="2059" hidden="1" xr:uid="{00000000-0005-0000-0000-000039130000}"/>
    <cellStyle name="40% - Accent3 10" xfId="2135" hidden="1" xr:uid="{00000000-0005-0000-0000-00003A130000}"/>
    <cellStyle name="40% - Accent3 10" xfId="2213" hidden="1" xr:uid="{00000000-0005-0000-0000-00003B130000}"/>
    <cellStyle name="40% - Accent3 10" xfId="2396" hidden="1" xr:uid="{00000000-0005-0000-0000-00003C130000}"/>
    <cellStyle name="40% - Accent3 10" xfId="2472" hidden="1" xr:uid="{00000000-0005-0000-0000-00003D130000}"/>
    <cellStyle name="40% - Accent3 10" xfId="2550" hidden="1" xr:uid="{00000000-0005-0000-0000-00003E130000}"/>
    <cellStyle name="40% - Accent3 10" xfId="2733" hidden="1" xr:uid="{00000000-0005-0000-0000-00003F130000}"/>
    <cellStyle name="40% - Accent3 10" xfId="2809" hidden="1" xr:uid="{00000000-0005-0000-0000-000040130000}"/>
    <cellStyle name="40% - Accent3 10" xfId="2911" hidden="1" xr:uid="{00000000-0005-0000-0000-000041130000}"/>
    <cellStyle name="40% - Accent3 10" xfId="2985" hidden="1" xr:uid="{00000000-0005-0000-0000-000042130000}"/>
    <cellStyle name="40% - Accent3 10" xfId="3061" hidden="1" xr:uid="{00000000-0005-0000-0000-000043130000}"/>
    <cellStyle name="40% - Accent3 10" xfId="3139" hidden="1" xr:uid="{00000000-0005-0000-0000-000044130000}"/>
    <cellStyle name="40% - Accent3 10" xfId="3724" hidden="1" xr:uid="{00000000-0005-0000-0000-000045130000}"/>
    <cellStyle name="40% - Accent3 10" xfId="3800" hidden="1" xr:uid="{00000000-0005-0000-0000-000046130000}"/>
    <cellStyle name="40% - Accent3 10" xfId="3879" hidden="1" xr:uid="{00000000-0005-0000-0000-000047130000}"/>
    <cellStyle name="40% - Accent3 10" xfId="4137" hidden="1" xr:uid="{00000000-0005-0000-0000-000048130000}"/>
    <cellStyle name="40% - Accent3 10" xfId="3517" hidden="1" xr:uid="{00000000-0005-0000-0000-000049130000}"/>
    <cellStyle name="40% - Accent3 10" xfId="3571" hidden="1" xr:uid="{00000000-0005-0000-0000-00004A130000}"/>
    <cellStyle name="40% - Accent3 10" xfId="4319" hidden="1" xr:uid="{00000000-0005-0000-0000-00004B130000}"/>
    <cellStyle name="40% - Accent3 10" xfId="4395" hidden="1" xr:uid="{00000000-0005-0000-0000-00004C130000}"/>
    <cellStyle name="40% - Accent3 10" xfId="4473" hidden="1" xr:uid="{00000000-0005-0000-0000-00004D130000}"/>
    <cellStyle name="40% - Accent3 10" xfId="4695" hidden="1" xr:uid="{00000000-0005-0000-0000-00004E130000}"/>
    <cellStyle name="40% - Accent3 10" xfId="3978" hidden="1" xr:uid="{00000000-0005-0000-0000-00004F130000}"/>
    <cellStyle name="40% - Accent3 10" xfId="3579" hidden="1" xr:uid="{00000000-0005-0000-0000-000050130000}"/>
    <cellStyle name="40% - Accent3 10" xfId="4851" hidden="1" xr:uid="{00000000-0005-0000-0000-000051130000}"/>
    <cellStyle name="40% - Accent3 10" xfId="4927" hidden="1" xr:uid="{00000000-0005-0000-0000-000052130000}"/>
    <cellStyle name="40% - Accent3 10" xfId="5005" hidden="1" xr:uid="{00000000-0005-0000-0000-000053130000}"/>
    <cellStyle name="40% - Accent3 10" xfId="5188" hidden="1" xr:uid="{00000000-0005-0000-0000-000054130000}"/>
    <cellStyle name="40% - Accent3 10" xfId="5264" hidden="1" xr:uid="{00000000-0005-0000-0000-000055130000}"/>
    <cellStyle name="40% - Accent3 10" xfId="5342" hidden="1" xr:uid="{00000000-0005-0000-0000-000056130000}"/>
    <cellStyle name="40% - Accent3 10" xfId="5525" hidden="1" xr:uid="{00000000-0005-0000-0000-000057130000}"/>
    <cellStyle name="40% - Accent3 10" xfId="5601" hidden="1" xr:uid="{00000000-0005-0000-0000-000058130000}"/>
    <cellStyle name="40% - Accent3 10" xfId="5703" hidden="1" xr:uid="{00000000-0005-0000-0000-000059130000}"/>
    <cellStyle name="40% - Accent3 10" xfId="5777" hidden="1" xr:uid="{00000000-0005-0000-0000-00005A130000}"/>
    <cellStyle name="40% - Accent3 10" xfId="5853" hidden="1" xr:uid="{00000000-0005-0000-0000-00005B130000}"/>
    <cellStyle name="40% - Accent3 10" xfId="5931" hidden="1" xr:uid="{00000000-0005-0000-0000-00005C130000}"/>
    <cellStyle name="40% - Accent3 10" xfId="6516" hidden="1" xr:uid="{00000000-0005-0000-0000-00005D130000}"/>
    <cellStyle name="40% - Accent3 10" xfId="6592" hidden="1" xr:uid="{00000000-0005-0000-0000-00005E130000}"/>
    <cellStyle name="40% - Accent3 10" xfId="6671" hidden="1" xr:uid="{00000000-0005-0000-0000-00005F130000}"/>
    <cellStyle name="40% - Accent3 10" xfId="6929" hidden="1" xr:uid="{00000000-0005-0000-0000-000060130000}"/>
    <cellStyle name="40% - Accent3 10" xfId="6309" hidden="1" xr:uid="{00000000-0005-0000-0000-000061130000}"/>
    <cellStyle name="40% - Accent3 10" xfId="6363" hidden="1" xr:uid="{00000000-0005-0000-0000-000062130000}"/>
    <cellStyle name="40% - Accent3 10" xfId="7111" hidden="1" xr:uid="{00000000-0005-0000-0000-000063130000}"/>
    <cellStyle name="40% - Accent3 10" xfId="7187" hidden="1" xr:uid="{00000000-0005-0000-0000-000064130000}"/>
    <cellStyle name="40% - Accent3 10" xfId="7265" hidden="1" xr:uid="{00000000-0005-0000-0000-000065130000}"/>
    <cellStyle name="40% - Accent3 10" xfId="7487" hidden="1" xr:uid="{00000000-0005-0000-0000-000066130000}"/>
    <cellStyle name="40% - Accent3 10" xfId="6770" hidden="1" xr:uid="{00000000-0005-0000-0000-000067130000}"/>
    <cellStyle name="40% - Accent3 10" xfId="6371" hidden="1" xr:uid="{00000000-0005-0000-0000-000068130000}"/>
    <cellStyle name="40% - Accent3 10" xfId="7643" hidden="1" xr:uid="{00000000-0005-0000-0000-000069130000}"/>
    <cellStyle name="40% - Accent3 10" xfId="7719" hidden="1" xr:uid="{00000000-0005-0000-0000-00006A130000}"/>
    <cellStyle name="40% - Accent3 10" xfId="7797" hidden="1" xr:uid="{00000000-0005-0000-0000-00006B130000}"/>
    <cellStyle name="40% - Accent3 10" xfId="7980" hidden="1" xr:uid="{00000000-0005-0000-0000-00006C130000}"/>
    <cellStyle name="40% - Accent3 10" xfId="8056" hidden="1" xr:uid="{00000000-0005-0000-0000-00006D130000}"/>
    <cellStyle name="40% - Accent3 10" xfId="8134" hidden="1" xr:uid="{00000000-0005-0000-0000-00006E130000}"/>
    <cellStyle name="40% - Accent3 10" xfId="8317" hidden="1" xr:uid="{00000000-0005-0000-0000-00006F130000}"/>
    <cellStyle name="40% - Accent3 10" xfId="8393" hidden="1" xr:uid="{00000000-0005-0000-0000-000070130000}"/>
    <cellStyle name="40% - Accent3 11" xfId="132" hidden="1" xr:uid="{00000000-0005-0000-0000-000071130000}"/>
    <cellStyle name="40% - Accent3 11" xfId="206" hidden="1" xr:uid="{00000000-0005-0000-0000-000072130000}"/>
    <cellStyle name="40% - Accent3 11" xfId="282" hidden="1" xr:uid="{00000000-0005-0000-0000-000073130000}"/>
    <cellStyle name="40% - Accent3 11" xfId="360" hidden="1" xr:uid="{00000000-0005-0000-0000-000074130000}"/>
    <cellStyle name="40% - Accent3 11" xfId="945" hidden="1" xr:uid="{00000000-0005-0000-0000-000075130000}"/>
    <cellStyle name="40% - Accent3 11" xfId="1021" hidden="1" xr:uid="{00000000-0005-0000-0000-000076130000}"/>
    <cellStyle name="40% - Accent3 11" xfId="1100" hidden="1" xr:uid="{00000000-0005-0000-0000-000077130000}"/>
    <cellStyle name="40% - Accent3 11" xfId="785" hidden="1" xr:uid="{00000000-0005-0000-0000-000078130000}"/>
    <cellStyle name="40% - Accent3 11" xfId="733" hidden="1" xr:uid="{00000000-0005-0000-0000-000079130000}"/>
    <cellStyle name="40% - Accent3 11" xfId="697" hidden="1" xr:uid="{00000000-0005-0000-0000-00007A130000}"/>
    <cellStyle name="40% - Accent3 11" xfId="1540" hidden="1" xr:uid="{00000000-0005-0000-0000-00007B130000}"/>
    <cellStyle name="40% - Accent3 11" xfId="1616" hidden="1" xr:uid="{00000000-0005-0000-0000-00007C130000}"/>
    <cellStyle name="40% - Accent3 11" xfId="1694" hidden="1" xr:uid="{00000000-0005-0000-0000-00007D130000}"/>
    <cellStyle name="40% - Accent3 11" xfId="619" hidden="1" xr:uid="{00000000-0005-0000-0000-00007E130000}"/>
    <cellStyle name="40% - Accent3 11" xfId="1137" hidden="1" xr:uid="{00000000-0005-0000-0000-00007F130000}"/>
    <cellStyle name="40% - Accent3 11" xfId="1120" hidden="1" xr:uid="{00000000-0005-0000-0000-000080130000}"/>
    <cellStyle name="40% - Accent3 11" xfId="2072" hidden="1" xr:uid="{00000000-0005-0000-0000-000081130000}"/>
    <cellStyle name="40% - Accent3 11" xfId="2148" hidden="1" xr:uid="{00000000-0005-0000-0000-000082130000}"/>
    <cellStyle name="40% - Accent3 11" xfId="2226" hidden="1" xr:uid="{00000000-0005-0000-0000-000083130000}"/>
    <cellStyle name="40% - Accent3 11" xfId="2409" hidden="1" xr:uid="{00000000-0005-0000-0000-000084130000}"/>
    <cellStyle name="40% - Accent3 11" xfId="2485" hidden="1" xr:uid="{00000000-0005-0000-0000-000085130000}"/>
    <cellStyle name="40% - Accent3 11" xfId="2563" hidden="1" xr:uid="{00000000-0005-0000-0000-000086130000}"/>
    <cellStyle name="40% - Accent3 11" xfId="2746" hidden="1" xr:uid="{00000000-0005-0000-0000-000087130000}"/>
    <cellStyle name="40% - Accent3 11" xfId="2822" hidden="1" xr:uid="{00000000-0005-0000-0000-000088130000}"/>
    <cellStyle name="40% - Accent3 11" xfId="2924" hidden="1" xr:uid="{00000000-0005-0000-0000-000089130000}"/>
    <cellStyle name="40% - Accent3 11" xfId="2998" hidden="1" xr:uid="{00000000-0005-0000-0000-00008A130000}"/>
    <cellStyle name="40% - Accent3 11" xfId="3074" hidden="1" xr:uid="{00000000-0005-0000-0000-00008B130000}"/>
    <cellStyle name="40% - Accent3 11" xfId="3152" hidden="1" xr:uid="{00000000-0005-0000-0000-00008C130000}"/>
    <cellStyle name="40% - Accent3 11" xfId="3737" hidden="1" xr:uid="{00000000-0005-0000-0000-00008D130000}"/>
    <cellStyle name="40% - Accent3 11" xfId="3813" hidden="1" xr:uid="{00000000-0005-0000-0000-00008E130000}"/>
    <cellStyle name="40% - Accent3 11" xfId="3892" hidden="1" xr:uid="{00000000-0005-0000-0000-00008F130000}"/>
    <cellStyle name="40% - Accent3 11" xfId="3577" hidden="1" xr:uid="{00000000-0005-0000-0000-000090130000}"/>
    <cellStyle name="40% - Accent3 11" xfId="3525" hidden="1" xr:uid="{00000000-0005-0000-0000-000091130000}"/>
    <cellStyle name="40% - Accent3 11" xfId="3489" hidden="1" xr:uid="{00000000-0005-0000-0000-000092130000}"/>
    <cellStyle name="40% - Accent3 11" xfId="4332" hidden="1" xr:uid="{00000000-0005-0000-0000-000093130000}"/>
    <cellStyle name="40% - Accent3 11" xfId="4408" hidden="1" xr:uid="{00000000-0005-0000-0000-000094130000}"/>
    <cellStyle name="40% - Accent3 11" xfId="4486" hidden="1" xr:uid="{00000000-0005-0000-0000-000095130000}"/>
    <cellStyle name="40% - Accent3 11" xfId="3411" hidden="1" xr:uid="{00000000-0005-0000-0000-000096130000}"/>
    <cellStyle name="40% - Accent3 11" xfId="3929" hidden="1" xr:uid="{00000000-0005-0000-0000-000097130000}"/>
    <cellStyle name="40% - Accent3 11" xfId="3912" hidden="1" xr:uid="{00000000-0005-0000-0000-000098130000}"/>
    <cellStyle name="40% - Accent3 11" xfId="4864" hidden="1" xr:uid="{00000000-0005-0000-0000-000099130000}"/>
    <cellStyle name="40% - Accent3 11" xfId="4940" hidden="1" xr:uid="{00000000-0005-0000-0000-00009A130000}"/>
    <cellStyle name="40% - Accent3 11" xfId="5018" hidden="1" xr:uid="{00000000-0005-0000-0000-00009B130000}"/>
    <cellStyle name="40% - Accent3 11" xfId="5201" hidden="1" xr:uid="{00000000-0005-0000-0000-00009C130000}"/>
    <cellStyle name="40% - Accent3 11" xfId="5277" hidden="1" xr:uid="{00000000-0005-0000-0000-00009D130000}"/>
    <cellStyle name="40% - Accent3 11" xfId="5355" hidden="1" xr:uid="{00000000-0005-0000-0000-00009E130000}"/>
    <cellStyle name="40% - Accent3 11" xfId="5538" hidden="1" xr:uid="{00000000-0005-0000-0000-00009F130000}"/>
    <cellStyle name="40% - Accent3 11" xfId="5614" hidden="1" xr:uid="{00000000-0005-0000-0000-0000A0130000}"/>
    <cellStyle name="40% - Accent3 11" xfId="5716" hidden="1" xr:uid="{00000000-0005-0000-0000-0000A1130000}"/>
    <cellStyle name="40% - Accent3 11" xfId="5790" hidden="1" xr:uid="{00000000-0005-0000-0000-0000A2130000}"/>
    <cellStyle name="40% - Accent3 11" xfId="5866" hidden="1" xr:uid="{00000000-0005-0000-0000-0000A3130000}"/>
    <cellStyle name="40% - Accent3 11" xfId="5944" hidden="1" xr:uid="{00000000-0005-0000-0000-0000A4130000}"/>
    <cellStyle name="40% - Accent3 11" xfId="6529" hidden="1" xr:uid="{00000000-0005-0000-0000-0000A5130000}"/>
    <cellStyle name="40% - Accent3 11" xfId="6605" hidden="1" xr:uid="{00000000-0005-0000-0000-0000A6130000}"/>
    <cellStyle name="40% - Accent3 11" xfId="6684" hidden="1" xr:uid="{00000000-0005-0000-0000-0000A7130000}"/>
    <cellStyle name="40% - Accent3 11" xfId="6369" hidden="1" xr:uid="{00000000-0005-0000-0000-0000A8130000}"/>
    <cellStyle name="40% - Accent3 11" xfId="6317" hidden="1" xr:uid="{00000000-0005-0000-0000-0000A9130000}"/>
    <cellStyle name="40% - Accent3 11" xfId="6281" hidden="1" xr:uid="{00000000-0005-0000-0000-0000AA130000}"/>
    <cellStyle name="40% - Accent3 11" xfId="7124" hidden="1" xr:uid="{00000000-0005-0000-0000-0000AB130000}"/>
    <cellStyle name="40% - Accent3 11" xfId="7200" hidden="1" xr:uid="{00000000-0005-0000-0000-0000AC130000}"/>
    <cellStyle name="40% - Accent3 11" xfId="7278" hidden="1" xr:uid="{00000000-0005-0000-0000-0000AD130000}"/>
    <cellStyle name="40% - Accent3 11" xfId="6203" hidden="1" xr:uid="{00000000-0005-0000-0000-0000AE130000}"/>
    <cellStyle name="40% - Accent3 11" xfId="6721" hidden="1" xr:uid="{00000000-0005-0000-0000-0000AF130000}"/>
    <cellStyle name="40% - Accent3 11" xfId="6704" hidden="1" xr:uid="{00000000-0005-0000-0000-0000B0130000}"/>
    <cellStyle name="40% - Accent3 11" xfId="7656" hidden="1" xr:uid="{00000000-0005-0000-0000-0000B1130000}"/>
    <cellStyle name="40% - Accent3 11" xfId="7732" hidden="1" xr:uid="{00000000-0005-0000-0000-0000B2130000}"/>
    <cellStyle name="40% - Accent3 11" xfId="7810" hidden="1" xr:uid="{00000000-0005-0000-0000-0000B3130000}"/>
    <cellStyle name="40% - Accent3 11" xfId="7993" hidden="1" xr:uid="{00000000-0005-0000-0000-0000B4130000}"/>
    <cellStyle name="40% - Accent3 11" xfId="8069" hidden="1" xr:uid="{00000000-0005-0000-0000-0000B5130000}"/>
    <cellStyle name="40% - Accent3 11" xfId="8147" hidden="1" xr:uid="{00000000-0005-0000-0000-0000B6130000}"/>
    <cellStyle name="40% - Accent3 11" xfId="8330" hidden="1" xr:uid="{00000000-0005-0000-0000-0000B7130000}"/>
    <cellStyle name="40% - Accent3 11" xfId="8406" hidden="1" xr:uid="{00000000-0005-0000-0000-0000B8130000}"/>
    <cellStyle name="40% - Accent3 12" xfId="145" hidden="1" xr:uid="{00000000-0005-0000-0000-0000B9130000}"/>
    <cellStyle name="40% - Accent3 12" xfId="220" hidden="1" xr:uid="{00000000-0005-0000-0000-0000BA130000}"/>
    <cellStyle name="40% - Accent3 12" xfId="295" hidden="1" xr:uid="{00000000-0005-0000-0000-0000BB130000}"/>
    <cellStyle name="40% - Accent3 12" xfId="373" hidden="1" xr:uid="{00000000-0005-0000-0000-0000BC130000}"/>
    <cellStyle name="40% - Accent3 12" xfId="959" hidden="1" xr:uid="{00000000-0005-0000-0000-0000BD130000}"/>
    <cellStyle name="40% - Accent3 12" xfId="1034" hidden="1" xr:uid="{00000000-0005-0000-0000-0000BE130000}"/>
    <cellStyle name="40% - Accent3 12" xfId="1113" hidden="1" xr:uid="{00000000-0005-0000-0000-0000BF130000}"/>
    <cellStyle name="40% - Accent3 12" xfId="1349" hidden="1" xr:uid="{00000000-0005-0000-0000-0000C0130000}"/>
    <cellStyle name="40% - Accent3 12" xfId="840" hidden="1" xr:uid="{00000000-0005-0000-0000-0000C1130000}"/>
    <cellStyle name="40% - Accent3 12" xfId="750" hidden="1" xr:uid="{00000000-0005-0000-0000-0000C2130000}"/>
    <cellStyle name="40% - Accent3 12" xfId="1554" hidden="1" xr:uid="{00000000-0005-0000-0000-0000C3130000}"/>
    <cellStyle name="40% - Accent3 12" xfId="1629" hidden="1" xr:uid="{00000000-0005-0000-0000-0000C4130000}"/>
    <cellStyle name="40% - Accent3 12" xfId="1707" hidden="1" xr:uid="{00000000-0005-0000-0000-0000C5130000}"/>
    <cellStyle name="40% - Accent3 12" xfId="1907" hidden="1" xr:uid="{00000000-0005-0000-0000-0000C6130000}"/>
    <cellStyle name="40% - Accent3 12" xfId="1368" hidden="1" xr:uid="{00000000-0005-0000-0000-0000C7130000}"/>
    <cellStyle name="40% - Accent3 12" xfId="1051" hidden="1" xr:uid="{00000000-0005-0000-0000-0000C8130000}"/>
    <cellStyle name="40% - Accent3 12" xfId="2086" hidden="1" xr:uid="{00000000-0005-0000-0000-0000C9130000}"/>
    <cellStyle name="40% - Accent3 12" xfId="2161" hidden="1" xr:uid="{00000000-0005-0000-0000-0000CA130000}"/>
    <cellStyle name="40% - Accent3 12" xfId="2239" hidden="1" xr:uid="{00000000-0005-0000-0000-0000CB130000}"/>
    <cellStyle name="40% - Accent3 12" xfId="2423" hidden="1" xr:uid="{00000000-0005-0000-0000-0000CC130000}"/>
    <cellStyle name="40% - Accent3 12" xfId="2498" hidden="1" xr:uid="{00000000-0005-0000-0000-0000CD130000}"/>
    <cellStyle name="40% - Accent3 12" xfId="2576" hidden="1" xr:uid="{00000000-0005-0000-0000-0000CE130000}"/>
    <cellStyle name="40% - Accent3 12" xfId="2760" hidden="1" xr:uid="{00000000-0005-0000-0000-0000CF130000}"/>
    <cellStyle name="40% - Accent3 12" xfId="2835" hidden="1" xr:uid="{00000000-0005-0000-0000-0000D0130000}"/>
    <cellStyle name="40% - Accent3 12" xfId="2937" hidden="1" xr:uid="{00000000-0005-0000-0000-0000D1130000}"/>
    <cellStyle name="40% - Accent3 12" xfId="3012" hidden="1" xr:uid="{00000000-0005-0000-0000-0000D2130000}"/>
    <cellStyle name="40% - Accent3 12" xfId="3087" hidden="1" xr:uid="{00000000-0005-0000-0000-0000D3130000}"/>
    <cellStyle name="40% - Accent3 12" xfId="3165" hidden="1" xr:uid="{00000000-0005-0000-0000-0000D4130000}"/>
    <cellStyle name="40% - Accent3 12" xfId="3751" hidden="1" xr:uid="{00000000-0005-0000-0000-0000D5130000}"/>
    <cellStyle name="40% - Accent3 12" xfId="3826" hidden="1" xr:uid="{00000000-0005-0000-0000-0000D6130000}"/>
    <cellStyle name="40% - Accent3 12" xfId="3905" hidden="1" xr:uid="{00000000-0005-0000-0000-0000D7130000}"/>
    <cellStyle name="40% - Accent3 12" xfId="4141" hidden="1" xr:uid="{00000000-0005-0000-0000-0000D8130000}"/>
    <cellStyle name="40% - Accent3 12" xfId="3632" hidden="1" xr:uid="{00000000-0005-0000-0000-0000D9130000}"/>
    <cellStyle name="40% - Accent3 12" xfId="3542" hidden="1" xr:uid="{00000000-0005-0000-0000-0000DA130000}"/>
    <cellStyle name="40% - Accent3 12" xfId="4346" hidden="1" xr:uid="{00000000-0005-0000-0000-0000DB130000}"/>
    <cellStyle name="40% - Accent3 12" xfId="4421" hidden="1" xr:uid="{00000000-0005-0000-0000-0000DC130000}"/>
    <cellStyle name="40% - Accent3 12" xfId="4499" hidden="1" xr:uid="{00000000-0005-0000-0000-0000DD130000}"/>
    <cellStyle name="40% - Accent3 12" xfId="4699" hidden="1" xr:uid="{00000000-0005-0000-0000-0000DE130000}"/>
    <cellStyle name="40% - Accent3 12" xfId="4160" hidden="1" xr:uid="{00000000-0005-0000-0000-0000DF130000}"/>
    <cellStyle name="40% - Accent3 12" xfId="3843" hidden="1" xr:uid="{00000000-0005-0000-0000-0000E0130000}"/>
    <cellStyle name="40% - Accent3 12" xfId="4878" hidden="1" xr:uid="{00000000-0005-0000-0000-0000E1130000}"/>
    <cellStyle name="40% - Accent3 12" xfId="4953" hidden="1" xr:uid="{00000000-0005-0000-0000-0000E2130000}"/>
    <cellStyle name="40% - Accent3 12" xfId="5031" hidden="1" xr:uid="{00000000-0005-0000-0000-0000E3130000}"/>
    <cellStyle name="40% - Accent3 12" xfId="5215" hidden="1" xr:uid="{00000000-0005-0000-0000-0000E4130000}"/>
    <cellStyle name="40% - Accent3 12" xfId="5290" hidden="1" xr:uid="{00000000-0005-0000-0000-0000E5130000}"/>
    <cellStyle name="40% - Accent3 12" xfId="5368" hidden="1" xr:uid="{00000000-0005-0000-0000-0000E6130000}"/>
    <cellStyle name="40% - Accent3 12" xfId="5552" hidden="1" xr:uid="{00000000-0005-0000-0000-0000E7130000}"/>
    <cellStyle name="40% - Accent3 12" xfId="5627" hidden="1" xr:uid="{00000000-0005-0000-0000-0000E8130000}"/>
    <cellStyle name="40% - Accent3 12" xfId="5729" hidden="1" xr:uid="{00000000-0005-0000-0000-0000E9130000}"/>
    <cellStyle name="40% - Accent3 12" xfId="5804" hidden="1" xr:uid="{00000000-0005-0000-0000-0000EA130000}"/>
    <cellStyle name="40% - Accent3 12" xfId="5879" hidden="1" xr:uid="{00000000-0005-0000-0000-0000EB130000}"/>
    <cellStyle name="40% - Accent3 12" xfId="5957" hidden="1" xr:uid="{00000000-0005-0000-0000-0000EC130000}"/>
    <cellStyle name="40% - Accent3 12" xfId="6543" hidden="1" xr:uid="{00000000-0005-0000-0000-0000ED130000}"/>
    <cellStyle name="40% - Accent3 12" xfId="6618" hidden="1" xr:uid="{00000000-0005-0000-0000-0000EE130000}"/>
    <cellStyle name="40% - Accent3 12" xfId="6697" hidden="1" xr:uid="{00000000-0005-0000-0000-0000EF130000}"/>
    <cellStyle name="40% - Accent3 12" xfId="6933" hidden="1" xr:uid="{00000000-0005-0000-0000-0000F0130000}"/>
    <cellStyle name="40% - Accent3 12" xfId="6424" hidden="1" xr:uid="{00000000-0005-0000-0000-0000F1130000}"/>
    <cellStyle name="40% - Accent3 12" xfId="6334" hidden="1" xr:uid="{00000000-0005-0000-0000-0000F2130000}"/>
    <cellStyle name="40% - Accent3 12" xfId="7138" hidden="1" xr:uid="{00000000-0005-0000-0000-0000F3130000}"/>
    <cellStyle name="40% - Accent3 12" xfId="7213" hidden="1" xr:uid="{00000000-0005-0000-0000-0000F4130000}"/>
    <cellStyle name="40% - Accent3 12" xfId="7291" hidden="1" xr:uid="{00000000-0005-0000-0000-0000F5130000}"/>
    <cellStyle name="40% - Accent3 12" xfId="7491" hidden="1" xr:uid="{00000000-0005-0000-0000-0000F6130000}"/>
    <cellStyle name="40% - Accent3 12" xfId="6952" hidden="1" xr:uid="{00000000-0005-0000-0000-0000F7130000}"/>
    <cellStyle name="40% - Accent3 12" xfId="6635" hidden="1" xr:uid="{00000000-0005-0000-0000-0000F8130000}"/>
    <cellStyle name="40% - Accent3 12" xfId="7670" hidden="1" xr:uid="{00000000-0005-0000-0000-0000F9130000}"/>
    <cellStyle name="40% - Accent3 12" xfId="7745" hidden="1" xr:uid="{00000000-0005-0000-0000-0000FA130000}"/>
    <cellStyle name="40% - Accent3 12" xfId="7823" hidden="1" xr:uid="{00000000-0005-0000-0000-0000FB130000}"/>
    <cellStyle name="40% - Accent3 12" xfId="8007" hidden="1" xr:uid="{00000000-0005-0000-0000-0000FC130000}"/>
    <cellStyle name="40% - Accent3 12" xfId="8082" hidden="1" xr:uid="{00000000-0005-0000-0000-0000FD130000}"/>
    <cellStyle name="40% - Accent3 12" xfId="8160" hidden="1" xr:uid="{00000000-0005-0000-0000-0000FE130000}"/>
    <cellStyle name="40% - Accent3 12" xfId="8344" hidden="1" xr:uid="{00000000-0005-0000-0000-0000FF130000}"/>
    <cellStyle name="40% - Accent3 12" xfId="8419" hidden="1" xr:uid="{00000000-0005-0000-0000-000000140000}"/>
    <cellStyle name="40% - Accent3 13" xfId="386" hidden="1" xr:uid="{00000000-0005-0000-0000-000001140000}"/>
    <cellStyle name="40% - Accent3 13" xfId="501" hidden="1" xr:uid="{00000000-0005-0000-0000-000002140000}"/>
    <cellStyle name="40% - Accent3 13" xfId="1224" hidden="1" xr:uid="{00000000-0005-0000-0000-000003140000}"/>
    <cellStyle name="40% - Accent3 13" xfId="1397" hidden="1" xr:uid="{00000000-0005-0000-0000-000004140000}"/>
    <cellStyle name="40% - Accent3 13" xfId="1790" hidden="1" xr:uid="{00000000-0005-0000-0000-000005140000}"/>
    <cellStyle name="40% - Accent3 13" xfId="1938" hidden="1" xr:uid="{00000000-0005-0000-0000-000006140000}"/>
    <cellStyle name="40% - Accent3 13" xfId="2276" hidden="1" xr:uid="{00000000-0005-0000-0000-000007140000}"/>
    <cellStyle name="40% - Accent3 13" xfId="2613" hidden="1" xr:uid="{00000000-0005-0000-0000-000008140000}"/>
    <cellStyle name="40% - Accent3 13" xfId="3178" hidden="1" xr:uid="{00000000-0005-0000-0000-000009140000}"/>
    <cellStyle name="40% - Accent3 13" xfId="3293" hidden="1" xr:uid="{00000000-0005-0000-0000-00000A140000}"/>
    <cellStyle name="40% - Accent3 13" xfId="4016" hidden="1" xr:uid="{00000000-0005-0000-0000-00000B140000}"/>
    <cellStyle name="40% - Accent3 13" xfId="4189" hidden="1" xr:uid="{00000000-0005-0000-0000-00000C140000}"/>
    <cellStyle name="40% - Accent3 13" xfId="4582" hidden="1" xr:uid="{00000000-0005-0000-0000-00000D140000}"/>
    <cellStyle name="40% - Accent3 13" xfId="4730" hidden="1" xr:uid="{00000000-0005-0000-0000-00000E140000}"/>
    <cellStyle name="40% - Accent3 13" xfId="5068" hidden="1" xr:uid="{00000000-0005-0000-0000-00000F140000}"/>
    <cellStyle name="40% - Accent3 13" xfId="5405" hidden="1" xr:uid="{00000000-0005-0000-0000-000010140000}"/>
    <cellStyle name="40% - Accent3 13" xfId="5970" hidden="1" xr:uid="{00000000-0005-0000-0000-000011140000}"/>
    <cellStyle name="40% - Accent3 13" xfId="6085" hidden="1" xr:uid="{00000000-0005-0000-0000-000012140000}"/>
    <cellStyle name="40% - Accent3 13" xfId="6808" hidden="1" xr:uid="{00000000-0005-0000-0000-000013140000}"/>
    <cellStyle name="40% - Accent3 13" xfId="6981" hidden="1" xr:uid="{00000000-0005-0000-0000-000014140000}"/>
    <cellStyle name="40% - Accent3 13" xfId="7374" hidden="1" xr:uid="{00000000-0005-0000-0000-000015140000}"/>
    <cellStyle name="40% - Accent3 13" xfId="7522" hidden="1" xr:uid="{00000000-0005-0000-0000-000016140000}"/>
    <cellStyle name="40% - Accent3 13" xfId="7860" hidden="1" xr:uid="{00000000-0005-0000-0000-000017140000}"/>
    <cellStyle name="40% - Accent3 13" xfId="8197" hidden="1" xr:uid="{00000000-0005-0000-0000-000018140000}"/>
    <cellStyle name="40% - Accent3 3 2 3 2" xfId="471" hidden="1" xr:uid="{00000000-0005-0000-0000-000019140000}"/>
    <cellStyle name="40% - Accent3 3 2 3 2" xfId="586" hidden="1" xr:uid="{00000000-0005-0000-0000-00001A140000}"/>
    <cellStyle name="40% - Accent3 3 2 3 2" xfId="1309" hidden="1" xr:uid="{00000000-0005-0000-0000-00001B140000}"/>
    <cellStyle name="40% - Accent3 3 2 3 2" xfId="1482" hidden="1" xr:uid="{00000000-0005-0000-0000-00001C140000}"/>
    <cellStyle name="40% - Accent3 3 2 3 2" xfId="1875" hidden="1" xr:uid="{00000000-0005-0000-0000-00001D140000}"/>
    <cellStyle name="40% - Accent3 3 2 3 2" xfId="2023" hidden="1" xr:uid="{00000000-0005-0000-0000-00001E140000}"/>
    <cellStyle name="40% - Accent3 3 2 3 2" xfId="2361" hidden="1" xr:uid="{00000000-0005-0000-0000-00001F140000}"/>
    <cellStyle name="40% - Accent3 3 2 3 2" xfId="2698" hidden="1" xr:uid="{00000000-0005-0000-0000-000020140000}"/>
    <cellStyle name="40% - Accent3 3 2 3 2" xfId="3263" hidden="1" xr:uid="{00000000-0005-0000-0000-000021140000}"/>
    <cellStyle name="40% - Accent3 3 2 3 2" xfId="3378" hidden="1" xr:uid="{00000000-0005-0000-0000-000022140000}"/>
    <cellStyle name="40% - Accent3 3 2 3 2" xfId="4101" hidden="1" xr:uid="{00000000-0005-0000-0000-000023140000}"/>
    <cellStyle name="40% - Accent3 3 2 3 2" xfId="4274" hidden="1" xr:uid="{00000000-0005-0000-0000-000024140000}"/>
    <cellStyle name="40% - Accent3 3 2 3 2" xfId="4667" hidden="1" xr:uid="{00000000-0005-0000-0000-000025140000}"/>
    <cellStyle name="40% - Accent3 3 2 3 2" xfId="4815" hidden="1" xr:uid="{00000000-0005-0000-0000-000026140000}"/>
    <cellStyle name="40% - Accent3 3 2 3 2" xfId="5153" hidden="1" xr:uid="{00000000-0005-0000-0000-000027140000}"/>
    <cellStyle name="40% - Accent3 3 2 3 2" xfId="5490" hidden="1" xr:uid="{00000000-0005-0000-0000-000028140000}"/>
    <cellStyle name="40% - Accent3 3 2 3 2" xfId="6055" hidden="1" xr:uid="{00000000-0005-0000-0000-000029140000}"/>
    <cellStyle name="40% - Accent3 3 2 3 2" xfId="6170" hidden="1" xr:uid="{00000000-0005-0000-0000-00002A140000}"/>
    <cellStyle name="40% - Accent3 3 2 3 2" xfId="6893" hidden="1" xr:uid="{00000000-0005-0000-0000-00002B140000}"/>
    <cellStyle name="40% - Accent3 3 2 3 2" xfId="7066" hidden="1" xr:uid="{00000000-0005-0000-0000-00002C140000}"/>
    <cellStyle name="40% - Accent3 3 2 3 2" xfId="7459" hidden="1" xr:uid="{00000000-0005-0000-0000-00002D140000}"/>
    <cellStyle name="40% - Accent3 3 2 3 2" xfId="7607" hidden="1" xr:uid="{00000000-0005-0000-0000-00002E140000}"/>
    <cellStyle name="40% - Accent3 3 2 3 2" xfId="7945" hidden="1" xr:uid="{00000000-0005-0000-0000-00002F140000}"/>
    <cellStyle name="40% - Accent3 3 2 3 2" xfId="8282" hidden="1" xr:uid="{00000000-0005-0000-0000-000030140000}"/>
    <cellStyle name="40% - Accent3 3 2 4 2" xfId="438" hidden="1" xr:uid="{00000000-0005-0000-0000-000031140000}"/>
    <cellStyle name="40% - Accent3 3 2 4 2" xfId="553" hidden="1" xr:uid="{00000000-0005-0000-0000-000032140000}"/>
    <cellStyle name="40% - Accent3 3 2 4 2" xfId="1276" hidden="1" xr:uid="{00000000-0005-0000-0000-000033140000}"/>
    <cellStyle name="40% - Accent3 3 2 4 2" xfId="1449" hidden="1" xr:uid="{00000000-0005-0000-0000-000034140000}"/>
    <cellStyle name="40% - Accent3 3 2 4 2" xfId="1842" hidden="1" xr:uid="{00000000-0005-0000-0000-000035140000}"/>
    <cellStyle name="40% - Accent3 3 2 4 2" xfId="1990" hidden="1" xr:uid="{00000000-0005-0000-0000-000036140000}"/>
    <cellStyle name="40% - Accent3 3 2 4 2" xfId="2328" hidden="1" xr:uid="{00000000-0005-0000-0000-000037140000}"/>
    <cellStyle name="40% - Accent3 3 2 4 2" xfId="2665" hidden="1" xr:uid="{00000000-0005-0000-0000-000038140000}"/>
    <cellStyle name="40% - Accent3 3 2 4 2" xfId="3230" hidden="1" xr:uid="{00000000-0005-0000-0000-000039140000}"/>
    <cellStyle name="40% - Accent3 3 2 4 2" xfId="3345" hidden="1" xr:uid="{00000000-0005-0000-0000-00003A140000}"/>
    <cellStyle name="40% - Accent3 3 2 4 2" xfId="4068" hidden="1" xr:uid="{00000000-0005-0000-0000-00003B140000}"/>
    <cellStyle name="40% - Accent3 3 2 4 2" xfId="4241" hidden="1" xr:uid="{00000000-0005-0000-0000-00003C140000}"/>
    <cellStyle name="40% - Accent3 3 2 4 2" xfId="4634" hidden="1" xr:uid="{00000000-0005-0000-0000-00003D140000}"/>
    <cellStyle name="40% - Accent3 3 2 4 2" xfId="4782" hidden="1" xr:uid="{00000000-0005-0000-0000-00003E140000}"/>
    <cellStyle name="40% - Accent3 3 2 4 2" xfId="5120" hidden="1" xr:uid="{00000000-0005-0000-0000-00003F140000}"/>
    <cellStyle name="40% - Accent3 3 2 4 2" xfId="5457" hidden="1" xr:uid="{00000000-0005-0000-0000-000040140000}"/>
    <cellStyle name="40% - Accent3 3 2 4 2" xfId="6022" hidden="1" xr:uid="{00000000-0005-0000-0000-000041140000}"/>
    <cellStyle name="40% - Accent3 3 2 4 2" xfId="6137" hidden="1" xr:uid="{00000000-0005-0000-0000-000042140000}"/>
    <cellStyle name="40% - Accent3 3 2 4 2" xfId="6860" hidden="1" xr:uid="{00000000-0005-0000-0000-000043140000}"/>
    <cellStyle name="40% - Accent3 3 2 4 2" xfId="7033" hidden="1" xr:uid="{00000000-0005-0000-0000-000044140000}"/>
    <cellStyle name="40% - Accent3 3 2 4 2" xfId="7426" hidden="1" xr:uid="{00000000-0005-0000-0000-000045140000}"/>
    <cellStyle name="40% - Accent3 3 2 4 2" xfId="7574" hidden="1" xr:uid="{00000000-0005-0000-0000-000046140000}"/>
    <cellStyle name="40% - Accent3 3 2 4 2" xfId="7912" hidden="1" xr:uid="{00000000-0005-0000-0000-000047140000}"/>
    <cellStyle name="40% - Accent3 3 2 4 2" xfId="8249" hidden="1" xr:uid="{00000000-0005-0000-0000-000048140000}"/>
    <cellStyle name="40% - Accent3 3 3 3 2" xfId="437" hidden="1" xr:uid="{00000000-0005-0000-0000-000049140000}"/>
    <cellStyle name="40% - Accent3 3 3 3 2" xfId="552" hidden="1" xr:uid="{00000000-0005-0000-0000-00004A140000}"/>
    <cellStyle name="40% - Accent3 3 3 3 2" xfId="1275" hidden="1" xr:uid="{00000000-0005-0000-0000-00004B140000}"/>
    <cellStyle name="40% - Accent3 3 3 3 2" xfId="1448" hidden="1" xr:uid="{00000000-0005-0000-0000-00004C140000}"/>
    <cellStyle name="40% - Accent3 3 3 3 2" xfId="1841" hidden="1" xr:uid="{00000000-0005-0000-0000-00004D140000}"/>
    <cellStyle name="40% - Accent3 3 3 3 2" xfId="1989" hidden="1" xr:uid="{00000000-0005-0000-0000-00004E140000}"/>
    <cellStyle name="40% - Accent3 3 3 3 2" xfId="2327" hidden="1" xr:uid="{00000000-0005-0000-0000-00004F140000}"/>
    <cellStyle name="40% - Accent3 3 3 3 2" xfId="2664" hidden="1" xr:uid="{00000000-0005-0000-0000-000050140000}"/>
    <cellStyle name="40% - Accent3 3 3 3 2" xfId="3229" hidden="1" xr:uid="{00000000-0005-0000-0000-000051140000}"/>
    <cellStyle name="40% - Accent3 3 3 3 2" xfId="3344" hidden="1" xr:uid="{00000000-0005-0000-0000-000052140000}"/>
    <cellStyle name="40% - Accent3 3 3 3 2" xfId="4067" hidden="1" xr:uid="{00000000-0005-0000-0000-000053140000}"/>
    <cellStyle name="40% - Accent3 3 3 3 2" xfId="4240" hidden="1" xr:uid="{00000000-0005-0000-0000-000054140000}"/>
    <cellStyle name="40% - Accent3 3 3 3 2" xfId="4633" hidden="1" xr:uid="{00000000-0005-0000-0000-000055140000}"/>
    <cellStyle name="40% - Accent3 3 3 3 2" xfId="4781" hidden="1" xr:uid="{00000000-0005-0000-0000-000056140000}"/>
    <cellStyle name="40% - Accent3 3 3 3 2" xfId="5119" hidden="1" xr:uid="{00000000-0005-0000-0000-000057140000}"/>
    <cellStyle name="40% - Accent3 3 3 3 2" xfId="5456" hidden="1" xr:uid="{00000000-0005-0000-0000-000058140000}"/>
    <cellStyle name="40% - Accent3 3 3 3 2" xfId="6021" hidden="1" xr:uid="{00000000-0005-0000-0000-000059140000}"/>
    <cellStyle name="40% - Accent3 3 3 3 2" xfId="6136" hidden="1" xr:uid="{00000000-0005-0000-0000-00005A140000}"/>
    <cellStyle name="40% - Accent3 3 3 3 2" xfId="6859" hidden="1" xr:uid="{00000000-0005-0000-0000-00005B140000}"/>
    <cellStyle name="40% - Accent3 3 3 3 2" xfId="7032" hidden="1" xr:uid="{00000000-0005-0000-0000-00005C140000}"/>
    <cellStyle name="40% - Accent3 3 3 3 2" xfId="7425" hidden="1" xr:uid="{00000000-0005-0000-0000-00005D140000}"/>
    <cellStyle name="40% - Accent3 3 3 3 2" xfId="7573" hidden="1" xr:uid="{00000000-0005-0000-0000-00005E140000}"/>
    <cellStyle name="40% - Accent3 3 3 3 2" xfId="7911" hidden="1" xr:uid="{00000000-0005-0000-0000-00005F140000}"/>
    <cellStyle name="40% - Accent3 3 3 3 2" xfId="8248" hidden="1" xr:uid="{00000000-0005-0000-0000-000060140000}"/>
    <cellStyle name="40% - Accent3 4 2 3 2" xfId="472" hidden="1" xr:uid="{00000000-0005-0000-0000-000061140000}"/>
    <cellStyle name="40% - Accent3 4 2 3 2" xfId="587" hidden="1" xr:uid="{00000000-0005-0000-0000-000062140000}"/>
    <cellStyle name="40% - Accent3 4 2 3 2" xfId="1310" hidden="1" xr:uid="{00000000-0005-0000-0000-000063140000}"/>
    <cellStyle name="40% - Accent3 4 2 3 2" xfId="1483" hidden="1" xr:uid="{00000000-0005-0000-0000-000064140000}"/>
    <cellStyle name="40% - Accent3 4 2 3 2" xfId="1876" hidden="1" xr:uid="{00000000-0005-0000-0000-000065140000}"/>
    <cellStyle name="40% - Accent3 4 2 3 2" xfId="2024" hidden="1" xr:uid="{00000000-0005-0000-0000-000066140000}"/>
    <cellStyle name="40% - Accent3 4 2 3 2" xfId="2362" hidden="1" xr:uid="{00000000-0005-0000-0000-000067140000}"/>
    <cellStyle name="40% - Accent3 4 2 3 2" xfId="2699" hidden="1" xr:uid="{00000000-0005-0000-0000-000068140000}"/>
    <cellStyle name="40% - Accent3 4 2 3 2" xfId="3264" hidden="1" xr:uid="{00000000-0005-0000-0000-000069140000}"/>
    <cellStyle name="40% - Accent3 4 2 3 2" xfId="3379" hidden="1" xr:uid="{00000000-0005-0000-0000-00006A140000}"/>
    <cellStyle name="40% - Accent3 4 2 3 2" xfId="4102" hidden="1" xr:uid="{00000000-0005-0000-0000-00006B140000}"/>
    <cellStyle name="40% - Accent3 4 2 3 2" xfId="4275" hidden="1" xr:uid="{00000000-0005-0000-0000-00006C140000}"/>
    <cellStyle name="40% - Accent3 4 2 3 2" xfId="4668" hidden="1" xr:uid="{00000000-0005-0000-0000-00006D140000}"/>
    <cellStyle name="40% - Accent3 4 2 3 2" xfId="4816" hidden="1" xr:uid="{00000000-0005-0000-0000-00006E140000}"/>
    <cellStyle name="40% - Accent3 4 2 3 2" xfId="5154" hidden="1" xr:uid="{00000000-0005-0000-0000-00006F140000}"/>
    <cellStyle name="40% - Accent3 4 2 3 2" xfId="5491" hidden="1" xr:uid="{00000000-0005-0000-0000-000070140000}"/>
    <cellStyle name="40% - Accent3 4 2 3 2" xfId="6056" hidden="1" xr:uid="{00000000-0005-0000-0000-000071140000}"/>
    <cellStyle name="40% - Accent3 4 2 3 2" xfId="6171" hidden="1" xr:uid="{00000000-0005-0000-0000-000072140000}"/>
    <cellStyle name="40% - Accent3 4 2 3 2" xfId="6894" hidden="1" xr:uid="{00000000-0005-0000-0000-000073140000}"/>
    <cellStyle name="40% - Accent3 4 2 3 2" xfId="7067" hidden="1" xr:uid="{00000000-0005-0000-0000-000074140000}"/>
    <cellStyle name="40% - Accent3 4 2 3 2" xfId="7460" hidden="1" xr:uid="{00000000-0005-0000-0000-000075140000}"/>
    <cellStyle name="40% - Accent3 4 2 3 2" xfId="7608" hidden="1" xr:uid="{00000000-0005-0000-0000-000076140000}"/>
    <cellStyle name="40% - Accent3 4 2 3 2" xfId="7946" hidden="1" xr:uid="{00000000-0005-0000-0000-000077140000}"/>
    <cellStyle name="40% - Accent3 4 2 3 2" xfId="8283" hidden="1" xr:uid="{00000000-0005-0000-0000-000078140000}"/>
    <cellStyle name="40% - Accent3 4 2 4 2" xfId="440" hidden="1" xr:uid="{00000000-0005-0000-0000-000079140000}"/>
    <cellStyle name="40% - Accent3 4 2 4 2" xfId="555" hidden="1" xr:uid="{00000000-0005-0000-0000-00007A140000}"/>
    <cellStyle name="40% - Accent3 4 2 4 2" xfId="1278" hidden="1" xr:uid="{00000000-0005-0000-0000-00007B140000}"/>
    <cellStyle name="40% - Accent3 4 2 4 2" xfId="1451" hidden="1" xr:uid="{00000000-0005-0000-0000-00007C140000}"/>
    <cellStyle name="40% - Accent3 4 2 4 2" xfId="1844" hidden="1" xr:uid="{00000000-0005-0000-0000-00007D140000}"/>
    <cellStyle name="40% - Accent3 4 2 4 2" xfId="1992" hidden="1" xr:uid="{00000000-0005-0000-0000-00007E140000}"/>
    <cellStyle name="40% - Accent3 4 2 4 2" xfId="2330" hidden="1" xr:uid="{00000000-0005-0000-0000-00007F140000}"/>
    <cellStyle name="40% - Accent3 4 2 4 2" xfId="2667" hidden="1" xr:uid="{00000000-0005-0000-0000-000080140000}"/>
    <cellStyle name="40% - Accent3 4 2 4 2" xfId="3232" hidden="1" xr:uid="{00000000-0005-0000-0000-000081140000}"/>
    <cellStyle name="40% - Accent3 4 2 4 2" xfId="3347" hidden="1" xr:uid="{00000000-0005-0000-0000-000082140000}"/>
    <cellStyle name="40% - Accent3 4 2 4 2" xfId="4070" hidden="1" xr:uid="{00000000-0005-0000-0000-000083140000}"/>
    <cellStyle name="40% - Accent3 4 2 4 2" xfId="4243" hidden="1" xr:uid="{00000000-0005-0000-0000-000084140000}"/>
    <cellStyle name="40% - Accent3 4 2 4 2" xfId="4636" hidden="1" xr:uid="{00000000-0005-0000-0000-000085140000}"/>
    <cellStyle name="40% - Accent3 4 2 4 2" xfId="4784" hidden="1" xr:uid="{00000000-0005-0000-0000-000086140000}"/>
    <cellStyle name="40% - Accent3 4 2 4 2" xfId="5122" hidden="1" xr:uid="{00000000-0005-0000-0000-000087140000}"/>
    <cellStyle name="40% - Accent3 4 2 4 2" xfId="5459" hidden="1" xr:uid="{00000000-0005-0000-0000-000088140000}"/>
    <cellStyle name="40% - Accent3 4 2 4 2" xfId="6024" hidden="1" xr:uid="{00000000-0005-0000-0000-000089140000}"/>
    <cellStyle name="40% - Accent3 4 2 4 2" xfId="6139" hidden="1" xr:uid="{00000000-0005-0000-0000-00008A140000}"/>
    <cellStyle name="40% - Accent3 4 2 4 2" xfId="6862" hidden="1" xr:uid="{00000000-0005-0000-0000-00008B140000}"/>
    <cellStyle name="40% - Accent3 4 2 4 2" xfId="7035" hidden="1" xr:uid="{00000000-0005-0000-0000-00008C140000}"/>
    <cellStyle name="40% - Accent3 4 2 4 2" xfId="7428" hidden="1" xr:uid="{00000000-0005-0000-0000-00008D140000}"/>
    <cellStyle name="40% - Accent3 4 2 4 2" xfId="7576" hidden="1" xr:uid="{00000000-0005-0000-0000-00008E140000}"/>
    <cellStyle name="40% - Accent3 4 2 4 2" xfId="7914" hidden="1" xr:uid="{00000000-0005-0000-0000-00008F140000}"/>
    <cellStyle name="40% - Accent3 4 2 4 2" xfId="8251" hidden="1" xr:uid="{00000000-0005-0000-0000-000090140000}"/>
    <cellStyle name="40% - Accent3 4 3 3 2" xfId="439" hidden="1" xr:uid="{00000000-0005-0000-0000-000091140000}"/>
    <cellStyle name="40% - Accent3 4 3 3 2" xfId="554" hidden="1" xr:uid="{00000000-0005-0000-0000-000092140000}"/>
    <cellStyle name="40% - Accent3 4 3 3 2" xfId="1277" hidden="1" xr:uid="{00000000-0005-0000-0000-000093140000}"/>
    <cellStyle name="40% - Accent3 4 3 3 2" xfId="1450" hidden="1" xr:uid="{00000000-0005-0000-0000-000094140000}"/>
    <cellStyle name="40% - Accent3 4 3 3 2" xfId="1843" hidden="1" xr:uid="{00000000-0005-0000-0000-000095140000}"/>
    <cellStyle name="40% - Accent3 4 3 3 2" xfId="1991" hidden="1" xr:uid="{00000000-0005-0000-0000-000096140000}"/>
    <cellStyle name="40% - Accent3 4 3 3 2" xfId="2329" hidden="1" xr:uid="{00000000-0005-0000-0000-000097140000}"/>
    <cellStyle name="40% - Accent3 4 3 3 2" xfId="2666" hidden="1" xr:uid="{00000000-0005-0000-0000-000098140000}"/>
    <cellStyle name="40% - Accent3 4 3 3 2" xfId="3231" hidden="1" xr:uid="{00000000-0005-0000-0000-000099140000}"/>
    <cellStyle name="40% - Accent3 4 3 3 2" xfId="3346" hidden="1" xr:uid="{00000000-0005-0000-0000-00009A140000}"/>
    <cellStyle name="40% - Accent3 4 3 3 2" xfId="4069" hidden="1" xr:uid="{00000000-0005-0000-0000-00009B140000}"/>
    <cellStyle name="40% - Accent3 4 3 3 2" xfId="4242" hidden="1" xr:uid="{00000000-0005-0000-0000-00009C140000}"/>
    <cellStyle name="40% - Accent3 4 3 3 2" xfId="4635" hidden="1" xr:uid="{00000000-0005-0000-0000-00009D140000}"/>
    <cellStyle name="40% - Accent3 4 3 3 2" xfId="4783" hidden="1" xr:uid="{00000000-0005-0000-0000-00009E140000}"/>
    <cellStyle name="40% - Accent3 4 3 3 2" xfId="5121" hidden="1" xr:uid="{00000000-0005-0000-0000-00009F140000}"/>
    <cellStyle name="40% - Accent3 4 3 3 2" xfId="5458" hidden="1" xr:uid="{00000000-0005-0000-0000-0000A0140000}"/>
    <cellStyle name="40% - Accent3 4 3 3 2" xfId="6023" hidden="1" xr:uid="{00000000-0005-0000-0000-0000A1140000}"/>
    <cellStyle name="40% - Accent3 4 3 3 2" xfId="6138" hidden="1" xr:uid="{00000000-0005-0000-0000-0000A2140000}"/>
    <cellStyle name="40% - Accent3 4 3 3 2" xfId="6861" hidden="1" xr:uid="{00000000-0005-0000-0000-0000A3140000}"/>
    <cellStyle name="40% - Accent3 4 3 3 2" xfId="7034" hidden="1" xr:uid="{00000000-0005-0000-0000-0000A4140000}"/>
    <cellStyle name="40% - Accent3 4 3 3 2" xfId="7427" hidden="1" xr:uid="{00000000-0005-0000-0000-0000A5140000}"/>
    <cellStyle name="40% - Accent3 4 3 3 2" xfId="7575" hidden="1" xr:uid="{00000000-0005-0000-0000-0000A6140000}"/>
    <cellStyle name="40% - Accent3 4 3 3 2" xfId="7913" hidden="1" xr:uid="{00000000-0005-0000-0000-0000A7140000}"/>
    <cellStyle name="40% - Accent3 4 3 3 2" xfId="8250" hidden="1" xr:uid="{00000000-0005-0000-0000-0000A8140000}"/>
    <cellStyle name="40% - Accent3 5 2" xfId="400" hidden="1" xr:uid="{00000000-0005-0000-0000-0000A9140000}"/>
    <cellStyle name="40% - Accent3 5 2" xfId="515" hidden="1" xr:uid="{00000000-0005-0000-0000-0000AA140000}"/>
    <cellStyle name="40% - Accent3 5 2" xfId="1238" hidden="1" xr:uid="{00000000-0005-0000-0000-0000AB140000}"/>
    <cellStyle name="40% - Accent3 5 2" xfId="1411" hidden="1" xr:uid="{00000000-0005-0000-0000-0000AC140000}"/>
    <cellStyle name="40% - Accent3 5 2" xfId="1804" hidden="1" xr:uid="{00000000-0005-0000-0000-0000AD140000}"/>
    <cellStyle name="40% - Accent3 5 2" xfId="1952" hidden="1" xr:uid="{00000000-0005-0000-0000-0000AE140000}"/>
    <cellStyle name="40% - Accent3 5 2" xfId="2290" hidden="1" xr:uid="{00000000-0005-0000-0000-0000AF140000}"/>
    <cellStyle name="40% - Accent3 5 2" xfId="2627" hidden="1" xr:uid="{00000000-0005-0000-0000-0000B0140000}"/>
    <cellStyle name="40% - Accent3 5 2" xfId="3192" hidden="1" xr:uid="{00000000-0005-0000-0000-0000B1140000}"/>
    <cellStyle name="40% - Accent3 5 2" xfId="3307" hidden="1" xr:uid="{00000000-0005-0000-0000-0000B2140000}"/>
    <cellStyle name="40% - Accent3 5 2" xfId="4030" hidden="1" xr:uid="{00000000-0005-0000-0000-0000B3140000}"/>
    <cellStyle name="40% - Accent3 5 2" xfId="4203" hidden="1" xr:uid="{00000000-0005-0000-0000-0000B4140000}"/>
    <cellStyle name="40% - Accent3 5 2" xfId="4596" hidden="1" xr:uid="{00000000-0005-0000-0000-0000B5140000}"/>
    <cellStyle name="40% - Accent3 5 2" xfId="4744" hidden="1" xr:uid="{00000000-0005-0000-0000-0000B6140000}"/>
    <cellStyle name="40% - Accent3 5 2" xfId="5082" hidden="1" xr:uid="{00000000-0005-0000-0000-0000B7140000}"/>
    <cellStyle name="40% - Accent3 5 2" xfId="5419" hidden="1" xr:uid="{00000000-0005-0000-0000-0000B8140000}"/>
    <cellStyle name="40% - Accent3 5 2" xfId="5984" hidden="1" xr:uid="{00000000-0005-0000-0000-0000B9140000}"/>
    <cellStyle name="40% - Accent3 5 2" xfId="6099" hidden="1" xr:uid="{00000000-0005-0000-0000-0000BA140000}"/>
    <cellStyle name="40% - Accent3 5 2" xfId="6822" hidden="1" xr:uid="{00000000-0005-0000-0000-0000BB140000}"/>
    <cellStyle name="40% - Accent3 5 2" xfId="6995" hidden="1" xr:uid="{00000000-0005-0000-0000-0000BC140000}"/>
    <cellStyle name="40% - Accent3 5 2" xfId="7388" hidden="1" xr:uid="{00000000-0005-0000-0000-0000BD140000}"/>
    <cellStyle name="40% - Accent3 5 2" xfId="7536" hidden="1" xr:uid="{00000000-0005-0000-0000-0000BE140000}"/>
    <cellStyle name="40% - Accent3 5 2" xfId="7874" hidden="1" xr:uid="{00000000-0005-0000-0000-0000BF140000}"/>
    <cellStyle name="40% - Accent3 5 2" xfId="8211" hidden="1" xr:uid="{00000000-0005-0000-0000-0000C0140000}"/>
    <cellStyle name="40% - Accent3 7" xfId="77" hidden="1" xr:uid="{00000000-0005-0000-0000-0000C1140000}"/>
    <cellStyle name="40% - Accent3 7" xfId="154" hidden="1" xr:uid="{00000000-0005-0000-0000-0000C2140000}"/>
    <cellStyle name="40% - Accent3 7" xfId="232" hidden="1" xr:uid="{00000000-0005-0000-0000-0000C3140000}"/>
    <cellStyle name="40% - Accent3 7" xfId="310" hidden="1" xr:uid="{00000000-0005-0000-0000-0000C4140000}"/>
    <cellStyle name="40% - Accent3 7" xfId="892" hidden="1" xr:uid="{00000000-0005-0000-0000-0000C5140000}"/>
    <cellStyle name="40% - Accent3 7" xfId="971" hidden="1" xr:uid="{00000000-0005-0000-0000-0000C6140000}"/>
    <cellStyle name="40% - Accent3 7" xfId="1049" hidden="1" xr:uid="{00000000-0005-0000-0000-0000C7140000}"/>
    <cellStyle name="40% - Accent3 7" xfId="775" hidden="1" xr:uid="{00000000-0005-0000-0000-0000C8140000}"/>
    <cellStyle name="40% - Accent3 7" xfId="727" hidden="1" xr:uid="{00000000-0005-0000-0000-0000C9140000}"/>
    <cellStyle name="40% - Accent3 7" xfId="701" hidden="1" xr:uid="{00000000-0005-0000-0000-0000CA140000}"/>
    <cellStyle name="40% - Accent3 7" xfId="1361" hidden="1" xr:uid="{00000000-0005-0000-0000-0000CB140000}"/>
    <cellStyle name="40% - Accent3 7" xfId="1566" hidden="1" xr:uid="{00000000-0005-0000-0000-0000CC140000}"/>
    <cellStyle name="40% - Accent3 7" xfId="1644" hidden="1" xr:uid="{00000000-0005-0000-0000-0000CD140000}"/>
    <cellStyle name="40% - Accent3 7" xfId="648" hidden="1" xr:uid="{00000000-0005-0000-0000-0000CE140000}"/>
    <cellStyle name="40% - Accent3 7" xfId="774" hidden="1" xr:uid="{00000000-0005-0000-0000-0000CF140000}"/>
    <cellStyle name="40% - Accent3 7" xfId="805" hidden="1" xr:uid="{00000000-0005-0000-0000-0000D0140000}"/>
    <cellStyle name="40% - Accent3 7" xfId="1910" hidden="1" xr:uid="{00000000-0005-0000-0000-0000D1140000}"/>
    <cellStyle name="40% - Accent3 7" xfId="2098" hidden="1" xr:uid="{00000000-0005-0000-0000-0000D2140000}"/>
    <cellStyle name="40% - Accent3 7" xfId="2176" hidden="1" xr:uid="{00000000-0005-0000-0000-0000D3140000}"/>
    <cellStyle name="40% - Accent3 7" xfId="2252" hidden="1" xr:uid="{00000000-0005-0000-0000-0000D4140000}"/>
    <cellStyle name="40% - Accent3 7" xfId="2435" hidden="1" xr:uid="{00000000-0005-0000-0000-0000D5140000}"/>
    <cellStyle name="40% - Accent3 7" xfId="2513" hidden="1" xr:uid="{00000000-0005-0000-0000-0000D6140000}"/>
    <cellStyle name="40% - Accent3 7" xfId="2589" hidden="1" xr:uid="{00000000-0005-0000-0000-0000D7140000}"/>
    <cellStyle name="40% - Accent3 7" xfId="2772" hidden="1" xr:uid="{00000000-0005-0000-0000-0000D8140000}"/>
    <cellStyle name="40% - Accent3 7" xfId="2869" hidden="1" xr:uid="{00000000-0005-0000-0000-0000D9140000}"/>
    <cellStyle name="40% - Accent3 7" xfId="2946" hidden="1" xr:uid="{00000000-0005-0000-0000-0000DA140000}"/>
    <cellStyle name="40% - Accent3 7" xfId="3024" hidden="1" xr:uid="{00000000-0005-0000-0000-0000DB140000}"/>
    <cellStyle name="40% - Accent3 7" xfId="3102" hidden="1" xr:uid="{00000000-0005-0000-0000-0000DC140000}"/>
    <cellStyle name="40% - Accent3 7" xfId="3684" hidden="1" xr:uid="{00000000-0005-0000-0000-0000DD140000}"/>
    <cellStyle name="40% - Accent3 7" xfId="3763" hidden="1" xr:uid="{00000000-0005-0000-0000-0000DE140000}"/>
    <cellStyle name="40% - Accent3 7" xfId="3841" hidden="1" xr:uid="{00000000-0005-0000-0000-0000DF140000}"/>
    <cellStyle name="40% - Accent3 7" xfId="3567" hidden="1" xr:uid="{00000000-0005-0000-0000-0000E0140000}"/>
    <cellStyle name="40% - Accent3 7" xfId="3519" hidden="1" xr:uid="{00000000-0005-0000-0000-0000E1140000}"/>
    <cellStyle name="40% - Accent3 7" xfId="3493" hidden="1" xr:uid="{00000000-0005-0000-0000-0000E2140000}"/>
    <cellStyle name="40% - Accent3 7" xfId="4153" hidden="1" xr:uid="{00000000-0005-0000-0000-0000E3140000}"/>
    <cellStyle name="40% - Accent3 7" xfId="4358" hidden="1" xr:uid="{00000000-0005-0000-0000-0000E4140000}"/>
    <cellStyle name="40% - Accent3 7" xfId="4436" hidden="1" xr:uid="{00000000-0005-0000-0000-0000E5140000}"/>
    <cellStyle name="40% - Accent3 7" xfId="3440" hidden="1" xr:uid="{00000000-0005-0000-0000-0000E6140000}"/>
    <cellStyle name="40% - Accent3 7" xfId="3566" hidden="1" xr:uid="{00000000-0005-0000-0000-0000E7140000}"/>
    <cellStyle name="40% - Accent3 7" xfId="3597" hidden="1" xr:uid="{00000000-0005-0000-0000-0000E8140000}"/>
    <cellStyle name="40% - Accent3 7" xfId="4702" hidden="1" xr:uid="{00000000-0005-0000-0000-0000E9140000}"/>
    <cellStyle name="40% - Accent3 7" xfId="4890" hidden="1" xr:uid="{00000000-0005-0000-0000-0000EA140000}"/>
    <cellStyle name="40% - Accent3 7" xfId="4968" hidden="1" xr:uid="{00000000-0005-0000-0000-0000EB140000}"/>
    <cellStyle name="40% - Accent3 7" xfId="5044" hidden="1" xr:uid="{00000000-0005-0000-0000-0000EC140000}"/>
    <cellStyle name="40% - Accent3 7" xfId="5227" hidden="1" xr:uid="{00000000-0005-0000-0000-0000ED140000}"/>
    <cellStyle name="40% - Accent3 7" xfId="5305" hidden="1" xr:uid="{00000000-0005-0000-0000-0000EE140000}"/>
    <cellStyle name="40% - Accent3 7" xfId="5381" hidden="1" xr:uid="{00000000-0005-0000-0000-0000EF140000}"/>
    <cellStyle name="40% - Accent3 7" xfId="5564" hidden="1" xr:uid="{00000000-0005-0000-0000-0000F0140000}"/>
    <cellStyle name="40% - Accent3 7" xfId="5661" hidden="1" xr:uid="{00000000-0005-0000-0000-0000F1140000}"/>
    <cellStyle name="40% - Accent3 7" xfId="5738" hidden="1" xr:uid="{00000000-0005-0000-0000-0000F2140000}"/>
    <cellStyle name="40% - Accent3 7" xfId="5816" hidden="1" xr:uid="{00000000-0005-0000-0000-0000F3140000}"/>
    <cellStyle name="40% - Accent3 7" xfId="5894" hidden="1" xr:uid="{00000000-0005-0000-0000-0000F4140000}"/>
    <cellStyle name="40% - Accent3 7" xfId="6476" hidden="1" xr:uid="{00000000-0005-0000-0000-0000F5140000}"/>
    <cellStyle name="40% - Accent3 7" xfId="6555" hidden="1" xr:uid="{00000000-0005-0000-0000-0000F6140000}"/>
    <cellStyle name="40% - Accent3 7" xfId="6633" hidden="1" xr:uid="{00000000-0005-0000-0000-0000F7140000}"/>
    <cellStyle name="40% - Accent3 7" xfId="6359" hidden="1" xr:uid="{00000000-0005-0000-0000-0000F8140000}"/>
    <cellStyle name="40% - Accent3 7" xfId="6311" hidden="1" xr:uid="{00000000-0005-0000-0000-0000F9140000}"/>
    <cellStyle name="40% - Accent3 7" xfId="6285" hidden="1" xr:uid="{00000000-0005-0000-0000-0000FA140000}"/>
    <cellStyle name="40% - Accent3 7" xfId="6945" hidden="1" xr:uid="{00000000-0005-0000-0000-0000FB140000}"/>
    <cellStyle name="40% - Accent3 7" xfId="7150" hidden="1" xr:uid="{00000000-0005-0000-0000-0000FC140000}"/>
    <cellStyle name="40% - Accent3 7" xfId="7228" hidden="1" xr:uid="{00000000-0005-0000-0000-0000FD140000}"/>
    <cellStyle name="40% - Accent3 7" xfId="6232" hidden="1" xr:uid="{00000000-0005-0000-0000-0000FE140000}"/>
    <cellStyle name="40% - Accent3 7" xfId="6358" hidden="1" xr:uid="{00000000-0005-0000-0000-0000FF140000}"/>
    <cellStyle name="40% - Accent3 7" xfId="6389" hidden="1" xr:uid="{00000000-0005-0000-0000-000000150000}"/>
    <cellStyle name="40% - Accent3 7" xfId="7494" hidden="1" xr:uid="{00000000-0005-0000-0000-000001150000}"/>
    <cellStyle name="40% - Accent3 7" xfId="7682" hidden="1" xr:uid="{00000000-0005-0000-0000-000002150000}"/>
    <cellStyle name="40% - Accent3 7" xfId="7760" hidden="1" xr:uid="{00000000-0005-0000-0000-000003150000}"/>
    <cellStyle name="40% - Accent3 7" xfId="7836" hidden="1" xr:uid="{00000000-0005-0000-0000-000004150000}"/>
    <cellStyle name="40% - Accent3 7" xfId="8019" hidden="1" xr:uid="{00000000-0005-0000-0000-000005150000}"/>
    <cellStyle name="40% - Accent3 7" xfId="8097" hidden="1" xr:uid="{00000000-0005-0000-0000-000006150000}"/>
    <cellStyle name="40% - Accent3 7" xfId="8173" hidden="1" xr:uid="{00000000-0005-0000-0000-000007150000}"/>
    <cellStyle name="40% - Accent3 7" xfId="8356" hidden="1" xr:uid="{00000000-0005-0000-0000-000008150000}"/>
    <cellStyle name="40% - Accent3 8" xfId="93" hidden="1" xr:uid="{00000000-0005-0000-0000-000009150000}"/>
    <cellStyle name="40% - Accent3 8" xfId="82" hidden="1" xr:uid="{00000000-0005-0000-0000-00000A150000}"/>
    <cellStyle name="40% - Accent3 8" xfId="229" hidden="1" xr:uid="{00000000-0005-0000-0000-00000B150000}"/>
    <cellStyle name="40% - Accent3 8" xfId="307" hidden="1" xr:uid="{00000000-0005-0000-0000-00000C150000}"/>
    <cellStyle name="40% - Accent3 8" xfId="887" hidden="1" xr:uid="{00000000-0005-0000-0000-00000D150000}"/>
    <cellStyle name="40% - Accent3 8" xfId="968" hidden="1" xr:uid="{00000000-0005-0000-0000-00000E150000}"/>
    <cellStyle name="40% - Accent3 8" xfId="1046" hidden="1" xr:uid="{00000000-0005-0000-0000-00000F150000}"/>
    <cellStyle name="40% - Accent3 8" xfId="795" hidden="1" xr:uid="{00000000-0005-0000-0000-000010150000}"/>
    <cellStyle name="40% - Accent3 8" xfId="1343" hidden="1" xr:uid="{00000000-0005-0000-0000-000011150000}"/>
    <cellStyle name="40% - Accent3 8" xfId="871" hidden="1" xr:uid="{00000000-0005-0000-0000-000012150000}"/>
    <cellStyle name="40% - Accent3 8" xfId="1319" hidden="1" xr:uid="{00000000-0005-0000-0000-000013150000}"/>
    <cellStyle name="40% - Accent3 8" xfId="1563" hidden="1" xr:uid="{00000000-0005-0000-0000-000014150000}"/>
    <cellStyle name="40% - Accent3 8" xfId="1641" hidden="1" xr:uid="{00000000-0005-0000-0000-000015150000}"/>
    <cellStyle name="40% - Accent3 8" xfId="597" hidden="1" xr:uid="{00000000-0005-0000-0000-000016150000}"/>
    <cellStyle name="40% - Accent3 8" xfId="1901" hidden="1" xr:uid="{00000000-0005-0000-0000-000017150000}"/>
    <cellStyle name="40% - Accent3 8" xfId="1493" hidden="1" xr:uid="{00000000-0005-0000-0000-000018150000}"/>
    <cellStyle name="40% - Accent3 8" xfId="1884" hidden="1" xr:uid="{00000000-0005-0000-0000-000019150000}"/>
    <cellStyle name="40% - Accent3 8" xfId="2095" hidden="1" xr:uid="{00000000-0005-0000-0000-00001A150000}"/>
    <cellStyle name="40% - Accent3 8" xfId="2173" hidden="1" xr:uid="{00000000-0005-0000-0000-00001B150000}"/>
    <cellStyle name="40% - Accent3 8" xfId="2247" hidden="1" xr:uid="{00000000-0005-0000-0000-00001C150000}"/>
    <cellStyle name="40% - Accent3 8" xfId="2432" hidden="1" xr:uid="{00000000-0005-0000-0000-00001D150000}"/>
    <cellStyle name="40% - Accent3 8" xfId="2510" hidden="1" xr:uid="{00000000-0005-0000-0000-00001E150000}"/>
    <cellStyle name="40% - Accent3 8" xfId="2584" hidden="1" xr:uid="{00000000-0005-0000-0000-00001F150000}"/>
    <cellStyle name="40% - Accent3 8" xfId="2769" hidden="1" xr:uid="{00000000-0005-0000-0000-000020150000}"/>
    <cellStyle name="40% - Accent3 8" xfId="2885" hidden="1" xr:uid="{00000000-0005-0000-0000-000021150000}"/>
    <cellStyle name="40% - Accent3 8" xfId="2874" hidden="1" xr:uid="{00000000-0005-0000-0000-000022150000}"/>
    <cellStyle name="40% - Accent3 8" xfId="3021" hidden="1" xr:uid="{00000000-0005-0000-0000-000023150000}"/>
    <cellStyle name="40% - Accent3 8" xfId="3099" hidden="1" xr:uid="{00000000-0005-0000-0000-000024150000}"/>
    <cellStyle name="40% - Accent3 8" xfId="3679" hidden="1" xr:uid="{00000000-0005-0000-0000-000025150000}"/>
    <cellStyle name="40% - Accent3 8" xfId="3760" hidden="1" xr:uid="{00000000-0005-0000-0000-000026150000}"/>
    <cellStyle name="40% - Accent3 8" xfId="3838" hidden="1" xr:uid="{00000000-0005-0000-0000-000027150000}"/>
    <cellStyle name="40% - Accent3 8" xfId="3587" hidden="1" xr:uid="{00000000-0005-0000-0000-000028150000}"/>
    <cellStyle name="40% - Accent3 8" xfId="4135" hidden="1" xr:uid="{00000000-0005-0000-0000-000029150000}"/>
    <cellStyle name="40% - Accent3 8" xfId="3663" hidden="1" xr:uid="{00000000-0005-0000-0000-00002A150000}"/>
    <cellStyle name="40% - Accent3 8" xfId="4111" hidden="1" xr:uid="{00000000-0005-0000-0000-00002B150000}"/>
    <cellStyle name="40% - Accent3 8" xfId="4355" hidden="1" xr:uid="{00000000-0005-0000-0000-00002C150000}"/>
    <cellStyle name="40% - Accent3 8" xfId="4433" hidden="1" xr:uid="{00000000-0005-0000-0000-00002D150000}"/>
    <cellStyle name="40% - Accent3 8" xfId="3389" hidden="1" xr:uid="{00000000-0005-0000-0000-00002E150000}"/>
    <cellStyle name="40% - Accent3 8" xfId="4693" hidden="1" xr:uid="{00000000-0005-0000-0000-00002F150000}"/>
    <cellStyle name="40% - Accent3 8" xfId="4285" hidden="1" xr:uid="{00000000-0005-0000-0000-000030150000}"/>
    <cellStyle name="40% - Accent3 8" xfId="4676" hidden="1" xr:uid="{00000000-0005-0000-0000-000031150000}"/>
    <cellStyle name="40% - Accent3 8" xfId="4887" hidden="1" xr:uid="{00000000-0005-0000-0000-000032150000}"/>
    <cellStyle name="40% - Accent3 8" xfId="4965" hidden="1" xr:uid="{00000000-0005-0000-0000-000033150000}"/>
    <cellStyle name="40% - Accent3 8" xfId="5039" hidden="1" xr:uid="{00000000-0005-0000-0000-000034150000}"/>
    <cellStyle name="40% - Accent3 8" xfId="5224" hidden="1" xr:uid="{00000000-0005-0000-0000-000035150000}"/>
    <cellStyle name="40% - Accent3 8" xfId="5302" hidden="1" xr:uid="{00000000-0005-0000-0000-000036150000}"/>
    <cellStyle name="40% - Accent3 8" xfId="5376" hidden="1" xr:uid="{00000000-0005-0000-0000-000037150000}"/>
    <cellStyle name="40% - Accent3 8" xfId="5561" hidden="1" xr:uid="{00000000-0005-0000-0000-000038150000}"/>
    <cellStyle name="40% - Accent3 8" xfId="5677" hidden="1" xr:uid="{00000000-0005-0000-0000-000039150000}"/>
    <cellStyle name="40% - Accent3 8" xfId="5666" hidden="1" xr:uid="{00000000-0005-0000-0000-00003A150000}"/>
    <cellStyle name="40% - Accent3 8" xfId="5813" hidden="1" xr:uid="{00000000-0005-0000-0000-00003B150000}"/>
    <cellStyle name="40% - Accent3 8" xfId="5891" hidden="1" xr:uid="{00000000-0005-0000-0000-00003C150000}"/>
    <cellStyle name="40% - Accent3 8" xfId="6471" hidden="1" xr:uid="{00000000-0005-0000-0000-00003D150000}"/>
    <cellStyle name="40% - Accent3 8" xfId="6552" hidden="1" xr:uid="{00000000-0005-0000-0000-00003E150000}"/>
    <cellStyle name="40% - Accent3 8" xfId="6630" hidden="1" xr:uid="{00000000-0005-0000-0000-00003F150000}"/>
    <cellStyle name="40% - Accent3 8" xfId="6379" hidden="1" xr:uid="{00000000-0005-0000-0000-000040150000}"/>
    <cellStyle name="40% - Accent3 8" xfId="6927" hidden="1" xr:uid="{00000000-0005-0000-0000-000041150000}"/>
    <cellStyle name="40% - Accent3 8" xfId="6455" hidden="1" xr:uid="{00000000-0005-0000-0000-000042150000}"/>
    <cellStyle name="40% - Accent3 8" xfId="6903" hidden="1" xr:uid="{00000000-0005-0000-0000-000043150000}"/>
    <cellStyle name="40% - Accent3 8" xfId="7147" hidden="1" xr:uid="{00000000-0005-0000-0000-000044150000}"/>
    <cellStyle name="40% - Accent3 8" xfId="7225" hidden="1" xr:uid="{00000000-0005-0000-0000-000045150000}"/>
    <cellStyle name="40% - Accent3 8" xfId="6181" hidden="1" xr:uid="{00000000-0005-0000-0000-000046150000}"/>
    <cellStyle name="40% - Accent3 8" xfId="7485" hidden="1" xr:uid="{00000000-0005-0000-0000-000047150000}"/>
    <cellStyle name="40% - Accent3 8" xfId="7077" hidden="1" xr:uid="{00000000-0005-0000-0000-000048150000}"/>
    <cellStyle name="40% - Accent3 8" xfId="7468" hidden="1" xr:uid="{00000000-0005-0000-0000-000049150000}"/>
    <cellStyle name="40% - Accent3 8" xfId="7679" hidden="1" xr:uid="{00000000-0005-0000-0000-00004A150000}"/>
    <cellStyle name="40% - Accent3 8" xfId="7757" hidden="1" xr:uid="{00000000-0005-0000-0000-00004B150000}"/>
    <cellStyle name="40% - Accent3 8" xfId="7831" hidden="1" xr:uid="{00000000-0005-0000-0000-00004C150000}"/>
    <cellStyle name="40% - Accent3 8" xfId="8016" hidden="1" xr:uid="{00000000-0005-0000-0000-00004D150000}"/>
    <cellStyle name="40% - Accent3 8" xfId="8094" hidden="1" xr:uid="{00000000-0005-0000-0000-00004E150000}"/>
    <cellStyle name="40% - Accent3 8" xfId="8168" hidden="1" xr:uid="{00000000-0005-0000-0000-00004F150000}"/>
    <cellStyle name="40% - Accent3 8" xfId="8353" hidden="1" xr:uid="{00000000-0005-0000-0000-000050150000}"/>
    <cellStyle name="40% - Accent3 9" xfId="106" hidden="1" xr:uid="{00000000-0005-0000-0000-000051150000}"/>
    <cellStyle name="40% - Accent3 9" xfId="180" hidden="1" xr:uid="{00000000-0005-0000-0000-000052150000}"/>
    <cellStyle name="40% - Accent3 9" xfId="256" hidden="1" xr:uid="{00000000-0005-0000-0000-000053150000}"/>
    <cellStyle name="40% - Accent3 9" xfId="334" hidden="1" xr:uid="{00000000-0005-0000-0000-000054150000}"/>
    <cellStyle name="40% - Accent3 9" xfId="919" hidden="1" xr:uid="{00000000-0005-0000-0000-000055150000}"/>
    <cellStyle name="40% - Accent3 9" xfId="995" hidden="1" xr:uid="{00000000-0005-0000-0000-000056150000}"/>
    <cellStyle name="40% - Accent3 9" xfId="1074" hidden="1" xr:uid="{00000000-0005-0000-0000-000057150000}"/>
    <cellStyle name="40% - Accent3 9" xfId="1131" hidden="1" xr:uid="{00000000-0005-0000-0000-000058150000}"/>
    <cellStyle name="40% - Accent3 9" xfId="770" hidden="1" xr:uid="{00000000-0005-0000-0000-000059150000}"/>
    <cellStyle name="40% - Accent3 9" xfId="684" hidden="1" xr:uid="{00000000-0005-0000-0000-00005A150000}"/>
    <cellStyle name="40% - Accent3 9" xfId="1514" hidden="1" xr:uid="{00000000-0005-0000-0000-00005B150000}"/>
    <cellStyle name="40% - Accent3 9" xfId="1590" hidden="1" xr:uid="{00000000-0005-0000-0000-00005C150000}"/>
    <cellStyle name="40% - Accent3 9" xfId="1668" hidden="1" xr:uid="{00000000-0005-0000-0000-00005D150000}"/>
    <cellStyle name="40% - Accent3 9" xfId="1721" hidden="1" xr:uid="{00000000-0005-0000-0000-00005E150000}"/>
    <cellStyle name="40% - Accent3 9" xfId="1358" hidden="1" xr:uid="{00000000-0005-0000-0000-00005F150000}"/>
    <cellStyle name="40% - Accent3 9" xfId="801" hidden="1" xr:uid="{00000000-0005-0000-0000-000060150000}"/>
    <cellStyle name="40% - Accent3 9" xfId="2046" hidden="1" xr:uid="{00000000-0005-0000-0000-000061150000}"/>
    <cellStyle name="40% - Accent3 9" xfId="2122" hidden="1" xr:uid="{00000000-0005-0000-0000-000062150000}"/>
    <cellStyle name="40% - Accent3 9" xfId="2200" hidden="1" xr:uid="{00000000-0005-0000-0000-000063150000}"/>
    <cellStyle name="40% - Accent3 9" xfId="2383" hidden="1" xr:uid="{00000000-0005-0000-0000-000064150000}"/>
    <cellStyle name="40% - Accent3 9" xfId="2459" hidden="1" xr:uid="{00000000-0005-0000-0000-000065150000}"/>
    <cellStyle name="40% - Accent3 9" xfId="2537" hidden="1" xr:uid="{00000000-0005-0000-0000-000066150000}"/>
    <cellStyle name="40% - Accent3 9" xfId="2720" hidden="1" xr:uid="{00000000-0005-0000-0000-000067150000}"/>
    <cellStyle name="40% - Accent3 9" xfId="2796" hidden="1" xr:uid="{00000000-0005-0000-0000-000068150000}"/>
    <cellStyle name="40% - Accent3 9" xfId="2898" hidden="1" xr:uid="{00000000-0005-0000-0000-000069150000}"/>
    <cellStyle name="40% - Accent3 9" xfId="2972" hidden="1" xr:uid="{00000000-0005-0000-0000-00006A150000}"/>
    <cellStyle name="40% - Accent3 9" xfId="3048" hidden="1" xr:uid="{00000000-0005-0000-0000-00006B150000}"/>
    <cellStyle name="40% - Accent3 9" xfId="3126" hidden="1" xr:uid="{00000000-0005-0000-0000-00006C150000}"/>
    <cellStyle name="40% - Accent3 9" xfId="3711" hidden="1" xr:uid="{00000000-0005-0000-0000-00006D150000}"/>
    <cellStyle name="40% - Accent3 9" xfId="3787" hidden="1" xr:uid="{00000000-0005-0000-0000-00006E150000}"/>
    <cellStyle name="40% - Accent3 9" xfId="3866" hidden="1" xr:uid="{00000000-0005-0000-0000-00006F150000}"/>
    <cellStyle name="40% - Accent3 9" xfId="3923" hidden="1" xr:uid="{00000000-0005-0000-0000-000070150000}"/>
    <cellStyle name="40% - Accent3 9" xfId="3562" hidden="1" xr:uid="{00000000-0005-0000-0000-000071150000}"/>
    <cellStyle name="40% - Accent3 9" xfId="3476" hidden="1" xr:uid="{00000000-0005-0000-0000-000072150000}"/>
    <cellStyle name="40% - Accent3 9" xfId="4306" hidden="1" xr:uid="{00000000-0005-0000-0000-000073150000}"/>
    <cellStyle name="40% - Accent3 9" xfId="4382" hidden="1" xr:uid="{00000000-0005-0000-0000-000074150000}"/>
    <cellStyle name="40% - Accent3 9" xfId="4460" hidden="1" xr:uid="{00000000-0005-0000-0000-000075150000}"/>
    <cellStyle name="40% - Accent3 9" xfId="4513" hidden="1" xr:uid="{00000000-0005-0000-0000-000076150000}"/>
    <cellStyle name="40% - Accent3 9" xfId="4150" hidden="1" xr:uid="{00000000-0005-0000-0000-000077150000}"/>
    <cellStyle name="40% - Accent3 9" xfId="3593" hidden="1" xr:uid="{00000000-0005-0000-0000-000078150000}"/>
    <cellStyle name="40% - Accent3 9" xfId="4838" hidden="1" xr:uid="{00000000-0005-0000-0000-000079150000}"/>
    <cellStyle name="40% - Accent3 9" xfId="4914" hidden="1" xr:uid="{00000000-0005-0000-0000-00007A150000}"/>
    <cellStyle name="40% - Accent3 9" xfId="4992" hidden="1" xr:uid="{00000000-0005-0000-0000-00007B150000}"/>
    <cellStyle name="40% - Accent3 9" xfId="5175" hidden="1" xr:uid="{00000000-0005-0000-0000-00007C150000}"/>
    <cellStyle name="40% - Accent3 9" xfId="5251" hidden="1" xr:uid="{00000000-0005-0000-0000-00007D150000}"/>
    <cellStyle name="40% - Accent3 9" xfId="5329" hidden="1" xr:uid="{00000000-0005-0000-0000-00007E150000}"/>
    <cellStyle name="40% - Accent3 9" xfId="5512" hidden="1" xr:uid="{00000000-0005-0000-0000-00007F150000}"/>
    <cellStyle name="40% - Accent3 9" xfId="5588" hidden="1" xr:uid="{00000000-0005-0000-0000-000080150000}"/>
    <cellStyle name="40% - Accent3 9" xfId="5690" hidden="1" xr:uid="{00000000-0005-0000-0000-000081150000}"/>
    <cellStyle name="40% - Accent3 9" xfId="5764" hidden="1" xr:uid="{00000000-0005-0000-0000-000082150000}"/>
    <cellStyle name="40% - Accent3 9" xfId="5840" hidden="1" xr:uid="{00000000-0005-0000-0000-000083150000}"/>
    <cellStyle name="40% - Accent3 9" xfId="5918" hidden="1" xr:uid="{00000000-0005-0000-0000-000084150000}"/>
    <cellStyle name="40% - Accent3 9" xfId="6503" hidden="1" xr:uid="{00000000-0005-0000-0000-000085150000}"/>
    <cellStyle name="40% - Accent3 9" xfId="6579" hidden="1" xr:uid="{00000000-0005-0000-0000-000086150000}"/>
    <cellStyle name="40% - Accent3 9" xfId="6658" hidden="1" xr:uid="{00000000-0005-0000-0000-000087150000}"/>
    <cellStyle name="40% - Accent3 9" xfId="6715" hidden="1" xr:uid="{00000000-0005-0000-0000-000088150000}"/>
    <cellStyle name="40% - Accent3 9" xfId="6354" hidden="1" xr:uid="{00000000-0005-0000-0000-000089150000}"/>
    <cellStyle name="40% - Accent3 9" xfId="6268" hidden="1" xr:uid="{00000000-0005-0000-0000-00008A150000}"/>
    <cellStyle name="40% - Accent3 9" xfId="7098" hidden="1" xr:uid="{00000000-0005-0000-0000-00008B150000}"/>
    <cellStyle name="40% - Accent3 9" xfId="7174" hidden="1" xr:uid="{00000000-0005-0000-0000-00008C150000}"/>
    <cellStyle name="40% - Accent3 9" xfId="7252" hidden="1" xr:uid="{00000000-0005-0000-0000-00008D150000}"/>
    <cellStyle name="40% - Accent3 9" xfId="7305" hidden="1" xr:uid="{00000000-0005-0000-0000-00008E150000}"/>
    <cellStyle name="40% - Accent3 9" xfId="6942" hidden="1" xr:uid="{00000000-0005-0000-0000-00008F150000}"/>
    <cellStyle name="40% - Accent3 9" xfId="6385" hidden="1" xr:uid="{00000000-0005-0000-0000-000090150000}"/>
    <cellStyle name="40% - Accent3 9" xfId="7630" hidden="1" xr:uid="{00000000-0005-0000-0000-000091150000}"/>
    <cellStyle name="40% - Accent3 9" xfId="7706" hidden="1" xr:uid="{00000000-0005-0000-0000-000092150000}"/>
    <cellStyle name="40% - Accent3 9" xfId="7784" hidden="1" xr:uid="{00000000-0005-0000-0000-000093150000}"/>
    <cellStyle name="40% - Accent3 9" xfId="7967" hidden="1" xr:uid="{00000000-0005-0000-0000-000094150000}"/>
    <cellStyle name="40% - Accent3 9" xfId="8043" hidden="1" xr:uid="{00000000-0005-0000-0000-000095150000}"/>
    <cellStyle name="40% - Accent3 9" xfId="8121" hidden="1" xr:uid="{00000000-0005-0000-0000-000096150000}"/>
    <cellStyle name="40% - Accent3 9" xfId="8304" hidden="1" xr:uid="{00000000-0005-0000-0000-000097150000}"/>
    <cellStyle name="40% - Accent3 9" xfId="8380" hidden="1" xr:uid="{00000000-0005-0000-0000-000098150000}"/>
    <cellStyle name="40% - Accent4" xfId="36" builtinId="43" hidden="1"/>
    <cellStyle name="40% - Accent4 10" xfId="121" hidden="1" xr:uid="{00000000-0005-0000-0000-00009A150000}"/>
    <cellStyle name="40% - Accent4 10" xfId="195" hidden="1" xr:uid="{00000000-0005-0000-0000-00009B150000}"/>
    <cellStyle name="40% - Accent4 10" xfId="271" hidden="1" xr:uid="{00000000-0005-0000-0000-00009C150000}"/>
    <cellStyle name="40% - Accent4 10" xfId="349" hidden="1" xr:uid="{00000000-0005-0000-0000-00009D150000}"/>
    <cellStyle name="40% - Accent4 10" xfId="934" hidden="1" xr:uid="{00000000-0005-0000-0000-00009E150000}"/>
    <cellStyle name="40% - Accent4 10" xfId="1010" hidden="1" xr:uid="{00000000-0005-0000-0000-00009F150000}"/>
    <cellStyle name="40% - Accent4 10" xfId="1089" hidden="1" xr:uid="{00000000-0005-0000-0000-0000A0150000}"/>
    <cellStyle name="40% - Accent4 10" xfId="1180" hidden="1" xr:uid="{00000000-0005-0000-0000-0000A1150000}"/>
    <cellStyle name="40% - Accent4 10" xfId="641" hidden="1" xr:uid="{00000000-0005-0000-0000-0000A2150000}"/>
    <cellStyle name="40% - Accent4 10" xfId="606" hidden="1" xr:uid="{00000000-0005-0000-0000-0000A3150000}"/>
    <cellStyle name="40% - Accent4 10" xfId="1529" hidden="1" xr:uid="{00000000-0005-0000-0000-0000A4150000}"/>
    <cellStyle name="40% - Accent4 10" xfId="1605" hidden="1" xr:uid="{00000000-0005-0000-0000-0000A5150000}"/>
    <cellStyle name="40% - Accent4 10" xfId="1683" hidden="1" xr:uid="{00000000-0005-0000-0000-0000A6150000}"/>
    <cellStyle name="40% - Accent4 10" xfId="1758" hidden="1" xr:uid="{00000000-0005-0000-0000-0000A7150000}"/>
    <cellStyle name="40% - Accent4 10" xfId="708" hidden="1" xr:uid="{00000000-0005-0000-0000-0000A8150000}"/>
    <cellStyle name="40% - Accent4 10" xfId="707" hidden="1" xr:uid="{00000000-0005-0000-0000-0000A9150000}"/>
    <cellStyle name="40% - Accent4 10" xfId="2061" hidden="1" xr:uid="{00000000-0005-0000-0000-0000AA150000}"/>
    <cellStyle name="40% - Accent4 10" xfId="2137" hidden="1" xr:uid="{00000000-0005-0000-0000-0000AB150000}"/>
    <cellStyle name="40% - Accent4 10" xfId="2215" hidden="1" xr:uid="{00000000-0005-0000-0000-0000AC150000}"/>
    <cellStyle name="40% - Accent4 10" xfId="2398" hidden="1" xr:uid="{00000000-0005-0000-0000-0000AD150000}"/>
    <cellStyle name="40% - Accent4 10" xfId="2474" hidden="1" xr:uid="{00000000-0005-0000-0000-0000AE150000}"/>
    <cellStyle name="40% - Accent4 10" xfId="2552" hidden="1" xr:uid="{00000000-0005-0000-0000-0000AF150000}"/>
    <cellStyle name="40% - Accent4 10" xfId="2735" hidden="1" xr:uid="{00000000-0005-0000-0000-0000B0150000}"/>
    <cellStyle name="40% - Accent4 10" xfId="2811" hidden="1" xr:uid="{00000000-0005-0000-0000-0000B1150000}"/>
    <cellStyle name="40% - Accent4 10" xfId="2913" hidden="1" xr:uid="{00000000-0005-0000-0000-0000B2150000}"/>
    <cellStyle name="40% - Accent4 10" xfId="2987" hidden="1" xr:uid="{00000000-0005-0000-0000-0000B3150000}"/>
    <cellStyle name="40% - Accent4 10" xfId="3063" hidden="1" xr:uid="{00000000-0005-0000-0000-0000B4150000}"/>
    <cellStyle name="40% - Accent4 10" xfId="3141" hidden="1" xr:uid="{00000000-0005-0000-0000-0000B5150000}"/>
    <cellStyle name="40% - Accent4 10" xfId="3726" hidden="1" xr:uid="{00000000-0005-0000-0000-0000B6150000}"/>
    <cellStyle name="40% - Accent4 10" xfId="3802" hidden="1" xr:uid="{00000000-0005-0000-0000-0000B7150000}"/>
    <cellStyle name="40% - Accent4 10" xfId="3881" hidden="1" xr:uid="{00000000-0005-0000-0000-0000B8150000}"/>
    <cellStyle name="40% - Accent4 10" xfId="3972" hidden="1" xr:uid="{00000000-0005-0000-0000-0000B9150000}"/>
    <cellStyle name="40% - Accent4 10" xfId="3433" hidden="1" xr:uid="{00000000-0005-0000-0000-0000BA150000}"/>
    <cellStyle name="40% - Accent4 10" xfId="3398" hidden="1" xr:uid="{00000000-0005-0000-0000-0000BB150000}"/>
    <cellStyle name="40% - Accent4 10" xfId="4321" hidden="1" xr:uid="{00000000-0005-0000-0000-0000BC150000}"/>
    <cellStyle name="40% - Accent4 10" xfId="4397" hidden="1" xr:uid="{00000000-0005-0000-0000-0000BD150000}"/>
    <cellStyle name="40% - Accent4 10" xfId="4475" hidden="1" xr:uid="{00000000-0005-0000-0000-0000BE150000}"/>
    <cellStyle name="40% - Accent4 10" xfId="4550" hidden="1" xr:uid="{00000000-0005-0000-0000-0000BF150000}"/>
    <cellStyle name="40% - Accent4 10" xfId="3500" hidden="1" xr:uid="{00000000-0005-0000-0000-0000C0150000}"/>
    <cellStyle name="40% - Accent4 10" xfId="3499" hidden="1" xr:uid="{00000000-0005-0000-0000-0000C1150000}"/>
    <cellStyle name="40% - Accent4 10" xfId="4853" hidden="1" xr:uid="{00000000-0005-0000-0000-0000C2150000}"/>
    <cellStyle name="40% - Accent4 10" xfId="4929" hidden="1" xr:uid="{00000000-0005-0000-0000-0000C3150000}"/>
    <cellStyle name="40% - Accent4 10" xfId="5007" hidden="1" xr:uid="{00000000-0005-0000-0000-0000C4150000}"/>
    <cellStyle name="40% - Accent4 10" xfId="5190" hidden="1" xr:uid="{00000000-0005-0000-0000-0000C5150000}"/>
    <cellStyle name="40% - Accent4 10" xfId="5266" hidden="1" xr:uid="{00000000-0005-0000-0000-0000C6150000}"/>
    <cellStyle name="40% - Accent4 10" xfId="5344" hidden="1" xr:uid="{00000000-0005-0000-0000-0000C7150000}"/>
    <cellStyle name="40% - Accent4 10" xfId="5527" hidden="1" xr:uid="{00000000-0005-0000-0000-0000C8150000}"/>
    <cellStyle name="40% - Accent4 10" xfId="5603" hidden="1" xr:uid="{00000000-0005-0000-0000-0000C9150000}"/>
    <cellStyle name="40% - Accent4 10" xfId="5705" hidden="1" xr:uid="{00000000-0005-0000-0000-0000CA150000}"/>
    <cellStyle name="40% - Accent4 10" xfId="5779" hidden="1" xr:uid="{00000000-0005-0000-0000-0000CB150000}"/>
    <cellStyle name="40% - Accent4 10" xfId="5855" hidden="1" xr:uid="{00000000-0005-0000-0000-0000CC150000}"/>
    <cellStyle name="40% - Accent4 10" xfId="5933" hidden="1" xr:uid="{00000000-0005-0000-0000-0000CD150000}"/>
    <cellStyle name="40% - Accent4 10" xfId="6518" hidden="1" xr:uid="{00000000-0005-0000-0000-0000CE150000}"/>
    <cellStyle name="40% - Accent4 10" xfId="6594" hidden="1" xr:uid="{00000000-0005-0000-0000-0000CF150000}"/>
    <cellStyle name="40% - Accent4 10" xfId="6673" hidden="1" xr:uid="{00000000-0005-0000-0000-0000D0150000}"/>
    <cellStyle name="40% - Accent4 10" xfId="6764" hidden="1" xr:uid="{00000000-0005-0000-0000-0000D1150000}"/>
    <cellStyle name="40% - Accent4 10" xfId="6225" hidden="1" xr:uid="{00000000-0005-0000-0000-0000D2150000}"/>
    <cellStyle name="40% - Accent4 10" xfId="6190" hidden="1" xr:uid="{00000000-0005-0000-0000-0000D3150000}"/>
    <cellStyle name="40% - Accent4 10" xfId="7113" hidden="1" xr:uid="{00000000-0005-0000-0000-0000D4150000}"/>
    <cellStyle name="40% - Accent4 10" xfId="7189" hidden="1" xr:uid="{00000000-0005-0000-0000-0000D5150000}"/>
    <cellStyle name="40% - Accent4 10" xfId="7267" hidden="1" xr:uid="{00000000-0005-0000-0000-0000D6150000}"/>
    <cellStyle name="40% - Accent4 10" xfId="7342" hidden="1" xr:uid="{00000000-0005-0000-0000-0000D7150000}"/>
    <cellStyle name="40% - Accent4 10" xfId="6292" hidden="1" xr:uid="{00000000-0005-0000-0000-0000D8150000}"/>
    <cellStyle name="40% - Accent4 10" xfId="6291" hidden="1" xr:uid="{00000000-0005-0000-0000-0000D9150000}"/>
    <cellStyle name="40% - Accent4 10" xfId="7645" hidden="1" xr:uid="{00000000-0005-0000-0000-0000DA150000}"/>
    <cellStyle name="40% - Accent4 10" xfId="7721" hidden="1" xr:uid="{00000000-0005-0000-0000-0000DB150000}"/>
    <cellStyle name="40% - Accent4 10" xfId="7799" hidden="1" xr:uid="{00000000-0005-0000-0000-0000DC150000}"/>
    <cellStyle name="40% - Accent4 10" xfId="7982" hidden="1" xr:uid="{00000000-0005-0000-0000-0000DD150000}"/>
    <cellStyle name="40% - Accent4 10" xfId="8058" hidden="1" xr:uid="{00000000-0005-0000-0000-0000DE150000}"/>
    <cellStyle name="40% - Accent4 10" xfId="8136" hidden="1" xr:uid="{00000000-0005-0000-0000-0000DF150000}"/>
    <cellStyle name="40% - Accent4 10" xfId="8319" hidden="1" xr:uid="{00000000-0005-0000-0000-0000E0150000}"/>
    <cellStyle name="40% - Accent4 10" xfId="8395" hidden="1" xr:uid="{00000000-0005-0000-0000-0000E1150000}"/>
    <cellStyle name="40% - Accent4 11" xfId="134" hidden="1" xr:uid="{00000000-0005-0000-0000-0000E2150000}"/>
    <cellStyle name="40% - Accent4 11" xfId="208" hidden="1" xr:uid="{00000000-0005-0000-0000-0000E3150000}"/>
    <cellStyle name="40% - Accent4 11" xfId="284" hidden="1" xr:uid="{00000000-0005-0000-0000-0000E4150000}"/>
    <cellStyle name="40% - Accent4 11" xfId="362" hidden="1" xr:uid="{00000000-0005-0000-0000-0000E5150000}"/>
    <cellStyle name="40% - Accent4 11" xfId="947" hidden="1" xr:uid="{00000000-0005-0000-0000-0000E6150000}"/>
    <cellStyle name="40% - Accent4 11" xfId="1023" hidden="1" xr:uid="{00000000-0005-0000-0000-0000E7150000}"/>
    <cellStyle name="40% - Accent4 11" xfId="1102" hidden="1" xr:uid="{00000000-0005-0000-0000-0000E8150000}"/>
    <cellStyle name="40% - Accent4 11" xfId="1126" hidden="1" xr:uid="{00000000-0005-0000-0000-0000E9150000}"/>
    <cellStyle name="40% - Accent4 11" xfId="817" hidden="1" xr:uid="{00000000-0005-0000-0000-0000EA150000}"/>
    <cellStyle name="40% - Accent4 11" xfId="778" hidden="1" xr:uid="{00000000-0005-0000-0000-0000EB150000}"/>
    <cellStyle name="40% - Accent4 11" xfId="1542" hidden="1" xr:uid="{00000000-0005-0000-0000-0000EC150000}"/>
    <cellStyle name="40% - Accent4 11" xfId="1618" hidden="1" xr:uid="{00000000-0005-0000-0000-0000ED150000}"/>
    <cellStyle name="40% - Accent4 11" xfId="1696" hidden="1" xr:uid="{00000000-0005-0000-0000-0000EE150000}"/>
    <cellStyle name="40% - Accent4 11" xfId="1717" hidden="1" xr:uid="{00000000-0005-0000-0000-0000EF150000}"/>
    <cellStyle name="40% - Accent4 11" xfId="1150" hidden="1" xr:uid="{00000000-0005-0000-0000-0000F0150000}"/>
    <cellStyle name="40% - Accent4 11" xfId="603" hidden="1" xr:uid="{00000000-0005-0000-0000-0000F1150000}"/>
    <cellStyle name="40% - Accent4 11" xfId="2074" hidden="1" xr:uid="{00000000-0005-0000-0000-0000F2150000}"/>
    <cellStyle name="40% - Accent4 11" xfId="2150" hidden="1" xr:uid="{00000000-0005-0000-0000-0000F3150000}"/>
    <cellStyle name="40% - Accent4 11" xfId="2228" hidden="1" xr:uid="{00000000-0005-0000-0000-0000F4150000}"/>
    <cellStyle name="40% - Accent4 11" xfId="2411" hidden="1" xr:uid="{00000000-0005-0000-0000-0000F5150000}"/>
    <cellStyle name="40% - Accent4 11" xfId="2487" hidden="1" xr:uid="{00000000-0005-0000-0000-0000F6150000}"/>
    <cellStyle name="40% - Accent4 11" xfId="2565" hidden="1" xr:uid="{00000000-0005-0000-0000-0000F7150000}"/>
    <cellStyle name="40% - Accent4 11" xfId="2748" hidden="1" xr:uid="{00000000-0005-0000-0000-0000F8150000}"/>
    <cellStyle name="40% - Accent4 11" xfId="2824" hidden="1" xr:uid="{00000000-0005-0000-0000-0000F9150000}"/>
    <cellStyle name="40% - Accent4 11" xfId="2926" hidden="1" xr:uid="{00000000-0005-0000-0000-0000FA150000}"/>
    <cellStyle name="40% - Accent4 11" xfId="3000" hidden="1" xr:uid="{00000000-0005-0000-0000-0000FB150000}"/>
    <cellStyle name="40% - Accent4 11" xfId="3076" hidden="1" xr:uid="{00000000-0005-0000-0000-0000FC150000}"/>
    <cellStyle name="40% - Accent4 11" xfId="3154" hidden="1" xr:uid="{00000000-0005-0000-0000-0000FD150000}"/>
    <cellStyle name="40% - Accent4 11" xfId="3739" hidden="1" xr:uid="{00000000-0005-0000-0000-0000FE150000}"/>
    <cellStyle name="40% - Accent4 11" xfId="3815" hidden="1" xr:uid="{00000000-0005-0000-0000-0000FF150000}"/>
    <cellStyle name="40% - Accent4 11" xfId="3894" hidden="1" xr:uid="{00000000-0005-0000-0000-000000160000}"/>
    <cellStyle name="40% - Accent4 11" xfId="3918" hidden="1" xr:uid="{00000000-0005-0000-0000-000001160000}"/>
    <cellStyle name="40% - Accent4 11" xfId="3609" hidden="1" xr:uid="{00000000-0005-0000-0000-000002160000}"/>
    <cellStyle name="40% - Accent4 11" xfId="3570" hidden="1" xr:uid="{00000000-0005-0000-0000-000003160000}"/>
    <cellStyle name="40% - Accent4 11" xfId="4334" hidden="1" xr:uid="{00000000-0005-0000-0000-000004160000}"/>
    <cellStyle name="40% - Accent4 11" xfId="4410" hidden="1" xr:uid="{00000000-0005-0000-0000-000005160000}"/>
    <cellStyle name="40% - Accent4 11" xfId="4488" hidden="1" xr:uid="{00000000-0005-0000-0000-000006160000}"/>
    <cellStyle name="40% - Accent4 11" xfId="4509" hidden="1" xr:uid="{00000000-0005-0000-0000-000007160000}"/>
    <cellStyle name="40% - Accent4 11" xfId="3942" hidden="1" xr:uid="{00000000-0005-0000-0000-000008160000}"/>
    <cellStyle name="40% - Accent4 11" xfId="3395" hidden="1" xr:uid="{00000000-0005-0000-0000-000009160000}"/>
    <cellStyle name="40% - Accent4 11" xfId="4866" hidden="1" xr:uid="{00000000-0005-0000-0000-00000A160000}"/>
    <cellStyle name="40% - Accent4 11" xfId="4942" hidden="1" xr:uid="{00000000-0005-0000-0000-00000B160000}"/>
    <cellStyle name="40% - Accent4 11" xfId="5020" hidden="1" xr:uid="{00000000-0005-0000-0000-00000C160000}"/>
    <cellStyle name="40% - Accent4 11" xfId="5203" hidden="1" xr:uid="{00000000-0005-0000-0000-00000D160000}"/>
    <cellStyle name="40% - Accent4 11" xfId="5279" hidden="1" xr:uid="{00000000-0005-0000-0000-00000E160000}"/>
    <cellStyle name="40% - Accent4 11" xfId="5357" hidden="1" xr:uid="{00000000-0005-0000-0000-00000F160000}"/>
    <cellStyle name="40% - Accent4 11" xfId="5540" hidden="1" xr:uid="{00000000-0005-0000-0000-000010160000}"/>
    <cellStyle name="40% - Accent4 11" xfId="5616" hidden="1" xr:uid="{00000000-0005-0000-0000-000011160000}"/>
    <cellStyle name="40% - Accent4 11" xfId="5718" hidden="1" xr:uid="{00000000-0005-0000-0000-000012160000}"/>
    <cellStyle name="40% - Accent4 11" xfId="5792" hidden="1" xr:uid="{00000000-0005-0000-0000-000013160000}"/>
    <cellStyle name="40% - Accent4 11" xfId="5868" hidden="1" xr:uid="{00000000-0005-0000-0000-000014160000}"/>
    <cellStyle name="40% - Accent4 11" xfId="5946" hidden="1" xr:uid="{00000000-0005-0000-0000-000015160000}"/>
    <cellStyle name="40% - Accent4 11" xfId="6531" hidden="1" xr:uid="{00000000-0005-0000-0000-000016160000}"/>
    <cellStyle name="40% - Accent4 11" xfId="6607" hidden="1" xr:uid="{00000000-0005-0000-0000-000017160000}"/>
    <cellStyle name="40% - Accent4 11" xfId="6686" hidden="1" xr:uid="{00000000-0005-0000-0000-000018160000}"/>
    <cellStyle name="40% - Accent4 11" xfId="6710" hidden="1" xr:uid="{00000000-0005-0000-0000-000019160000}"/>
    <cellStyle name="40% - Accent4 11" xfId="6401" hidden="1" xr:uid="{00000000-0005-0000-0000-00001A160000}"/>
    <cellStyle name="40% - Accent4 11" xfId="6362" hidden="1" xr:uid="{00000000-0005-0000-0000-00001B160000}"/>
    <cellStyle name="40% - Accent4 11" xfId="7126" hidden="1" xr:uid="{00000000-0005-0000-0000-00001C160000}"/>
    <cellStyle name="40% - Accent4 11" xfId="7202" hidden="1" xr:uid="{00000000-0005-0000-0000-00001D160000}"/>
    <cellStyle name="40% - Accent4 11" xfId="7280" hidden="1" xr:uid="{00000000-0005-0000-0000-00001E160000}"/>
    <cellStyle name="40% - Accent4 11" xfId="7301" hidden="1" xr:uid="{00000000-0005-0000-0000-00001F160000}"/>
    <cellStyle name="40% - Accent4 11" xfId="6734" hidden="1" xr:uid="{00000000-0005-0000-0000-000020160000}"/>
    <cellStyle name="40% - Accent4 11" xfId="6187" hidden="1" xr:uid="{00000000-0005-0000-0000-000021160000}"/>
    <cellStyle name="40% - Accent4 11" xfId="7658" hidden="1" xr:uid="{00000000-0005-0000-0000-000022160000}"/>
    <cellStyle name="40% - Accent4 11" xfId="7734" hidden="1" xr:uid="{00000000-0005-0000-0000-000023160000}"/>
    <cellStyle name="40% - Accent4 11" xfId="7812" hidden="1" xr:uid="{00000000-0005-0000-0000-000024160000}"/>
    <cellStyle name="40% - Accent4 11" xfId="7995" hidden="1" xr:uid="{00000000-0005-0000-0000-000025160000}"/>
    <cellStyle name="40% - Accent4 11" xfId="8071" hidden="1" xr:uid="{00000000-0005-0000-0000-000026160000}"/>
    <cellStyle name="40% - Accent4 11" xfId="8149" hidden="1" xr:uid="{00000000-0005-0000-0000-000027160000}"/>
    <cellStyle name="40% - Accent4 11" xfId="8332" hidden="1" xr:uid="{00000000-0005-0000-0000-000028160000}"/>
    <cellStyle name="40% - Accent4 11" xfId="8408" hidden="1" xr:uid="{00000000-0005-0000-0000-000029160000}"/>
    <cellStyle name="40% - Accent4 12" xfId="147" hidden="1" xr:uid="{00000000-0005-0000-0000-00002A160000}"/>
    <cellStyle name="40% - Accent4 12" xfId="222" hidden="1" xr:uid="{00000000-0005-0000-0000-00002B160000}"/>
    <cellStyle name="40% - Accent4 12" xfId="297" hidden="1" xr:uid="{00000000-0005-0000-0000-00002C160000}"/>
    <cellStyle name="40% - Accent4 12" xfId="375" hidden="1" xr:uid="{00000000-0005-0000-0000-00002D160000}"/>
    <cellStyle name="40% - Accent4 12" xfId="961" hidden="1" xr:uid="{00000000-0005-0000-0000-00002E160000}"/>
    <cellStyle name="40% - Accent4 12" xfId="1036" hidden="1" xr:uid="{00000000-0005-0000-0000-00002F160000}"/>
    <cellStyle name="40% - Accent4 12" xfId="1115" hidden="1" xr:uid="{00000000-0005-0000-0000-000030160000}"/>
    <cellStyle name="40% - Accent4 12" xfId="1190" hidden="1" xr:uid="{00000000-0005-0000-0000-000031160000}"/>
    <cellStyle name="40% - Accent4 12" xfId="830" hidden="1" xr:uid="{00000000-0005-0000-0000-000032160000}"/>
    <cellStyle name="40% - Accent4 12" xfId="852" hidden="1" xr:uid="{00000000-0005-0000-0000-000033160000}"/>
    <cellStyle name="40% - Accent4 12" xfId="1556" hidden="1" xr:uid="{00000000-0005-0000-0000-000034160000}"/>
    <cellStyle name="40% - Accent4 12" xfId="1631" hidden="1" xr:uid="{00000000-0005-0000-0000-000035160000}"/>
    <cellStyle name="40% - Accent4 12" xfId="1709" hidden="1" xr:uid="{00000000-0005-0000-0000-000036160000}"/>
    <cellStyle name="40% - Accent4 12" xfId="1763" hidden="1" xr:uid="{00000000-0005-0000-0000-000037160000}"/>
    <cellStyle name="40% - Accent4 12" xfId="1491" hidden="1" xr:uid="{00000000-0005-0000-0000-000038160000}"/>
    <cellStyle name="40% - Accent4 12" xfId="880" hidden="1" xr:uid="{00000000-0005-0000-0000-000039160000}"/>
    <cellStyle name="40% - Accent4 12" xfId="2088" hidden="1" xr:uid="{00000000-0005-0000-0000-00003A160000}"/>
    <cellStyle name="40% - Accent4 12" xfId="2163" hidden="1" xr:uid="{00000000-0005-0000-0000-00003B160000}"/>
    <cellStyle name="40% - Accent4 12" xfId="2241" hidden="1" xr:uid="{00000000-0005-0000-0000-00003C160000}"/>
    <cellStyle name="40% - Accent4 12" xfId="2425" hidden="1" xr:uid="{00000000-0005-0000-0000-00003D160000}"/>
    <cellStyle name="40% - Accent4 12" xfId="2500" hidden="1" xr:uid="{00000000-0005-0000-0000-00003E160000}"/>
    <cellStyle name="40% - Accent4 12" xfId="2578" hidden="1" xr:uid="{00000000-0005-0000-0000-00003F160000}"/>
    <cellStyle name="40% - Accent4 12" xfId="2762" hidden="1" xr:uid="{00000000-0005-0000-0000-000040160000}"/>
    <cellStyle name="40% - Accent4 12" xfId="2837" hidden="1" xr:uid="{00000000-0005-0000-0000-000041160000}"/>
    <cellStyle name="40% - Accent4 12" xfId="2939" hidden="1" xr:uid="{00000000-0005-0000-0000-000042160000}"/>
    <cellStyle name="40% - Accent4 12" xfId="3014" hidden="1" xr:uid="{00000000-0005-0000-0000-000043160000}"/>
    <cellStyle name="40% - Accent4 12" xfId="3089" hidden="1" xr:uid="{00000000-0005-0000-0000-000044160000}"/>
    <cellStyle name="40% - Accent4 12" xfId="3167" hidden="1" xr:uid="{00000000-0005-0000-0000-000045160000}"/>
    <cellStyle name="40% - Accent4 12" xfId="3753" hidden="1" xr:uid="{00000000-0005-0000-0000-000046160000}"/>
    <cellStyle name="40% - Accent4 12" xfId="3828" hidden="1" xr:uid="{00000000-0005-0000-0000-000047160000}"/>
    <cellStyle name="40% - Accent4 12" xfId="3907" hidden="1" xr:uid="{00000000-0005-0000-0000-000048160000}"/>
    <cellStyle name="40% - Accent4 12" xfId="3982" hidden="1" xr:uid="{00000000-0005-0000-0000-000049160000}"/>
    <cellStyle name="40% - Accent4 12" xfId="3622" hidden="1" xr:uid="{00000000-0005-0000-0000-00004A160000}"/>
    <cellStyle name="40% - Accent4 12" xfId="3644" hidden="1" xr:uid="{00000000-0005-0000-0000-00004B160000}"/>
    <cellStyle name="40% - Accent4 12" xfId="4348" hidden="1" xr:uid="{00000000-0005-0000-0000-00004C160000}"/>
    <cellStyle name="40% - Accent4 12" xfId="4423" hidden="1" xr:uid="{00000000-0005-0000-0000-00004D160000}"/>
    <cellStyle name="40% - Accent4 12" xfId="4501" hidden="1" xr:uid="{00000000-0005-0000-0000-00004E160000}"/>
    <cellStyle name="40% - Accent4 12" xfId="4555" hidden="1" xr:uid="{00000000-0005-0000-0000-00004F160000}"/>
    <cellStyle name="40% - Accent4 12" xfId="4283" hidden="1" xr:uid="{00000000-0005-0000-0000-000050160000}"/>
    <cellStyle name="40% - Accent4 12" xfId="3672" hidden="1" xr:uid="{00000000-0005-0000-0000-000051160000}"/>
    <cellStyle name="40% - Accent4 12" xfId="4880" hidden="1" xr:uid="{00000000-0005-0000-0000-000052160000}"/>
    <cellStyle name="40% - Accent4 12" xfId="4955" hidden="1" xr:uid="{00000000-0005-0000-0000-000053160000}"/>
    <cellStyle name="40% - Accent4 12" xfId="5033" hidden="1" xr:uid="{00000000-0005-0000-0000-000054160000}"/>
    <cellStyle name="40% - Accent4 12" xfId="5217" hidden="1" xr:uid="{00000000-0005-0000-0000-000055160000}"/>
    <cellStyle name="40% - Accent4 12" xfId="5292" hidden="1" xr:uid="{00000000-0005-0000-0000-000056160000}"/>
    <cellStyle name="40% - Accent4 12" xfId="5370" hidden="1" xr:uid="{00000000-0005-0000-0000-000057160000}"/>
    <cellStyle name="40% - Accent4 12" xfId="5554" hidden="1" xr:uid="{00000000-0005-0000-0000-000058160000}"/>
    <cellStyle name="40% - Accent4 12" xfId="5629" hidden="1" xr:uid="{00000000-0005-0000-0000-000059160000}"/>
    <cellStyle name="40% - Accent4 12" xfId="5731" hidden="1" xr:uid="{00000000-0005-0000-0000-00005A160000}"/>
    <cellStyle name="40% - Accent4 12" xfId="5806" hidden="1" xr:uid="{00000000-0005-0000-0000-00005B160000}"/>
    <cellStyle name="40% - Accent4 12" xfId="5881" hidden="1" xr:uid="{00000000-0005-0000-0000-00005C160000}"/>
    <cellStyle name="40% - Accent4 12" xfId="5959" hidden="1" xr:uid="{00000000-0005-0000-0000-00005D160000}"/>
    <cellStyle name="40% - Accent4 12" xfId="6545" hidden="1" xr:uid="{00000000-0005-0000-0000-00005E160000}"/>
    <cellStyle name="40% - Accent4 12" xfId="6620" hidden="1" xr:uid="{00000000-0005-0000-0000-00005F160000}"/>
    <cellStyle name="40% - Accent4 12" xfId="6699" hidden="1" xr:uid="{00000000-0005-0000-0000-000060160000}"/>
    <cellStyle name="40% - Accent4 12" xfId="6774" hidden="1" xr:uid="{00000000-0005-0000-0000-000061160000}"/>
    <cellStyle name="40% - Accent4 12" xfId="6414" hidden="1" xr:uid="{00000000-0005-0000-0000-000062160000}"/>
    <cellStyle name="40% - Accent4 12" xfId="6436" hidden="1" xr:uid="{00000000-0005-0000-0000-000063160000}"/>
    <cellStyle name="40% - Accent4 12" xfId="7140" hidden="1" xr:uid="{00000000-0005-0000-0000-000064160000}"/>
    <cellStyle name="40% - Accent4 12" xfId="7215" hidden="1" xr:uid="{00000000-0005-0000-0000-000065160000}"/>
    <cellStyle name="40% - Accent4 12" xfId="7293" hidden="1" xr:uid="{00000000-0005-0000-0000-000066160000}"/>
    <cellStyle name="40% - Accent4 12" xfId="7347" hidden="1" xr:uid="{00000000-0005-0000-0000-000067160000}"/>
    <cellStyle name="40% - Accent4 12" xfId="7075" hidden="1" xr:uid="{00000000-0005-0000-0000-000068160000}"/>
    <cellStyle name="40% - Accent4 12" xfId="6464" hidden="1" xr:uid="{00000000-0005-0000-0000-000069160000}"/>
    <cellStyle name="40% - Accent4 12" xfId="7672" hidden="1" xr:uid="{00000000-0005-0000-0000-00006A160000}"/>
    <cellStyle name="40% - Accent4 12" xfId="7747" hidden="1" xr:uid="{00000000-0005-0000-0000-00006B160000}"/>
    <cellStyle name="40% - Accent4 12" xfId="7825" hidden="1" xr:uid="{00000000-0005-0000-0000-00006C160000}"/>
    <cellStyle name="40% - Accent4 12" xfId="8009" hidden="1" xr:uid="{00000000-0005-0000-0000-00006D160000}"/>
    <cellStyle name="40% - Accent4 12" xfId="8084" hidden="1" xr:uid="{00000000-0005-0000-0000-00006E160000}"/>
    <cellStyle name="40% - Accent4 12" xfId="8162" hidden="1" xr:uid="{00000000-0005-0000-0000-00006F160000}"/>
    <cellStyle name="40% - Accent4 12" xfId="8346" hidden="1" xr:uid="{00000000-0005-0000-0000-000070160000}"/>
    <cellStyle name="40% - Accent4 12" xfId="8421" hidden="1" xr:uid="{00000000-0005-0000-0000-000071160000}"/>
    <cellStyle name="40% - Accent4 13" xfId="388" hidden="1" xr:uid="{00000000-0005-0000-0000-000072160000}"/>
    <cellStyle name="40% - Accent4 13" xfId="503" hidden="1" xr:uid="{00000000-0005-0000-0000-000073160000}"/>
    <cellStyle name="40% - Accent4 13" xfId="1226" hidden="1" xr:uid="{00000000-0005-0000-0000-000074160000}"/>
    <cellStyle name="40% - Accent4 13" xfId="1399" hidden="1" xr:uid="{00000000-0005-0000-0000-000075160000}"/>
    <cellStyle name="40% - Accent4 13" xfId="1792" hidden="1" xr:uid="{00000000-0005-0000-0000-000076160000}"/>
    <cellStyle name="40% - Accent4 13" xfId="1940" hidden="1" xr:uid="{00000000-0005-0000-0000-000077160000}"/>
    <cellStyle name="40% - Accent4 13" xfId="2278" hidden="1" xr:uid="{00000000-0005-0000-0000-000078160000}"/>
    <cellStyle name="40% - Accent4 13" xfId="2615" hidden="1" xr:uid="{00000000-0005-0000-0000-000079160000}"/>
    <cellStyle name="40% - Accent4 13" xfId="3180" hidden="1" xr:uid="{00000000-0005-0000-0000-00007A160000}"/>
    <cellStyle name="40% - Accent4 13" xfId="3295" hidden="1" xr:uid="{00000000-0005-0000-0000-00007B160000}"/>
    <cellStyle name="40% - Accent4 13" xfId="4018" hidden="1" xr:uid="{00000000-0005-0000-0000-00007C160000}"/>
    <cellStyle name="40% - Accent4 13" xfId="4191" hidden="1" xr:uid="{00000000-0005-0000-0000-00007D160000}"/>
    <cellStyle name="40% - Accent4 13" xfId="4584" hidden="1" xr:uid="{00000000-0005-0000-0000-00007E160000}"/>
    <cellStyle name="40% - Accent4 13" xfId="4732" hidden="1" xr:uid="{00000000-0005-0000-0000-00007F160000}"/>
    <cellStyle name="40% - Accent4 13" xfId="5070" hidden="1" xr:uid="{00000000-0005-0000-0000-000080160000}"/>
    <cellStyle name="40% - Accent4 13" xfId="5407" hidden="1" xr:uid="{00000000-0005-0000-0000-000081160000}"/>
    <cellStyle name="40% - Accent4 13" xfId="5972" hidden="1" xr:uid="{00000000-0005-0000-0000-000082160000}"/>
    <cellStyle name="40% - Accent4 13" xfId="6087" hidden="1" xr:uid="{00000000-0005-0000-0000-000083160000}"/>
    <cellStyle name="40% - Accent4 13" xfId="6810" hidden="1" xr:uid="{00000000-0005-0000-0000-000084160000}"/>
    <cellStyle name="40% - Accent4 13" xfId="6983" hidden="1" xr:uid="{00000000-0005-0000-0000-000085160000}"/>
    <cellStyle name="40% - Accent4 13" xfId="7376" hidden="1" xr:uid="{00000000-0005-0000-0000-000086160000}"/>
    <cellStyle name="40% - Accent4 13" xfId="7524" hidden="1" xr:uid="{00000000-0005-0000-0000-000087160000}"/>
    <cellStyle name="40% - Accent4 13" xfId="7862" hidden="1" xr:uid="{00000000-0005-0000-0000-000088160000}"/>
    <cellStyle name="40% - Accent4 13" xfId="8199" hidden="1" xr:uid="{00000000-0005-0000-0000-000089160000}"/>
    <cellStyle name="40% - Accent4 3 2 3 2" xfId="473" hidden="1" xr:uid="{00000000-0005-0000-0000-00008A160000}"/>
    <cellStyle name="40% - Accent4 3 2 3 2" xfId="588" hidden="1" xr:uid="{00000000-0005-0000-0000-00008B160000}"/>
    <cellStyle name="40% - Accent4 3 2 3 2" xfId="1311" hidden="1" xr:uid="{00000000-0005-0000-0000-00008C160000}"/>
    <cellStyle name="40% - Accent4 3 2 3 2" xfId="1484" hidden="1" xr:uid="{00000000-0005-0000-0000-00008D160000}"/>
    <cellStyle name="40% - Accent4 3 2 3 2" xfId="1877" hidden="1" xr:uid="{00000000-0005-0000-0000-00008E160000}"/>
    <cellStyle name="40% - Accent4 3 2 3 2" xfId="2025" hidden="1" xr:uid="{00000000-0005-0000-0000-00008F160000}"/>
    <cellStyle name="40% - Accent4 3 2 3 2" xfId="2363" hidden="1" xr:uid="{00000000-0005-0000-0000-000090160000}"/>
    <cellStyle name="40% - Accent4 3 2 3 2" xfId="2700" hidden="1" xr:uid="{00000000-0005-0000-0000-000091160000}"/>
    <cellStyle name="40% - Accent4 3 2 3 2" xfId="3265" hidden="1" xr:uid="{00000000-0005-0000-0000-000092160000}"/>
    <cellStyle name="40% - Accent4 3 2 3 2" xfId="3380" hidden="1" xr:uid="{00000000-0005-0000-0000-000093160000}"/>
    <cellStyle name="40% - Accent4 3 2 3 2" xfId="4103" hidden="1" xr:uid="{00000000-0005-0000-0000-000094160000}"/>
    <cellStyle name="40% - Accent4 3 2 3 2" xfId="4276" hidden="1" xr:uid="{00000000-0005-0000-0000-000095160000}"/>
    <cellStyle name="40% - Accent4 3 2 3 2" xfId="4669" hidden="1" xr:uid="{00000000-0005-0000-0000-000096160000}"/>
    <cellStyle name="40% - Accent4 3 2 3 2" xfId="4817" hidden="1" xr:uid="{00000000-0005-0000-0000-000097160000}"/>
    <cellStyle name="40% - Accent4 3 2 3 2" xfId="5155" hidden="1" xr:uid="{00000000-0005-0000-0000-000098160000}"/>
    <cellStyle name="40% - Accent4 3 2 3 2" xfId="5492" hidden="1" xr:uid="{00000000-0005-0000-0000-000099160000}"/>
    <cellStyle name="40% - Accent4 3 2 3 2" xfId="6057" hidden="1" xr:uid="{00000000-0005-0000-0000-00009A160000}"/>
    <cellStyle name="40% - Accent4 3 2 3 2" xfId="6172" hidden="1" xr:uid="{00000000-0005-0000-0000-00009B160000}"/>
    <cellStyle name="40% - Accent4 3 2 3 2" xfId="6895" hidden="1" xr:uid="{00000000-0005-0000-0000-00009C160000}"/>
    <cellStyle name="40% - Accent4 3 2 3 2" xfId="7068" hidden="1" xr:uid="{00000000-0005-0000-0000-00009D160000}"/>
    <cellStyle name="40% - Accent4 3 2 3 2" xfId="7461" hidden="1" xr:uid="{00000000-0005-0000-0000-00009E160000}"/>
    <cellStyle name="40% - Accent4 3 2 3 2" xfId="7609" hidden="1" xr:uid="{00000000-0005-0000-0000-00009F160000}"/>
    <cellStyle name="40% - Accent4 3 2 3 2" xfId="7947" hidden="1" xr:uid="{00000000-0005-0000-0000-0000A0160000}"/>
    <cellStyle name="40% - Accent4 3 2 3 2" xfId="8284" hidden="1" xr:uid="{00000000-0005-0000-0000-0000A1160000}"/>
    <cellStyle name="40% - Accent4 3 2 4 2" xfId="442" hidden="1" xr:uid="{00000000-0005-0000-0000-0000A2160000}"/>
    <cellStyle name="40% - Accent4 3 2 4 2" xfId="557" hidden="1" xr:uid="{00000000-0005-0000-0000-0000A3160000}"/>
    <cellStyle name="40% - Accent4 3 2 4 2" xfId="1280" hidden="1" xr:uid="{00000000-0005-0000-0000-0000A4160000}"/>
    <cellStyle name="40% - Accent4 3 2 4 2" xfId="1453" hidden="1" xr:uid="{00000000-0005-0000-0000-0000A5160000}"/>
    <cellStyle name="40% - Accent4 3 2 4 2" xfId="1846" hidden="1" xr:uid="{00000000-0005-0000-0000-0000A6160000}"/>
    <cellStyle name="40% - Accent4 3 2 4 2" xfId="1994" hidden="1" xr:uid="{00000000-0005-0000-0000-0000A7160000}"/>
    <cellStyle name="40% - Accent4 3 2 4 2" xfId="2332" hidden="1" xr:uid="{00000000-0005-0000-0000-0000A8160000}"/>
    <cellStyle name="40% - Accent4 3 2 4 2" xfId="2669" hidden="1" xr:uid="{00000000-0005-0000-0000-0000A9160000}"/>
    <cellStyle name="40% - Accent4 3 2 4 2" xfId="3234" hidden="1" xr:uid="{00000000-0005-0000-0000-0000AA160000}"/>
    <cellStyle name="40% - Accent4 3 2 4 2" xfId="3349" hidden="1" xr:uid="{00000000-0005-0000-0000-0000AB160000}"/>
    <cellStyle name="40% - Accent4 3 2 4 2" xfId="4072" hidden="1" xr:uid="{00000000-0005-0000-0000-0000AC160000}"/>
    <cellStyle name="40% - Accent4 3 2 4 2" xfId="4245" hidden="1" xr:uid="{00000000-0005-0000-0000-0000AD160000}"/>
    <cellStyle name="40% - Accent4 3 2 4 2" xfId="4638" hidden="1" xr:uid="{00000000-0005-0000-0000-0000AE160000}"/>
    <cellStyle name="40% - Accent4 3 2 4 2" xfId="4786" hidden="1" xr:uid="{00000000-0005-0000-0000-0000AF160000}"/>
    <cellStyle name="40% - Accent4 3 2 4 2" xfId="5124" hidden="1" xr:uid="{00000000-0005-0000-0000-0000B0160000}"/>
    <cellStyle name="40% - Accent4 3 2 4 2" xfId="5461" hidden="1" xr:uid="{00000000-0005-0000-0000-0000B1160000}"/>
    <cellStyle name="40% - Accent4 3 2 4 2" xfId="6026" hidden="1" xr:uid="{00000000-0005-0000-0000-0000B2160000}"/>
    <cellStyle name="40% - Accent4 3 2 4 2" xfId="6141" hidden="1" xr:uid="{00000000-0005-0000-0000-0000B3160000}"/>
    <cellStyle name="40% - Accent4 3 2 4 2" xfId="6864" hidden="1" xr:uid="{00000000-0005-0000-0000-0000B4160000}"/>
    <cellStyle name="40% - Accent4 3 2 4 2" xfId="7037" hidden="1" xr:uid="{00000000-0005-0000-0000-0000B5160000}"/>
    <cellStyle name="40% - Accent4 3 2 4 2" xfId="7430" hidden="1" xr:uid="{00000000-0005-0000-0000-0000B6160000}"/>
    <cellStyle name="40% - Accent4 3 2 4 2" xfId="7578" hidden="1" xr:uid="{00000000-0005-0000-0000-0000B7160000}"/>
    <cellStyle name="40% - Accent4 3 2 4 2" xfId="7916" hidden="1" xr:uid="{00000000-0005-0000-0000-0000B8160000}"/>
    <cellStyle name="40% - Accent4 3 2 4 2" xfId="8253" hidden="1" xr:uid="{00000000-0005-0000-0000-0000B9160000}"/>
    <cellStyle name="40% - Accent4 3 3 3 2" xfId="441" hidden="1" xr:uid="{00000000-0005-0000-0000-0000BA160000}"/>
    <cellStyle name="40% - Accent4 3 3 3 2" xfId="556" hidden="1" xr:uid="{00000000-0005-0000-0000-0000BB160000}"/>
    <cellStyle name="40% - Accent4 3 3 3 2" xfId="1279" hidden="1" xr:uid="{00000000-0005-0000-0000-0000BC160000}"/>
    <cellStyle name="40% - Accent4 3 3 3 2" xfId="1452" hidden="1" xr:uid="{00000000-0005-0000-0000-0000BD160000}"/>
    <cellStyle name="40% - Accent4 3 3 3 2" xfId="1845" hidden="1" xr:uid="{00000000-0005-0000-0000-0000BE160000}"/>
    <cellStyle name="40% - Accent4 3 3 3 2" xfId="1993" hidden="1" xr:uid="{00000000-0005-0000-0000-0000BF160000}"/>
    <cellStyle name="40% - Accent4 3 3 3 2" xfId="2331" hidden="1" xr:uid="{00000000-0005-0000-0000-0000C0160000}"/>
    <cellStyle name="40% - Accent4 3 3 3 2" xfId="2668" hidden="1" xr:uid="{00000000-0005-0000-0000-0000C1160000}"/>
    <cellStyle name="40% - Accent4 3 3 3 2" xfId="3233" hidden="1" xr:uid="{00000000-0005-0000-0000-0000C2160000}"/>
    <cellStyle name="40% - Accent4 3 3 3 2" xfId="3348" hidden="1" xr:uid="{00000000-0005-0000-0000-0000C3160000}"/>
    <cellStyle name="40% - Accent4 3 3 3 2" xfId="4071" hidden="1" xr:uid="{00000000-0005-0000-0000-0000C4160000}"/>
    <cellStyle name="40% - Accent4 3 3 3 2" xfId="4244" hidden="1" xr:uid="{00000000-0005-0000-0000-0000C5160000}"/>
    <cellStyle name="40% - Accent4 3 3 3 2" xfId="4637" hidden="1" xr:uid="{00000000-0005-0000-0000-0000C6160000}"/>
    <cellStyle name="40% - Accent4 3 3 3 2" xfId="4785" hidden="1" xr:uid="{00000000-0005-0000-0000-0000C7160000}"/>
    <cellStyle name="40% - Accent4 3 3 3 2" xfId="5123" hidden="1" xr:uid="{00000000-0005-0000-0000-0000C8160000}"/>
    <cellStyle name="40% - Accent4 3 3 3 2" xfId="5460" hidden="1" xr:uid="{00000000-0005-0000-0000-0000C9160000}"/>
    <cellStyle name="40% - Accent4 3 3 3 2" xfId="6025" hidden="1" xr:uid="{00000000-0005-0000-0000-0000CA160000}"/>
    <cellStyle name="40% - Accent4 3 3 3 2" xfId="6140" hidden="1" xr:uid="{00000000-0005-0000-0000-0000CB160000}"/>
    <cellStyle name="40% - Accent4 3 3 3 2" xfId="6863" hidden="1" xr:uid="{00000000-0005-0000-0000-0000CC160000}"/>
    <cellStyle name="40% - Accent4 3 3 3 2" xfId="7036" hidden="1" xr:uid="{00000000-0005-0000-0000-0000CD160000}"/>
    <cellStyle name="40% - Accent4 3 3 3 2" xfId="7429" hidden="1" xr:uid="{00000000-0005-0000-0000-0000CE160000}"/>
    <cellStyle name="40% - Accent4 3 3 3 2" xfId="7577" hidden="1" xr:uid="{00000000-0005-0000-0000-0000CF160000}"/>
    <cellStyle name="40% - Accent4 3 3 3 2" xfId="7915" hidden="1" xr:uid="{00000000-0005-0000-0000-0000D0160000}"/>
    <cellStyle name="40% - Accent4 3 3 3 2" xfId="8252" hidden="1" xr:uid="{00000000-0005-0000-0000-0000D1160000}"/>
    <cellStyle name="40% - Accent4 4 2 3 2" xfId="474" hidden="1" xr:uid="{00000000-0005-0000-0000-0000D2160000}"/>
    <cellStyle name="40% - Accent4 4 2 3 2" xfId="589" hidden="1" xr:uid="{00000000-0005-0000-0000-0000D3160000}"/>
    <cellStyle name="40% - Accent4 4 2 3 2" xfId="1312" hidden="1" xr:uid="{00000000-0005-0000-0000-0000D4160000}"/>
    <cellStyle name="40% - Accent4 4 2 3 2" xfId="1485" hidden="1" xr:uid="{00000000-0005-0000-0000-0000D5160000}"/>
    <cellStyle name="40% - Accent4 4 2 3 2" xfId="1878" hidden="1" xr:uid="{00000000-0005-0000-0000-0000D6160000}"/>
    <cellStyle name="40% - Accent4 4 2 3 2" xfId="2026" hidden="1" xr:uid="{00000000-0005-0000-0000-0000D7160000}"/>
    <cellStyle name="40% - Accent4 4 2 3 2" xfId="2364" hidden="1" xr:uid="{00000000-0005-0000-0000-0000D8160000}"/>
    <cellStyle name="40% - Accent4 4 2 3 2" xfId="2701" hidden="1" xr:uid="{00000000-0005-0000-0000-0000D9160000}"/>
    <cellStyle name="40% - Accent4 4 2 3 2" xfId="3266" hidden="1" xr:uid="{00000000-0005-0000-0000-0000DA160000}"/>
    <cellStyle name="40% - Accent4 4 2 3 2" xfId="3381" hidden="1" xr:uid="{00000000-0005-0000-0000-0000DB160000}"/>
    <cellStyle name="40% - Accent4 4 2 3 2" xfId="4104" hidden="1" xr:uid="{00000000-0005-0000-0000-0000DC160000}"/>
    <cellStyle name="40% - Accent4 4 2 3 2" xfId="4277" hidden="1" xr:uid="{00000000-0005-0000-0000-0000DD160000}"/>
    <cellStyle name="40% - Accent4 4 2 3 2" xfId="4670" hidden="1" xr:uid="{00000000-0005-0000-0000-0000DE160000}"/>
    <cellStyle name="40% - Accent4 4 2 3 2" xfId="4818" hidden="1" xr:uid="{00000000-0005-0000-0000-0000DF160000}"/>
    <cellStyle name="40% - Accent4 4 2 3 2" xfId="5156" hidden="1" xr:uid="{00000000-0005-0000-0000-0000E0160000}"/>
    <cellStyle name="40% - Accent4 4 2 3 2" xfId="5493" hidden="1" xr:uid="{00000000-0005-0000-0000-0000E1160000}"/>
    <cellStyle name="40% - Accent4 4 2 3 2" xfId="6058" hidden="1" xr:uid="{00000000-0005-0000-0000-0000E2160000}"/>
    <cellStyle name="40% - Accent4 4 2 3 2" xfId="6173" hidden="1" xr:uid="{00000000-0005-0000-0000-0000E3160000}"/>
    <cellStyle name="40% - Accent4 4 2 3 2" xfId="6896" hidden="1" xr:uid="{00000000-0005-0000-0000-0000E4160000}"/>
    <cellStyle name="40% - Accent4 4 2 3 2" xfId="7069" hidden="1" xr:uid="{00000000-0005-0000-0000-0000E5160000}"/>
    <cellStyle name="40% - Accent4 4 2 3 2" xfId="7462" hidden="1" xr:uid="{00000000-0005-0000-0000-0000E6160000}"/>
    <cellStyle name="40% - Accent4 4 2 3 2" xfId="7610" hidden="1" xr:uid="{00000000-0005-0000-0000-0000E7160000}"/>
    <cellStyle name="40% - Accent4 4 2 3 2" xfId="7948" hidden="1" xr:uid="{00000000-0005-0000-0000-0000E8160000}"/>
    <cellStyle name="40% - Accent4 4 2 3 2" xfId="8285" hidden="1" xr:uid="{00000000-0005-0000-0000-0000E9160000}"/>
    <cellStyle name="40% - Accent4 4 2 4 2" xfId="444" hidden="1" xr:uid="{00000000-0005-0000-0000-0000EA160000}"/>
    <cellStyle name="40% - Accent4 4 2 4 2" xfId="559" hidden="1" xr:uid="{00000000-0005-0000-0000-0000EB160000}"/>
    <cellStyle name="40% - Accent4 4 2 4 2" xfId="1282" hidden="1" xr:uid="{00000000-0005-0000-0000-0000EC160000}"/>
    <cellStyle name="40% - Accent4 4 2 4 2" xfId="1455" hidden="1" xr:uid="{00000000-0005-0000-0000-0000ED160000}"/>
    <cellStyle name="40% - Accent4 4 2 4 2" xfId="1848" hidden="1" xr:uid="{00000000-0005-0000-0000-0000EE160000}"/>
    <cellStyle name="40% - Accent4 4 2 4 2" xfId="1996" hidden="1" xr:uid="{00000000-0005-0000-0000-0000EF160000}"/>
    <cellStyle name="40% - Accent4 4 2 4 2" xfId="2334" hidden="1" xr:uid="{00000000-0005-0000-0000-0000F0160000}"/>
    <cellStyle name="40% - Accent4 4 2 4 2" xfId="2671" hidden="1" xr:uid="{00000000-0005-0000-0000-0000F1160000}"/>
    <cellStyle name="40% - Accent4 4 2 4 2" xfId="3236" hidden="1" xr:uid="{00000000-0005-0000-0000-0000F2160000}"/>
    <cellStyle name="40% - Accent4 4 2 4 2" xfId="3351" hidden="1" xr:uid="{00000000-0005-0000-0000-0000F3160000}"/>
    <cellStyle name="40% - Accent4 4 2 4 2" xfId="4074" hidden="1" xr:uid="{00000000-0005-0000-0000-0000F4160000}"/>
    <cellStyle name="40% - Accent4 4 2 4 2" xfId="4247" hidden="1" xr:uid="{00000000-0005-0000-0000-0000F5160000}"/>
    <cellStyle name="40% - Accent4 4 2 4 2" xfId="4640" hidden="1" xr:uid="{00000000-0005-0000-0000-0000F6160000}"/>
    <cellStyle name="40% - Accent4 4 2 4 2" xfId="4788" hidden="1" xr:uid="{00000000-0005-0000-0000-0000F7160000}"/>
    <cellStyle name="40% - Accent4 4 2 4 2" xfId="5126" hidden="1" xr:uid="{00000000-0005-0000-0000-0000F8160000}"/>
    <cellStyle name="40% - Accent4 4 2 4 2" xfId="5463" hidden="1" xr:uid="{00000000-0005-0000-0000-0000F9160000}"/>
    <cellStyle name="40% - Accent4 4 2 4 2" xfId="6028" hidden="1" xr:uid="{00000000-0005-0000-0000-0000FA160000}"/>
    <cellStyle name="40% - Accent4 4 2 4 2" xfId="6143" hidden="1" xr:uid="{00000000-0005-0000-0000-0000FB160000}"/>
    <cellStyle name="40% - Accent4 4 2 4 2" xfId="6866" hidden="1" xr:uid="{00000000-0005-0000-0000-0000FC160000}"/>
    <cellStyle name="40% - Accent4 4 2 4 2" xfId="7039" hidden="1" xr:uid="{00000000-0005-0000-0000-0000FD160000}"/>
    <cellStyle name="40% - Accent4 4 2 4 2" xfId="7432" hidden="1" xr:uid="{00000000-0005-0000-0000-0000FE160000}"/>
    <cellStyle name="40% - Accent4 4 2 4 2" xfId="7580" hidden="1" xr:uid="{00000000-0005-0000-0000-0000FF160000}"/>
    <cellStyle name="40% - Accent4 4 2 4 2" xfId="7918" hidden="1" xr:uid="{00000000-0005-0000-0000-000000170000}"/>
    <cellStyle name="40% - Accent4 4 2 4 2" xfId="8255" hidden="1" xr:uid="{00000000-0005-0000-0000-000001170000}"/>
    <cellStyle name="40% - Accent4 4 3 3 2" xfId="443" hidden="1" xr:uid="{00000000-0005-0000-0000-000002170000}"/>
    <cellStyle name="40% - Accent4 4 3 3 2" xfId="558" hidden="1" xr:uid="{00000000-0005-0000-0000-000003170000}"/>
    <cellStyle name="40% - Accent4 4 3 3 2" xfId="1281" hidden="1" xr:uid="{00000000-0005-0000-0000-000004170000}"/>
    <cellStyle name="40% - Accent4 4 3 3 2" xfId="1454" hidden="1" xr:uid="{00000000-0005-0000-0000-000005170000}"/>
    <cellStyle name="40% - Accent4 4 3 3 2" xfId="1847" hidden="1" xr:uid="{00000000-0005-0000-0000-000006170000}"/>
    <cellStyle name="40% - Accent4 4 3 3 2" xfId="1995" hidden="1" xr:uid="{00000000-0005-0000-0000-000007170000}"/>
    <cellStyle name="40% - Accent4 4 3 3 2" xfId="2333" hidden="1" xr:uid="{00000000-0005-0000-0000-000008170000}"/>
    <cellStyle name="40% - Accent4 4 3 3 2" xfId="2670" hidden="1" xr:uid="{00000000-0005-0000-0000-000009170000}"/>
    <cellStyle name="40% - Accent4 4 3 3 2" xfId="3235" hidden="1" xr:uid="{00000000-0005-0000-0000-00000A170000}"/>
    <cellStyle name="40% - Accent4 4 3 3 2" xfId="3350" hidden="1" xr:uid="{00000000-0005-0000-0000-00000B170000}"/>
    <cellStyle name="40% - Accent4 4 3 3 2" xfId="4073" hidden="1" xr:uid="{00000000-0005-0000-0000-00000C170000}"/>
    <cellStyle name="40% - Accent4 4 3 3 2" xfId="4246" hidden="1" xr:uid="{00000000-0005-0000-0000-00000D170000}"/>
    <cellStyle name="40% - Accent4 4 3 3 2" xfId="4639" hidden="1" xr:uid="{00000000-0005-0000-0000-00000E170000}"/>
    <cellStyle name="40% - Accent4 4 3 3 2" xfId="4787" hidden="1" xr:uid="{00000000-0005-0000-0000-00000F170000}"/>
    <cellStyle name="40% - Accent4 4 3 3 2" xfId="5125" hidden="1" xr:uid="{00000000-0005-0000-0000-000010170000}"/>
    <cellStyle name="40% - Accent4 4 3 3 2" xfId="5462" hidden="1" xr:uid="{00000000-0005-0000-0000-000011170000}"/>
    <cellStyle name="40% - Accent4 4 3 3 2" xfId="6027" hidden="1" xr:uid="{00000000-0005-0000-0000-000012170000}"/>
    <cellStyle name="40% - Accent4 4 3 3 2" xfId="6142" hidden="1" xr:uid="{00000000-0005-0000-0000-000013170000}"/>
    <cellStyle name="40% - Accent4 4 3 3 2" xfId="6865" hidden="1" xr:uid="{00000000-0005-0000-0000-000014170000}"/>
    <cellStyle name="40% - Accent4 4 3 3 2" xfId="7038" hidden="1" xr:uid="{00000000-0005-0000-0000-000015170000}"/>
    <cellStyle name="40% - Accent4 4 3 3 2" xfId="7431" hidden="1" xr:uid="{00000000-0005-0000-0000-000016170000}"/>
    <cellStyle name="40% - Accent4 4 3 3 2" xfId="7579" hidden="1" xr:uid="{00000000-0005-0000-0000-000017170000}"/>
    <cellStyle name="40% - Accent4 4 3 3 2" xfId="7917" hidden="1" xr:uid="{00000000-0005-0000-0000-000018170000}"/>
    <cellStyle name="40% - Accent4 4 3 3 2" xfId="8254" hidden="1" xr:uid="{00000000-0005-0000-0000-000019170000}"/>
    <cellStyle name="40% - Accent4 5 2" xfId="402" hidden="1" xr:uid="{00000000-0005-0000-0000-00001A170000}"/>
    <cellStyle name="40% - Accent4 5 2" xfId="517" hidden="1" xr:uid="{00000000-0005-0000-0000-00001B170000}"/>
    <cellStyle name="40% - Accent4 5 2" xfId="1240" hidden="1" xr:uid="{00000000-0005-0000-0000-00001C170000}"/>
    <cellStyle name="40% - Accent4 5 2" xfId="1413" hidden="1" xr:uid="{00000000-0005-0000-0000-00001D170000}"/>
    <cellStyle name="40% - Accent4 5 2" xfId="1806" hidden="1" xr:uid="{00000000-0005-0000-0000-00001E170000}"/>
    <cellStyle name="40% - Accent4 5 2" xfId="1954" hidden="1" xr:uid="{00000000-0005-0000-0000-00001F170000}"/>
    <cellStyle name="40% - Accent4 5 2" xfId="2292" hidden="1" xr:uid="{00000000-0005-0000-0000-000020170000}"/>
    <cellStyle name="40% - Accent4 5 2" xfId="2629" hidden="1" xr:uid="{00000000-0005-0000-0000-000021170000}"/>
    <cellStyle name="40% - Accent4 5 2" xfId="3194" hidden="1" xr:uid="{00000000-0005-0000-0000-000022170000}"/>
    <cellStyle name="40% - Accent4 5 2" xfId="3309" hidden="1" xr:uid="{00000000-0005-0000-0000-000023170000}"/>
    <cellStyle name="40% - Accent4 5 2" xfId="4032" hidden="1" xr:uid="{00000000-0005-0000-0000-000024170000}"/>
    <cellStyle name="40% - Accent4 5 2" xfId="4205" hidden="1" xr:uid="{00000000-0005-0000-0000-000025170000}"/>
    <cellStyle name="40% - Accent4 5 2" xfId="4598" hidden="1" xr:uid="{00000000-0005-0000-0000-000026170000}"/>
    <cellStyle name="40% - Accent4 5 2" xfId="4746" hidden="1" xr:uid="{00000000-0005-0000-0000-000027170000}"/>
    <cellStyle name="40% - Accent4 5 2" xfId="5084" hidden="1" xr:uid="{00000000-0005-0000-0000-000028170000}"/>
    <cellStyle name="40% - Accent4 5 2" xfId="5421" hidden="1" xr:uid="{00000000-0005-0000-0000-000029170000}"/>
    <cellStyle name="40% - Accent4 5 2" xfId="5986" hidden="1" xr:uid="{00000000-0005-0000-0000-00002A170000}"/>
    <cellStyle name="40% - Accent4 5 2" xfId="6101" hidden="1" xr:uid="{00000000-0005-0000-0000-00002B170000}"/>
    <cellStyle name="40% - Accent4 5 2" xfId="6824" hidden="1" xr:uid="{00000000-0005-0000-0000-00002C170000}"/>
    <cellStyle name="40% - Accent4 5 2" xfId="6997" hidden="1" xr:uid="{00000000-0005-0000-0000-00002D170000}"/>
    <cellStyle name="40% - Accent4 5 2" xfId="7390" hidden="1" xr:uid="{00000000-0005-0000-0000-00002E170000}"/>
    <cellStyle name="40% - Accent4 5 2" xfId="7538" hidden="1" xr:uid="{00000000-0005-0000-0000-00002F170000}"/>
    <cellStyle name="40% - Accent4 5 2" xfId="7876" hidden="1" xr:uid="{00000000-0005-0000-0000-000030170000}"/>
    <cellStyle name="40% - Accent4 5 2" xfId="8213" hidden="1" xr:uid="{00000000-0005-0000-0000-000031170000}"/>
    <cellStyle name="40% - Accent4 7" xfId="79" hidden="1" xr:uid="{00000000-0005-0000-0000-000032170000}"/>
    <cellStyle name="40% - Accent4 7" xfId="170" hidden="1" xr:uid="{00000000-0005-0000-0000-000033170000}"/>
    <cellStyle name="40% - Accent4 7" xfId="247" hidden="1" xr:uid="{00000000-0005-0000-0000-000034170000}"/>
    <cellStyle name="40% - Accent4 7" xfId="325" hidden="1" xr:uid="{00000000-0005-0000-0000-000035170000}"/>
    <cellStyle name="40% - Accent4 7" xfId="909" hidden="1" xr:uid="{00000000-0005-0000-0000-000036170000}"/>
    <cellStyle name="40% - Accent4 7" xfId="986" hidden="1" xr:uid="{00000000-0005-0000-0000-000037170000}"/>
    <cellStyle name="40% - Accent4 7" xfId="1065" hidden="1" xr:uid="{00000000-0005-0000-0000-000038170000}"/>
    <cellStyle name="40% - Accent4 7" xfId="757" hidden="1" xr:uid="{00000000-0005-0000-0000-000039170000}"/>
    <cellStyle name="40% - Accent4 7" xfId="1174" hidden="1" xr:uid="{00000000-0005-0000-0000-00003A170000}"/>
    <cellStyle name="40% - Accent4 7" xfId="767" hidden="1" xr:uid="{00000000-0005-0000-0000-00003B170000}"/>
    <cellStyle name="40% - Accent4 7" xfId="638" hidden="1" xr:uid="{00000000-0005-0000-0000-00003C170000}"/>
    <cellStyle name="40% - Accent4 7" xfId="1581" hidden="1" xr:uid="{00000000-0005-0000-0000-00003D170000}"/>
    <cellStyle name="40% - Accent4 7" xfId="1659" hidden="1" xr:uid="{00000000-0005-0000-0000-00003E170000}"/>
    <cellStyle name="40% - Accent4 7" xfId="803" hidden="1" xr:uid="{00000000-0005-0000-0000-00003F170000}"/>
    <cellStyle name="40% - Accent4 7" xfId="1754" hidden="1" xr:uid="{00000000-0005-0000-0000-000040170000}"/>
    <cellStyle name="40% - Accent4 7" xfId="1339" hidden="1" xr:uid="{00000000-0005-0000-0000-000041170000}"/>
    <cellStyle name="40% - Accent4 7" xfId="688" hidden="1" xr:uid="{00000000-0005-0000-0000-000042170000}"/>
    <cellStyle name="40% - Accent4 7" xfId="2113" hidden="1" xr:uid="{00000000-0005-0000-0000-000043170000}"/>
    <cellStyle name="40% - Accent4 7" xfId="2191" hidden="1" xr:uid="{00000000-0005-0000-0000-000044170000}"/>
    <cellStyle name="40% - Accent4 7" xfId="1742" hidden="1" xr:uid="{00000000-0005-0000-0000-000045170000}"/>
    <cellStyle name="40% - Accent4 7" xfId="2450" hidden="1" xr:uid="{00000000-0005-0000-0000-000046170000}"/>
    <cellStyle name="40% - Accent4 7" xfId="2528" hidden="1" xr:uid="{00000000-0005-0000-0000-000047170000}"/>
    <cellStyle name="40% - Accent4 7" xfId="1360" hidden="1" xr:uid="{00000000-0005-0000-0000-000048170000}"/>
    <cellStyle name="40% - Accent4 7" xfId="2787" hidden="1" xr:uid="{00000000-0005-0000-0000-000049170000}"/>
    <cellStyle name="40% - Accent4 7" xfId="2871" hidden="1" xr:uid="{00000000-0005-0000-0000-00004A170000}"/>
    <cellStyle name="40% - Accent4 7" xfId="2962" hidden="1" xr:uid="{00000000-0005-0000-0000-00004B170000}"/>
    <cellStyle name="40% - Accent4 7" xfId="3039" hidden="1" xr:uid="{00000000-0005-0000-0000-00004C170000}"/>
    <cellStyle name="40% - Accent4 7" xfId="3117" hidden="1" xr:uid="{00000000-0005-0000-0000-00004D170000}"/>
    <cellStyle name="40% - Accent4 7" xfId="3701" hidden="1" xr:uid="{00000000-0005-0000-0000-00004E170000}"/>
    <cellStyle name="40% - Accent4 7" xfId="3778" hidden="1" xr:uid="{00000000-0005-0000-0000-00004F170000}"/>
    <cellStyle name="40% - Accent4 7" xfId="3857" hidden="1" xr:uid="{00000000-0005-0000-0000-000050170000}"/>
    <cellStyle name="40% - Accent4 7" xfId="3549" hidden="1" xr:uid="{00000000-0005-0000-0000-000051170000}"/>
    <cellStyle name="40% - Accent4 7" xfId="3966" hidden="1" xr:uid="{00000000-0005-0000-0000-000052170000}"/>
    <cellStyle name="40% - Accent4 7" xfId="3559" hidden="1" xr:uid="{00000000-0005-0000-0000-000053170000}"/>
    <cellStyle name="40% - Accent4 7" xfId="3430" hidden="1" xr:uid="{00000000-0005-0000-0000-000054170000}"/>
    <cellStyle name="40% - Accent4 7" xfId="4373" hidden="1" xr:uid="{00000000-0005-0000-0000-000055170000}"/>
    <cellStyle name="40% - Accent4 7" xfId="4451" hidden="1" xr:uid="{00000000-0005-0000-0000-000056170000}"/>
    <cellStyle name="40% - Accent4 7" xfId="3595" hidden="1" xr:uid="{00000000-0005-0000-0000-000057170000}"/>
    <cellStyle name="40% - Accent4 7" xfId="4546" hidden="1" xr:uid="{00000000-0005-0000-0000-000058170000}"/>
    <cellStyle name="40% - Accent4 7" xfId="4131" hidden="1" xr:uid="{00000000-0005-0000-0000-000059170000}"/>
    <cellStyle name="40% - Accent4 7" xfId="3480" hidden="1" xr:uid="{00000000-0005-0000-0000-00005A170000}"/>
    <cellStyle name="40% - Accent4 7" xfId="4905" hidden="1" xr:uid="{00000000-0005-0000-0000-00005B170000}"/>
    <cellStyle name="40% - Accent4 7" xfId="4983" hidden="1" xr:uid="{00000000-0005-0000-0000-00005C170000}"/>
    <cellStyle name="40% - Accent4 7" xfId="4534" hidden="1" xr:uid="{00000000-0005-0000-0000-00005D170000}"/>
    <cellStyle name="40% - Accent4 7" xfId="5242" hidden="1" xr:uid="{00000000-0005-0000-0000-00005E170000}"/>
    <cellStyle name="40% - Accent4 7" xfId="5320" hidden="1" xr:uid="{00000000-0005-0000-0000-00005F170000}"/>
    <cellStyle name="40% - Accent4 7" xfId="4152" hidden="1" xr:uid="{00000000-0005-0000-0000-000060170000}"/>
    <cellStyle name="40% - Accent4 7" xfId="5579" hidden="1" xr:uid="{00000000-0005-0000-0000-000061170000}"/>
    <cellStyle name="40% - Accent4 7" xfId="5663" hidden="1" xr:uid="{00000000-0005-0000-0000-000062170000}"/>
    <cellStyle name="40% - Accent4 7" xfId="5754" hidden="1" xr:uid="{00000000-0005-0000-0000-000063170000}"/>
    <cellStyle name="40% - Accent4 7" xfId="5831" hidden="1" xr:uid="{00000000-0005-0000-0000-000064170000}"/>
    <cellStyle name="40% - Accent4 7" xfId="5909" hidden="1" xr:uid="{00000000-0005-0000-0000-000065170000}"/>
    <cellStyle name="40% - Accent4 7" xfId="6493" hidden="1" xr:uid="{00000000-0005-0000-0000-000066170000}"/>
    <cellStyle name="40% - Accent4 7" xfId="6570" hidden="1" xr:uid="{00000000-0005-0000-0000-000067170000}"/>
    <cellStyle name="40% - Accent4 7" xfId="6649" hidden="1" xr:uid="{00000000-0005-0000-0000-000068170000}"/>
    <cellStyle name="40% - Accent4 7" xfId="6341" hidden="1" xr:uid="{00000000-0005-0000-0000-000069170000}"/>
    <cellStyle name="40% - Accent4 7" xfId="6758" hidden="1" xr:uid="{00000000-0005-0000-0000-00006A170000}"/>
    <cellStyle name="40% - Accent4 7" xfId="6351" hidden="1" xr:uid="{00000000-0005-0000-0000-00006B170000}"/>
    <cellStyle name="40% - Accent4 7" xfId="6222" hidden="1" xr:uid="{00000000-0005-0000-0000-00006C170000}"/>
    <cellStyle name="40% - Accent4 7" xfId="7165" hidden="1" xr:uid="{00000000-0005-0000-0000-00006D170000}"/>
    <cellStyle name="40% - Accent4 7" xfId="7243" hidden="1" xr:uid="{00000000-0005-0000-0000-00006E170000}"/>
    <cellStyle name="40% - Accent4 7" xfId="6387" hidden="1" xr:uid="{00000000-0005-0000-0000-00006F170000}"/>
    <cellStyle name="40% - Accent4 7" xfId="7338" hidden="1" xr:uid="{00000000-0005-0000-0000-000070170000}"/>
    <cellStyle name="40% - Accent4 7" xfId="6923" hidden="1" xr:uid="{00000000-0005-0000-0000-000071170000}"/>
    <cellStyle name="40% - Accent4 7" xfId="6272" hidden="1" xr:uid="{00000000-0005-0000-0000-000072170000}"/>
    <cellStyle name="40% - Accent4 7" xfId="7697" hidden="1" xr:uid="{00000000-0005-0000-0000-000073170000}"/>
    <cellStyle name="40% - Accent4 7" xfId="7775" hidden="1" xr:uid="{00000000-0005-0000-0000-000074170000}"/>
    <cellStyle name="40% - Accent4 7" xfId="7326" hidden="1" xr:uid="{00000000-0005-0000-0000-000075170000}"/>
    <cellStyle name="40% - Accent4 7" xfId="8034" hidden="1" xr:uid="{00000000-0005-0000-0000-000076170000}"/>
    <cellStyle name="40% - Accent4 7" xfId="8112" hidden="1" xr:uid="{00000000-0005-0000-0000-000077170000}"/>
    <cellStyle name="40% - Accent4 7" xfId="6944" hidden="1" xr:uid="{00000000-0005-0000-0000-000078170000}"/>
    <cellStyle name="40% - Accent4 7" xfId="8371" hidden="1" xr:uid="{00000000-0005-0000-0000-000079170000}"/>
    <cellStyle name="40% - Accent4 8" xfId="95" hidden="1" xr:uid="{00000000-0005-0000-0000-00007A170000}"/>
    <cellStyle name="40% - Accent4 8" xfId="161" hidden="1" xr:uid="{00000000-0005-0000-0000-00007B170000}"/>
    <cellStyle name="40% - Accent4 8" xfId="239" hidden="1" xr:uid="{00000000-0005-0000-0000-00007C170000}"/>
    <cellStyle name="40% - Accent4 8" xfId="317" hidden="1" xr:uid="{00000000-0005-0000-0000-00007D170000}"/>
    <cellStyle name="40% - Accent4 8" xfId="899" hidden="1" xr:uid="{00000000-0005-0000-0000-00007E170000}"/>
    <cellStyle name="40% - Accent4 8" xfId="978" hidden="1" xr:uid="{00000000-0005-0000-0000-00007F170000}"/>
    <cellStyle name="40% - Accent4 8" xfId="1057" hidden="1" xr:uid="{00000000-0005-0000-0000-000080170000}"/>
    <cellStyle name="40% - Accent4 8" xfId="631" hidden="1" xr:uid="{00000000-0005-0000-0000-000081170000}"/>
    <cellStyle name="40% - Accent4 8" xfId="1133" hidden="1" xr:uid="{00000000-0005-0000-0000-000082170000}"/>
    <cellStyle name="40% - Accent4 8" xfId="839" hidden="1" xr:uid="{00000000-0005-0000-0000-000083170000}"/>
    <cellStyle name="40% - Accent4 8" xfId="729" hidden="1" xr:uid="{00000000-0005-0000-0000-000084170000}"/>
    <cellStyle name="40% - Accent4 8" xfId="1573" hidden="1" xr:uid="{00000000-0005-0000-0000-000085170000}"/>
    <cellStyle name="40% - Accent4 8" xfId="1651" hidden="1" xr:uid="{00000000-0005-0000-0000-000086170000}"/>
    <cellStyle name="40% - Accent4 8" xfId="694" hidden="1" xr:uid="{00000000-0005-0000-0000-000087170000}"/>
    <cellStyle name="40% - Accent4 8" xfId="1722" hidden="1" xr:uid="{00000000-0005-0000-0000-000088170000}"/>
    <cellStyle name="40% - Accent4 8" xfId="1500" hidden="1" xr:uid="{00000000-0005-0000-0000-000089170000}"/>
    <cellStyle name="40% - Accent4 8" xfId="1492" hidden="1" xr:uid="{00000000-0005-0000-0000-00008A170000}"/>
    <cellStyle name="40% - Accent4 8" xfId="2105" hidden="1" xr:uid="{00000000-0005-0000-0000-00008B170000}"/>
    <cellStyle name="40% - Accent4 8" xfId="2183" hidden="1" xr:uid="{00000000-0005-0000-0000-00008C170000}"/>
    <cellStyle name="40% - Accent4 8" xfId="2248" hidden="1" xr:uid="{00000000-0005-0000-0000-00008D170000}"/>
    <cellStyle name="40% - Accent4 8" xfId="2442" hidden="1" xr:uid="{00000000-0005-0000-0000-00008E170000}"/>
    <cellStyle name="40% - Accent4 8" xfId="2520" hidden="1" xr:uid="{00000000-0005-0000-0000-00008F170000}"/>
    <cellStyle name="40% - Accent4 8" xfId="2585" hidden="1" xr:uid="{00000000-0005-0000-0000-000090170000}"/>
    <cellStyle name="40% - Accent4 8" xfId="2779" hidden="1" xr:uid="{00000000-0005-0000-0000-000091170000}"/>
    <cellStyle name="40% - Accent4 8" xfId="2887" hidden="1" xr:uid="{00000000-0005-0000-0000-000092170000}"/>
    <cellStyle name="40% - Accent4 8" xfId="2953" hidden="1" xr:uid="{00000000-0005-0000-0000-000093170000}"/>
    <cellStyle name="40% - Accent4 8" xfId="3031" hidden="1" xr:uid="{00000000-0005-0000-0000-000094170000}"/>
    <cellStyle name="40% - Accent4 8" xfId="3109" hidden="1" xr:uid="{00000000-0005-0000-0000-000095170000}"/>
    <cellStyle name="40% - Accent4 8" xfId="3691" hidden="1" xr:uid="{00000000-0005-0000-0000-000096170000}"/>
    <cellStyle name="40% - Accent4 8" xfId="3770" hidden="1" xr:uid="{00000000-0005-0000-0000-000097170000}"/>
    <cellStyle name="40% - Accent4 8" xfId="3849" hidden="1" xr:uid="{00000000-0005-0000-0000-000098170000}"/>
    <cellStyle name="40% - Accent4 8" xfId="3423" hidden="1" xr:uid="{00000000-0005-0000-0000-000099170000}"/>
    <cellStyle name="40% - Accent4 8" xfId="3925" hidden="1" xr:uid="{00000000-0005-0000-0000-00009A170000}"/>
    <cellStyle name="40% - Accent4 8" xfId="3631" hidden="1" xr:uid="{00000000-0005-0000-0000-00009B170000}"/>
    <cellStyle name="40% - Accent4 8" xfId="3521" hidden="1" xr:uid="{00000000-0005-0000-0000-00009C170000}"/>
    <cellStyle name="40% - Accent4 8" xfId="4365" hidden="1" xr:uid="{00000000-0005-0000-0000-00009D170000}"/>
    <cellStyle name="40% - Accent4 8" xfId="4443" hidden="1" xr:uid="{00000000-0005-0000-0000-00009E170000}"/>
    <cellStyle name="40% - Accent4 8" xfId="3486" hidden="1" xr:uid="{00000000-0005-0000-0000-00009F170000}"/>
    <cellStyle name="40% - Accent4 8" xfId="4514" hidden="1" xr:uid="{00000000-0005-0000-0000-0000A0170000}"/>
    <cellStyle name="40% - Accent4 8" xfId="4292" hidden="1" xr:uid="{00000000-0005-0000-0000-0000A1170000}"/>
    <cellStyle name="40% - Accent4 8" xfId="4284" hidden="1" xr:uid="{00000000-0005-0000-0000-0000A2170000}"/>
    <cellStyle name="40% - Accent4 8" xfId="4897" hidden="1" xr:uid="{00000000-0005-0000-0000-0000A3170000}"/>
    <cellStyle name="40% - Accent4 8" xfId="4975" hidden="1" xr:uid="{00000000-0005-0000-0000-0000A4170000}"/>
    <cellStyle name="40% - Accent4 8" xfId="5040" hidden="1" xr:uid="{00000000-0005-0000-0000-0000A5170000}"/>
    <cellStyle name="40% - Accent4 8" xfId="5234" hidden="1" xr:uid="{00000000-0005-0000-0000-0000A6170000}"/>
    <cellStyle name="40% - Accent4 8" xfId="5312" hidden="1" xr:uid="{00000000-0005-0000-0000-0000A7170000}"/>
    <cellStyle name="40% - Accent4 8" xfId="5377" hidden="1" xr:uid="{00000000-0005-0000-0000-0000A8170000}"/>
    <cellStyle name="40% - Accent4 8" xfId="5571" hidden="1" xr:uid="{00000000-0005-0000-0000-0000A9170000}"/>
    <cellStyle name="40% - Accent4 8" xfId="5679" hidden="1" xr:uid="{00000000-0005-0000-0000-0000AA170000}"/>
    <cellStyle name="40% - Accent4 8" xfId="5745" hidden="1" xr:uid="{00000000-0005-0000-0000-0000AB170000}"/>
    <cellStyle name="40% - Accent4 8" xfId="5823" hidden="1" xr:uid="{00000000-0005-0000-0000-0000AC170000}"/>
    <cellStyle name="40% - Accent4 8" xfId="5901" hidden="1" xr:uid="{00000000-0005-0000-0000-0000AD170000}"/>
    <cellStyle name="40% - Accent4 8" xfId="6483" hidden="1" xr:uid="{00000000-0005-0000-0000-0000AE170000}"/>
    <cellStyle name="40% - Accent4 8" xfId="6562" hidden="1" xr:uid="{00000000-0005-0000-0000-0000AF170000}"/>
    <cellStyle name="40% - Accent4 8" xfId="6641" hidden="1" xr:uid="{00000000-0005-0000-0000-0000B0170000}"/>
    <cellStyle name="40% - Accent4 8" xfId="6215" hidden="1" xr:uid="{00000000-0005-0000-0000-0000B1170000}"/>
    <cellStyle name="40% - Accent4 8" xfId="6717" hidden="1" xr:uid="{00000000-0005-0000-0000-0000B2170000}"/>
    <cellStyle name="40% - Accent4 8" xfId="6423" hidden="1" xr:uid="{00000000-0005-0000-0000-0000B3170000}"/>
    <cellStyle name="40% - Accent4 8" xfId="6313" hidden="1" xr:uid="{00000000-0005-0000-0000-0000B4170000}"/>
    <cellStyle name="40% - Accent4 8" xfId="7157" hidden="1" xr:uid="{00000000-0005-0000-0000-0000B5170000}"/>
    <cellStyle name="40% - Accent4 8" xfId="7235" hidden="1" xr:uid="{00000000-0005-0000-0000-0000B6170000}"/>
    <cellStyle name="40% - Accent4 8" xfId="6278" hidden="1" xr:uid="{00000000-0005-0000-0000-0000B7170000}"/>
    <cellStyle name="40% - Accent4 8" xfId="7306" hidden="1" xr:uid="{00000000-0005-0000-0000-0000B8170000}"/>
    <cellStyle name="40% - Accent4 8" xfId="7084" hidden="1" xr:uid="{00000000-0005-0000-0000-0000B9170000}"/>
    <cellStyle name="40% - Accent4 8" xfId="7076" hidden="1" xr:uid="{00000000-0005-0000-0000-0000BA170000}"/>
    <cellStyle name="40% - Accent4 8" xfId="7689" hidden="1" xr:uid="{00000000-0005-0000-0000-0000BB170000}"/>
    <cellStyle name="40% - Accent4 8" xfId="7767" hidden="1" xr:uid="{00000000-0005-0000-0000-0000BC170000}"/>
    <cellStyle name="40% - Accent4 8" xfId="7832" hidden="1" xr:uid="{00000000-0005-0000-0000-0000BD170000}"/>
    <cellStyle name="40% - Accent4 8" xfId="8026" hidden="1" xr:uid="{00000000-0005-0000-0000-0000BE170000}"/>
    <cellStyle name="40% - Accent4 8" xfId="8104" hidden="1" xr:uid="{00000000-0005-0000-0000-0000BF170000}"/>
    <cellStyle name="40% - Accent4 8" xfId="8169" hidden="1" xr:uid="{00000000-0005-0000-0000-0000C0170000}"/>
    <cellStyle name="40% - Accent4 8" xfId="8363" hidden="1" xr:uid="{00000000-0005-0000-0000-0000C1170000}"/>
    <cellStyle name="40% - Accent4 9" xfId="108" hidden="1" xr:uid="{00000000-0005-0000-0000-0000C2170000}"/>
    <cellStyle name="40% - Accent4 9" xfId="182" hidden="1" xr:uid="{00000000-0005-0000-0000-0000C3170000}"/>
    <cellStyle name="40% - Accent4 9" xfId="258" hidden="1" xr:uid="{00000000-0005-0000-0000-0000C4170000}"/>
    <cellStyle name="40% - Accent4 9" xfId="336" hidden="1" xr:uid="{00000000-0005-0000-0000-0000C5170000}"/>
    <cellStyle name="40% - Accent4 9" xfId="921" hidden="1" xr:uid="{00000000-0005-0000-0000-0000C6170000}"/>
    <cellStyle name="40% - Accent4 9" xfId="997" hidden="1" xr:uid="{00000000-0005-0000-0000-0000C7170000}"/>
    <cellStyle name="40% - Accent4 9" xfId="1076" hidden="1" xr:uid="{00000000-0005-0000-0000-0000C8170000}"/>
    <cellStyle name="40% - Accent4 9" xfId="1144" hidden="1" xr:uid="{00000000-0005-0000-0000-0000C9170000}"/>
    <cellStyle name="40% - Accent4 9" xfId="861" hidden="1" xr:uid="{00000000-0005-0000-0000-0000CA170000}"/>
    <cellStyle name="40% - Accent4 9" xfId="732" hidden="1" xr:uid="{00000000-0005-0000-0000-0000CB170000}"/>
    <cellStyle name="40% - Accent4 9" xfId="1516" hidden="1" xr:uid="{00000000-0005-0000-0000-0000CC170000}"/>
    <cellStyle name="40% - Accent4 9" xfId="1592" hidden="1" xr:uid="{00000000-0005-0000-0000-0000CD170000}"/>
    <cellStyle name="40% - Accent4 9" xfId="1670" hidden="1" xr:uid="{00000000-0005-0000-0000-0000CE170000}"/>
    <cellStyle name="40% - Accent4 9" xfId="1732" hidden="1" xr:uid="{00000000-0005-0000-0000-0000CF170000}"/>
    <cellStyle name="40% - Accent4 9" xfId="874" hidden="1" xr:uid="{00000000-0005-0000-0000-0000D0170000}"/>
    <cellStyle name="40% - Accent4 9" xfId="814" hidden="1" xr:uid="{00000000-0005-0000-0000-0000D1170000}"/>
    <cellStyle name="40% - Accent4 9" xfId="2048" hidden="1" xr:uid="{00000000-0005-0000-0000-0000D2170000}"/>
    <cellStyle name="40% - Accent4 9" xfId="2124" hidden="1" xr:uid="{00000000-0005-0000-0000-0000D3170000}"/>
    <cellStyle name="40% - Accent4 9" xfId="2202" hidden="1" xr:uid="{00000000-0005-0000-0000-0000D4170000}"/>
    <cellStyle name="40% - Accent4 9" xfId="2385" hidden="1" xr:uid="{00000000-0005-0000-0000-0000D5170000}"/>
    <cellStyle name="40% - Accent4 9" xfId="2461" hidden="1" xr:uid="{00000000-0005-0000-0000-0000D6170000}"/>
    <cellStyle name="40% - Accent4 9" xfId="2539" hidden="1" xr:uid="{00000000-0005-0000-0000-0000D7170000}"/>
    <cellStyle name="40% - Accent4 9" xfId="2722" hidden="1" xr:uid="{00000000-0005-0000-0000-0000D8170000}"/>
    <cellStyle name="40% - Accent4 9" xfId="2798" hidden="1" xr:uid="{00000000-0005-0000-0000-0000D9170000}"/>
    <cellStyle name="40% - Accent4 9" xfId="2900" hidden="1" xr:uid="{00000000-0005-0000-0000-0000DA170000}"/>
    <cellStyle name="40% - Accent4 9" xfId="2974" hidden="1" xr:uid="{00000000-0005-0000-0000-0000DB170000}"/>
    <cellStyle name="40% - Accent4 9" xfId="3050" hidden="1" xr:uid="{00000000-0005-0000-0000-0000DC170000}"/>
    <cellStyle name="40% - Accent4 9" xfId="3128" hidden="1" xr:uid="{00000000-0005-0000-0000-0000DD170000}"/>
    <cellStyle name="40% - Accent4 9" xfId="3713" hidden="1" xr:uid="{00000000-0005-0000-0000-0000DE170000}"/>
    <cellStyle name="40% - Accent4 9" xfId="3789" hidden="1" xr:uid="{00000000-0005-0000-0000-0000DF170000}"/>
    <cellStyle name="40% - Accent4 9" xfId="3868" hidden="1" xr:uid="{00000000-0005-0000-0000-0000E0170000}"/>
    <cellStyle name="40% - Accent4 9" xfId="3936" hidden="1" xr:uid="{00000000-0005-0000-0000-0000E1170000}"/>
    <cellStyle name="40% - Accent4 9" xfId="3653" hidden="1" xr:uid="{00000000-0005-0000-0000-0000E2170000}"/>
    <cellStyle name="40% - Accent4 9" xfId="3524" hidden="1" xr:uid="{00000000-0005-0000-0000-0000E3170000}"/>
    <cellStyle name="40% - Accent4 9" xfId="4308" hidden="1" xr:uid="{00000000-0005-0000-0000-0000E4170000}"/>
    <cellStyle name="40% - Accent4 9" xfId="4384" hidden="1" xr:uid="{00000000-0005-0000-0000-0000E5170000}"/>
    <cellStyle name="40% - Accent4 9" xfId="4462" hidden="1" xr:uid="{00000000-0005-0000-0000-0000E6170000}"/>
    <cellStyle name="40% - Accent4 9" xfId="4524" hidden="1" xr:uid="{00000000-0005-0000-0000-0000E7170000}"/>
    <cellStyle name="40% - Accent4 9" xfId="3666" hidden="1" xr:uid="{00000000-0005-0000-0000-0000E8170000}"/>
    <cellStyle name="40% - Accent4 9" xfId="3606" hidden="1" xr:uid="{00000000-0005-0000-0000-0000E9170000}"/>
    <cellStyle name="40% - Accent4 9" xfId="4840" hidden="1" xr:uid="{00000000-0005-0000-0000-0000EA170000}"/>
    <cellStyle name="40% - Accent4 9" xfId="4916" hidden="1" xr:uid="{00000000-0005-0000-0000-0000EB170000}"/>
    <cellStyle name="40% - Accent4 9" xfId="4994" hidden="1" xr:uid="{00000000-0005-0000-0000-0000EC170000}"/>
    <cellStyle name="40% - Accent4 9" xfId="5177" hidden="1" xr:uid="{00000000-0005-0000-0000-0000ED170000}"/>
    <cellStyle name="40% - Accent4 9" xfId="5253" hidden="1" xr:uid="{00000000-0005-0000-0000-0000EE170000}"/>
    <cellStyle name="40% - Accent4 9" xfId="5331" hidden="1" xr:uid="{00000000-0005-0000-0000-0000EF170000}"/>
    <cellStyle name="40% - Accent4 9" xfId="5514" hidden="1" xr:uid="{00000000-0005-0000-0000-0000F0170000}"/>
    <cellStyle name="40% - Accent4 9" xfId="5590" hidden="1" xr:uid="{00000000-0005-0000-0000-0000F1170000}"/>
    <cellStyle name="40% - Accent4 9" xfId="5692" hidden="1" xr:uid="{00000000-0005-0000-0000-0000F2170000}"/>
    <cellStyle name="40% - Accent4 9" xfId="5766" hidden="1" xr:uid="{00000000-0005-0000-0000-0000F3170000}"/>
    <cellStyle name="40% - Accent4 9" xfId="5842" hidden="1" xr:uid="{00000000-0005-0000-0000-0000F4170000}"/>
    <cellStyle name="40% - Accent4 9" xfId="5920" hidden="1" xr:uid="{00000000-0005-0000-0000-0000F5170000}"/>
    <cellStyle name="40% - Accent4 9" xfId="6505" hidden="1" xr:uid="{00000000-0005-0000-0000-0000F6170000}"/>
    <cellStyle name="40% - Accent4 9" xfId="6581" hidden="1" xr:uid="{00000000-0005-0000-0000-0000F7170000}"/>
    <cellStyle name="40% - Accent4 9" xfId="6660" hidden="1" xr:uid="{00000000-0005-0000-0000-0000F8170000}"/>
    <cellStyle name="40% - Accent4 9" xfId="6728" hidden="1" xr:uid="{00000000-0005-0000-0000-0000F9170000}"/>
    <cellStyle name="40% - Accent4 9" xfId="6445" hidden="1" xr:uid="{00000000-0005-0000-0000-0000FA170000}"/>
    <cellStyle name="40% - Accent4 9" xfId="6316" hidden="1" xr:uid="{00000000-0005-0000-0000-0000FB170000}"/>
    <cellStyle name="40% - Accent4 9" xfId="7100" hidden="1" xr:uid="{00000000-0005-0000-0000-0000FC170000}"/>
    <cellStyle name="40% - Accent4 9" xfId="7176" hidden="1" xr:uid="{00000000-0005-0000-0000-0000FD170000}"/>
    <cellStyle name="40% - Accent4 9" xfId="7254" hidden="1" xr:uid="{00000000-0005-0000-0000-0000FE170000}"/>
    <cellStyle name="40% - Accent4 9" xfId="7316" hidden="1" xr:uid="{00000000-0005-0000-0000-0000FF170000}"/>
    <cellStyle name="40% - Accent4 9" xfId="6458" hidden="1" xr:uid="{00000000-0005-0000-0000-000000180000}"/>
    <cellStyle name="40% - Accent4 9" xfId="6398" hidden="1" xr:uid="{00000000-0005-0000-0000-000001180000}"/>
    <cellStyle name="40% - Accent4 9" xfId="7632" hidden="1" xr:uid="{00000000-0005-0000-0000-000002180000}"/>
    <cellStyle name="40% - Accent4 9" xfId="7708" hidden="1" xr:uid="{00000000-0005-0000-0000-000003180000}"/>
    <cellStyle name="40% - Accent4 9" xfId="7786" hidden="1" xr:uid="{00000000-0005-0000-0000-000004180000}"/>
    <cellStyle name="40% - Accent4 9" xfId="7969" hidden="1" xr:uid="{00000000-0005-0000-0000-000005180000}"/>
    <cellStyle name="40% - Accent4 9" xfId="8045" hidden="1" xr:uid="{00000000-0005-0000-0000-000006180000}"/>
    <cellStyle name="40% - Accent4 9" xfId="8123" hidden="1" xr:uid="{00000000-0005-0000-0000-000007180000}"/>
    <cellStyle name="40% - Accent4 9" xfId="8306" hidden="1" xr:uid="{00000000-0005-0000-0000-000008180000}"/>
    <cellStyle name="40% - Accent4 9" xfId="8382" hidden="1" xr:uid="{00000000-0005-0000-0000-000009180000}"/>
    <cellStyle name="40% - Accent5" xfId="40" builtinId="47" hidden="1"/>
    <cellStyle name="40% - Accent5 10" xfId="123" hidden="1" xr:uid="{00000000-0005-0000-0000-00000B180000}"/>
    <cellStyle name="40% - Accent5 10" xfId="197" hidden="1" xr:uid="{00000000-0005-0000-0000-00000C180000}"/>
    <cellStyle name="40% - Accent5 10" xfId="273" hidden="1" xr:uid="{00000000-0005-0000-0000-00000D180000}"/>
    <cellStyle name="40% - Accent5 10" xfId="351" hidden="1" xr:uid="{00000000-0005-0000-0000-00000E180000}"/>
    <cellStyle name="40% - Accent5 10" xfId="936" hidden="1" xr:uid="{00000000-0005-0000-0000-00000F180000}"/>
    <cellStyle name="40% - Accent5 10" xfId="1012" hidden="1" xr:uid="{00000000-0005-0000-0000-000010180000}"/>
    <cellStyle name="40% - Accent5 10" xfId="1091" hidden="1" xr:uid="{00000000-0005-0000-0000-000011180000}"/>
    <cellStyle name="40% - Accent5 10" xfId="1336" hidden="1" xr:uid="{00000000-0005-0000-0000-000012180000}"/>
    <cellStyle name="40% - Accent5 10" xfId="692" hidden="1" xr:uid="{00000000-0005-0000-0000-000013180000}"/>
    <cellStyle name="40% - Accent5 10" xfId="837" hidden="1" xr:uid="{00000000-0005-0000-0000-000014180000}"/>
    <cellStyle name="40% - Accent5 10" xfId="1531" hidden="1" xr:uid="{00000000-0005-0000-0000-000015180000}"/>
    <cellStyle name="40% - Accent5 10" xfId="1607" hidden="1" xr:uid="{00000000-0005-0000-0000-000016180000}"/>
    <cellStyle name="40% - Accent5 10" xfId="1685" hidden="1" xr:uid="{00000000-0005-0000-0000-000017180000}"/>
    <cellStyle name="40% - Accent5 10" xfId="1895" hidden="1" xr:uid="{00000000-0005-0000-0000-000018180000}"/>
    <cellStyle name="40% - Accent5 10" xfId="646" hidden="1" xr:uid="{00000000-0005-0000-0000-000019180000}"/>
    <cellStyle name="40% - Accent5 10" xfId="1501" hidden="1" xr:uid="{00000000-0005-0000-0000-00001A180000}"/>
    <cellStyle name="40% - Accent5 10" xfId="2063" hidden="1" xr:uid="{00000000-0005-0000-0000-00001B180000}"/>
    <cellStyle name="40% - Accent5 10" xfId="2139" hidden="1" xr:uid="{00000000-0005-0000-0000-00001C180000}"/>
    <cellStyle name="40% - Accent5 10" xfId="2217" hidden="1" xr:uid="{00000000-0005-0000-0000-00001D180000}"/>
    <cellStyle name="40% - Accent5 10" xfId="2400" hidden="1" xr:uid="{00000000-0005-0000-0000-00001E180000}"/>
    <cellStyle name="40% - Accent5 10" xfId="2476" hidden="1" xr:uid="{00000000-0005-0000-0000-00001F180000}"/>
    <cellStyle name="40% - Accent5 10" xfId="2554" hidden="1" xr:uid="{00000000-0005-0000-0000-000020180000}"/>
    <cellStyle name="40% - Accent5 10" xfId="2737" hidden="1" xr:uid="{00000000-0005-0000-0000-000021180000}"/>
    <cellStyle name="40% - Accent5 10" xfId="2813" hidden="1" xr:uid="{00000000-0005-0000-0000-000022180000}"/>
    <cellStyle name="40% - Accent5 10" xfId="2915" hidden="1" xr:uid="{00000000-0005-0000-0000-000023180000}"/>
    <cellStyle name="40% - Accent5 10" xfId="2989" hidden="1" xr:uid="{00000000-0005-0000-0000-000024180000}"/>
    <cellStyle name="40% - Accent5 10" xfId="3065" hidden="1" xr:uid="{00000000-0005-0000-0000-000025180000}"/>
    <cellStyle name="40% - Accent5 10" xfId="3143" hidden="1" xr:uid="{00000000-0005-0000-0000-000026180000}"/>
    <cellStyle name="40% - Accent5 10" xfId="3728" hidden="1" xr:uid="{00000000-0005-0000-0000-000027180000}"/>
    <cellStyle name="40% - Accent5 10" xfId="3804" hidden="1" xr:uid="{00000000-0005-0000-0000-000028180000}"/>
    <cellStyle name="40% - Accent5 10" xfId="3883" hidden="1" xr:uid="{00000000-0005-0000-0000-000029180000}"/>
    <cellStyle name="40% - Accent5 10" xfId="4128" hidden="1" xr:uid="{00000000-0005-0000-0000-00002A180000}"/>
    <cellStyle name="40% - Accent5 10" xfId="3484" hidden="1" xr:uid="{00000000-0005-0000-0000-00002B180000}"/>
    <cellStyle name="40% - Accent5 10" xfId="3629" hidden="1" xr:uid="{00000000-0005-0000-0000-00002C180000}"/>
    <cellStyle name="40% - Accent5 10" xfId="4323" hidden="1" xr:uid="{00000000-0005-0000-0000-00002D180000}"/>
    <cellStyle name="40% - Accent5 10" xfId="4399" hidden="1" xr:uid="{00000000-0005-0000-0000-00002E180000}"/>
    <cellStyle name="40% - Accent5 10" xfId="4477" hidden="1" xr:uid="{00000000-0005-0000-0000-00002F180000}"/>
    <cellStyle name="40% - Accent5 10" xfId="4687" hidden="1" xr:uid="{00000000-0005-0000-0000-000030180000}"/>
    <cellStyle name="40% - Accent5 10" xfId="3438" hidden="1" xr:uid="{00000000-0005-0000-0000-000031180000}"/>
    <cellStyle name="40% - Accent5 10" xfId="4293" hidden="1" xr:uid="{00000000-0005-0000-0000-000032180000}"/>
    <cellStyle name="40% - Accent5 10" xfId="4855" hidden="1" xr:uid="{00000000-0005-0000-0000-000033180000}"/>
    <cellStyle name="40% - Accent5 10" xfId="4931" hidden="1" xr:uid="{00000000-0005-0000-0000-000034180000}"/>
    <cellStyle name="40% - Accent5 10" xfId="5009" hidden="1" xr:uid="{00000000-0005-0000-0000-000035180000}"/>
    <cellStyle name="40% - Accent5 10" xfId="5192" hidden="1" xr:uid="{00000000-0005-0000-0000-000036180000}"/>
    <cellStyle name="40% - Accent5 10" xfId="5268" hidden="1" xr:uid="{00000000-0005-0000-0000-000037180000}"/>
    <cellStyle name="40% - Accent5 10" xfId="5346" hidden="1" xr:uid="{00000000-0005-0000-0000-000038180000}"/>
    <cellStyle name="40% - Accent5 10" xfId="5529" hidden="1" xr:uid="{00000000-0005-0000-0000-000039180000}"/>
    <cellStyle name="40% - Accent5 10" xfId="5605" hidden="1" xr:uid="{00000000-0005-0000-0000-00003A180000}"/>
    <cellStyle name="40% - Accent5 10" xfId="5707" hidden="1" xr:uid="{00000000-0005-0000-0000-00003B180000}"/>
    <cellStyle name="40% - Accent5 10" xfId="5781" hidden="1" xr:uid="{00000000-0005-0000-0000-00003C180000}"/>
    <cellStyle name="40% - Accent5 10" xfId="5857" hidden="1" xr:uid="{00000000-0005-0000-0000-00003D180000}"/>
    <cellStyle name="40% - Accent5 10" xfId="5935" hidden="1" xr:uid="{00000000-0005-0000-0000-00003E180000}"/>
    <cellStyle name="40% - Accent5 10" xfId="6520" hidden="1" xr:uid="{00000000-0005-0000-0000-00003F180000}"/>
    <cellStyle name="40% - Accent5 10" xfId="6596" hidden="1" xr:uid="{00000000-0005-0000-0000-000040180000}"/>
    <cellStyle name="40% - Accent5 10" xfId="6675" hidden="1" xr:uid="{00000000-0005-0000-0000-000041180000}"/>
    <cellStyle name="40% - Accent5 10" xfId="6920" hidden="1" xr:uid="{00000000-0005-0000-0000-000042180000}"/>
    <cellStyle name="40% - Accent5 10" xfId="6276" hidden="1" xr:uid="{00000000-0005-0000-0000-000043180000}"/>
    <cellStyle name="40% - Accent5 10" xfId="6421" hidden="1" xr:uid="{00000000-0005-0000-0000-000044180000}"/>
    <cellStyle name="40% - Accent5 10" xfId="7115" hidden="1" xr:uid="{00000000-0005-0000-0000-000045180000}"/>
    <cellStyle name="40% - Accent5 10" xfId="7191" hidden="1" xr:uid="{00000000-0005-0000-0000-000046180000}"/>
    <cellStyle name="40% - Accent5 10" xfId="7269" hidden="1" xr:uid="{00000000-0005-0000-0000-000047180000}"/>
    <cellStyle name="40% - Accent5 10" xfId="7479" hidden="1" xr:uid="{00000000-0005-0000-0000-000048180000}"/>
    <cellStyle name="40% - Accent5 10" xfId="6230" hidden="1" xr:uid="{00000000-0005-0000-0000-000049180000}"/>
    <cellStyle name="40% - Accent5 10" xfId="7085" hidden="1" xr:uid="{00000000-0005-0000-0000-00004A180000}"/>
    <cellStyle name="40% - Accent5 10" xfId="7647" hidden="1" xr:uid="{00000000-0005-0000-0000-00004B180000}"/>
    <cellStyle name="40% - Accent5 10" xfId="7723" hidden="1" xr:uid="{00000000-0005-0000-0000-00004C180000}"/>
    <cellStyle name="40% - Accent5 10" xfId="7801" hidden="1" xr:uid="{00000000-0005-0000-0000-00004D180000}"/>
    <cellStyle name="40% - Accent5 10" xfId="7984" hidden="1" xr:uid="{00000000-0005-0000-0000-00004E180000}"/>
    <cellStyle name="40% - Accent5 10" xfId="8060" hidden="1" xr:uid="{00000000-0005-0000-0000-00004F180000}"/>
    <cellStyle name="40% - Accent5 10" xfId="8138" hidden="1" xr:uid="{00000000-0005-0000-0000-000050180000}"/>
    <cellStyle name="40% - Accent5 10" xfId="8321" hidden="1" xr:uid="{00000000-0005-0000-0000-000051180000}"/>
    <cellStyle name="40% - Accent5 10" xfId="8397" hidden="1" xr:uid="{00000000-0005-0000-0000-000052180000}"/>
    <cellStyle name="40% - Accent5 11" xfId="136" hidden="1" xr:uid="{00000000-0005-0000-0000-000053180000}"/>
    <cellStyle name="40% - Accent5 11" xfId="210" hidden="1" xr:uid="{00000000-0005-0000-0000-000054180000}"/>
    <cellStyle name="40% - Accent5 11" xfId="286" hidden="1" xr:uid="{00000000-0005-0000-0000-000055180000}"/>
    <cellStyle name="40% - Accent5 11" xfId="364" hidden="1" xr:uid="{00000000-0005-0000-0000-000056180000}"/>
    <cellStyle name="40% - Accent5 11" xfId="949" hidden="1" xr:uid="{00000000-0005-0000-0000-000057180000}"/>
    <cellStyle name="40% - Accent5 11" xfId="1025" hidden="1" xr:uid="{00000000-0005-0000-0000-000058180000}"/>
    <cellStyle name="40% - Accent5 11" xfId="1104" hidden="1" xr:uid="{00000000-0005-0000-0000-000059180000}"/>
    <cellStyle name="40% - Accent5 11" xfId="728" hidden="1" xr:uid="{00000000-0005-0000-0000-00005A180000}"/>
    <cellStyle name="40% - Accent5 11" xfId="637" hidden="1" xr:uid="{00000000-0005-0000-0000-00005B180000}"/>
    <cellStyle name="40% - Accent5 11" xfId="604" hidden="1" xr:uid="{00000000-0005-0000-0000-00005C180000}"/>
    <cellStyle name="40% - Accent5 11" xfId="1544" hidden="1" xr:uid="{00000000-0005-0000-0000-00005D180000}"/>
    <cellStyle name="40% - Accent5 11" xfId="1620" hidden="1" xr:uid="{00000000-0005-0000-0000-00005E180000}"/>
    <cellStyle name="40% - Accent5 11" xfId="1698" hidden="1" xr:uid="{00000000-0005-0000-0000-00005F180000}"/>
    <cellStyle name="40% - Accent5 11" xfId="866" hidden="1" xr:uid="{00000000-0005-0000-0000-000060180000}"/>
    <cellStyle name="40% - Accent5 11" xfId="639" hidden="1" xr:uid="{00000000-0005-0000-0000-000061180000}"/>
    <cellStyle name="40% - Accent5 11" xfId="864" hidden="1" xr:uid="{00000000-0005-0000-0000-000062180000}"/>
    <cellStyle name="40% - Accent5 11" xfId="2076" hidden="1" xr:uid="{00000000-0005-0000-0000-000063180000}"/>
    <cellStyle name="40% - Accent5 11" xfId="2152" hidden="1" xr:uid="{00000000-0005-0000-0000-000064180000}"/>
    <cellStyle name="40% - Accent5 11" xfId="2230" hidden="1" xr:uid="{00000000-0005-0000-0000-000065180000}"/>
    <cellStyle name="40% - Accent5 11" xfId="2413" hidden="1" xr:uid="{00000000-0005-0000-0000-000066180000}"/>
    <cellStyle name="40% - Accent5 11" xfId="2489" hidden="1" xr:uid="{00000000-0005-0000-0000-000067180000}"/>
    <cellStyle name="40% - Accent5 11" xfId="2567" hidden="1" xr:uid="{00000000-0005-0000-0000-000068180000}"/>
    <cellStyle name="40% - Accent5 11" xfId="2750" hidden="1" xr:uid="{00000000-0005-0000-0000-000069180000}"/>
    <cellStyle name="40% - Accent5 11" xfId="2826" hidden="1" xr:uid="{00000000-0005-0000-0000-00006A180000}"/>
    <cellStyle name="40% - Accent5 11" xfId="2928" hidden="1" xr:uid="{00000000-0005-0000-0000-00006B180000}"/>
    <cellStyle name="40% - Accent5 11" xfId="3002" hidden="1" xr:uid="{00000000-0005-0000-0000-00006C180000}"/>
    <cellStyle name="40% - Accent5 11" xfId="3078" hidden="1" xr:uid="{00000000-0005-0000-0000-00006D180000}"/>
    <cellStyle name="40% - Accent5 11" xfId="3156" hidden="1" xr:uid="{00000000-0005-0000-0000-00006E180000}"/>
    <cellStyle name="40% - Accent5 11" xfId="3741" hidden="1" xr:uid="{00000000-0005-0000-0000-00006F180000}"/>
    <cellStyle name="40% - Accent5 11" xfId="3817" hidden="1" xr:uid="{00000000-0005-0000-0000-000070180000}"/>
    <cellStyle name="40% - Accent5 11" xfId="3896" hidden="1" xr:uid="{00000000-0005-0000-0000-000071180000}"/>
    <cellStyle name="40% - Accent5 11" xfId="3520" hidden="1" xr:uid="{00000000-0005-0000-0000-000072180000}"/>
    <cellStyle name="40% - Accent5 11" xfId="3429" hidden="1" xr:uid="{00000000-0005-0000-0000-000073180000}"/>
    <cellStyle name="40% - Accent5 11" xfId="3396" hidden="1" xr:uid="{00000000-0005-0000-0000-000074180000}"/>
    <cellStyle name="40% - Accent5 11" xfId="4336" hidden="1" xr:uid="{00000000-0005-0000-0000-000075180000}"/>
    <cellStyle name="40% - Accent5 11" xfId="4412" hidden="1" xr:uid="{00000000-0005-0000-0000-000076180000}"/>
    <cellStyle name="40% - Accent5 11" xfId="4490" hidden="1" xr:uid="{00000000-0005-0000-0000-000077180000}"/>
    <cellStyle name="40% - Accent5 11" xfId="3658" hidden="1" xr:uid="{00000000-0005-0000-0000-000078180000}"/>
    <cellStyle name="40% - Accent5 11" xfId="3431" hidden="1" xr:uid="{00000000-0005-0000-0000-000079180000}"/>
    <cellStyle name="40% - Accent5 11" xfId="3656" hidden="1" xr:uid="{00000000-0005-0000-0000-00007A180000}"/>
    <cellStyle name="40% - Accent5 11" xfId="4868" hidden="1" xr:uid="{00000000-0005-0000-0000-00007B180000}"/>
    <cellStyle name="40% - Accent5 11" xfId="4944" hidden="1" xr:uid="{00000000-0005-0000-0000-00007C180000}"/>
    <cellStyle name="40% - Accent5 11" xfId="5022" hidden="1" xr:uid="{00000000-0005-0000-0000-00007D180000}"/>
    <cellStyle name="40% - Accent5 11" xfId="5205" hidden="1" xr:uid="{00000000-0005-0000-0000-00007E180000}"/>
    <cellStyle name="40% - Accent5 11" xfId="5281" hidden="1" xr:uid="{00000000-0005-0000-0000-00007F180000}"/>
    <cellStyle name="40% - Accent5 11" xfId="5359" hidden="1" xr:uid="{00000000-0005-0000-0000-000080180000}"/>
    <cellStyle name="40% - Accent5 11" xfId="5542" hidden="1" xr:uid="{00000000-0005-0000-0000-000081180000}"/>
    <cellStyle name="40% - Accent5 11" xfId="5618" hidden="1" xr:uid="{00000000-0005-0000-0000-000082180000}"/>
    <cellStyle name="40% - Accent5 11" xfId="5720" hidden="1" xr:uid="{00000000-0005-0000-0000-000083180000}"/>
    <cellStyle name="40% - Accent5 11" xfId="5794" hidden="1" xr:uid="{00000000-0005-0000-0000-000084180000}"/>
    <cellStyle name="40% - Accent5 11" xfId="5870" hidden="1" xr:uid="{00000000-0005-0000-0000-000085180000}"/>
    <cellStyle name="40% - Accent5 11" xfId="5948" hidden="1" xr:uid="{00000000-0005-0000-0000-000086180000}"/>
    <cellStyle name="40% - Accent5 11" xfId="6533" hidden="1" xr:uid="{00000000-0005-0000-0000-000087180000}"/>
    <cellStyle name="40% - Accent5 11" xfId="6609" hidden="1" xr:uid="{00000000-0005-0000-0000-000088180000}"/>
    <cellStyle name="40% - Accent5 11" xfId="6688" hidden="1" xr:uid="{00000000-0005-0000-0000-000089180000}"/>
    <cellStyle name="40% - Accent5 11" xfId="6312" hidden="1" xr:uid="{00000000-0005-0000-0000-00008A180000}"/>
    <cellStyle name="40% - Accent5 11" xfId="6221" hidden="1" xr:uid="{00000000-0005-0000-0000-00008B180000}"/>
    <cellStyle name="40% - Accent5 11" xfId="6188" hidden="1" xr:uid="{00000000-0005-0000-0000-00008C180000}"/>
    <cellStyle name="40% - Accent5 11" xfId="7128" hidden="1" xr:uid="{00000000-0005-0000-0000-00008D180000}"/>
    <cellStyle name="40% - Accent5 11" xfId="7204" hidden="1" xr:uid="{00000000-0005-0000-0000-00008E180000}"/>
    <cellStyle name="40% - Accent5 11" xfId="7282" hidden="1" xr:uid="{00000000-0005-0000-0000-00008F180000}"/>
    <cellStyle name="40% - Accent5 11" xfId="6450" hidden="1" xr:uid="{00000000-0005-0000-0000-000090180000}"/>
    <cellStyle name="40% - Accent5 11" xfId="6223" hidden="1" xr:uid="{00000000-0005-0000-0000-000091180000}"/>
    <cellStyle name="40% - Accent5 11" xfId="6448" hidden="1" xr:uid="{00000000-0005-0000-0000-000092180000}"/>
    <cellStyle name="40% - Accent5 11" xfId="7660" hidden="1" xr:uid="{00000000-0005-0000-0000-000093180000}"/>
    <cellStyle name="40% - Accent5 11" xfId="7736" hidden="1" xr:uid="{00000000-0005-0000-0000-000094180000}"/>
    <cellStyle name="40% - Accent5 11" xfId="7814" hidden="1" xr:uid="{00000000-0005-0000-0000-000095180000}"/>
    <cellStyle name="40% - Accent5 11" xfId="7997" hidden="1" xr:uid="{00000000-0005-0000-0000-000096180000}"/>
    <cellStyle name="40% - Accent5 11" xfId="8073" hidden="1" xr:uid="{00000000-0005-0000-0000-000097180000}"/>
    <cellStyle name="40% - Accent5 11" xfId="8151" hidden="1" xr:uid="{00000000-0005-0000-0000-000098180000}"/>
    <cellStyle name="40% - Accent5 11" xfId="8334" hidden="1" xr:uid="{00000000-0005-0000-0000-000099180000}"/>
    <cellStyle name="40% - Accent5 11" xfId="8410" hidden="1" xr:uid="{00000000-0005-0000-0000-00009A180000}"/>
    <cellStyle name="40% - Accent5 12" xfId="149" hidden="1" xr:uid="{00000000-0005-0000-0000-00009B180000}"/>
    <cellStyle name="40% - Accent5 12" xfId="224" hidden="1" xr:uid="{00000000-0005-0000-0000-00009C180000}"/>
    <cellStyle name="40% - Accent5 12" xfId="299" hidden="1" xr:uid="{00000000-0005-0000-0000-00009D180000}"/>
    <cellStyle name="40% - Accent5 12" xfId="377" hidden="1" xr:uid="{00000000-0005-0000-0000-00009E180000}"/>
    <cellStyle name="40% - Accent5 12" xfId="963" hidden="1" xr:uid="{00000000-0005-0000-0000-00009F180000}"/>
    <cellStyle name="40% - Accent5 12" xfId="1038" hidden="1" xr:uid="{00000000-0005-0000-0000-0000A0180000}"/>
    <cellStyle name="40% - Accent5 12" xfId="1117" hidden="1" xr:uid="{00000000-0005-0000-0000-0000A1180000}"/>
    <cellStyle name="40% - Accent5 12" xfId="1335" hidden="1" xr:uid="{00000000-0005-0000-0000-0000A2180000}"/>
    <cellStyle name="40% - Accent5 12" xfId="760" hidden="1" xr:uid="{00000000-0005-0000-0000-0000A3180000}"/>
    <cellStyle name="40% - Accent5 12" xfId="749" hidden="1" xr:uid="{00000000-0005-0000-0000-0000A4180000}"/>
    <cellStyle name="40% - Accent5 12" xfId="1558" hidden="1" xr:uid="{00000000-0005-0000-0000-0000A5180000}"/>
    <cellStyle name="40% - Accent5 12" xfId="1633" hidden="1" xr:uid="{00000000-0005-0000-0000-0000A6180000}"/>
    <cellStyle name="40% - Accent5 12" xfId="1711" hidden="1" xr:uid="{00000000-0005-0000-0000-0000A7180000}"/>
    <cellStyle name="40% - Accent5 12" xfId="1894" hidden="1" xr:uid="{00000000-0005-0000-0000-0000A8180000}"/>
    <cellStyle name="40% - Accent5 12" xfId="796" hidden="1" xr:uid="{00000000-0005-0000-0000-0000A9180000}"/>
    <cellStyle name="40% - Accent5 12" xfId="1157" hidden="1" xr:uid="{00000000-0005-0000-0000-0000AA180000}"/>
    <cellStyle name="40% - Accent5 12" xfId="2090" hidden="1" xr:uid="{00000000-0005-0000-0000-0000AB180000}"/>
    <cellStyle name="40% - Accent5 12" xfId="2165" hidden="1" xr:uid="{00000000-0005-0000-0000-0000AC180000}"/>
    <cellStyle name="40% - Accent5 12" xfId="2243" hidden="1" xr:uid="{00000000-0005-0000-0000-0000AD180000}"/>
    <cellStyle name="40% - Accent5 12" xfId="2427" hidden="1" xr:uid="{00000000-0005-0000-0000-0000AE180000}"/>
    <cellStyle name="40% - Accent5 12" xfId="2502" hidden="1" xr:uid="{00000000-0005-0000-0000-0000AF180000}"/>
    <cellStyle name="40% - Accent5 12" xfId="2580" hidden="1" xr:uid="{00000000-0005-0000-0000-0000B0180000}"/>
    <cellStyle name="40% - Accent5 12" xfId="2764" hidden="1" xr:uid="{00000000-0005-0000-0000-0000B1180000}"/>
    <cellStyle name="40% - Accent5 12" xfId="2839" hidden="1" xr:uid="{00000000-0005-0000-0000-0000B2180000}"/>
    <cellStyle name="40% - Accent5 12" xfId="2941" hidden="1" xr:uid="{00000000-0005-0000-0000-0000B3180000}"/>
    <cellStyle name="40% - Accent5 12" xfId="3016" hidden="1" xr:uid="{00000000-0005-0000-0000-0000B4180000}"/>
    <cellStyle name="40% - Accent5 12" xfId="3091" hidden="1" xr:uid="{00000000-0005-0000-0000-0000B5180000}"/>
    <cellStyle name="40% - Accent5 12" xfId="3169" hidden="1" xr:uid="{00000000-0005-0000-0000-0000B6180000}"/>
    <cellStyle name="40% - Accent5 12" xfId="3755" hidden="1" xr:uid="{00000000-0005-0000-0000-0000B7180000}"/>
    <cellStyle name="40% - Accent5 12" xfId="3830" hidden="1" xr:uid="{00000000-0005-0000-0000-0000B8180000}"/>
    <cellStyle name="40% - Accent5 12" xfId="3909" hidden="1" xr:uid="{00000000-0005-0000-0000-0000B9180000}"/>
    <cellStyle name="40% - Accent5 12" xfId="4127" hidden="1" xr:uid="{00000000-0005-0000-0000-0000BA180000}"/>
    <cellStyle name="40% - Accent5 12" xfId="3552" hidden="1" xr:uid="{00000000-0005-0000-0000-0000BB180000}"/>
    <cellStyle name="40% - Accent5 12" xfId="3541" hidden="1" xr:uid="{00000000-0005-0000-0000-0000BC180000}"/>
    <cellStyle name="40% - Accent5 12" xfId="4350" hidden="1" xr:uid="{00000000-0005-0000-0000-0000BD180000}"/>
    <cellStyle name="40% - Accent5 12" xfId="4425" hidden="1" xr:uid="{00000000-0005-0000-0000-0000BE180000}"/>
    <cellStyle name="40% - Accent5 12" xfId="4503" hidden="1" xr:uid="{00000000-0005-0000-0000-0000BF180000}"/>
    <cellStyle name="40% - Accent5 12" xfId="4686" hidden="1" xr:uid="{00000000-0005-0000-0000-0000C0180000}"/>
    <cellStyle name="40% - Accent5 12" xfId="3588" hidden="1" xr:uid="{00000000-0005-0000-0000-0000C1180000}"/>
    <cellStyle name="40% - Accent5 12" xfId="3949" hidden="1" xr:uid="{00000000-0005-0000-0000-0000C2180000}"/>
    <cellStyle name="40% - Accent5 12" xfId="4882" hidden="1" xr:uid="{00000000-0005-0000-0000-0000C3180000}"/>
    <cellStyle name="40% - Accent5 12" xfId="4957" hidden="1" xr:uid="{00000000-0005-0000-0000-0000C4180000}"/>
    <cellStyle name="40% - Accent5 12" xfId="5035" hidden="1" xr:uid="{00000000-0005-0000-0000-0000C5180000}"/>
    <cellStyle name="40% - Accent5 12" xfId="5219" hidden="1" xr:uid="{00000000-0005-0000-0000-0000C6180000}"/>
    <cellStyle name="40% - Accent5 12" xfId="5294" hidden="1" xr:uid="{00000000-0005-0000-0000-0000C7180000}"/>
    <cellStyle name="40% - Accent5 12" xfId="5372" hidden="1" xr:uid="{00000000-0005-0000-0000-0000C8180000}"/>
    <cellStyle name="40% - Accent5 12" xfId="5556" hidden="1" xr:uid="{00000000-0005-0000-0000-0000C9180000}"/>
    <cellStyle name="40% - Accent5 12" xfId="5631" hidden="1" xr:uid="{00000000-0005-0000-0000-0000CA180000}"/>
    <cellStyle name="40% - Accent5 12" xfId="5733" hidden="1" xr:uid="{00000000-0005-0000-0000-0000CB180000}"/>
    <cellStyle name="40% - Accent5 12" xfId="5808" hidden="1" xr:uid="{00000000-0005-0000-0000-0000CC180000}"/>
    <cellStyle name="40% - Accent5 12" xfId="5883" hidden="1" xr:uid="{00000000-0005-0000-0000-0000CD180000}"/>
    <cellStyle name="40% - Accent5 12" xfId="5961" hidden="1" xr:uid="{00000000-0005-0000-0000-0000CE180000}"/>
    <cellStyle name="40% - Accent5 12" xfId="6547" hidden="1" xr:uid="{00000000-0005-0000-0000-0000CF180000}"/>
    <cellStyle name="40% - Accent5 12" xfId="6622" hidden="1" xr:uid="{00000000-0005-0000-0000-0000D0180000}"/>
    <cellStyle name="40% - Accent5 12" xfId="6701" hidden="1" xr:uid="{00000000-0005-0000-0000-0000D1180000}"/>
    <cellStyle name="40% - Accent5 12" xfId="6919" hidden="1" xr:uid="{00000000-0005-0000-0000-0000D2180000}"/>
    <cellStyle name="40% - Accent5 12" xfId="6344" hidden="1" xr:uid="{00000000-0005-0000-0000-0000D3180000}"/>
    <cellStyle name="40% - Accent5 12" xfId="6333" hidden="1" xr:uid="{00000000-0005-0000-0000-0000D4180000}"/>
    <cellStyle name="40% - Accent5 12" xfId="7142" hidden="1" xr:uid="{00000000-0005-0000-0000-0000D5180000}"/>
    <cellStyle name="40% - Accent5 12" xfId="7217" hidden="1" xr:uid="{00000000-0005-0000-0000-0000D6180000}"/>
    <cellStyle name="40% - Accent5 12" xfId="7295" hidden="1" xr:uid="{00000000-0005-0000-0000-0000D7180000}"/>
    <cellStyle name="40% - Accent5 12" xfId="7478" hidden="1" xr:uid="{00000000-0005-0000-0000-0000D8180000}"/>
    <cellStyle name="40% - Accent5 12" xfId="6380" hidden="1" xr:uid="{00000000-0005-0000-0000-0000D9180000}"/>
    <cellStyle name="40% - Accent5 12" xfId="6741" hidden="1" xr:uid="{00000000-0005-0000-0000-0000DA180000}"/>
    <cellStyle name="40% - Accent5 12" xfId="7674" hidden="1" xr:uid="{00000000-0005-0000-0000-0000DB180000}"/>
    <cellStyle name="40% - Accent5 12" xfId="7749" hidden="1" xr:uid="{00000000-0005-0000-0000-0000DC180000}"/>
    <cellStyle name="40% - Accent5 12" xfId="7827" hidden="1" xr:uid="{00000000-0005-0000-0000-0000DD180000}"/>
    <cellStyle name="40% - Accent5 12" xfId="8011" hidden="1" xr:uid="{00000000-0005-0000-0000-0000DE180000}"/>
    <cellStyle name="40% - Accent5 12" xfId="8086" hidden="1" xr:uid="{00000000-0005-0000-0000-0000DF180000}"/>
    <cellStyle name="40% - Accent5 12" xfId="8164" hidden="1" xr:uid="{00000000-0005-0000-0000-0000E0180000}"/>
    <cellStyle name="40% - Accent5 12" xfId="8348" hidden="1" xr:uid="{00000000-0005-0000-0000-0000E1180000}"/>
    <cellStyle name="40% - Accent5 12" xfId="8423" hidden="1" xr:uid="{00000000-0005-0000-0000-0000E2180000}"/>
    <cellStyle name="40% - Accent5 13" xfId="390" hidden="1" xr:uid="{00000000-0005-0000-0000-0000E3180000}"/>
    <cellStyle name="40% - Accent5 13" xfId="505" hidden="1" xr:uid="{00000000-0005-0000-0000-0000E4180000}"/>
    <cellStyle name="40% - Accent5 13" xfId="1228" hidden="1" xr:uid="{00000000-0005-0000-0000-0000E5180000}"/>
    <cellStyle name="40% - Accent5 13" xfId="1401" hidden="1" xr:uid="{00000000-0005-0000-0000-0000E6180000}"/>
    <cellStyle name="40% - Accent5 13" xfId="1794" hidden="1" xr:uid="{00000000-0005-0000-0000-0000E7180000}"/>
    <cellStyle name="40% - Accent5 13" xfId="1942" hidden="1" xr:uid="{00000000-0005-0000-0000-0000E8180000}"/>
    <cellStyle name="40% - Accent5 13" xfId="2280" hidden="1" xr:uid="{00000000-0005-0000-0000-0000E9180000}"/>
    <cellStyle name="40% - Accent5 13" xfId="2617" hidden="1" xr:uid="{00000000-0005-0000-0000-0000EA180000}"/>
    <cellStyle name="40% - Accent5 13" xfId="3182" hidden="1" xr:uid="{00000000-0005-0000-0000-0000EB180000}"/>
    <cellStyle name="40% - Accent5 13" xfId="3297" hidden="1" xr:uid="{00000000-0005-0000-0000-0000EC180000}"/>
    <cellStyle name="40% - Accent5 13" xfId="4020" hidden="1" xr:uid="{00000000-0005-0000-0000-0000ED180000}"/>
    <cellStyle name="40% - Accent5 13" xfId="4193" hidden="1" xr:uid="{00000000-0005-0000-0000-0000EE180000}"/>
    <cellStyle name="40% - Accent5 13" xfId="4586" hidden="1" xr:uid="{00000000-0005-0000-0000-0000EF180000}"/>
    <cellStyle name="40% - Accent5 13" xfId="4734" hidden="1" xr:uid="{00000000-0005-0000-0000-0000F0180000}"/>
    <cellStyle name="40% - Accent5 13" xfId="5072" hidden="1" xr:uid="{00000000-0005-0000-0000-0000F1180000}"/>
    <cellStyle name="40% - Accent5 13" xfId="5409" hidden="1" xr:uid="{00000000-0005-0000-0000-0000F2180000}"/>
    <cellStyle name="40% - Accent5 13" xfId="5974" hidden="1" xr:uid="{00000000-0005-0000-0000-0000F3180000}"/>
    <cellStyle name="40% - Accent5 13" xfId="6089" hidden="1" xr:uid="{00000000-0005-0000-0000-0000F4180000}"/>
    <cellStyle name="40% - Accent5 13" xfId="6812" hidden="1" xr:uid="{00000000-0005-0000-0000-0000F5180000}"/>
    <cellStyle name="40% - Accent5 13" xfId="6985" hidden="1" xr:uid="{00000000-0005-0000-0000-0000F6180000}"/>
    <cellStyle name="40% - Accent5 13" xfId="7378" hidden="1" xr:uid="{00000000-0005-0000-0000-0000F7180000}"/>
    <cellStyle name="40% - Accent5 13" xfId="7526" hidden="1" xr:uid="{00000000-0005-0000-0000-0000F8180000}"/>
    <cellStyle name="40% - Accent5 13" xfId="7864" hidden="1" xr:uid="{00000000-0005-0000-0000-0000F9180000}"/>
    <cellStyle name="40% - Accent5 13" xfId="8201" hidden="1" xr:uid="{00000000-0005-0000-0000-0000FA180000}"/>
    <cellStyle name="40% - Accent5 3 2 3 2" xfId="475" hidden="1" xr:uid="{00000000-0005-0000-0000-0000FB180000}"/>
    <cellStyle name="40% - Accent5 3 2 3 2" xfId="590" hidden="1" xr:uid="{00000000-0005-0000-0000-0000FC180000}"/>
    <cellStyle name="40% - Accent5 3 2 3 2" xfId="1313" hidden="1" xr:uid="{00000000-0005-0000-0000-0000FD180000}"/>
    <cellStyle name="40% - Accent5 3 2 3 2" xfId="1486" hidden="1" xr:uid="{00000000-0005-0000-0000-0000FE180000}"/>
    <cellStyle name="40% - Accent5 3 2 3 2" xfId="1879" hidden="1" xr:uid="{00000000-0005-0000-0000-0000FF180000}"/>
    <cellStyle name="40% - Accent5 3 2 3 2" xfId="2027" hidden="1" xr:uid="{00000000-0005-0000-0000-000000190000}"/>
    <cellStyle name="40% - Accent5 3 2 3 2" xfId="2365" hidden="1" xr:uid="{00000000-0005-0000-0000-000001190000}"/>
    <cellStyle name="40% - Accent5 3 2 3 2" xfId="2702" hidden="1" xr:uid="{00000000-0005-0000-0000-000002190000}"/>
    <cellStyle name="40% - Accent5 3 2 3 2" xfId="3267" hidden="1" xr:uid="{00000000-0005-0000-0000-000003190000}"/>
    <cellStyle name="40% - Accent5 3 2 3 2" xfId="3382" hidden="1" xr:uid="{00000000-0005-0000-0000-000004190000}"/>
    <cellStyle name="40% - Accent5 3 2 3 2" xfId="4105" hidden="1" xr:uid="{00000000-0005-0000-0000-000005190000}"/>
    <cellStyle name="40% - Accent5 3 2 3 2" xfId="4278" hidden="1" xr:uid="{00000000-0005-0000-0000-000006190000}"/>
    <cellStyle name="40% - Accent5 3 2 3 2" xfId="4671" hidden="1" xr:uid="{00000000-0005-0000-0000-000007190000}"/>
    <cellStyle name="40% - Accent5 3 2 3 2" xfId="4819" hidden="1" xr:uid="{00000000-0005-0000-0000-000008190000}"/>
    <cellStyle name="40% - Accent5 3 2 3 2" xfId="5157" hidden="1" xr:uid="{00000000-0005-0000-0000-000009190000}"/>
    <cellStyle name="40% - Accent5 3 2 3 2" xfId="5494" hidden="1" xr:uid="{00000000-0005-0000-0000-00000A190000}"/>
    <cellStyle name="40% - Accent5 3 2 3 2" xfId="6059" hidden="1" xr:uid="{00000000-0005-0000-0000-00000B190000}"/>
    <cellStyle name="40% - Accent5 3 2 3 2" xfId="6174" hidden="1" xr:uid="{00000000-0005-0000-0000-00000C190000}"/>
    <cellStyle name="40% - Accent5 3 2 3 2" xfId="6897" hidden="1" xr:uid="{00000000-0005-0000-0000-00000D190000}"/>
    <cellStyle name="40% - Accent5 3 2 3 2" xfId="7070" hidden="1" xr:uid="{00000000-0005-0000-0000-00000E190000}"/>
    <cellStyle name="40% - Accent5 3 2 3 2" xfId="7463" hidden="1" xr:uid="{00000000-0005-0000-0000-00000F190000}"/>
    <cellStyle name="40% - Accent5 3 2 3 2" xfId="7611" hidden="1" xr:uid="{00000000-0005-0000-0000-000010190000}"/>
    <cellStyle name="40% - Accent5 3 2 3 2" xfId="7949" hidden="1" xr:uid="{00000000-0005-0000-0000-000011190000}"/>
    <cellStyle name="40% - Accent5 3 2 3 2" xfId="8286" hidden="1" xr:uid="{00000000-0005-0000-0000-000012190000}"/>
    <cellStyle name="40% - Accent5 3 2 4 2" xfId="446" hidden="1" xr:uid="{00000000-0005-0000-0000-000013190000}"/>
    <cellStyle name="40% - Accent5 3 2 4 2" xfId="561" hidden="1" xr:uid="{00000000-0005-0000-0000-000014190000}"/>
    <cellStyle name="40% - Accent5 3 2 4 2" xfId="1284" hidden="1" xr:uid="{00000000-0005-0000-0000-000015190000}"/>
    <cellStyle name="40% - Accent5 3 2 4 2" xfId="1457" hidden="1" xr:uid="{00000000-0005-0000-0000-000016190000}"/>
    <cellStyle name="40% - Accent5 3 2 4 2" xfId="1850" hidden="1" xr:uid="{00000000-0005-0000-0000-000017190000}"/>
    <cellStyle name="40% - Accent5 3 2 4 2" xfId="1998" hidden="1" xr:uid="{00000000-0005-0000-0000-000018190000}"/>
    <cellStyle name="40% - Accent5 3 2 4 2" xfId="2336" hidden="1" xr:uid="{00000000-0005-0000-0000-000019190000}"/>
    <cellStyle name="40% - Accent5 3 2 4 2" xfId="2673" hidden="1" xr:uid="{00000000-0005-0000-0000-00001A190000}"/>
    <cellStyle name="40% - Accent5 3 2 4 2" xfId="3238" hidden="1" xr:uid="{00000000-0005-0000-0000-00001B190000}"/>
    <cellStyle name="40% - Accent5 3 2 4 2" xfId="3353" hidden="1" xr:uid="{00000000-0005-0000-0000-00001C190000}"/>
    <cellStyle name="40% - Accent5 3 2 4 2" xfId="4076" hidden="1" xr:uid="{00000000-0005-0000-0000-00001D190000}"/>
    <cellStyle name="40% - Accent5 3 2 4 2" xfId="4249" hidden="1" xr:uid="{00000000-0005-0000-0000-00001E190000}"/>
    <cellStyle name="40% - Accent5 3 2 4 2" xfId="4642" hidden="1" xr:uid="{00000000-0005-0000-0000-00001F190000}"/>
    <cellStyle name="40% - Accent5 3 2 4 2" xfId="4790" hidden="1" xr:uid="{00000000-0005-0000-0000-000020190000}"/>
    <cellStyle name="40% - Accent5 3 2 4 2" xfId="5128" hidden="1" xr:uid="{00000000-0005-0000-0000-000021190000}"/>
    <cellStyle name="40% - Accent5 3 2 4 2" xfId="5465" hidden="1" xr:uid="{00000000-0005-0000-0000-000022190000}"/>
    <cellStyle name="40% - Accent5 3 2 4 2" xfId="6030" hidden="1" xr:uid="{00000000-0005-0000-0000-000023190000}"/>
    <cellStyle name="40% - Accent5 3 2 4 2" xfId="6145" hidden="1" xr:uid="{00000000-0005-0000-0000-000024190000}"/>
    <cellStyle name="40% - Accent5 3 2 4 2" xfId="6868" hidden="1" xr:uid="{00000000-0005-0000-0000-000025190000}"/>
    <cellStyle name="40% - Accent5 3 2 4 2" xfId="7041" hidden="1" xr:uid="{00000000-0005-0000-0000-000026190000}"/>
    <cellStyle name="40% - Accent5 3 2 4 2" xfId="7434" hidden="1" xr:uid="{00000000-0005-0000-0000-000027190000}"/>
    <cellStyle name="40% - Accent5 3 2 4 2" xfId="7582" hidden="1" xr:uid="{00000000-0005-0000-0000-000028190000}"/>
    <cellStyle name="40% - Accent5 3 2 4 2" xfId="7920" hidden="1" xr:uid="{00000000-0005-0000-0000-000029190000}"/>
    <cellStyle name="40% - Accent5 3 2 4 2" xfId="8257" hidden="1" xr:uid="{00000000-0005-0000-0000-00002A190000}"/>
    <cellStyle name="40% - Accent5 3 3 3 2" xfId="445" hidden="1" xr:uid="{00000000-0005-0000-0000-00002B190000}"/>
    <cellStyle name="40% - Accent5 3 3 3 2" xfId="560" hidden="1" xr:uid="{00000000-0005-0000-0000-00002C190000}"/>
    <cellStyle name="40% - Accent5 3 3 3 2" xfId="1283" hidden="1" xr:uid="{00000000-0005-0000-0000-00002D190000}"/>
    <cellStyle name="40% - Accent5 3 3 3 2" xfId="1456" hidden="1" xr:uid="{00000000-0005-0000-0000-00002E190000}"/>
    <cellStyle name="40% - Accent5 3 3 3 2" xfId="1849" hidden="1" xr:uid="{00000000-0005-0000-0000-00002F190000}"/>
    <cellStyle name="40% - Accent5 3 3 3 2" xfId="1997" hidden="1" xr:uid="{00000000-0005-0000-0000-000030190000}"/>
    <cellStyle name="40% - Accent5 3 3 3 2" xfId="2335" hidden="1" xr:uid="{00000000-0005-0000-0000-000031190000}"/>
    <cellStyle name="40% - Accent5 3 3 3 2" xfId="2672" hidden="1" xr:uid="{00000000-0005-0000-0000-000032190000}"/>
    <cellStyle name="40% - Accent5 3 3 3 2" xfId="3237" hidden="1" xr:uid="{00000000-0005-0000-0000-000033190000}"/>
    <cellStyle name="40% - Accent5 3 3 3 2" xfId="3352" hidden="1" xr:uid="{00000000-0005-0000-0000-000034190000}"/>
    <cellStyle name="40% - Accent5 3 3 3 2" xfId="4075" hidden="1" xr:uid="{00000000-0005-0000-0000-000035190000}"/>
    <cellStyle name="40% - Accent5 3 3 3 2" xfId="4248" hidden="1" xr:uid="{00000000-0005-0000-0000-000036190000}"/>
    <cellStyle name="40% - Accent5 3 3 3 2" xfId="4641" hidden="1" xr:uid="{00000000-0005-0000-0000-000037190000}"/>
    <cellStyle name="40% - Accent5 3 3 3 2" xfId="4789" hidden="1" xr:uid="{00000000-0005-0000-0000-000038190000}"/>
    <cellStyle name="40% - Accent5 3 3 3 2" xfId="5127" hidden="1" xr:uid="{00000000-0005-0000-0000-000039190000}"/>
    <cellStyle name="40% - Accent5 3 3 3 2" xfId="5464" hidden="1" xr:uid="{00000000-0005-0000-0000-00003A190000}"/>
    <cellStyle name="40% - Accent5 3 3 3 2" xfId="6029" hidden="1" xr:uid="{00000000-0005-0000-0000-00003B190000}"/>
    <cellStyle name="40% - Accent5 3 3 3 2" xfId="6144" hidden="1" xr:uid="{00000000-0005-0000-0000-00003C190000}"/>
    <cellStyle name="40% - Accent5 3 3 3 2" xfId="6867" hidden="1" xr:uid="{00000000-0005-0000-0000-00003D190000}"/>
    <cellStyle name="40% - Accent5 3 3 3 2" xfId="7040" hidden="1" xr:uid="{00000000-0005-0000-0000-00003E190000}"/>
    <cellStyle name="40% - Accent5 3 3 3 2" xfId="7433" hidden="1" xr:uid="{00000000-0005-0000-0000-00003F190000}"/>
    <cellStyle name="40% - Accent5 3 3 3 2" xfId="7581" hidden="1" xr:uid="{00000000-0005-0000-0000-000040190000}"/>
    <cellStyle name="40% - Accent5 3 3 3 2" xfId="7919" hidden="1" xr:uid="{00000000-0005-0000-0000-000041190000}"/>
    <cellStyle name="40% - Accent5 3 3 3 2" xfId="8256" hidden="1" xr:uid="{00000000-0005-0000-0000-000042190000}"/>
    <cellStyle name="40% - Accent5 4 2 3 2" xfId="476" hidden="1" xr:uid="{00000000-0005-0000-0000-000043190000}"/>
    <cellStyle name="40% - Accent5 4 2 3 2" xfId="591" hidden="1" xr:uid="{00000000-0005-0000-0000-000044190000}"/>
    <cellStyle name="40% - Accent5 4 2 3 2" xfId="1314" hidden="1" xr:uid="{00000000-0005-0000-0000-000045190000}"/>
    <cellStyle name="40% - Accent5 4 2 3 2" xfId="1487" hidden="1" xr:uid="{00000000-0005-0000-0000-000046190000}"/>
    <cellStyle name="40% - Accent5 4 2 3 2" xfId="1880" hidden="1" xr:uid="{00000000-0005-0000-0000-000047190000}"/>
    <cellStyle name="40% - Accent5 4 2 3 2" xfId="2028" hidden="1" xr:uid="{00000000-0005-0000-0000-000048190000}"/>
    <cellStyle name="40% - Accent5 4 2 3 2" xfId="2366" hidden="1" xr:uid="{00000000-0005-0000-0000-000049190000}"/>
    <cellStyle name="40% - Accent5 4 2 3 2" xfId="2703" hidden="1" xr:uid="{00000000-0005-0000-0000-00004A190000}"/>
    <cellStyle name="40% - Accent5 4 2 3 2" xfId="3268" hidden="1" xr:uid="{00000000-0005-0000-0000-00004B190000}"/>
    <cellStyle name="40% - Accent5 4 2 3 2" xfId="3383" hidden="1" xr:uid="{00000000-0005-0000-0000-00004C190000}"/>
    <cellStyle name="40% - Accent5 4 2 3 2" xfId="4106" hidden="1" xr:uid="{00000000-0005-0000-0000-00004D190000}"/>
    <cellStyle name="40% - Accent5 4 2 3 2" xfId="4279" hidden="1" xr:uid="{00000000-0005-0000-0000-00004E190000}"/>
    <cellStyle name="40% - Accent5 4 2 3 2" xfId="4672" hidden="1" xr:uid="{00000000-0005-0000-0000-00004F190000}"/>
    <cellStyle name="40% - Accent5 4 2 3 2" xfId="4820" hidden="1" xr:uid="{00000000-0005-0000-0000-000050190000}"/>
    <cellStyle name="40% - Accent5 4 2 3 2" xfId="5158" hidden="1" xr:uid="{00000000-0005-0000-0000-000051190000}"/>
    <cellStyle name="40% - Accent5 4 2 3 2" xfId="5495" hidden="1" xr:uid="{00000000-0005-0000-0000-000052190000}"/>
    <cellStyle name="40% - Accent5 4 2 3 2" xfId="6060" hidden="1" xr:uid="{00000000-0005-0000-0000-000053190000}"/>
    <cellStyle name="40% - Accent5 4 2 3 2" xfId="6175" hidden="1" xr:uid="{00000000-0005-0000-0000-000054190000}"/>
    <cellStyle name="40% - Accent5 4 2 3 2" xfId="6898" hidden="1" xr:uid="{00000000-0005-0000-0000-000055190000}"/>
    <cellStyle name="40% - Accent5 4 2 3 2" xfId="7071" hidden="1" xr:uid="{00000000-0005-0000-0000-000056190000}"/>
    <cellStyle name="40% - Accent5 4 2 3 2" xfId="7464" hidden="1" xr:uid="{00000000-0005-0000-0000-000057190000}"/>
    <cellStyle name="40% - Accent5 4 2 3 2" xfId="7612" hidden="1" xr:uid="{00000000-0005-0000-0000-000058190000}"/>
    <cellStyle name="40% - Accent5 4 2 3 2" xfId="7950" hidden="1" xr:uid="{00000000-0005-0000-0000-000059190000}"/>
    <cellStyle name="40% - Accent5 4 2 3 2" xfId="8287" hidden="1" xr:uid="{00000000-0005-0000-0000-00005A190000}"/>
    <cellStyle name="40% - Accent5 4 2 4 2" xfId="448" hidden="1" xr:uid="{00000000-0005-0000-0000-00005B190000}"/>
    <cellStyle name="40% - Accent5 4 2 4 2" xfId="563" hidden="1" xr:uid="{00000000-0005-0000-0000-00005C190000}"/>
    <cellStyle name="40% - Accent5 4 2 4 2" xfId="1286" hidden="1" xr:uid="{00000000-0005-0000-0000-00005D190000}"/>
    <cellStyle name="40% - Accent5 4 2 4 2" xfId="1459" hidden="1" xr:uid="{00000000-0005-0000-0000-00005E190000}"/>
    <cellStyle name="40% - Accent5 4 2 4 2" xfId="1852" hidden="1" xr:uid="{00000000-0005-0000-0000-00005F190000}"/>
    <cellStyle name="40% - Accent5 4 2 4 2" xfId="2000" hidden="1" xr:uid="{00000000-0005-0000-0000-000060190000}"/>
    <cellStyle name="40% - Accent5 4 2 4 2" xfId="2338" hidden="1" xr:uid="{00000000-0005-0000-0000-000061190000}"/>
    <cellStyle name="40% - Accent5 4 2 4 2" xfId="2675" hidden="1" xr:uid="{00000000-0005-0000-0000-000062190000}"/>
    <cellStyle name="40% - Accent5 4 2 4 2" xfId="3240" hidden="1" xr:uid="{00000000-0005-0000-0000-000063190000}"/>
    <cellStyle name="40% - Accent5 4 2 4 2" xfId="3355" hidden="1" xr:uid="{00000000-0005-0000-0000-000064190000}"/>
    <cellStyle name="40% - Accent5 4 2 4 2" xfId="4078" hidden="1" xr:uid="{00000000-0005-0000-0000-000065190000}"/>
    <cellStyle name="40% - Accent5 4 2 4 2" xfId="4251" hidden="1" xr:uid="{00000000-0005-0000-0000-000066190000}"/>
    <cellStyle name="40% - Accent5 4 2 4 2" xfId="4644" hidden="1" xr:uid="{00000000-0005-0000-0000-000067190000}"/>
    <cellStyle name="40% - Accent5 4 2 4 2" xfId="4792" hidden="1" xr:uid="{00000000-0005-0000-0000-000068190000}"/>
    <cellStyle name="40% - Accent5 4 2 4 2" xfId="5130" hidden="1" xr:uid="{00000000-0005-0000-0000-000069190000}"/>
    <cellStyle name="40% - Accent5 4 2 4 2" xfId="5467" hidden="1" xr:uid="{00000000-0005-0000-0000-00006A190000}"/>
    <cellStyle name="40% - Accent5 4 2 4 2" xfId="6032" hidden="1" xr:uid="{00000000-0005-0000-0000-00006B190000}"/>
    <cellStyle name="40% - Accent5 4 2 4 2" xfId="6147" hidden="1" xr:uid="{00000000-0005-0000-0000-00006C190000}"/>
    <cellStyle name="40% - Accent5 4 2 4 2" xfId="6870" hidden="1" xr:uid="{00000000-0005-0000-0000-00006D190000}"/>
    <cellStyle name="40% - Accent5 4 2 4 2" xfId="7043" hidden="1" xr:uid="{00000000-0005-0000-0000-00006E190000}"/>
    <cellStyle name="40% - Accent5 4 2 4 2" xfId="7436" hidden="1" xr:uid="{00000000-0005-0000-0000-00006F190000}"/>
    <cellStyle name="40% - Accent5 4 2 4 2" xfId="7584" hidden="1" xr:uid="{00000000-0005-0000-0000-000070190000}"/>
    <cellStyle name="40% - Accent5 4 2 4 2" xfId="7922" hidden="1" xr:uid="{00000000-0005-0000-0000-000071190000}"/>
    <cellStyle name="40% - Accent5 4 2 4 2" xfId="8259" hidden="1" xr:uid="{00000000-0005-0000-0000-000072190000}"/>
    <cellStyle name="40% - Accent5 4 3 3 2" xfId="447" hidden="1" xr:uid="{00000000-0005-0000-0000-000073190000}"/>
    <cellStyle name="40% - Accent5 4 3 3 2" xfId="562" hidden="1" xr:uid="{00000000-0005-0000-0000-000074190000}"/>
    <cellStyle name="40% - Accent5 4 3 3 2" xfId="1285" hidden="1" xr:uid="{00000000-0005-0000-0000-000075190000}"/>
    <cellStyle name="40% - Accent5 4 3 3 2" xfId="1458" hidden="1" xr:uid="{00000000-0005-0000-0000-000076190000}"/>
    <cellStyle name="40% - Accent5 4 3 3 2" xfId="1851" hidden="1" xr:uid="{00000000-0005-0000-0000-000077190000}"/>
    <cellStyle name="40% - Accent5 4 3 3 2" xfId="1999" hidden="1" xr:uid="{00000000-0005-0000-0000-000078190000}"/>
    <cellStyle name="40% - Accent5 4 3 3 2" xfId="2337" hidden="1" xr:uid="{00000000-0005-0000-0000-000079190000}"/>
    <cellStyle name="40% - Accent5 4 3 3 2" xfId="2674" hidden="1" xr:uid="{00000000-0005-0000-0000-00007A190000}"/>
    <cellStyle name="40% - Accent5 4 3 3 2" xfId="3239" hidden="1" xr:uid="{00000000-0005-0000-0000-00007B190000}"/>
    <cellStyle name="40% - Accent5 4 3 3 2" xfId="3354" hidden="1" xr:uid="{00000000-0005-0000-0000-00007C190000}"/>
    <cellStyle name="40% - Accent5 4 3 3 2" xfId="4077" hidden="1" xr:uid="{00000000-0005-0000-0000-00007D190000}"/>
    <cellStyle name="40% - Accent5 4 3 3 2" xfId="4250" hidden="1" xr:uid="{00000000-0005-0000-0000-00007E190000}"/>
    <cellStyle name="40% - Accent5 4 3 3 2" xfId="4643" hidden="1" xr:uid="{00000000-0005-0000-0000-00007F190000}"/>
    <cellStyle name="40% - Accent5 4 3 3 2" xfId="4791" hidden="1" xr:uid="{00000000-0005-0000-0000-000080190000}"/>
    <cellStyle name="40% - Accent5 4 3 3 2" xfId="5129" hidden="1" xr:uid="{00000000-0005-0000-0000-000081190000}"/>
    <cellStyle name="40% - Accent5 4 3 3 2" xfId="5466" hidden="1" xr:uid="{00000000-0005-0000-0000-000082190000}"/>
    <cellStyle name="40% - Accent5 4 3 3 2" xfId="6031" hidden="1" xr:uid="{00000000-0005-0000-0000-000083190000}"/>
    <cellStyle name="40% - Accent5 4 3 3 2" xfId="6146" hidden="1" xr:uid="{00000000-0005-0000-0000-000084190000}"/>
    <cellStyle name="40% - Accent5 4 3 3 2" xfId="6869" hidden="1" xr:uid="{00000000-0005-0000-0000-000085190000}"/>
    <cellStyle name="40% - Accent5 4 3 3 2" xfId="7042" hidden="1" xr:uid="{00000000-0005-0000-0000-000086190000}"/>
    <cellStyle name="40% - Accent5 4 3 3 2" xfId="7435" hidden="1" xr:uid="{00000000-0005-0000-0000-000087190000}"/>
    <cellStyle name="40% - Accent5 4 3 3 2" xfId="7583" hidden="1" xr:uid="{00000000-0005-0000-0000-000088190000}"/>
    <cellStyle name="40% - Accent5 4 3 3 2" xfId="7921" hidden="1" xr:uid="{00000000-0005-0000-0000-000089190000}"/>
    <cellStyle name="40% - Accent5 4 3 3 2" xfId="8258" hidden="1" xr:uid="{00000000-0005-0000-0000-00008A190000}"/>
    <cellStyle name="40% - Accent5 5 2" xfId="404" hidden="1" xr:uid="{00000000-0005-0000-0000-00008B190000}"/>
    <cellStyle name="40% - Accent5 5 2" xfId="519" hidden="1" xr:uid="{00000000-0005-0000-0000-00008C190000}"/>
    <cellStyle name="40% - Accent5 5 2" xfId="1242" hidden="1" xr:uid="{00000000-0005-0000-0000-00008D190000}"/>
    <cellStyle name="40% - Accent5 5 2" xfId="1415" hidden="1" xr:uid="{00000000-0005-0000-0000-00008E190000}"/>
    <cellStyle name="40% - Accent5 5 2" xfId="1808" hidden="1" xr:uid="{00000000-0005-0000-0000-00008F190000}"/>
    <cellStyle name="40% - Accent5 5 2" xfId="1956" hidden="1" xr:uid="{00000000-0005-0000-0000-000090190000}"/>
    <cellStyle name="40% - Accent5 5 2" xfId="2294" hidden="1" xr:uid="{00000000-0005-0000-0000-000091190000}"/>
    <cellStyle name="40% - Accent5 5 2" xfId="2631" hidden="1" xr:uid="{00000000-0005-0000-0000-000092190000}"/>
    <cellStyle name="40% - Accent5 5 2" xfId="3196" hidden="1" xr:uid="{00000000-0005-0000-0000-000093190000}"/>
    <cellStyle name="40% - Accent5 5 2" xfId="3311" hidden="1" xr:uid="{00000000-0005-0000-0000-000094190000}"/>
    <cellStyle name="40% - Accent5 5 2" xfId="4034" hidden="1" xr:uid="{00000000-0005-0000-0000-000095190000}"/>
    <cellStyle name="40% - Accent5 5 2" xfId="4207" hidden="1" xr:uid="{00000000-0005-0000-0000-000096190000}"/>
    <cellStyle name="40% - Accent5 5 2" xfId="4600" hidden="1" xr:uid="{00000000-0005-0000-0000-000097190000}"/>
    <cellStyle name="40% - Accent5 5 2" xfId="4748" hidden="1" xr:uid="{00000000-0005-0000-0000-000098190000}"/>
    <cellStyle name="40% - Accent5 5 2" xfId="5086" hidden="1" xr:uid="{00000000-0005-0000-0000-000099190000}"/>
    <cellStyle name="40% - Accent5 5 2" xfId="5423" hidden="1" xr:uid="{00000000-0005-0000-0000-00009A190000}"/>
    <cellStyle name="40% - Accent5 5 2" xfId="5988" hidden="1" xr:uid="{00000000-0005-0000-0000-00009B190000}"/>
    <cellStyle name="40% - Accent5 5 2" xfId="6103" hidden="1" xr:uid="{00000000-0005-0000-0000-00009C190000}"/>
    <cellStyle name="40% - Accent5 5 2" xfId="6826" hidden="1" xr:uid="{00000000-0005-0000-0000-00009D190000}"/>
    <cellStyle name="40% - Accent5 5 2" xfId="6999" hidden="1" xr:uid="{00000000-0005-0000-0000-00009E190000}"/>
    <cellStyle name="40% - Accent5 5 2" xfId="7392" hidden="1" xr:uid="{00000000-0005-0000-0000-00009F190000}"/>
    <cellStyle name="40% - Accent5 5 2" xfId="7540" hidden="1" xr:uid="{00000000-0005-0000-0000-0000A0190000}"/>
    <cellStyle name="40% - Accent5 5 2" xfId="7878" hidden="1" xr:uid="{00000000-0005-0000-0000-0000A1190000}"/>
    <cellStyle name="40% - Accent5 5 2" xfId="8215" hidden="1" xr:uid="{00000000-0005-0000-0000-0000A2190000}"/>
    <cellStyle name="40% - Accent5 7" xfId="81" hidden="1" xr:uid="{00000000-0005-0000-0000-0000A3190000}"/>
    <cellStyle name="40% - Accent5 7" xfId="152" hidden="1" xr:uid="{00000000-0005-0000-0000-0000A4190000}"/>
    <cellStyle name="40% - Accent5 7" xfId="230" hidden="1" xr:uid="{00000000-0005-0000-0000-0000A5190000}"/>
    <cellStyle name="40% - Accent5 7" xfId="308" hidden="1" xr:uid="{00000000-0005-0000-0000-0000A6190000}"/>
    <cellStyle name="40% - Accent5 7" xfId="890" hidden="1" xr:uid="{00000000-0005-0000-0000-0000A7190000}"/>
    <cellStyle name="40% - Accent5 7" xfId="969" hidden="1" xr:uid="{00000000-0005-0000-0000-0000A8190000}"/>
    <cellStyle name="40% - Accent5 7" xfId="1047" hidden="1" xr:uid="{00000000-0005-0000-0000-0000A9190000}"/>
    <cellStyle name="40% - Accent5 7" xfId="643" hidden="1" xr:uid="{00000000-0005-0000-0000-0000AA190000}"/>
    <cellStyle name="40% - Accent5 7" xfId="1324" hidden="1" xr:uid="{00000000-0005-0000-0000-0000AB190000}"/>
    <cellStyle name="40% - Accent5 7" xfId="609" hidden="1" xr:uid="{00000000-0005-0000-0000-0000AC190000}"/>
    <cellStyle name="40% - Accent5 7" xfId="658" hidden="1" xr:uid="{00000000-0005-0000-0000-0000AD190000}"/>
    <cellStyle name="40% - Accent5 7" xfId="1564" hidden="1" xr:uid="{00000000-0005-0000-0000-0000AE190000}"/>
    <cellStyle name="40% - Accent5 7" xfId="1642" hidden="1" xr:uid="{00000000-0005-0000-0000-0000AF190000}"/>
    <cellStyle name="40% - Accent5 7" xfId="633" hidden="1" xr:uid="{00000000-0005-0000-0000-0000B0190000}"/>
    <cellStyle name="40% - Accent5 7" xfId="1888" hidden="1" xr:uid="{00000000-0005-0000-0000-0000B1190000}"/>
    <cellStyle name="40% - Accent5 7" xfId="824" hidden="1" xr:uid="{00000000-0005-0000-0000-0000B2190000}"/>
    <cellStyle name="40% - Accent5 7" xfId="1326" hidden="1" xr:uid="{00000000-0005-0000-0000-0000B3190000}"/>
    <cellStyle name="40% - Accent5 7" xfId="2096" hidden="1" xr:uid="{00000000-0005-0000-0000-0000B4190000}"/>
    <cellStyle name="40% - Accent5 7" xfId="2174" hidden="1" xr:uid="{00000000-0005-0000-0000-0000B5190000}"/>
    <cellStyle name="40% - Accent5 7" xfId="1494" hidden="1" xr:uid="{00000000-0005-0000-0000-0000B6190000}"/>
    <cellStyle name="40% - Accent5 7" xfId="2433" hidden="1" xr:uid="{00000000-0005-0000-0000-0000B7190000}"/>
    <cellStyle name="40% - Accent5 7" xfId="2511" hidden="1" xr:uid="{00000000-0005-0000-0000-0000B8190000}"/>
    <cellStyle name="40% - Accent5 7" xfId="1917" hidden="1" xr:uid="{00000000-0005-0000-0000-0000B9190000}"/>
    <cellStyle name="40% - Accent5 7" xfId="2770" hidden="1" xr:uid="{00000000-0005-0000-0000-0000BA190000}"/>
    <cellStyle name="40% - Accent5 7" xfId="2873" hidden="1" xr:uid="{00000000-0005-0000-0000-0000BB190000}"/>
    <cellStyle name="40% - Accent5 7" xfId="2944" hidden="1" xr:uid="{00000000-0005-0000-0000-0000BC190000}"/>
    <cellStyle name="40% - Accent5 7" xfId="3022" hidden="1" xr:uid="{00000000-0005-0000-0000-0000BD190000}"/>
    <cellStyle name="40% - Accent5 7" xfId="3100" hidden="1" xr:uid="{00000000-0005-0000-0000-0000BE190000}"/>
    <cellStyle name="40% - Accent5 7" xfId="3682" hidden="1" xr:uid="{00000000-0005-0000-0000-0000BF190000}"/>
    <cellStyle name="40% - Accent5 7" xfId="3761" hidden="1" xr:uid="{00000000-0005-0000-0000-0000C0190000}"/>
    <cellStyle name="40% - Accent5 7" xfId="3839" hidden="1" xr:uid="{00000000-0005-0000-0000-0000C1190000}"/>
    <cellStyle name="40% - Accent5 7" xfId="3435" hidden="1" xr:uid="{00000000-0005-0000-0000-0000C2190000}"/>
    <cellStyle name="40% - Accent5 7" xfId="4116" hidden="1" xr:uid="{00000000-0005-0000-0000-0000C3190000}"/>
    <cellStyle name="40% - Accent5 7" xfId="3401" hidden="1" xr:uid="{00000000-0005-0000-0000-0000C4190000}"/>
    <cellStyle name="40% - Accent5 7" xfId="3450" hidden="1" xr:uid="{00000000-0005-0000-0000-0000C5190000}"/>
    <cellStyle name="40% - Accent5 7" xfId="4356" hidden="1" xr:uid="{00000000-0005-0000-0000-0000C6190000}"/>
    <cellStyle name="40% - Accent5 7" xfId="4434" hidden="1" xr:uid="{00000000-0005-0000-0000-0000C7190000}"/>
    <cellStyle name="40% - Accent5 7" xfId="3425" hidden="1" xr:uid="{00000000-0005-0000-0000-0000C8190000}"/>
    <cellStyle name="40% - Accent5 7" xfId="4680" hidden="1" xr:uid="{00000000-0005-0000-0000-0000C9190000}"/>
    <cellStyle name="40% - Accent5 7" xfId="3616" hidden="1" xr:uid="{00000000-0005-0000-0000-0000CA190000}"/>
    <cellStyle name="40% - Accent5 7" xfId="4118" hidden="1" xr:uid="{00000000-0005-0000-0000-0000CB190000}"/>
    <cellStyle name="40% - Accent5 7" xfId="4888" hidden="1" xr:uid="{00000000-0005-0000-0000-0000CC190000}"/>
    <cellStyle name="40% - Accent5 7" xfId="4966" hidden="1" xr:uid="{00000000-0005-0000-0000-0000CD190000}"/>
    <cellStyle name="40% - Accent5 7" xfId="4286" hidden="1" xr:uid="{00000000-0005-0000-0000-0000CE190000}"/>
    <cellStyle name="40% - Accent5 7" xfId="5225" hidden="1" xr:uid="{00000000-0005-0000-0000-0000CF190000}"/>
    <cellStyle name="40% - Accent5 7" xfId="5303" hidden="1" xr:uid="{00000000-0005-0000-0000-0000D0190000}"/>
    <cellStyle name="40% - Accent5 7" xfId="4709" hidden="1" xr:uid="{00000000-0005-0000-0000-0000D1190000}"/>
    <cellStyle name="40% - Accent5 7" xfId="5562" hidden="1" xr:uid="{00000000-0005-0000-0000-0000D2190000}"/>
    <cellStyle name="40% - Accent5 7" xfId="5665" hidden="1" xr:uid="{00000000-0005-0000-0000-0000D3190000}"/>
    <cellStyle name="40% - Accent5 7" xfId="5736" hidden="1" xr:uid="{00000000-0005-0000-0000-0000D4190000}"/>
    <cellStyle name="40% - Accent5 7" xfId="5814" hidden="1" xr:uid="{00000000-0005-0000-0000-0000D5190000}"/>
    <cellStyle name="40% - Accent5 7" xfId="5892" hidden="1" xr:uid="{00000000-0005-0000-0000-0000D6190000}"/>
    <cellStyle name="40% - Accent5 7" xfId="6474" hidden="1" xr:uid="{00000000-0005-0000-0000-0000D7190000}"/>
    <cellStyle name="40% - Accent5 7" xfId="6553" hidden="1" xr:uid="{00000000-0005-0000-0000-0000D8190000}"/>
    <cellStyle name="40% - Accent5 7" xfId="6631" hidden="1" xr:uid="{00000000-0005-0000-0000-0000D9190000}"/>
    <cellStyle name="40% - Accent5 7" xfId="6227" hidden="1" xr:uid="{00000000-0005-0000-0000-0000DA190000}"/>
    <cellStyle name="40% - Accent5 7" xfId="6908" hidden="1" xr:uid="{00000000-0005-0000-0000-0000DB190000}"/>
    <cellStyle name="40% - Accent5 7" xfId="6193" hidden="1" xr:uid="{00000000-0005-0000-0000-0000DC190000}"/>
    <cellStyle name="40% - Accent5 7" xfId="6242" hidden="1" xr:uid="{00000000-0005-0000-0000-0000DD190000}"/>
    <cellStyle name="40% - Accent5 7" xfId="7148" hidden="1" xr:uid="{00000000-0005-0000-0000-0000DE190000}"/>
    <cellStyle name="40% - Accent5 7" xfId="7226" hidden="1" xr:uid="{00000000-0005-0000-0000-0000DF190000}"/>
    <cellStyle name="40% - Accent5 7" xfId="6217" hidden="1" xr:uid="{00000000-0005-0000-0000-0000E0190000}"/>
    <cellStyle name="40% - Accent5 7" xfId="7472" hidden="1" xr:uid="{00000000-0005-0000-0000-0000E1190000}"/>
    <cellStyle name="40% - Accent5 7" xfId="6408" hidden="1" xr:uid="{00000000-0005-0000-0000-0000E2190000}"/>
    <cellStyle name="40% - Accent5 7" xfId="6910" hidden="1" xr:uid="{00000000-0005-0000-0000-0000E3190000}"/>
    <cellStyle name="40% - Accent5 7" xfId="7680" hidden="1" xr:uid="{00000000-0005-0000-0000-0000E4190000}"/>
    <cellStyle name="40% - Accent5 7" xfId="7758" hidden="1" xr:uid="{00000000-0005-0000-0000-0000E5190000}"/>
    <cellStyle name="40% - Accent5 7" xfId="7078" hidden="1" xr:uid="{00000000-0005-0000-0000-0000E6190000}"/>
    <cellStyle name="40% - Accent5 7" xfId="8017" hidden="1" xr:uid="{00000000-0005-0000-0000-0000E7190000}"/>
    <cellStyle name="40% - Accent5 7" xfId="8095" hidden="1" xr:uid="{00000000-0005-0000-0000-0000E8190000}"/>
    <cellStyle name="40% - Accent5 7" xfId="7501" hidden="1" xr:uid="{00000000-0005-0000-0000-0000E9190000}"/>
    <cellStyle name="40% - Accent5 7" xfId="8354" hidden="1" xr:uid="{00000000-0005-0000-0000-0000EA190000}"/>
    <cellStyle name="40% - Accent5 8" xfId="97" hidden="1" xr:uid="{00000000-0005-0000-0000-0000EB190000}"/>
    <cellStyle name="40% - Accent5 8" xfId="168" hidden="1" xr:uid="{00000000-0005-0000-0000-0000EC190000}"/>
    <cellStyle name="40% - Accent5 8" xfId="245" hidden="1" xr:uid="{00000000-0005-0000-0000-0000ED190000}"/>
    <cellStyle name="40% - Accent5 8" xfId="323" hidden="1" xr:uid="{00000000-0005-0000-0000-0000EE190000}"/>
    <cellStyle name="40% - Accent5 8" xfId="907" hidden="1" xr:uid="{00000000-0005-0000-0000-0000EF190000}"/>
    <cellStyle name="40% - Accent5 8" xfId="984" hidden="1" xr:uid="{00000000-0005-0000-0000-0000F0190000}"/>
    <cellStyle name="40% - Accent5 8" xfId="1063" hidden="1" xr:uid="{00000000-0005-0000-0000-0000F1190000}"/>
    <cellStyle name="40% - Accent5 8" xfId="1134" hidden="1" xr:uid="{00000000-0005-0000-0000-0000F2190000}"/>
    <cellStyle name="40% - Accent5 8" xfId="1346" hidden="1" xr:uid="{00000000-0005-0000-0000-0000F3190000}"/>
    <cellStyle name="40% - Accent5 8" xfId="809" hidden="1" xr:uid="{00000000-0005-0000-0000-0000F4190000}"/>
    <cellStyle name="40% - Accent5 8" xfId="1318" hidden="1" xr:uid="{00000000-0005-0000-0000-0000F5190000}"/>
    <cellStyle name="40% - Accent5 8" xfId="1579" hidden="1" xr:uid="{00000000-0005-0000-0000-0000F6190000}"/>
    <cellStyle name="40% - Accent5 8" xfId="1657" hidden="1" xr:uid="{00000000-0005-0000-0000-0000F7190000}"/>
    <cellStyle name="40% - Accent5 8" xfId="1723" hidden="1" xr:uid="{00000000-0005-0000-0000-0000F8190000}"/>
    <cellStyle name="40% - Accent5 8" xfId="1904" hidden="1" xr:uid="{00000000-0005-0000-0000-0000F9190000}"/>
    <cellStyle name="40% - Accent5 8" xfId="616" hidden="1" xr:uid="{00000000-0005-0000-0000-0000FA190000}"/>
    <cellStyle name="40% - Accent5 8" xfId="1883" hidden="1" xr:uid="{00000000-0005-0000-0000-0000FB190000}"/>
    <cellStyle name="40% - Accent5 8" xfId="2111" hidden="1" xr:uid="{00000000-0005-0000-0000-0000FC190000}"/>
    <cellStyle name="40% - Accent5 8" xfId="2189" hidden="1" xr:uid="{00000000-0005-0000-0000-0000FD190000}"/>
    <cellStyle name="40% - Accent5 8" xfId="2251" hidden="1" xr:uid="{00000000-0005-0000-0000-0000FE190000}"/>
    <cellStyle name="40% - Accent5 8" xfId="2448" hidden="1" xr:uid="{00000000-0005-0000-0000-0000FF190000}"/>
    <cellStyle name="40% - Accent5 8" xfId="2526" hidden="1" xr:uid="{00000000-0005-0000-0000-0000001A0000}"/>
    <cellStyle name="40% - Accent5 8" xfId="2588" hidden="1" xr:uid="{00000000-0005-0000-0000-0000011A0000}"/>
    <cellStyle name="40% - Accent5 8" xfId="2785" hidden="1" xr:uid="{00000000-0005-0000-0000-0000021A0000}"/>
    <cellStyle name="40% - Accent5 8" xfId="2889" hidden="1" xr:uid="{00000000-0005-0000-0000-0000031A0000}"/>
    <cellStyle name="40% - Accent5 8" xfId="2960" hidden="1" xr:uid="{00000000-0005-0000-0000-0000041A0000}"/>
    <cellStyle name="40% - Accent5 8" xfId="3037" hidden="1" xr:uid="{00000000-0005-0000-0000-0000051A0000}"/>
    <cellStyle name="40% - Accent5 8" xfId="3115" hidden="1" xr:uid="{00000000-0005-0000-0000-0000061A0000}"/>
    <cellStyle name="40% - Accent5 8" xfId="3699" hidden="1" xr:uid="{00000000-0005-0000-0000-0000071A0000}"/>
    <cellStyle name="40% - Accent5 8" xfId="3776" hidden="1" xr:uid="{00000000-0005-0000-0000-0000081A0000}"/>
    <cellStyle name="40% - Accent5 8" xfId="3855" hidden="1" xr:uid="{00000000-0005-0000-0000-0000091A0000}"/>
    <cellStyle name="40% - Accent5 8" xfId="3926" hidden="1" xr:uid="{00000000-0005-0000-0000-00000A1A0000}"/>
    <cellStyle name="40% - Accent5 8" xfId="4138" hidden="1" xr:uid="{00000000-0005-0000-0000-00000B1A0000}"/>
    <cellStyle name="40% - Accent5 8" xfId="3601" hidden="1" xr:uid="{00000000-0005-0000-0000-00000C1A0000}"/>
    <cellStyle name="40% - Accent5 8" xfId="4110" hidden="1" xr:uid="{00000000-0005-0000-0000-00000D1A0000}"/>
    <cellStyle name="40% - Accent5 8" xfId="4371" hidden="1" xr:uid="{00000000-0005-0000-0000-00000E1A0000}"/>
    <cellStyle name="40% - Accent5 8" xfId="4449" hidden="1" xr:uid="{00000000-0005-0000-0000-00000F1A0000}"/>
    <cellStyle name="40% - Accent5 8" xfId="4515" hidden="1" xr:uid="{00000000-0005-0000-0000-0000101A0000}"/>
    <cellStyle name="40% - Accent5 8" xfId="4696" hidden="1" xr:uid="{00000000-0005-0000-0000-0000111A0000}"/>
    <cellStyle name="40% - Accent5 8" xfId="3408" hidden="1" xr:uid="{00000000-0005-0000-0000-0000121A0000}"/>
    <cellStyle name="40% - Accent5 8" xfId="4675" hidden="1" xr:uid="{00000000-0005-0000-0000-0000131A0000}"/>
    <cellStyle name="40% - Accent5 8" xfId="4903" hidden="1" xr:uid="{00000000-0005-0000-0000-0000141A0000}"/>
    <cellStyle name="40% - Accent5 8" xfId="4981" hidden="1" xr:uid="{00000000-0005-0000-0000-0000151A0000}"/>
    <cellStyle name="40% - Accent5 8" xfId="5043" hidden="1" xr:uid="{00000000-0005-0000-0000-0000161A0000}"/>
    <cellStyle name="40% - Accent5 8" xfId="5240" hidden="1" xr:uid="{00000000-0005-0000-0000-0000171A0000}"/>
    <cellStyle name="40% - Accent5 8" xfId="5318" hidden="1" xr:uid="{00000000-0005-0000-0000-0000181A0000}"/>
    <cellStyle name="40% - Accent5 8" xfId="5380" hidden="1" xr:uid="{00000000-0005-0000-0000-0000191A0000}"/>
    <cellStyle name="40% - Accent5 8" xfId="5577" hidden="1" xr:uid="{00000000-0005-0000-0000-00001A1A0000}"/>
    <cellStyle name="40% - Accent5 8" xfId="5681" hidden="1" xr:uid="{00000000-0005-0000-0000-00001B1A0000}"/>
    <cellStyle name="40% - Accent5 8" xfId="5752" hidden="1" xr:uid="{00000000-0005-0000-0000-00001C1A0000}"/>
    <cellStyle name="40% - Accent5 8" xfId="5829" hidden="1" xr:uid="{00000000-0005-0000-0000-00001D1A0000}"/>
    <cellStyle name="40% - Accent5 8" xfId="5907" hidden="1" xr:uid="{00000000-0005-0000-0000-00001E1A0000}"/>
    <cellStyle name="40% - Accent5 8" xfId="6491" hidden="1" xr:uid="{00000000-0005-0000-0000-00001F1A0000}"/>
    <cellStyle name="40% - Accent5 8" xfId="6568" hidden="1" xr:uid="{00000000-0005-0000-0000-0000201A0000}"/>
    <cellStyle name="40% - Accent5 8" xfId="6647" hidden="1" xr:uid="{00000000-0005-0000-0000-0000211A0000}"/>
    <cellStyle name="40% - Accent5 8" xfId="6718" hidden="1" xr:uid="{00000000-0005-0000-0000-0000221A0000}"/>
    <cellStyle name="40% - Accent5 8" xfId="6930" hidden="1" xr:uid="{00000000-0005-0000-0000-0000231A0000}"/>
    <cellStyle name="40% - Accent5 8" xfId="6393" hidden="1" xr:uid="{00000000-0005-0000-0000-0000241A0000}"/>
    <cellStyle name="40% - Accent5 8" xfId="6902" hidden="1" xr:uid="{00000000-0005-0000-0000-0000251A0000}"/>
    <cellStyle name="40% - Accent5 8" xfId="7163" hidden="1" xr:uid="{00000000-0005-0000-0000-0000261A0000}"/>
    <cellStyle name="40% - Accent5 8" xfId="7241" hidden="1" xr:uid="{00000000-0005-0000-0000-0000271A0000}"/>
    <cellStyle name="40% - Accent5 8" xfId="7307" hidden="1" xr:uid="{00000000-0005-0000-0000-0000281A0000}"/>
    <cellStyle name="40% - Accent5 8" xfId="7488" hidden="1" xr:uid="{00000000-0005-0000-0000-0000291A0000}"/>
    <cellStyle name="40% - Accent5 8" xfId="6200" hidden="1" xr:uid="{00000000-0005-0000-0000-00002A1A0000}"/>
    <cellStyle name="40% - Accent5 8" xfId="7467" hidden="1" xr:uid="{00000000-0005-0000-0000-00002B1A0000}"/>
    <cellStyle name="40% - Accent5 8" xfId="7695" hidden="1" xr:uid="{00000000-0005-0000-0000-00002C1A0000}"/>
    <cellStyle name="40% - Accent5 8" xfId="7773" hidden="1" xr:uid="{00000000-0005-0000-0000-00002D1A0000}"/>
    <cellStyle name="40% - Accent5 8" xfId="7835" hidden="1" xr:uid="{00000000-0005-0000-0000-00002E1A0000}"/>
    <cellStyle name="40% - Accent5 8" xfId="8032" hidden="1" xr:uid="{00000000-0005-0000-0000-00002F1A0000}"/>
    <cellStyle name="40% - Accent5 8" xfId="8110" hidden="1" xr:uid="{00000000-0005-0000-0000-0000301A0000}"/>
    <cellStyle name="40% - Accent5 8" xfId="8172" hidden="1" xr:uid="{00000000-0005-0000-0000-0000311A0000}"/>
    <cellStyle name="40% - Accent5 8" xfId="8369" hidden="1" xr:uid="{00000000-0005-0000-0000-0000321A0000}"/>
    <cellStyle name="40% - Accent5 9" xfId="110" hidden="1" xr:uid="{00000000-0005-0000-0000-0000331A0000}"/>
    <cellStyle name="40% - Accent5 9" xfId="184" hidden="1" xr:uid="{00000000-0005-0000-0000-0000341A0000}"/>
    <cellStyle name="40% - Accent5 9" xfId="260" hidden="1" xr:uid="{00000000-0005-0000-0000-0000351A0000}"/>
    <cellStyle name="40% - Accent5 9" xfId="338" hidden="1" xr:uid="{00000000-0005-0000-0000-0000361A0000}"/>
    <cellStyle name="40% - Accent5 9" xfId="923" hidden="1" xr:uid="{00000000-0005-0000-0000-0000371A0000}"/>
    <cellStyle name="40% - Accent5 9" xfId="999" hidden="1" xr:uid="{00000000-0005-0000-0000-0000381A0000}"/>
    <cellStyle name="40% - Accent5 9" xfId="1078" hidden="1" xr:uid="{00000000-0005-0000-0000-0000391A0000}"/>
    <cellStyle name="40% - Accent5 9" xfId="1325" hidden="1" xr:uid="{00000000-0005-0000-0000-00003A1A0000}"/>
    <cellStyle name="40% - Accent5 9" xfId="851" hidden="1" xr:uid="{00000000-0005-0000-0000-00003B1A0000}"/>
    <cellStyle name="40% - Accent5 9" xfId="816" hidden="1" xr:uid="{00000000-0005-0000-0000-00003C1A0000}"/>
    <cellStyle name="40% - Accent5 9" xfId="1518" hidden="1" xr:uid="{00000000-0005-0000-0000-00003D1A0000}"/>
    <cellStyle name="40% - Accent5 9" xfId="1594" hidden="1" xr:uid="{00000000-0005-0000-0000-00003E1A0000}"/>
    <cellStyle name="40% - Accent5 9" xfId="1672" hidden="1" xr:uid="{00000000-0005-0000-0000-00003F1A0000}"/>
    <cellStyle name="40% - Accent5 9" xfId="1889" hidden="1" xr:uid="{00000000-0005-0000-0000-0000401A0000}"/>
    <cellStyle name="40% - Accent5 9" xfId="620" hidden="1" xr:uid="{00000000-0005-0000-0000-0000411A0000}"/>
    <cellStyle name="40% - Accent5 9" xfId="645" hidden="1" xr:uid="{00000000-0005-0000-0000-0000421A0000}"/>
    <cellStyle name="40% - Accent5 9" xfId="2050" hidden="1" xr:uid="{00000000-0005-0000-0000-0000431A0000}"/>
    <cellStyle name="40% - Accent5 9" xfId="2126" hidden="1" xr:uid="{00000000-0005-0000-0000-0000441A0000}"/>
    <cellStyle name="40% - Accent5 9" xfId="2204" hidden="1" xr:uid="{00000000-0005-0000-0000-0000451A0000}"/>
    <cellStyle name="40% - Accent5 9" xfId="2387" hidden="1" xr:uid="{00000000-0005-0000-0000-0000461A0000}"/>
    <cellStyle name="40% - Accent5 9" xfId="2463" hidden="1" xr:uid="{00000000-0005-0000-0000-0000471A0000}"/>
    <cellStyle name="40% - Accent5 9" xfId="2541" hidden="1" xr:uid="{00000000-0005-0000-0000-0000481A0000}"/>
    <cellStyle name="40% - Accent5 9" xfId="2724" hidden="1" xr:uid="{00000000-0005-0000-0000-0000491A0000}"/>
    <cellStyle name="40% - Accent5 9" xfId="2800" hidden="1" xr:uid="{00000000-0005-0000-0000-00004A1A0000}"/>
    <cellStyle name="40% - Accent5 9" xfId="2902" hidden="1" xr:uid="{00000000-0005-0000-0000-00004B1A0000}"/>
    <cellStyle name="40% - Accent5 9" xfId="2976" hidden="1" xr:uid="{00000000-0005-0000-0000-00004C1A0000}"/>
    <cellStyle name="40% - Accent5 9" xfId="3052" hidden="1" xr:uid="{00000000-0005-0000-0000-00004D1A0000}"/>
    <cellStyle name="40% - Accent5 9" xfId="3130" hidden="1" xr:uid="{00000000-0005-0000-0000-00004E1A0000}"/>
    <cellStyle name="40% - Accent5 9" xfId="3715" hidden="1" xr:uid="{00000000-0005-0000-0000-00004F1A0000}"/>
    <cellStyle name="40% - Accent5 9" xfId="3791" hidden="1" xr:uid="{00000000-0005-0000-0000-0000501A0000}"/>
    <cellStyle name="40% - Accent5 9" xfId="3870" hidden="1" xr:uid="{00000000-0005-0000-0000-0000511A0000}"/>
    <cellStyle name="40% - Accent5 9" xfId="4117" hidden="1" xr:uid="{00000000-0005-0000-0000-0000521A0000}"/>
    <cellStyle name="40% - Accent5 9" xfId="3643" hidden="1" xr:uid="{00000000-0005-0000-0000-0000531A0000}"/>
    <cellStyle name="40% - Accent5 9" xfId="3608" hidden="1" xr:uid="{00000000-0005-0000-0000-0000541A0000}"/>
    <cellStyle name="40% - Accent5 9" xfId="4310" hidden="1" xr:uid="{00000000-0005-0000-0000-0000551A0000}"/>
    <cellStyle name="40% - Accent5 9" xfId="4386" hidden="1" xr:uid="{00000000-0005-0000-0000-0000561A0000}"/>
    <cellStyle name="40% - Accent5 9" xfId="4464" hidden="1" xr:uid="{00000000-0005-0000-0000-0000571A0000}"/>
    <cellStyle name="40% - Accent5 9" xfId="4681" hidden="1" xr:uid="{00000000-0005-0000-0000-0000581A0000}"/>
    <cellStyle name="40% - Accent5 9" xfId="3412" hidden="1" xr:uid="{00000000-0005-0000-0000-0000591A0000}"/>
    <cellStyle name="40% - Accent5 9" xfId="3437" hidden="1" xr:uid="{00000000-0005-0000-0000-00005A1A0000}"/>
    <cellStyle name="40% - Accent5 9" xfId="4842" hidden="1" xr:uid="{00000000-0005-0000-0000-00005B1A0000}"/>
    <cellStyle name="40% - Accent5 9" xfId="4918" hidden="1" xr:uid="{00000000-0005-0000-0000-00005C1A0000}"/>
    <cellStyle name="40% - Accent5 9" xfId="4996" hidden="1" xr:uid="{00000000-0005-0000-0000-00005D1A0000}"/>
    <cellStyle name="40% - Accent5 9" xfId="5179" hidden="1" xr:uid="{00000000-0005-0000-0000-00005E1A0000}"/>
    <cellStyle name="40% - Accent5 9" xfId="5255" hidden="1" xr:uid="{00000000-0005-0000-0000-00005F1A0000}"/>
    <cellStyle name="40% - Accent5 9" xfId="5333" hidden="1" xr:uid="{00000000-0005-0000-0000-0000601A0000}"/>
    <cellStyle name="40% - Accent5 9" xfId="5516" hidden="1" xr:uid="{00000000-0005-0000-0000-0000611A0000}"/>
    <cellStyle name="40% - Accent5 9" xfId="5592" hidden="1" xr:uid="{00000000-0005-0000-0000-0000621A0000}"/>
    <cellStyle name="40% - Accent5 9" xfId="5694" hidden="1" xr:uid="{00000000-0005-0000-0000-0000631A0000}"/>
    <cellStyle name="40% - Accent5 9" xfId="5768" hidden="1" xr:uid="{00000000-0005-0000-0000-0000641A0000}"/>
    <cellStyle name="40% - Accent5 9" xfId="5844" hidden="1" xr:uid="{00000000-0005-0000-0000-0000651A0000}"/>
    <cellStyle name="40% - Accent5 9" xfId="5922" hidden="1" xr:uid="{00000000-0005-0000-0000-0000661A0000}"/>
    <cellStyle name="40% - Accent5 9" xfId="6507" hidden="1" xr:uid="{00000000-0005-0000-0000-0000671A0000}"/>
    <cellStyle name="40% - Accent5 9" xfId="6583" hidden="1" xr:uid="{00000000-0005-0000-0000-0000681A0000}"/>
    <cellStyle name="40% - Accent5 9" xfId="6662" hidden="1" xr:uid="{00000000-0005-0000-0000-0000691A0000}"/>
    <cellStyle name="40% - Accent5 9" xfId="6909" hidden="1" xr:uid="{00000000-0005-0000-0000-00006A1A0000}"/>
    <cellStyle name="40% - Accent5 9" xfId="6435" hidden="1" xr:uid="{00000000-0005-0000-0000-00006B1A0000}"/>
    <cellStyle name="40% - Accent5 9" xfId="6400" hidden="1" xr:uid="{00000000-0005-0000-0000-00006C1A0000}"/>
    <cellStyle name="40% - Accent5 9" xfId="7102" hidden="1" xr:uid="{00000000-0005-0000-0000-00006D1A0000}"/>
    <cellStyle name="40% - Accent5 9" xfId="7178" hidden="1" xr:uid="{00000000-0005-0000-0000-00006E1A0000}"/>
    <cellStyle name="40% - Accent5 9" xfId="7256" hidden="1" xr:uid="{00000000-0005-0000-0000-00006F1A0000}"/>
    <cellStyle name="40% - Accent5 9" xfId="7473" hidden="1" xr:uid="{00000000-0005-0000-0000-0000701A0000}"/>
    <cellStyle name="40% - Accent5 9" xfId="6204" hidden="1" xr:uid="{00000000-0005-0000-0000-0000711A0000}"/>
    <cellStyle name="40% - Accent5 9" xfId="6229" hidden="1" xr:uid="{00000000-0005-0000-0000-0000721A0000}"/>
    <cellStyle name="40% - Accent5 9" xfId="7634" hidden="1" xr:uid="{00000000-0005-0000-0000-0000731A0000}"/>
    <cellStyle name="40% - Accent5 9" xfId="7710" hidden="1" xr:uid="{00000000-0005-0000-0000-0000741A0000}"/>
    <cellStyle name="40% - Accent5 9" xfId="7788" hidden="1" xr:uid="{00000000-0005-0000-0000-0000751A0000}"/>
    <cellStyle name="40% - Accent5 9" xfId="7971" hidden="1" xr:uid="{00000000-0005-0000-0000-0000761A0000}"/>
    <cellStyle name="40% - Accent5 9" xfId="8047" hidden="1" xr:uid="{00000000-0005-0000-0000-0000771A0000}"/>
    <cellStyle name="40% - Accent5 9" xfId="8125" hidden="1" xr:uid="{00000000-0005-0000-0000-0000781A0000}"/>
    <cellStyle name="40% - Accent5 9" xfId="8308" hidden="1" xr:uid="{00000000-0005-0000-0000-0000791A0000}"/>
    <cellStyle name="40% - Accent5 9" xfId="8384" hidden="1" xr:uid="{00000000-0005-0000-0000-00007A1A0000}"/>
    <cellStyle name="40% - Accent6" xfId="44" builtinId="51" hidden="1"/>
    <cellStyle name="40% - Accent6 10" xfId="125" hidden="1" xr:uid="{00000000-0005-0000-0000-00007C1A0000}"/>
    <cellStyle name="40% - Accent6 10" xfId="199" hidden="1" xr:uid="{00000000-0005-0000-0000-00007D1A0000}"/>
    <cellStyle name="40% - Accent6 10" xfId="275" hidden="1" xr:uid="{00000000-0005-0000-0000-00007E1A0000}"/>
    <cellStyle name="40% - Accent6 10" xfId="353" hidden="1" xr:uid="{00000000-0005-0000-0000-00007F1A0000}"/>
    <cellStyle name="40% - Accent6 10" xfId="938" hidden="1" xr:uid="{00000000-0005-0000-0000-0000801A0000}"/>
    <cellStyle name="40% - Accent6 10" xfId="1014" hidden="1" xr:uid="{00000000-0005-0000-0000-0000811A0000}"/>
    <cellStyle name="40% - Accent6 10" xfId="1093" hidden="1" xr:uid="{00000000-0005-0000-0000-0000821A0000}"/>
    <cellStyle name="40% - Accent6 10" xfId="1348" hidden="1" xr:uid="{00000000-0005-0000-0000-0000831A0000}"/>
    <cellStyle name="40% - Accent6 10" xfId="627" hidden="1" xr:uid="{00000000-0005-0000-0000-0000841A0000}"/>
    <cellStyle name="40% - Accent6 10" xfId="826" hidden="1" xr:uid="{00000000-0005-0000-0000-0000851A0000}"/>
    <cellStyle name="40% - Accent6 10" xfId="1533" hidden="1" xr:uid="{00000000-0005-0000-0000-0000861A0000}"/>
    <cellStyle name="40% - Accent6 10" xfId="1609" hidden="1" xr:uid="{00000000-0005-0000-0000-0000871A0000}"/>
    <cellStyle name="40% - Accent6 10" xfId="1687" hidden="1" xr:uid="{00000000-0005-0000-0000-0000881A0000}"/>
    <cellStyle name="40% - Accent6 10" xfId="1906" hidden="1" xr:uid="{00000000-0005-0000-0000-0000891A0000}"/>
    <cellStyle name="40% - Accent6 10" xfId="1185" hidden="1" xr:uid="{00000000-0005-0000-0000-00008A1A0000}"/>
    <cellStyle name="40% - Accent6 10" xfId="1385" hidden="1" xr:uid="{00000000-0005-0000-0000-00008B1A0000}"/>
    <cellStyle name="40% - Accent6 10" xfId="2065" hidden="1" xr:uid="{00000000-0005-0000-0000-00008C1A0000}"/>
    <cellStyle name="40% - Accent6 10" xfId="2141" hidden="1" xr:uid="{00000000-0005-0000-0000-00008D1A0000}"/>
    <cellStyle name="40% - Accent6 10" xfId="2219" hidden="1" xr:uid="{00000000-0005-0000-0000-00008E1A0000}"/>
    <cellStyle name="40% - Accent6 10" xfId="2402" hidden="1" xr:uid="{00000000-0005-0000-0000-00008F1A0000}"/>
    <cellStyle name="40% - Accent6 10" xfId="2478" hidden="1" xr:uid="{00000000-0005-0000-0000-0000901A0000}"/>
    <cellStyle name="40% - Accent6 10" xfId="2556" hidden="1" xr:uid="{00000000-0005-0000-0000-0000911A0000}"/>
    <cellStyle name="40% - Accent6 10" xfId="2739" hidden="1" xr:uid="{00000000-0005-0000-0000-0000921A0000}"/>
    <cellStyle name="40% - Accent6 10" xfId="2815" hidden="1" xr:uid="{00000000-0005-0000-0000-0000931A0000}"/>
    <cellStyle name="40% - Accent6 10" xfId="2917" hidden="1" xr:uid="{00000000-0005-0000-0000-0000941A0000}"/>
    <cellStyle name="40% - Accent6 10" xfId="2991" hidden="1" xr:uid="{00000000-0005-0000-0000-0000951A0000}"/>
    <cellStyle name="40% - Accent6 10" xfId="3067" hidden="1" xr:uid="{00000000-0005-0000-0000-0000961A0000}"/>
    <cellStyle name="40% - Accent6 10" xfId="3145" hidden="1" xr:uid="{00000000-0005-0000-0000-0000971A0000}"/>
    <cellStyle name="40% - Accent6 10" xfId="3730" hidden="1" xr:uid="{00000000-0005-0000-0000-0000981A0000}"/>
    <cellStyle name="40% - Accent6 10" xfId="3806" hidden="1" xr:uid="{00000000-0005-0000-0000-0000991A0000}"/>
    <cellStyle name="40% - Accent6 10" xfId="3885" hidden="1" xr:uid="{00000000-0005-0000-0000-00009A1A0000}"/>
    <cellStyle name="40% - Accent6 10" xfId="4140" hidden="1" xr:uid="{00000000-0005-0000-0000-00009B1A0000}"/>
    <cellStyle name="40% - Accent6 10" xfId="3419" hidden="1" xr:uid="{00000000-0005-0000-0000-00009C1A0000}"/>
    <cellStyle name="40% - Accent6 10" xfId="3618" hidden="1" xr:uid="{00000000-0005-0000-0000-00009D1A0000}"/>
    <cellStyle name="40% - Accent6 10" xfId="4325" hidden="1" xr:uid="{00000000-0005-0000-0000-00009E1A0000}"/>
    <cellStyle name="40% - Accent6 10" xfId="4401" hidden="1" xr:uid="{00000000-0005-0000-0000-00009F1A0000}"/>
    <cellStyle name="40% - Accent6 10" xfId="4479" hidden="1" xr:uid="{00000000-0005-0000-0000-0000A01A0000}"/>
    <cellStyle name="40% - Accent6 10" xfId="4698" hidden="1" xr:uid="{00000000-0005-0000-0000-0000A11A0000}"/>
    <cellStyle name="40% - Accent6 10" xfId="3977" hidden="1" xr:uid="{00000000-0005-0000-0000-0000A21A0000}"/>
    <cellStyle name="40% - Accent6 10" xfId="4177" hidden="1" xr:uid="{00000000-0005-0000-0000-0000A31A0000}"/>
    <cellStyle name="40% - Accent6 10" xfId="4857" hidden="1" xr:uid="{00000000-0005-0000-0000-0000A41A0000}"/>
    <cellStyle name="40% - Accent6 10" xfId="4933" hidden="1" xr:uid="{00000000-0005-0000-0000-0000A51A0000}"/>
    <cellStyle name="40% - Accent6 10" xfId="5011" hidden="1" xr:uid="{00000000-0005-0000-0000-0000A61A0000}"/>
    <cellStyle name="40% - Accent6 10" xfId="5194" hidden="1" xr:uid="{00000000-0005-0000-0000-0000A71A0000}"/>
    <cellStyle name="40% - Accent6 10" xfId="5270" hidden="1" xr:uid="{00000000-0005-0000-0000-0000A81A0000}"/>
    <cellStyle name="40% - Accent6 10" xfId="5348" hidden="1" xr:uid="{00000000-0005-0000-0000-0000A91A0000}"/>
    <cellStyle name="40% - Accent6 10" xfId="5531" hidden="1" xr:uid="{00000000-0005-0000-0000-0000AA1A0000}"/>
    <cellStyle name="40% - Accent6 10" xfId="5607" hidden="1" xr:uid="{00000000-0005-0000-0000-0000AB1A0000}"/>
    <cellStyle name="40% - Accent6 10" xfId="5709" hidden="1" xr:uid="{00000000-0005-0000-0000-0000AC1A0000}"/>
    <cellStyle name="40% - Accent6 10" xfId="5783" hidden="1" xr:uid="{00000000-0005-0000-0000-0000AD1A0000}"/>
    <cellStyle name="40% - Accent6 10" xfId="5859" hidden="1" xr:uid="{00000000-0005-0000-0000-0000AE1A0000}"/>
    <cellStyle name="40% - Accent6 10" xfId="5937" hidden="1" xr:uid="{00000000-0005-0000-0000-0000AF1A0000}"/>
    <cellStyle name="40% - Accent6 10" xfId="6522" hidden="1" xr:uid="{00000000-0005-0000-0000-0000B01A0000}"/>
    <cellStyle name="40% - Accent6 10" xfId="6598" hidden="1" xr:uid="{00000000-0005-0000-0000-0000B11A0000}"/>
    <cellStyle name="40% - Accent6 10" xfId="6677" hidden="1" xr:uid="{00000000-0005-0000-0000-0000B21A0000}"/>
    <cellStyle name="40% - Accent6 10" xfId="6932" hidden="1" xr:uid="{00000000-0005-0000-0000-0000B31A0000}"/>
    <cellStyle name="40% - Accent6 10" xfId="6211" hidden="1" xr:uid="{00000000-0005-0000-0000-0000B41A0000}"/>
    <cellStyle name="40% - Accent6 10" xfId="6410" hidden="1" xr:uid="{00000000-0005-0000-0000-0000B51A0000}"/>
    <cellStyle name="40% - Accent6 10" xfId="7117" hidden="1" xr:uid="{00000000-0005-0000-0000-0000B61A0000}"/>
    <cellStyle name="40% - Accent6 10" xfId="7193" hidden="1" xr:uid="{00000000-0005-0000-0000-0000B71A0000}"/>
    <cellStyle name="40% - Accent6 10" xfId="7271" hidden="1" xr:uid="{00000000-0005-0000-0000-0000B81A0000}"/>
    <cellStyle name="40% - Accent6 10" xfId="7490" hidden="1" xr:uid="{00000000-0005-0000-0000-0000B91A0000}"/>
    <cellStyle name="40% - Accent6 10" xfId="6769" hidden="1" xr:uid="{00000000-0005-0000-0000-0000BA1A0000}"/>
    <cellStyle name="40% - Accent6 10" xfId="6969" hidden="1" xr:uid="{00000000-0005-0000-0000-0000BB1A0000}"/>
    <cellStyle name="40% - Accent6 10" xfId="7649" hidden="1" xr:uid="{00000000-0005-0000-0000-0000BC1A0000}"/>
    <cellStyle name="40% - Accent6 10" xfId="7725" hidden="1" xr:uid="{00000000-0005-0000-0000-0000BD1A0000}"/>
    <cellStyle name="40% - Accent6 10" xfId="7803" hidden="1" xr:uid="{00000000-0005-0000-0000-0000BE1A0000}"/>
    <cellStyle name="40% - Accent6 10" xfId="7986" hidden="1" xr:uid="{00000000-0005-0000-0000-0000BF1A0000}"/>
    <cellStyle name="40% - Accent6 10" xfId="8062" hidden="1" xr:uid="{00000000-0005-0000-0000-0000C01A0000}"/>
    <cellStyle name="40% - Accent6 10" xfId="8140" hidden="1" xr:uid="{00000000-0005-0000-0000-0000C11A0000}"/>
    <cellStyle name="40% - Accent6 10" xfId="8323" hidden="1" xr:uid="{00000000-0005-0000-0000-0000C21A0000}"/>
    <cellStyle name="40% - Accent6 10" xfId="8399" hidden="1" xr:uid="{00000000-0005-0000-0000-0000C31A0000}"/>
    <cellStyle name="40% - Accent6 11" xfId="138" hidden="1" xr:uid="{00000000-0005-0000-0000-0000C41A0000}"/>
    <cellStyle name="40% - Accent6 11" xfId="212" hidden="1" xr:uid="{00000000-0005-0000-0000-0000C51A0000}"/>
    <cellStyle name="40% - Accent6 11" xfId="288" hidden="1" xr:uid="{00000000-0005-0000-0000-0000C61A0000}"/>
    <cellStyle name="40% - Accent6 11" xfId="366" hidden="1" xr:uid="{00000000-0005-0000-0000-0000C71A0000}"/>
    <cellStyle name="40% - Accent6 11" xfId="951" hidden="1" xr:uid="{00000000-0005-0000-0000-0000C81A0000}"/>
    <cellStyle name="40% - Accent6 11" xfId="1027" hidden="1" xr:uid="{00000000-0005-0000-0000-0000C91A0000}"/>
    <cellStyle name="40% - Accent6 11" xfId="1106" hidden="1" xr:uid="{00000000-0005-0000-0000-0000CA1A0000}"/>
    <cellStyle name="40% - Accent6 11" xfId="789" hidden="1" xr:uid="{00000000-0005-0000-0000-0000CB1A0000}"/>
    <cellStyle name="40% - Accent6 11" xfId="691" hidden="1" xr:uid="{00000000-0005-0000-0000-0000CC1A0000}"/>
    <cellStyle name="40% - Accent6 11" xfId="836" hidden="1" xr:uid="{00000000-0005-0000-0000-0000CD1A0000}"/>
    <cellStyle name="40% - Accent6 11" xfId="1546" hidden="1" xr:uid="{00000000-0005-0000-0000-0000CE1A0000}"/>
    <cellStyle name="40% - Accent6 11" xfId="1622" hidden="1" xr:uid="{00000000-0005-0000-0000-0000CF1A0000}"/>
    <cellStyle name="40% - Accent6 11" xfId="1700" hidden="1" xr:uid="{00000000-0005-0000-0000-0000D01A0000}"/>
    <cellStyle name="40% - Accent6 11" xfId="716" hidden="1" xr:uid="{00000000-0005-0000-0000-0000D11A0000}"/>
    <cellStyle name="40% - Accent6 11" xfId="662" hidden="1" xr:uid="{00000000-0005-0000-0000-0000D21A0000}"/>
    <cellStyle name="40% - Accent6 11" xfId="1320" hidden="1" xr:uid="{00000000-0005-0000-0000-0000D31A0000}"/>
    <cellStyle name="40% - Accent6 11" xfId="2078" hidden="1" xr:uid="{00000000-0005-0000-0000-0000D41A0000}"/>
    <cellStyle name="40% - Accent6 11" xfId="2154" hidden="1" xr:uid="{00000000-0005-0000-0000-0000D51A0000}"/>
    <cellStyle name="40% - Accent6 11" xfId="2232" hidden="1" xr:uid="{00000000-0005-0000-0000-0000D61A0000}"/>
    <cellStyle name="40% - Accent6 11" xfId="2415" hidden="1" xr:uid="{00000000-0005-0000-0000-0000D71A0000}"/>
    <cellStyle name="40% - Accent6 11" xfId="2491" hidden="1" xr:uid="{00000000-0005-0000-0000-0000D81A0000}"/>
    <cellStyle name="40% - Accent6 11" xfId="2569" hidden="1" xr:uid="{00000000-0005-0000-0000-0000D91A0000}"/>
    <cellStyle name="40% - Accent6 11" xfId="2752" hidden="1" xr:uid="{00000000-0005-0000-0000-0000DA1A0000}"/>
    <cellStyle name="40% - Accent6 11" xfId="2828" hidden="1" xr:uid="{00000000-0005-0000-0000-0000DB1A0000}"/>
    <cellStyle name="40% - Accent6 11" xfId="2930" hidden="1" xr:uid="{00000000-0005-0000-0000-0000DC1A0000}"/>
    <cellStyle name="40% - Accent6 11" xfId="3004" hidden="1" xr:uid="{00000000-0005-0000-0000-0000DD1A0000}"/>
    <cellStyle name="40% - Accent6 11" xfId="3080" hidden="1" xr:uid="{00000000-0005-0000-0000-0000DE1A0000}"/>
    <cellStyle name="40% - Accent6 11" xfId="3158" hidden="1" xr:uid="{00000000-0005-0000-0000-0000DF1A0000}"/>
    <cellStyle name="40% - Accent6 11" xfId="3743" hidden="1" xr:uid="{00000000-0005-0000-0000-0000E01A0000}"/>
    <cellStyle name="40% - Accent6 11" xfId="3819" hidden="1" xr:uid="{00000000-0005-0000-0000-0000E11A0000}"/>
    <cellStyle name="40% - Accent6 11" xfId="3898" hidden="1" xr:uid="{00000000-0005-0000-0000-0000E21A0000}"/>
    <cellStyle name="40% - Accent6 11" xfId="3581" hidden="1" xr:uid="{00000000-0005-0000-0000-0000E31A0000}"/>
    <cellStyle name="40% - Accent6 11" xfId="3483" hidden="1" xr:uid="{00000000-0005-0000-0000-0000E41A0000}"/>
    <cellStyle name="40% - Accent6 11" xfId="3628" hidden="1" xr:uid="{00000000-0005-0000-0000-0000E51A0000}"/>
    <cellStyle name="40% - Accent6 11" xfId="4338" hidden="1" xr:uid="{00000000-0005-0000-0000-0000E61A0000}"/>
    <cellStyle name="40% - Accent6 11" xfId="4414" hidden="1" xr:uid="{00000000-0005-0000-0000-0000E71A0000}"/>
    <cellStyle name="40% - Accent6 11" xfId="4492" hidden="1" xr:uid="{00000000-0005-0000-0000-0000E81A0000}"/>
    <cellStyle name="40% - Accent6 11" xfId="3508" hidden="1" xr:uid="{00000000-0005-0000-0000-0000E91A0000}"/>
    <cellStyle name="40% - Accent6 11" xfId="3454" hidden="1" xr:uid="{00000000-0005-0000-0000-0000EA1A0000}"/>
    <cellStyle name="40% - Accent6 11" xfId="4112" hidden="1" xr:uid="{00000000-0005-0000-0000-0000EB1A0000}"/>
    <cellStyle name="40% - Accent6 11" xfId="4870" hidden="1" xr:uid="{00000000-0005-0000-0000-0000EC1A0000}"/>
    <cellStyle name="40% - Accent6 11" xfId="4946" hidden="1" xr:uid="{00000000-0005-0000-0000-0000ED1A0000}"/>
    <cellStyle name="40% - Accent6 11" xfId="5024" hidden="1" xr:uid="{00000000-0005-0000-0000-0000EE1A0000}"/>
    <cellStyle name="40% - Accent6 11" xfId="5207" hidden="1" xr:uid="{00000000-0005-0000-0000-0000EF1A0000}"/>
    <cellStyle name="40% - Accent6 11" xfId="5283" hidden="1" xr:uid="{00000000-0005-0000-0000-0000F01A0000}"/>
    <cellStyle name="40% - Accent6 11" xfId="5361" hidden="1" xr:uid="{00000000-0005-0000-0000-0000F11A0000}"/>
    <cellStyle name="40% - Accent6 11" xfId="5544" hidden="1" xr:uid="{00000000-0005-0000-0000-0000F21A0000}"/>
    <cellStyle name="40% - Accent6 11" xfId="5620" hidden="1" xr:uid="{00000000-0005-0000-0000-0000F31A0000}"/>
    <cellStyle name="40% - Accent6 11" xfId="5722" hidden="1" xr:uid="{00000000-0005-0000-0000-0000F41A0000}"/>
    <cellStyle name="40% - Accent6 11" xfId="5796" hidden="1" xr:uid="{00000000-0005-0000-0000-0000F51A0000}"/>
    <cellStyle name="40% - Accent6 11" xfId="5872" hidden="1" xr:uid="{00000000-0005-0000-0000-0000F61A0000}"/>
    <cellStyle name="40% - Accent6 11" xfId="5950" hidden="1" xr:uid="{00000000-0005-0000-0000-0000F71A0000}"/>
    <cellStyle name="40% - Accent6 11" xfId="6535" hidden="1" xr:uid="{00000000-0005-0000-0000-0000F81A0000}"/>
    <cellStyle name="40% - Accent6 11" xfId="6611" hidden="1" xr:uid="{00000000-0005-0000-0000-0000F91A0000}"/>
    <cellStyle name="40% - Accent6 11" xfId="6690" hidden="1" xr:uid="{00000000-0005-0000-0000-0000FA1A0000}"/>
    <cellStyle name="40% - Accent6 11" xfId="6373" hidden="1" xr:uid="{00000000-0005-0000-0000-0000FB1A0000}"/>
    <cellStyle name="40% - Accent6 11" xfId="6275" hidden="1" xr:uid="{00000000-0005-0000-0000-0000FC1A0000}"/>
    <cellStyle name="40% - Accent6 11" xfId="6420" hidden="1" xr:uid="{00000000-0005-0000-0000-0000FD1A0000}"/>
    <cellStyle name="40% - Accent6 11" xfId="7130" hidden="1" xr:uid="{00000000-0005-0000-0000-0000FE1A0000}"/>
    <cellStyle name="40% - Accent6 11" xfId="7206" hidden="1" xr:uid="{00000000-0005-0000-0000-0000FF1A0000}"/>
    <cellStyle name="40% - Accent6 11" xfId="7284" hidden="1" xr:uid="{00000000-0005-0000-0000-0000001B0000}"/>
    <cellStyle name="40% - Accent6 11" xfId="6300" hidden="1" xr:uid="{00000000-0005-0000-0000-0000011B0000}"/>
    <cellStyle name="40% - Accent6 11" xfId="6246" hidden="1" xr:uid="{00000000-0005-0000-0000-0000021B0000}"/>
    <cellStyle name="40% - Accent6 11" xfId="6904" hidden="1" xr:uid="{00000000-0005-0000-0000-0000031B0000}"/>
    <cellStyle name="40% - Accent6 11" xfId="7662" hidden="1" xr:uid="{00000000-0005-0000-0000-0000041B0000}"/>
    <cellStyle name="40% - Accent6 11" xfId="7738" hidden="1" xr:uid="{00000000-0005-0000-0000-0000051B0000}"/>
    <cellStyle name="40% - Accent6 11" xfId="7816" hidden="1" xr:uid="{00000000-0005-0000-0000-0000061B0000}"/>
    <cellStyle name="40% - Accent6 11" xfId="7999" hidden="1" xr:uid="{00000000-0005-0000-0000-0000071B0000}"/>
    <cellStyle name="40% - Accent6 11" xfId="8075" hidden="1" xr:uid="{00000000-0005-0000-0000-0000081B0000}"/>
    <cellStyle name="40% - Accent6 11" xfId="8153" hidden="1" xr:uid="{00000000-0005-0000-0000-0000091B0000}"/>
    <cellStyle name="40% - Accent6 11" xfId="8336" hidden="1" xr:uid="{00000000-0005-0000-0000-00000A1B0000}"/>
    <cellStyle name="40% - Accent6 11" xfId="8412" hidden="1" xr:uid="{00000000-0005-0000-0000-00000B1B0000}"/>
    <cellStyle name="40% - Accent6 12" xfId="151" hidden="1" xr:uid="{00000000-0005-0000-0000-00000C1B0000}"/>
    <cellStyle name="40% - Accent6 12" xfId="226" hidden="1" xr:uid="{00000000-0005-0000-0000-00000D1B0000}"/>
    <cellStyle name="40% - Accent6 12" xfId="301" hidden="1" xr:uid="{00000000-0005-0000-0000-00000E1B0000}"/>
    <cellStyle name="40% - Accent6 12" xfId="379" hidden="1" xr:uid="{00000000-0005-0000-0000-00000F1B0000}"/>
    <cellStyle name="40% - Accent6 12" xfId="965" hidden="1" xr:uid="{00000000-0005-0000-0000-0000101B0000}"/>
    <cellStyle name="40% - Accent6 12" xfId="1040" hidden="1" xr:uid="{00000000-0005-0000-0000-0000111B0000}"/>
    <cellStyle name="40% - Accent6 12" xfId="1119" hidden="1" xr:uid="{00000000-0005-0000-0000-0000121B0000}"/>
    <cellStyle name="40% - Accent6 12" xfId="1347" hidden="1" xr:uid="{00000000-0005-0000-0000-0000131B0000}"/>
    <cellStyle name="40% - Accent6 12" xfId="594" hidden="1" xr:uid="{00000000-0005-0000-0000-0000141B0000}"/>
    <cellStyle name="40% - Accent6 12" xfId="664" hidden="1" xr:uid="{00000000-0005-0000-0000-0000151B0000}"/>
    <cellStyle name="40% - Accent6 12" xfId="1560" hidden="1" xr:uid="{00000000-0005-0000-0000-0000161B0000}"/>
    <cellStyle name="40% - Accent6 12" xfId="1635" hidden="1" xr:uid="{00000000-0005-0000-0000-0000171B0000}"/>
    <cellStyle name="40% - Accent6 12" xfId="1713" hidden="1" xr:uid="{00000000-0005-0000-0000-0000181B0000}"/>
    <cellStyle name="40% - Accent6 12" xfId="1905" hidden="1" xr:uid="{00000000-0005-0000-0000-0000191B0000}"/>
    <cellStyle name="40% - Accent6 12" xfId="1354" hidden="1" xr:uid="{00000000-0005-0000-0000-00001A1B0000}"/>
    <cellStyle name="40% - Accent6 12" xfId="66" hidden="1" xr:uid="{00000000-0005-0000-0000-00001B1B0000}"/>
    <cellStyle name="40% - Accent6 12" xfId="2092" hidden="1" xr:uid="{00000000-0005-0000-0000-00001C1B0000}"/>
    <cellStyle name="40% - Accent6 12" xfId="2167" hidden="1" xr:uid="{00000000-0005-0000-0000-00001D1B0000}"/>
    <cellStyle name="40% - Accent6 12" xfId="2245" hidden="1" xr:uid="{00000000-0005-0000-0000-00001E1B0000}"/>
    <cellStyle name="40% - Accent6 12" xfId="2429" hidden="1" xr:uid="{00000000-0005-0000-0000-00001F1B0000}"/>
    <cellStyle name="40% - Accent6 12" xfId="2504" hidden="1" xr:uid="{00000000-0005-0000-0000-0000201B0000}"/>
    <cellStyle name="40% - Accent6 12" xfId="2582" hidden="1" xr:uid="{00000000-0005-0000-0000-0000211B0000}"/>
    <cellStyle name="40% - Accent6 12" xfId="2766" hidden="1" xr:uid="{00000000-0005-0000-0000-0000221B0000}"/>
    <cellStyle name="40% - Accent6 12" xfId="2841" hidden="1" xr:uid="{00000000-0005-0000-0000-0000231B0000}"/>
    <cellStyle name="40% - Accent6 12" xfId="2943" hidden="1" xr:uid="{00000000-0005-0000-0000-0000241B0000}"/>
    <cellStyle name="40% - Accent6 12" xfId="3018" hidden="1" xr:uid="{00000000-0005-0000-0000-0000251B0000}"/>
    <cellStyle name="40% - Accent6 12" xfId="3093" hidden="1" xr:uid="{00000000-0005-0000-0000-0000261B0000}"/>
    <cellStyle name="40% - Accent6 12" xfId="3171" hidden="1" xr:uid="{00000000-0005-0000-0000-0000271B0000}"/>
    <cellStyle name="40% - Accent6 12" xfId="3757" hidden="1" xr:uid="{00000000-0005-0000-0000-0000281B0000}"/>
    <cellStyle name="40% - Accent6 12" xfId="3832" hidden="1" xr:uid="{00000000-0005-0000-0000-0000291B0000}"/>
    <cellStyle name="40% - Accent6 12" xfId="3911" hidden="1" xr:uid="{00000000-0005-0000-0000-00002A1B0000}"/>
    <cellStyle name="40% - Accent6 12" xfId="4139" hidden="1" xr:uid="{00000000-0005-0000-0000-00002B1B0000}"/>
    <cellStyle name="40% - Accent6 12" xfId="3386" hidden="1" xr:uid="{00000000-0005-0000-0000-00002C1B0000}"/>
    <cellStyle name="40% - Accent6 12" xfId="3456" hidden="1" xr:uid="{00000000-0005-0000-0000-00002D1B0000}"/>
    <cellStyle name="40% - Accent6 12" xfId="4352" hidden="1" xr:uid="{00000000-0005-0000-0000-00002E1B0000}"/>
    <cellStyle name="40% - Accent6 12" xfId="4427" hidden="1" xr:uid="{00000000-0005-0000-0000-00002F1B0000}"/>
    <cellStyle name="40% - Accent6 12" xfId="4505" hidden="1" xr:uid="{00000000-0005-0000-0000-0000301B0000}"/>
    <cellStyle name="40% - Accent6 12" xfId="4697" hidden="1" xr:uid="{00000000-0005-0000-0000-0000311B0000}"/>
    <cellStyle name="40% - Accent6 12" xfId="4146" hidden="1" xr:uid="{00000000-0005-0000-0000-0000321B0000}"/>
    <cellStyle name="40% - Accent6 12" xfId="2858" hidden="1" xr:uid="{00000000-0005-0000-0000-0000331B0000}"/>
    <cellStyle name="40% - Accent6 12" xfId="4884" hidden="1" xr:uid="{00000000-0005-0000-0000-0000341B0000}"/>
    <cellStyle name="40% - Accent6 12" xfId="4959" hidden="1" xr:uid="{00000000-0005-0000-0000-0000351B0000}"/>
    <cellStyle name="40% - Accent6 12" xfId="5037" hidden="1" xr:uid="{00000000-0005-0000-0000-0000361B0000}"/>
    <cellStyle name="40% - Accent6 12" xfId="5221" hidden="1" xr:uid="{00000000-0005-0000-0000-0000371B0000}"/>
    <cellStyle name="40% - Accent6 12" xfId="5296" hidden="1" xr:uid="{00000000-0005-0000-0000-0000381B0000}"/>
    <cellStyle name="40% - Accent6 12" xfId="5374" hidden="1" xr:uid="{00000000-0005-0000-0000-0000391B0000}"/>
    <cellStyle name="40% - Accent6 12" xfId="5558" hidden="1" xr:uid="{00000000-0005-0000-0000-00003A1B0000}"/>
    <cellStyle name="40% - Accent6 12" xfId="5633" hidden="1" xr:uid="{00000000-0005-0000-0000-00003B1B0000}"/>
    <cellStyle name="40% - Accent6 12" xfId="5735" hidden="1" xr:uid="{00000000-0005-0000-0000-00003C1B0000}"/>
    <cellStyle name="40% - Accent6 12" xfId="5810" hidden="1" xr:uid="{00000000-0005-0000-0000-00003D1B0000}"/>
    <cellStyle name="40% - Accent6 12" xfId="5885" hidden="1" xr:uid="{00000000-0005-0000-0000-00003E1B0000}"/>
    <cellStyle name="40% - Accent6 12" xfId="5963" hidden="1" xr:uid="{00000000-0005-0000-0000-00003F1B0000}"/>
    <cellStyle name="40% - Accent6 12" xfId="6549" hidden="1" xr:uid="{00000000-0005-0000-0000-0000401B0000}"/>
    <cellStyle name="40% - Accent6 12" xfId="6624" hidden="1" xr:uid="{00000000-0005-0000-0000-0000411B0000}"/>
    <cellStyle name="40% - Accent6 12" xfId="6703" hidden="1" xr:uid="{00000000-0005-0000-0000-0000421B0000}"/>
    <cellStyle name="40% - Accent6 12" xfId="6931" hidden="1" xr:uid="{00000000-0005-0000-0000-0000431B0000}"/>
    <cellStyle name="40% - Accent6 12" xfId="6178" hidden="1" xr:uid="{00000000-0005-0000-0000-0000441B0000}"/>
    <cellStyle name="40% - Accent6 12" xfId="6248" hidden="1" xr:uid="{00000000-0005-0000-0000-0000451B0000}"/>
    <cellStyle name="40% - Accent6 12" xfId="7144" hidden="1" xr:uid="{00000000-0005-0000-0000-0000461B0000}"/>
    <cellStyle name="40% - Accent6 12" xfId="7219" hidden="1" xr:uid="{00000000-0005-0000-0000-0000471B0000}"/>
    <cellStyle name="40% - Accent6 12" xfId="7297" hidden="1" xr:uid="{00000000-0005-0000-0000-0000481B0000}"/>
    <cellStyle name="40% - Accent6 12" xfId="7489" hidden="1" xr:uid="{00000000-0005-0000-0000-0000491B0000}"/>
    <cellStyle name="40% - Accent6 12" xfId="6938" hidden="1" xr:uid="{00000000-0005-0000-0000-00004A1B0000}"/>
    <cellStyle name="40% - Accent6 12" xfId="5650" hidden="1" xr:uid="{00000000-0005-0000-0000-00004B1B0000}"/>
    <cellStyle name="40% - Accent6 12" xfId="7676" hidden="1" xr:uid="{00000000-0005-0000-0000-00004C1B0000}"/>
    <cellStyle name="40% - Accent6 12" xfId="7751" hidden="1" xr:uid="{00000000-0005-0000-0000-00004D1B0000}"/>
    <cellStyle name="40% - Accent6 12" xfId="7829" hidden="1" xr:uid="{00000000-0005-0000-0000-00004E1B0000}"/>
    <cellStyle name="40% - Accent6 12" xfId="8013" hidden="1" xr:uid="{00000000-0005-0000-0000-00004F1B0000}"/>
    <cellStyle name="40% - Accent6 12" xfId="8088" hidden="1" xr:uid="{00000000-0005-0000-0000-0000501B0000}"/>
    <cellStyle name="40% - Accent6 12" xfId="8166" hidden="1" xr:uid="{00000000-0005-0000-0000-0000511B0000}"/>
    <cellStyle name="40% - Accent6 12" xfId="8350" hidden="1" xr:uid="{00000000-0005-0000-0000-0000521B0000}"/>
    <cellStyle name="40% - Accent6 12" xfId="8425" hidden="1" xr:uid="{00000000-0005-0000-0000-0000531B0000}"/>
    <cellStyle name="40% - Accent6 13" xfId="392" hidden="1" xr:uid="{00000000-0005-0000-0000-0000541B0000}"/>
    <cellStyle name="40% - Accent6 13" xfId="507" hidden="1" xr:uid="{00000000-0005-0000-0000-0000551B0000}"/>
    <cellStyle name="40% - Accent6 13" xfId="1230" hidden="1" xr:uid="{00000000-0005-0000-0000-0000561B0000}"/>
    <cellStyle name="40% - Accent6 13" xfId="1403" hidden="1" xr:uid="{00000000-0005-0000-0000-0000571B0000}"/>
    <cellStyle name="40% - Accent6 13" xfId="1796" hidden="1" xr:uid="{00000000-0005-0000-0000-0000581B0000}"/>
    <cellStyle name="40% - Accent6 13" xfId="1944" hidden="1" xr:uid="{00000000-0005-0000-0000-0000591B0000}"/>
    <cellStyle name="40% - Accent6 13" xfId="2282" hidden="1" xr:uid="{00000000-0005-0000-0000-00005A1B0000}"/>
    <cellStyle name="40% - Accent6 13" xfId="2619" hidden="1" xr:uid="{00000000-0005-0000-0000-00005B1B0000}"/>
    <cellStyle name="40% - Accent6 13" xfId="3184" hidden="1" xr:uid="{00000000-0005-0000-0000-00005C1B0000}"/>
    <cellStyle name="40% - Accent6 13" xfId="3299" hidden="1" xr:uid="{00000000-0005-0000-0000-00005D1B0000}"/>
    <cellStyle name="40% - Accent6 13" xfId="4022" hidden="1" xr:uid="{00000000-0005-0000-0000-00005E1B0000}"/>
    <cellStyle name="40% - Accent6 13" xfId="4195" hidden="1" xr:uid="{00000000-0005-0000-0000-00005F1B0000}"/>
    <cellStyle name="40% - Accent6 13" xfId="4588" hidden="1" xr:uid="{00000000-0005-0000-0000-0000601B0000}"/>
    <cellStyle name="40% - Accent6 13" xfId="4736" hidden="1" xr:uid="{00000000-0005-0000-0000-0000611B0000}"/>
    <cellStyle name="40% - Accent6 13" xfId="5074" hidden="1" xr:uid="{00000000-0005-0000-0000-0000621B0000}"/>
    <cellStyle name="40% - Accent6 13" xfId="5411" hidden="1" xr:uid="{00000000-0005-0000-0000-0000631B0000}"/>
    <cellStyle name="40% - Accent6 13" xfId="5976" hidden="1" xr:uid="{00000000-0005-0000-0000-0000641B0000}"/>
    <cellStyle name="40% - Accent6 13" xfId="6091" hidden="1" xr:uid="{00000000-0005-0000-0000-0000651B0000}"/>
    <cellStyle name="40% - Accent6 13" xfId="6814" hidden="1" xr:uid="{00000000-0005-0000-0000-0000661B0000}"/>
    <cellStyle name="40% - Accent6 13" xfId="6987" hidden="1" xr:uid="{00000000-0005-0000-0000-0000671B0000}"/>
    <cellStyle name="40% - Accent6 13" xfId="7380" hidden="1" xr:uid="{00000000-0005-0000-0000-0000681B0000}"/>
    <cellStyle name="40% - Accent6 13" xfId="7528" hidden="1" xr:uid="{00000000-0005-0000-0000-0000691B0000}"/>
    <cellStyle name="40% - Accent6 13" xfId="7866" hidden="1" xr:uid="{00000000-0005-0000-0000-00006A1B0000}"/>
    <cellStyle name="40% - Accent6 13" xfId="8203" hidden="1" xr:uid="{00000000-0005-0000-0000-00006B1B0000}"/>
    <cellStyle name="40% - Accent6 3 2 3 2" xfId="477" hidden="1" xr:uid="{00000000-0005-0000-0000-00006C1B0000}"/>
    <cellStyle name="40% - Accent6 3 2 3 2" xfId="592" hidden="1" xr:uid="{00000000-0005-0000-0000-00006D1B0000}"/>
    <cellStyle name="40% - Accent6 3 2 3 2" xfId="1315" hidden="1" xr:uid="{00000000-0005-0000-0000-00006E1B0000}"/>
    <cellStyle name="40% - Accent6 3 2 3 2" xfId="1488" hidden="1" xr:uid="{00000000-0005-0000-0000-00006F1B0000}"/>
    <cellStyle name="40% - Accent6 3 2 3 2" xfId="1881" hidden="1" xr:uid="{00000000-0005-0000-0000-0000701B0000}"/>
    <cellStyle name="40% - Accent6 3 2 3 2" xfId="2029" hidden="1" xr:uid="{00000000-0005-0000-0000-0000711B0000}"/>
    <cellStyle name="40% - Accent6 3 2 3 2" xfId="2367" hidden="1" xr:uid="{00000000-0005-0000-0000-0000721B0000}"/>
    <cellStyle name="40% - Accent6 3 2 3 2" xfId="2704" hidden="1" xr:uid="{00000000-0005-0000-0000-0000731B0000}"/>
    <cellStyle name="40% - Accent6 3 2 3 2" xfId="3269" hidden="1" xr:uid="{00000000-0005-0000-0000-0000741B0000}"/>
    <cellStyle name="40% - Accent6 3 2 3 2" xfId="3384" hidden="1" xr:uid="{00000000-0005-0000-0000-0000751B0000}"/>
    <cellStyle name="40% - Accent6 3 2 3 2" xfId="4107" hidden="1" xr:uid="{00000000-0005-0000-0000-0000761B0000}"/>
    <cellStyle name="40% - Accent6 3 2 3 2" xfId="4280" hidden="1" xr:uid="{00000000-0005-0000-0000-0000771B0000}"/>
    <cellStyle name="40% - Accent6 3 2 3 2" xfId="4673" hidden="1" xr:uid="{00000000-0005-0000-0000-0000781B0000}"/>
    <cellStyle name="40% - Accent6 3 2 3 2" xfId="4821" hidden="1" xr:uid="{00000000-0005-0000-0000-0000791B0000}"/>
    <cellStyle name="40% - Accent6 3 2 3 2" xfId="5159" hidden="1" xr:uid="{00000000-0005-0000-0000-00007A1B0000}"/>
    <cellStyle name="40% - Accent6 3 2 3 2" xfId="5496" hidden="1" xr:uid="{00000000-0005-0000-0000-00007B1B0000}"/>
    <cellStyle name="40% - Accent6 3 2 3 2" xfId="6061" hidden="1" xr:uid="{00000000-0005-0000-0000-00007C1B0000}"/>
    <cellStyle name="40% - Accent6 3 2 3 2" xfId="6176" hidden="1" xr:uid="{00000000-0005-0000-0000-00007D1B0000}"/>
    <cellStyle name="40% - Accent6 3 2 3 2" xfId="6899" hidden="1" xr:uid="{00000000-0005-0000-0000-00007E1B0000}"/>
    <cellStyle name="40% - Accent6 3 2 3 2" xfId="7072" hidden="1" xr:uid="{00000000-0005-0000-0000-00007F1B0000}"/>
    <cellStyle name="40% - Accent6 3 2 3 2" xfId="7465" hidden="1" xr:uid="{00000000-0005-0000-0000-0000801B0000}"/>
    <cellStyle name="40% - Accent6 3 2 3 2" xfId="7613" hidden="1" xr:uid="{00000000-0005-0000-0000-0000811B0000}"/>
    <cellStyle name="40% - Accent6 3 2 3 2" xfId="7951" hidden="1" xr:uid="{00000000-0005-0000-0000-0000821B0000}"/>
    <cellStyle name="40% - Accent6 3 2 3 2" xfId="8288" hidden="1" xr:uid="{00000000-0005-0000-0000-0000831B0000}"/>
    <cellStyle name="40% - Accent6 3 2 4 2" xfId="450" hidden="1" xr:uid="{00000000-0005-0000-0000-0000841B0000}"/>
    <cellStyle name="40% - Accent6 3 2 4 2" xfId="565" hidden="1" xr:uid="{00000000-0005-0000-0000-0000851B0000}"/>
    <cellStyle name="40% - Accent6 3 2 4 2" xfId="1288" hidden="1" xr:uid="{00000000-0005-0000-0000-0000861B0000}"/>
    <cellStyle name="40% - Accent6 3 2 4 2" xfId="1461" hidden="1" xr:uid="{00000000-0005-0000-0000-0000871B0000}"/>
    <cellStyle name="40% - Accent6 3 2 4 2" xfId="1854" hidden="1" xr:uid="{00000000-0005-0000-0000-0000881B0000}"/>
    <cellStyle name="40% - Accent6 3 2 4 2" xfId="2002" hidden="1" xr:uid="{00000000-0005-0000-0000-0000891B0000}"/>
    <cellStyle name="40% - Accent6 3 2 4 2" xfId="2340" hidden="1" xr:uid="{00000000-0005-0000-0000-00008A1B0000}"/>
    <cellStyle name="40% - Accent6 3 2 4 2" xfId="2677" hidden="1" xr:uid="{00000000-0005-0000-0000-00008B1B0000}"/>
    <cellStyle name="40% - Accent6 3 2 4 2" xfId="3242" hidden="1" xr:uid="{00000000-0005-0000-0000-00008C1B0000}"/>
    <cellStyle name="40% - Accent6 3 2 4 2" xfId="3357" hidden="1" xr:uid="{00000000-0005-0000-0000-00008D1B0000}"/>
    <cellStyle name="40% - Accent6 3 2 4 2" xfId="4080" hidden="1" xr:uid="{00000000-0005-0000-0000-00008E1B0000}"/>
    <cellStyle name="40% - Accent6 3 2 4 2" xfId="4253" hidden="1" xr:uid="{00000000-0005-0000-0000-00008F1B0000}"/>
    <cellStyle name="40% - Accent6 3 2 4 2" xfId="4646" hidden="1" xr:uid="{00000000-0005-0000-0000-0000901B0000}"/>
    <cellStyle name="40% - Accent6 3 2 4 2" xfId="4794" hidden="1" xr:uid="{00000000-0005-0000-0000-0000911B0000}"/>
    <cellStyle name="40% - Accent6 3 2 4 2" xfId="5132" hidden="1" xr:uid="{00000000-0005-0000-0000-0000921B0000}"/>
    <cellStyle name="40% - Accent6 3 2 4 2" xfId="5469" hidden="1" xr:uid="{00000000-0005-0000-0000-0000931B0000}"/>
    <cellStyle name="40% - Accent6 3 2 4 2" xfId="6034" hidden="1" xr:uid="{00000000-0005-0000-0000-0000941B0000}"/>
    <cellStyle name="40% - Accent6 3 2 4 2" xfId="6149" hidden="1" xr:uid="{00000000-0005-0000-0000-0000951B0000}"/>
    <cellStyle name="40% - Accent6 3 2 4 2" xfId="6872" hidden="1" xr:uid="{00000000-0005-0000-0000-0000961B0000}"/>
    <cellStyle name="40% - Accent6 3 2 4 2" xfId="7045" hidden="1" xr:uid="{00000000-0005-0000-0000-0000971B0000}"/>
    <cellStyle name="40% - Accent6 3 2 4 2" xfId="7438" hidden="1" xr:uid="{00000000-0005-0000-0000-0000981B0000}"/>
    <cellStyle name="40% - Accent6 3 2 4 2" xfId="7586" hidden="1" xr:uid="{00000000-0005-0000-0000-0000991B0000}"/>
    <cellStyle name="40% - Accent6 3 2 4 2" xfId="7924" hidden="1" xr:uid="{00000000-0005-0000-0000-00009A1B0000}"/>
    <cellStyle name="40% - Accent6 3 2 4 2" xfId="8261" hidden="1" xr:uid="{00000000-0005-0000-0000-00009B1B0000}"/>
    <cellStyle name="40% - Accent6 3 3 3 2" xfId="449" hidden="1" xr:uid="{00000000-0005-0000-0000-00009C1B0000}"/>
    <cellStyle name="40% - Accent6 3 3 3 2" xfId="564" hidden="1" xr:uid="{00000000-0005-0000-0000-00009D1B0000}"/>
    <cellStyle name="40% - Accent6 3 3 3 2" xfId="1287" hidden="1" xr:uid="{00000000-0005-0000-0000-00009E1B0000}"/>
    <cellStyle name="40% - Accent6 3 3 3 2" xfId="1460" hidden="1" xr:uid="{00000000-0005-0000-0000-00009F1B0000}"/>
    <cellStyle name="40% - Accent6 3 3 3 2" xfId="1853" hidden="1" xr:uid="{00000000-0005-0000-0000-0000A01B0000}"/>
    <cellStyle name="40% - Accent6 3 3 3 2" xfId="2001" hidden="1" xr:uid="{00000000-0005-0000-0000-0000A11B0000}"/>
    <cellStyle name="40% - Accent6 3 3 3 2" xfId="2339" hidden="1" xr:uid="{00000000-0005-0000-0000-0000A21B0000}"/>
    <cellStyle name="40% - Accent6 3 3 3 2" xfId="2676" hidden="1" xr:uid="{00000000-0005-0000-0000-0000A31B0000}"/>
    <cellStyle name="40% - Accent6 3 3 3 2" xfId="3241" hidden="1" xr:uid="{00000000-0005-0000-0000-0000A41B0000}"/>
    <cellStyle name="40% - Accent6 3 3 3 2" xfId="3356" hidden="1" xr:uid="{00000000-0005-0000-0000-0000A51B0000}"/>
    <cellStyle name="40% - Accent6 3 3 3 2" xfId="4079" hidden="1" xr:uid="{00000000-0005-0000-0000-0000A61B0000}"/>
    <cellStyle name="40% - Accent6 3 3 3 2" xfId="4252" hidden="1" xr:uid="{00000000-0005-0000-0000-0000A71B0000}"/>
    <cellStyle name="40% - Accent6 3 3 3 2" xfId="4645" hidden="1" xr:uid="{00000000-0005-0000-0000-0000A81B0000}"/>
    <cellStyle name="40% - Accent6 3 3 3 2" xfId="4793" hidden="1" xr:uid="{00000000-0005-0000-0000-0000A91B0000}"/>
    <cellStyle name="40% - Accent6 3 3 3 2" xfId="5131" hidden="1" xr:uid="{00000000-0005-0000-0000-0000AA1B0000}"/>
    <cellStyle name="40% - Accent6 3 3 3 2" xfId="5468" hidden="1" xr:uid="{00000000-0005-0000-0000-0000AB1B0000}"/>
    <cellStyle name="40% - Accent6 3 3 3 2" xfId="6033" hidden="1" xr:uid="{00000000-0005-0000-0000-0000AC1B0000}"/>
    <cellStyle name="40% - Accent6 3 3 3 2" xfId="6148" hidden="1" xr:uid="{00000000-0005-0000-0000-0000AD1B0000}"/>
    <cellStyle name="40% - Accent6 3 3 3 2" xfId="6871" hidden="1" xr:uid="{00000000-0005-0000-0000-0000AE1B0000}"/>
    <cellStyle name="40% - Accent6 3 3 3 2" xfId="7044" hidden="1" xr:uid="{00000000-0005-0000-0000-0000AF1B0000}"/>
    <cellStyle name="40% - Accent6 3 3 3 2" xfId="7437" hidden="1" xr:uid="{00000000-0005-0000-0000-0000B01B0000}"/>
    <cellStyle name="40% - Accent6 3 3 3 2" xfId="7585" hidden="1" xr:uid="{00000000-0005-0000-0000-0000B11B0000}"/>
    <cellStyle name="40% - Accent6 3 3 3 2" xfId="7923" hidden="1" xr:uid="{00000000-0005-0000-0000-0000B21B0000}"/>
    <cellStyle name="40% - Accent6 3 3 3 2" xfId="8260" hidden="1" xr:uid="{00000000-0005-0000-0000-0000B31B0000}"/>
    <cellStyle name="40% - Accent6 4 2 3 2" xfId="478" hidden="1" xr:uid="{00000000-0005-0000-0000-0000B41B0000}"/>
    <cellStyle name="40% - Accent6 4 2 3 2" xfId="593" hidden="1" xr:uid="{00000000-0005-0000-0000-0000B51B0000}"/>
    <cellStyle name="40% - Accent6 4 2 3 2" xfId="1316" hidden="1" xr:uid="{00000000-0005-0000-0000-0000B61B0000}"/>
    <cellStyle name="40% - Accent6 4 2 3 2" xfId="1489" hidden="1" xr:uid="{00000000-0005-0000-0000-0000B71B0000}"/>
    <cellStyle name="40% - Accent6 4 2 3 2" xfId="1882" hidden="1" xr:uid="{00000000-0005-0000-0000-0000B81B0000}"/>
    <cellStyle name="40% - Accent6 4 2 3 2" xfId="2030" hidden="1" xr:uid="{00000000-0005-0000-0000-0000B91B0000}"/>
    <cellStyle name="40% - Accent6 4 2 3 2" xfId="2368" hidden="1" xr:uid="{00000000-0005-0000-0000-0000BA1B0000}"/>
    <cellStyle name="40% - Accent6 4 2 3 2" xfId="2705" hidden="1" xr:uid="{00000000-0005-0000-0000-0000BB1B0000}"/>
    <cellStyle name="40% - Accent6 4 2 3 2" xfId="3270" hidden="1" xr:uid="{00000000-0005-0000-0000-0000BC1B0000}"/>
    <cellStyle name="40% - Accent6 4 2 3 2" xfId="3385" hidden="1" xr:uid="{00000000-0005-0000-0000-0000BD1B0000}"/>
    <cellStyle name="40% - Accent6 4 2 3 2" xfId="4108" hidden="1" xr:uid="{00000000-0005-0000-0000-0000BE1B0000}"/>
    <cellStyle name="40% - Accent6 4 2 3 2" xfId="4281" hidden="1" xr:uid="{00000000-0005-0000-0000-0000BF1B0000}"/>
    <cellStyle name="40% - Accent6 4 2 3 2" xfId="4674" hidden="1" xr:uid="{00000000-0005-0000-0000-0000C01B0000}"/>
    <cellStyle name="40% - Accent6 4 2 3 2" xfId="4822" hidden="1" xr:uid="{00000000-0005-0000-0000-0000C11B0000}"/>
    <cellStyle name="40% - Accent6 4 2 3 2" xfId="5160" hidden="1" xr:uid="{00000000-0005-0000-0000-0000C21B0000}"/>
    <cellStyle name="40% - Accent6 4 2 3 2" xfId="5497" hidden="1" xr:uid="{00000000-0005-0000-0000-0000C31B0000}"/>
    <cellStyle name="40% - Accent6 4 2 3 2" xfId="6062" hidden="1" xr:uid="{00000000-0005-0000-0000-0000C41B0000}"/>
    <cellStyle name="40% - Accent6 4 2 3 2" xfId="6177" hidden="1" xr:uid="{00000000-0005-0000-0000-0000C51B0000}"/>
    <cellStyle name="40% - Accent6 4 2 3 2" xfId="6900" hidden="1" xr:uid="{00000000-0005-0000-0000-0000C61B0000}"/>
    <cellStyle name="40% - Accent6 4 2 3 2" xfId="7073" hidden="1" xr:uid="{00000000-0005-0000-0000-0000C71B0000}"/>
    <cellStyle name="40% - Accent6 4 2 3 2" xfId="7466" hidden="1" xr:uid="{00000000-0005-0000-0000-0000C81B0000}"/>
    <cellStyle name="40% - Accent6 4 2 3 2" xfId="7614" hidden="1" xr:uid="{00000000-0005-0000-0000-0000C91B0000}"/>
    <cellStyle name="40% - Accent6 4 2 3 2" xfId="7952" hidden="1" xr:uid="{00000000-0005-0000-0000-0000CA1B0000}"/>
    <cellStyle name="40% - Accent6 4 2 3 2" xfId="8289" hidden="1" xr:uid="{00000000-0005-0000-0000-0000CB1B0000}"/>
    <cellStyle name="40% - Accent6 4 2 4 2" xfId="452" hidden="1" xr:uid="{00000000-0005-0000-0000-0000CC1B0000}"/>
    <cellStyle name="40% - Accent6 4 2 4 2" xfId="567" hidden="1" xr:uid="{00000000-0005-0000-0000-0000CD1B0000}"/>
    <cellStyle name="40% - Accent6 4 2 4 2" xfId="1290" hidden="1" xr:uid="{00000000-0005-0000-0000-0000CE1B0000}"/>
    <cellStyle name="40% - Accent6 4 2 4 2" xfId="1463" hidden="1" xr:uid="{00000000-0005-0000-0000-0000CF1B0000}"/>
    <cellStyle name="40% - Accent6 4 2 4 2" xfId="1856" hidden="1" xr:uid="{00000000-0005-0000-0000-0000D01B0000}"/>
    <cellStyle name="40% - Accent6 4 2 4 2" xfId="2004" hidden="1" xr:uid="{00000000-0005-0000-0000-0000D11B0000}"/>
    <cellStyle name="40% - Accent6 4 2 4 2" xfId="2342" hidden="1" xr:uid="{00000000-0005-0000-0000-0000D21B0000}"/>
    <cellStyle name="40% - Accent6 4 2 4 2" xfId="2679" hidden="1" xr:uid="{00000000-0005-0000-0000-0000D31B0000}"/>
    <cellStyle name="40% - Accent6 4 2 4 2" xfId="3244" hidden="1" xr:uid="{00000000-0005-0000-0000-0000D41B0000}"/>
    <cellStyle name="40% - Accent6 4 2 4 2" xfId="3359" hidden="1" xr:uid="{00000000-0005-0000-0000-0000D51B0000}"/>
    <cellStyle name="40% - Accent6 4 2 4 2" xfId="4082" hidden="1" xr:uid="{00000000-0005-0000-0000-0000D61B0000}"/>
    <cellStyle name="40% - Accent6 4 2 4 2" xfId="4255" hidden="1" xr:uid="{00000000-0005-0000-0000-0000D71B0000}"/>
    <cellStyle name="40% - Accent6 4 2 4 2" xfId="4648" hidden="1" xr:uid="{00000000-0005-0000-0000-0000D81B0000}"/>
    <cellStyle name="40% - Accent6 4 2 4 2" xfId="4796" hidden="1" xr:uid="{00000000-0005-0000-0000-0000D91B0000}"/>
    <cellStyle name="40% - Accent6 4 2 4 2" xfId="5134" hidden="1" xr:uid="{00000000-0005-0000-0000-0000DA1B0000}"/>
    <cellStyle name="40% - Accent6 4 2 4 2" xfId="5471" hidden="1" xr:uid="{00000000-0005-0000-0000-0000DB1B0000}"/>
    <cellStyle name="40% - Accent6 4 2 4 2" xfId="6036" hidden="1" xr:uid="{00000000-0005-0000-0000-0000DC1B0000}"/>
    <cellStyle name="40% - Accent6 4 2 4 2" xfId="6151" hidden="1" xr:uid="{00000000-0005-0000-0000-0000DD1B0000}"/>
    <cellStyle name="40% - Accent6 4 2 4 2" xfId="6874" hidden="1" xr:uid="{00000000-0005-0000-0000-0000DE1B0000}"/>
    <cellStyle name="40% - Accent6 4 2 4 2" xfId="7047" hidden="1" xr:uid="{00000000-0005-0000-0000-0000DF1B0000}"/>
    <cellStyle name="40% - Accent6 4 2 4 2" xfId="7440" hidden="1" xr:uid="{00000000-0005-0000-0000-0000E01B0000}"/>
    <cellStyle name="40% - Accent6 4 2 4 2" xfId="7588" hidden="1" xr:uid="{00000000-0005-0000-0000-0000E11B0000}"/>
    <cellStyle name="40% - Accent6 4 2 4 2" xfId="7926" hidden="1" xr:uid="{00000000-0005-0000-0000-0000E21B0000}"/>
    <cellStyle name="40% - Accent6 4 2 4 2" xfId="8263" hidden="1" xr:uid="{00000000-0005-0000-0000-0000E31B0000}"/>
    <cellStyle name="40% - Accent6 4 3 3 2" xfId="451" hidden="1" xr:uid="{00000000-0005-0000-0000-0000E41B0000}"/>
    <cellStyle name="40% - Accent6 4 3 3 2" xfId="566" hidden="1" xr:uid="{00000000-0005-0000-0000-0000E51B0000}"/>
    <cellStyle name="40% - Accent6 4 3 3 2" xfId="1289" hidden="1" xr:uid="{00000000-0005-0000-0000-0000E61B0000}"/>
    <cellStyle name="40% - Accent6 4 3 3 2" xfId="1462" hidden="1" xr:uid="{00000000-0005-0000-0000-0000E71B0000}"/>
    <cellStyle name="40% - Accent6 4 3 3 2" xfId="1855" hidden="1" xr:uid="{00000000-0005-0000-0000-0000E81B0000}"/>
    <cellStyle name="40% - Accent6 4 3 3 2" xfId="2003" hidden="1" xr:uid="{00000000-0005-0000-0000-0000E91B0000}"/>
    <cellStyle name="40% - Accent6 4 3 3 2" xfId="2341" hidden="1" xr:uid="{00000000-0005-0000-0000-0000EA1B0000}"/>
    <cellStyle name="40% - Accent6 4 3 3 2" xfId="2678" hidden="1" xr:uid="{00000000-0005-0000-0000-0000EB1B0000}"/>
    <cellStyle name="40% - Accent6 4 3 3 2" xfId="3243" hidden="1" xr:uid="{00000000-0005-0000-0000-0000EC1B0000}"/>
    <cellStyle name="40% - Accent6 4 3 3 2" xfId="3358" hidden="1" xr:uid="{00000000-0005-0000-0000-0000ED1B0000}"/>
    <cellStyle name="40% - Accent6 4 3 3 2" xfId="4081" hidden="1" xr:uid="{00000000-0005-0000-0000-0000EE1B0000}"/>
    <cellStyle name="40% - Accent6 4 3 3 2" xfId="4254" hidden="1" xr:uid="{00000000-0005-0000-0000-0000EF1B0000}"/>
    <cellStyle name="40% - Accent6 4 3 3 2" xfId="4647" hidden="1" xr:uid="{00000000-0005-0000-0000-0000F01B0000}"/>
    <cellStyle name="40% - Accent6 4 3 3 2" xfId="4795" hidden="1" xr:uid="{00000000-0005-0000-0000-0000F11B0000}"/>
    <cellStyle name="40% - Accent6 4 3 3 2" xfId="5133" hidden="1" xr:uid="{00000000-0005-0000-0000-0000F21B0000}"/>
    <cellStyle name="40% - Accent6 4 3 3 2" xfId="5470" hidden="1" xr:uid="{00000000-0005-0000-0000-0000F31B0000}"/>
    <cellStyle name="40% - Accent6 4 3 3 2" xfId="6035" hidden="1" xr:uid="{00000000-0005-0000-0000-0000F41B0000}"/>
    <cellStyle name="40% - Accent6 4 3 3 2" xfId="6150" hidden="1" xr:uid="{00000000-0005-0000-0000-0000F51B0000}"/>
    <cellStyle name="40% - Accent6 4 3 3 2" xfId="6873" hidden="1" xr:uid="{00000000-0005-0000-0000-0000F61B0000}"/>
    <cellStyle name="40% - Accent6 4 3 3 2" xfId="7046" hidden="1" xr:uid="{00000000-0005-0000-0000-0000F71B0000}"/>
    <cellStyle name="40% - Accent6 4 3 3 2" xfId="7439" hidden="1" xr:uid="{00000000-0005-0000-0000-0000F81B0000}"/>
    <cellStyle name="40% - Accent6 4 3 3 2" xfId="7587" hidden="1" xr:uid="{00000000-0005-0000-0000-0000F91B0000}"/>
    <cellStyle name="40% - Accent6 4 3 3 2" xfId="7925" hidden="1" xr:uid="{00000000-0005-0000-0000-0000FA1B0000}"/>
    <cellStyle name="40% - Accent6 4 3 3 2" xfId="8262" hidden="1" xr:uid="{00000000-0005-0000-0000-0000FB1B0000}"/>
    <cellStyle name="40% - Accent6 5 2" xfId="406" hidden="1" xr:uid="{00000000-0005-0000-0000-0000FC1B0000}"/>
    <cellStyle name="40% - Accent6 5 2" xfId="521" hidden="1" xr:uid="{00000000-0005-0000-0000-0000FD1B0000}"/>
    <cellStyle name="40% - Accent6 5 2" xfId="1244" hidden="1" xr:uid="{00000000-0005-0000-0000-0000FE1B0000}"/>
    <cellStyle name="40% - Accent6 5 2" xfId="1417" hidden="1" xr:uid="{00000000-0005-0000-0000-0000FF1B0000}"/>
    <cellStyle name="40% - Accent6 5 2" xfId="1810" hidden="1" xr:uid="{00000000-0005-0000-0000-0000001C0000}"/>
    <cellStyle name="40% - Accent6 5 2" xfId="1958" hidden="1" xr:uid="{00000000-0005-0000-0000-0000011C0000}"/>
    <cellStyle name="40% - Accent6 5 2" xfId="2296" hidden="1" xr:uid="{00000000-0005-0000-0000-0000021C0000}"/>
    <cellStyle name="40% - Accent6 5 2" xfId="2633" hidden="1" xr:uid="{00000000-0005-0000-0000-0000031C0000}"/>
    <cellStyle name="40% - Accent6 5 2" xfId="3198" hidden="1" xr:uid="{00000000-0005-0000-0000-0000041C0000}"/>
    <cellStyle name="40% - Accent6 5 2" xfId="3313" hidden="1" xr:uid="{00000000-0005-0000-0000-0000051C0000}"/>
    <cellStyle name="40% - Accent6 5 2" xfId="4036" hidden="1" xr:uid="{00000000-0005-0000-0000-0000061C0000}"/>
    <cellStyle name="40% - Accent6 5 2" xfId="4209" hidden="1" xr:uid="{00000000-0005-0000-0000-0000071C0000}"/>
    <cellStyle name="40% - Accent6 5 2" xfId="4602" hidden="1" xr:uid="{00000000-0005-0000-0000-0000081C0000}"/>
    <cellStyle name="40% - Accent6 5 2" xfId="4750" hidden="1" xr:uid="{00000000-0005-0000-0000-0000091C0000}"/>
    <cellStyle name="40% - Accent6 5 2" xfId="5088" hidden="1" xr:uid="{00000000-0005-0000-0000-00000A1C0000}"/>
    <cellStyle name="40% - Accent6 5 2" xfId="5425" hidden="1" xr:uid="{00000000-0005-0000-0000-00000B1C0000}"/>
    <cellStyle name="40% - Accent6 5 2" xfId="5990" hidden="1" xr:uid="{00000000-0005-0000-0000-00000C1C0000}"/>
    <cellStyle name="40% - Accent6 5 2" xfId="6105" hidden="1" xr:uid="{00000000-0005-0000-0000-00000D1C0000}"/>
    <cellStyle name="40% - Accent6 5 2" xfId="6828" hidden="1" xr:uid="{00000000-0005-0000-0000-00000E1C0000}"/>
    <cellStyle name="40% - Accent6 5 2" xfId="7001" hidden="1" xr:uid="{00000000-0005-0000-0000-00000F1C0000}"/>
    <cellStyle name="40% - Accent6 5 2" xfId="7394" hidden="1" xr:uid="{00000000-0005-0000-0000-0000101C0000}"/>
    <cellStyle name="40% - Accent6 5 2" xfId="7542" hidden="1" xr:uid="{00000000-0005-0000-0000-0000111C0000}"/>
    <cellStyle name="40% - Accent6 5 2" xfId="7880" hidden="1" xr:uid="{00000000-0005-0000-0000-0000121C0000}"/>
    <cellStyle name="40% - Accent6 5 2" xfId="8217" hidden="1" xr:uid="{00000000-0005-0000-0000-0000131C0000}"/>
    <cellStyle name="40% - Accent6 7" xfId="84" hidden="1" xr:uid="{00000000-0005-0000-0000-0000141C0000}"/>
    <cellStyle name="40% - Accent6 7" xfId="162" hidden="1" xr:uid="{00000000-0005-0000-0000-0000151C0000}"/>
    <cellStyle name="40% - Accent6 7" xfId="240" hidden="1" xr:uid="{00000000-0005-0000-0000-0000161C0000}"/>
    <cellStyle name="40% - Accent6 7" xfId="318" hidden="1" xr:uid="{00000000-0005-0000-0000-0000171C0000}"/>
    <cellStyle name="40% - Accent6 7" xfId="900" hidden="1" xr:uid="{00000000-0005-0000-0000-0000181C0000}"/>
    <cellStyle name="40% - Accent6 7" xfId="979" hidden="1" xr:uid="{00000000-0005-0000-0000-0000191C0000}"/>
    <cellStyle name="40% - Accent6 7" xfId="1058" hidden="1" xr:uid="{00000000-0005-0000-0000-00001A1C0000}"/>
    <cellStyle name="40% - Accent6 7" xfId="630" hidden="1" xr:uid="{00000000-0005-0000-0000-00001B1C0000}"/>
    <cellStyle name="40% - Accent6 7" xfId="1147" hidden="1" xr:uid="{00000000-0005-0000-0000-00001C1C0000}"/>
    <cellStyle name="40% - Accent6 7" xfId="828" hidden="1" xr:uid="{00000000-0005-0000-0000-00001D1C0000}"/>
    <cellStyle name="40% - Accent6 7" xfId="614" hidden="1" xr:uid="{00000000-0005-0000-0000-00001E1C0000}"/>
    <cellStyle name="40% - Accent6 7" xfId="1574" hidden="1" xr:uid="{00000000-0005-0000-0000-00001F1C0000}"/>
    <cellStyle name="40% - Accent6 7" xfId="1652" hidden="1" xr:uid="{00000000-0005-0000-0000-0000201C0000}"/>
    <cellStyle name="40% - Accent6 7" xfId="834" hidden="1" xr:uid="{00000000-0005-0000-0000-0000211C0000}"/>
    <cellStyle name="40% - Accent6 7" xfId="1735" hidden="1" xr:uid="{00000000-0005-0000-0000-0000221C0000}"/>
    <cellStyle name="40% - Accent6 7" xfId="793" hidden="1" xr:uid="{00000000-0005-0000-0000-0000231C0000}"/>
    <cellStyle name="40% - Accent6 7" xfId="883" hidden="1" xr:uid="{00000000-0005-0000-0000-0000241C0000}"/>
    <cellStyle name="40% - Accent6 7" xfId="2106" hidden="1" xr:uid="{00000000-0005-0000-0000-0000251C0000}"/>
    <cellStyle name="40% - Accent6 7" xfId="2184" hidden="1" xr:uid="{00000000-0005-0000-0000-0000261C0000}"/>
    <cellStyle name="40% - Accent6 7" xfId="1355" hidden="1" xr:uid="{00000000-0005-0000-0000-0000271C0000}"/>
    <cellStyle name="40% - Accent6 7" xfId="2443" hidden="1" xr:uid="{00000000-0005-0000-0000-0000281C0000}"/>
    <cellStyle name="40% - Accent6 7" xfId="2521" hidden="1" xr:uid="{00000000-0005-0000-0000-0000291C0000}"/>
    <cellStyle name="40% - Accent6 7" xfId="1924" hidden="1" xr:uid="{00000000-0005-0000-0000-00002A1C0000}"/>
    <cellStyle name="40% - Accent6 7" xfId="2780" hidden="1" xr:uid="{00000000-0005-0000-0000-00002B1C0000}"/>
    <cellStyle name="40% - Accent6 7" xfId="2876" hidden="1" xr:uid="{00000000-0005-0000-0000-00002C1C0000}"/>
    <cellStyle name="40% - Accent6 7" xfId="2954" hidden="1" xr:uid="{00000000-0005-0000-0000-00002D1C0000}"/>
    <cellStyle name="40% - Accent6 7" xfId="3032" hidden="1" xr:uid="{00000000-0005-0000-0000-00002E1C0000}"/>
    <cellStyle name="40% - Accent6 7" xfId="3110" hidden="1" xr:uid="{00000000-0005-0000-0000-00002F1C0000}"/>
    <cellStyle name="40% - Accent6 7" xfId="3692" hidden="1" xr:uid="{00000000-0005-0000-0000-0000301C0000}"/>
    <cellStyle name="40% - Accent6 7" xfId="3771" hidden="1" xr:uid="{00000000-0005-0000-0000-0000311C0000}"/>
    <cellStyle name="40% - Accent6 7" xfId="3850" hidden="1" xr:uid="{00000000-0005-0000-0000-0000321C0000}"/>
    <cellStyle name="40% - Accent6 7" xfId="3422" hidden="1" xr:uid="{00000000-0005-0000-0000-0000331C0000}"/>
    <cellStyle name="40% - Accent6 7" xfId="3939" hidden="1" xr:uid="{00000000-0005-0000-0000-0000341C0000}"/>
    <cellStyle name="40% - Accent6 7" xfId="3620" hidden="1" xr:uid="{00000000-0005-0000-0000-0000351C0000}"/>
    <cellStyle name="40% - Accent6 7" xfId="3406" hidden="1" xr:uid="{00000000-0005-0000-0000-0000361C0000}"/>
    <cellStyle name="40% - Accent6 7" xfId="4366" hidden="1" xr:uid="{00000000-0005-0000-0000-0000371C0000}"/>
    <cellStyle name="40% - Accent6 7" xfId="4444" hidden="1" xr:uid="{00000000-0005-0000-0000-0000381C0000}"/>
    <cellStyle name="40% - Accent6 7" xfId="3626" hidden="1" xr:uid="{00000000-0005-0000-0000-0000391C0000}"/>
    <cellStyle name="40% - Accent6 7" xfId="4527" hidden="1" xr:uid="{00000000-0005-0000-0000-00003A1C0000}"/>
    <cellStyle name="40% - Accent6 7" xfId="3585" hidden="1" xr:uid="{00000000-0005-0000-0000-00003B1C0000}"/>
    <cellStyle name="40% - Accent6 7" xfId="3675" hidden="1" xr:uid="{00000000-0005-0000-0000-00003C1C0000}"/>
    <cellStyle name="40% - Accent6 7" xfId="4898" hidden="1" xr:uid="{00000000-0005-0000-0000-00003D1C0000}"/>
    <cellStyle name="40% - Accent6 7" xfId="4976" hidden="1" xr:uid="{00000000-0005-0000-0000-00003E1C0000}"/>
    <cellStyle name="40% - Accent6 7" xfId="4147" hidden="1" xr:uid="{00000000-0005-0000-0000-00003F1C0000}"/>
    <cellStyle name="40% - Accent6 7" xfId="5235" hidden="1" xr:uid="{00000000-0005-0000-0000-0000401C0000}"/>
    <cellStyle name="40% - Accent6 7" xfId="5313" hidden="1" xr:uid="{00000000-0005-0000-0000-0000411C0000}"/>
    <cellStyle name="40% - Accent6 7" xfId="4716" hidden="1" xr:uid="{00000000-0005-0000-0000-0000421C0000}"/>
    <cellStyle name="40% - Accent6 7" xfId="5572" hidden="1" xr:uid="{00000000-0005-0000-0000-0000431C0000}"/>
    <cellStyle name="40% - Accent6 7" xfId="5668" hidden="1" xr:uid="{00000000-0005-0000-0000-0000441C0000}"/>
    <cellStyle name="40% - Accent6 7" xfId="5746" hidden="1" xr:uid="{00000000-0005-0000-0000-0000451C0000}"/>
    <cellStyle name="40% - Accent6 7" xfId="5824" hidden="1" xr:uid="{00000000-0005-0000-0000-0000461C0000}"/>
    <cellStyle name="40% - Accent6 7" xfId="5902" hidden="1" xr:uid="{00000000-0005-0000-0000-0000471C0000}"/>
    <cellStyle name="40% - Accent6 7" xfId="6484" hidden="1" xr:uid="{00000000-0005-0000-0000-0000481C0000}"/>
    <cellStyle name="40% - Accent6 7" xfId="6563" hidden="1" xr:uid="{00000000-0005-0000-0000-0000491C0000}"/>
    <cellStyle name="40% - Accent6 7" xfId="6642" hidden="1" xr:uid="{00000000-0005-0000-0000-00004A1C0000}"/>
    <cellStyle name="40% - Accent6 7" xfId="6214" hidden="1" xr:uid="{00000000-0005-0000-0000-00004B1C0000}"/>
    <cellStyle name="40% - Accent6 7" xfId="6731" hidden="1" xr:uid="{00000000-0005-0000-0000-00004C1C0000}"/>
    <cellStyle name="40% - Accent6 7" xfId="6412" hidden="1" xr:uid="{00000000-0005-0000-0000-00004D1C0000}"/>
    <cellStyle name="40% - Accent6 7" xfId="6198" hidden="1" xr:uid="{00000000-0005-0000-0000-00004E1C0000}"/>
    <cellStyle name="40% - Accent6 7" xfId="7158" hidden="1" xr:uid="{00000000-0005-0000-0000-00004F1C0000}"/>
    <cellStyle name="40% - Accent6 7" xfId="7236" hidden="1" xr:uid="{00000000-0005-0000-0000-0000501C0000}"/>
    <cellStyle name="40% - Accent6 7" xfId="6418" hidden="1" xr:uid="{00000000-0005-0000-0000-0000511C0000}"/>
    <cellStyle name="40% - Accent6 7" xfId="7319" hidden="1" xr:uid="{00000000-0005-0000-0000-0000521C0000}"/>
    <cellStyle name="40% - Accent6 7" xfId="6377" hidden="1" xr:uid="{00000000-0005-0000-0000-0000531C0000}"/>
    <cellStyle name="40% - Accent6 7" xfId="6467" hidden="1" xr:uid="{00000000-0005-0000-0000-0000541C0000}"/>
    <cellStyle name="40% - Accent6 7" xfId="7690" hidden="1" xr:uid="{00000000-0005-0000-0000-0000551C0000}"/>
    <cellStyle name="40% - Accent6 7" xfId="7768" hidden="1" xr:uid="{00000000-0005-0000-0000-0000561C0000}"/>
    <cellStyle name="40% - Accent6 7" xfId="6939" hidden="1" xr:uid="{00000000-0005-0000-0000-0000571C0000}"/>
    <cellStyle name="40% - Accent6 7" xfId="8027" hidden="1" xr:uid="{00000000-0005-0000-0000-0000581C0000}"/>
    <cellStyle name="40% - Accent6 7" xfId="8105" hidden="1" xr:uid="{00000000-0005-0000-0000-0000591C0000}"/>
    <cellStyle name="40% - Accent6 7" xfId="7508" hidden="1" xr:uid="{00000000-0005-0000-0000-00005A1C0000}"/>
    <cellStyle name="40% - Accent6 7" xfId="8364" hidden="1" xr:uid="{00000000-0005-0000-0000-00005B1C0000}"/>
    <cellStyle name="40% - Accent6 8" xfId="99" hidden="1" xr:uid="{00000000-0005-0000-0000-00005C1C0000}"/>
    <cellStyle name="40% - Accent6 8" xfId="69" hidden="1" xr:uid="{00000000-0005-0000-0000-00005D1C0000}"/>
    <cellStyle name="40% - Accent6 8" xfId="228" hidden="1" xr:uid="{00000000-0005-0000-0000-00005E1C0000}"/>
    <cellStyle name="40% - Accent6 8" xfId="306" hidden="1" xr:uid="{00000000-0005-0000-0000-00005F1C0000}"/>
    <cellStyle name="40% - Accent6 8" xfId="884" hidden="1" xr:uid="{00000000-0005-0000-0000-0000601C0000}"/>
    <cellStyle name="40% - Accent6 8" xfId="967" hidden="1" xr:uid="{00000000-0005-0000-0000-0000611C0000}"/>
    <cellStyle name="40% - Accent6 8" xfId="1045" hidden="1" xr:uid="{00000000-0005-0000-0000-0000621C0000}"/>
    <cellStyle name="40% - Accent6 8" xfId="820" hidden="1" xr:uid="{00000000-0005-0000-0000-0000631C0000}"/>
    <cellStyle name="40% - Accent6 8" xfId="1321" hidden="1" xr:uid="{00000000-0005-0000-0000-0000641C0000}"/>
    <cellStyle name="40% - Accent6 8" xfId="859" hidden="1" xr:uid="{00000000-0005-0000-0000-0000651C0000}"/>
    <cellStyle name="40% - Accent6 8" xfId="1490" hidden="1" xr:uid="{00000000-0005-0000-0000-0000661C0000}"/>
    <cellStyle name="40% - Accent6 8" xfId="1562" hidden="1" xr:uid="{00000000-0005-0000-0000-0000671C0000}"/>
    <cellStyle name="40% - Accent6 8" xfId="1640" hidden="1" xr:uid="{00000000-0005-0000-0000-0000681C0000}"/>
    <cellStyle name="40% - Accent6 8" xfId="1375" hidden="1" xr:uid="{00000000-0005-0000-0000-0000691C0000}"/>
    <cellStyle name="40% - Accent6 8" xfId="1885" hidden="1" xr:uid="{00000000-0005-0000-0000-00006A1C0000}"/>
    <cellStyle name="40% - Accent6 8" xfId="669" hidden="1" xr:uid="{00000000-0005-0000-0000-00006B1C0000}"/>
    <cellStyle name="40% - Accent6 8" xfId="2031" hidden="1" xr:uid="{00000000-0005-0000-0000-00006C1C0000}"/>
    <cellStyle name="40% - Accent6 8" xfId="2094" hidden="1" xr:uid="{00000000-0005-0000-0000-00006D1C0000}"/>
    <cellStyle name="40% - Accent6 8" xfId="2172" hidden="1" xr:uid="{00000000-0005-0000-0000-00006E1C0000}"/>
    <cellStyle name="40% - Accent6 8" xfId="2369" hidden="1" xr:uid="{00000000-0005-0000-0000-00006F1C0000}"/>
    <cellStyle name="40% - Accent6 8" xfId="2431" hidden="1" xr:uid="{00000000-0005-0000-0000-0000701C0000}"/>
    <cellStyle name="40% - Accent6 8" xfId="2509" hidden="1" xr:uid="{00000000-0005-0000-0000-0000711C0000}"/>
    <cellStyle name="40% - Accent6 8" xfId="2706" hidden="1" xr:uid="{00000000-0005-0000-0000-0000721C0000}"/>
    <cellStyle name="40% - Accent6 8" xfId="2768" hidden="1" xr:uid="{00000000-0005-0000-0000-0000731C0000}"/>
    <cellStyle name="40% - Accent6 8" xfId="2891" hidden="1" xr:uid="{00000000-0005-0000-0000-0000741C0000}"/>
    <cellStyle name="40% - Accent6 8" xfId="2861" hidden="1" xr:uid="{00000000-0005-0000-0000-0000751C0000}"/>
    <cellStyle name="40% - Accent6 8" xfId="3020" hidden="1" xr:uid="{00000000-0005-0000-0000-0000761C0000}"/>
    <cellStyle name="40% - Accent6 8" xfId="3098" hidden="1" xr:uid="{00000000-0005-0000-0000-0000771C0000}"/>
    <cellStyle name="40% - Accent6 8" xfId="3676" hidden="1" xr:uid="{00000000-0005-0000-0000-0000781C0000}"/>
    <cellStyle name="40% - Accent6 8" xfId="3759" hidden="1" xr:uid="{00000000-0005-0000-0000-0000791C0000}"/>
    <cellStyle name="40% - Accent6 8" xfId="3837" hidden="1" xr:uid="{00000000-0005-0000-0000-00007A1C0000}"/>
    <cellStyle name="40% - Accent6 8" xfId="3612" hidden="1" xr:uid="{00000000-0005-0000-0000-00007B1C0000}"/>
    <cellStyle name="40% - Accent6 8" xfId="4113" hidden="1" xr:uid="{00000000-0005-0000-0000-00007C1C0000}"/>
    <cellStyle name="40% - Accent6 8" xfId="3651" hidden="1" xr:uid="{00000000-0005-0000-0000-00007D1C0000}"/>
    <cellStyle name="40% - Accent6 8" xfId="4282" hidden="1" xr:uid="{00000000-0005-0000-0000-00007E1C0000}"/>
    <cellStyle name="40% - Accent6 8" xfId="4354" hidden="1" xr:uid="{00000000-0005-0000-0000-00007F1C0000}"/>
    <cellStyle name="40% - Accent6 8" xfId="4432" hidden="1" xr:uid="{00000000-0005-0000-0000-0000801C0000}"/>
    <cellStyle name="40% - Accent6 8" xfId="4167" hidden="1" xr:uid="{00000000-0005-0000-0000-0000811C0000}"/>
    <cellStyle name="40% - Accent6 8" xfId="4677" hidden="1" xr:uid="{00000000-0005-0000-0000-0000821C0000}"/>
    <cellStyle name="40% - Accent6 8" xfId="3461" hidden="1" xr:uid="{00000000-0005-0000-0000-0000831C0000}"/>
    <cellStyle name="40% - Accent6 8" xfId="4823" hidden="1" xr:uid="{00000000-0005-0000-0000-0000841C0000}"/>
    <cellStyle name="40% - Accent6 8" xfId="4886" hidden="1" xr:uid="{00000000-0005-0000-0000-0000851C0000}"/>
    <cellStyle name="40% - Accent6 8" xfId="4964" hidden="1" xr:uid="{00000000-0005-0000-0000-0000861C0000}"/>
    <cellStyle name="40% - Accent6 8" xfId="5161" hidden="1" xr:uid="{00000000-0005-0000-0000-0000871C0000}"/>
    <cellStyle name="40% - Accent6 8" xfId="5223" hidden="1" xr:uid="{00000000-0005-0000-0000-0000881C0000}"/>
    <cellStyle name="40% - Accent6 8" xfId="5301" hidden="1" xr:uid="{00000000-0005-0000-0000-0000891C0000}"/>
    <cellStyle name="40% - Accent6 8" xfId="5498" hidden="1" xr:uid="{00000000-0005-0000-0000-00008A1C0000}"/>
    <cellStyle name="40% - Accent6 8" xfId="5560" hidden="1" xr:uid="{00000000-0005-0000-0000-00008B1C0000}"/>
    <cellStyle name="40% - Accent6 8" xfId="5683" hidden="1" xr:uid="{00000000-0005-0000-0000-00008C1C0000}"/>
    <cellStyle name="40% - Accent6 8" xfId="5653" hidden="1" xr:uid="{00000000-0005-0000-0000-00008D1C0000}"/>
    <cellStyle name="40% - Accent6 8" xfId="5812" hidden="1" xr:uid="{00000000-0005-0000-0000-00008E1C0000}"/>
    <cellStyle name="40% - Accent6 8" xfId="5890" hidden="1" xr:uid="{00000000-0005-0000-0000-00008F1C0000}"/>
    <cellStyle name="40% - Accent6 8" xfId="6468" hidden="1" xr:uid="{00000000-0005-0000-0000-0000901C0000}"/>
    <cellStyle name="40% - Accent6 8" xfId="6551" hidden="1" xr:uid="{00000000-0005-0000-0000-0000911C0000}"/>
    <cellStyle name="40% - Accent6 8" xfId="6629" hidden="1" xr:uid="{00000000-0005-0000-0000-0000921C0000}"/>
    <cellStyle name="40% - Accent6 8" xfId="6404" hidden="1" xr:uid="{00000000-0005-0000-0000-0000931C0000}"/>
    <cellStyle name="40% - Accent6 8" xfId="6905" hidden="1" xr:uid="{00000000-0005-0000-0000-0000941C0000}"/>
    <cellStyle name="40% - Accent6 8" xfId="6443" hidden="1" xr:uid="{00000000-0005-0000-0000-0000951C0000}"/>
    <cellStyle name="40% - Accent6 8" xfId="7074" hidden="1" xr:uid="{00000000-0005-0000-0000-0000961C0000}"/>
    <cellStyle name="40% - Accent6 8" xfId="7146" hidden="1" xr:uid="{00000000-0005-0000-0000-0000971C0000}"/>
    <cellStyle name="40% - Accent6 8" xfId="7224" hidden="1" xr:uid="{00000000-0005-0000-0000-0000981C0000}"/>
    <cellStyle name="40% - Accent6 8" xfId="6959" hidden="1" xr:uid="{00000000-0005-0000-0000-0000991C0000}"/>
    <cellStyle name="40% - Accent6 8" xfId="7469" hidden="1" xr:uid="{00000000-0005-0000-0000-00009A1C0000}"/>
    <cellStyle name="40% - Accent6 8" xfId="6253" hidden="1" xr:uid="{00000000-0005-0000-0000-00009B1C0000}"/>
    <cellStyle name="40% - Accent6 8" xfId="7615" hidden="1" xr:uid="{00000000-0005-0000-0000-00009C1C0000}"/>
    <cellStyle name="40% - Accent6 8" xfId="7678" hidden="1" xr:uid="{00000000-0005-0000-0000-00009D1C0000}"/>
    <cellStyle name="40% - Accent6 8" xfId="7756" hidden="1" xr:uid="{00000000-0005-0000-0000-00009E1C0000}"/>
    <cellStyle name="40% - Accent6 8" xfId="7953" hidden="1" xr:uid="{00000000-0005-0000-0000-00009F1C0000}"/>
    <cellStyle name="40% - Accent6 8" xfId="8015" hidden="1" xr:uid="{00000000-0005-0000-0000-0000A01C0000}"/>
    <cellStyle name="40% - Accent6 8" xfId="8093" hidden="1" xr:uid="{00000000-0005-0000-0000-0000A11C0000}"/>
    <cellStyle name="40% - Accent6 8" xfId="8290" hidden="1" xr:uid="{00000000-0005-0000-0000-0000A21C0000}"/>
    <cellStyle name="40% - Accent6 8" xfId="8352" hidden="1" xr:uid="{00000000-0005-0000-0000-0000A31C0000}"/>
    <cellStyle name="40% - Accent6 9" xfId="112" hidden="1" xr:uid="{00000000-0005-0000-0000-0000A41C0000}"/>
    <cellStyle name="40% - Accent6 9" xfId="186" hidden="1" xr:uid="{00000000-0005-0000-0000-0000A51C0000}"/>
    <cellStyle name="40% - Accent6 9" xfId="262" hidden="1" xr:uid="{00000000-0005-0000-0000-0000A61C0000}"/>
    <cellStyle name="40% - Accent6 9" xfId="340" hidden="1" xr:uid="{00000000-0005-0000-0000-0000A71C0000}"/>
    <cellStyle name="40% - Accent6 9" xfId="925" hidden="1" xr:uid="{00000000-0005-0000-0000-0000A81C0000}"/>
    <cellStyle name="40% - Accent6 9" xfId="1001" hidden="1" xr:uid="{00000000-0005-0000-0000-0000A91C0000}"/>
    <cellStyle name="40% - Accent6 9" xfId="1080" hidden="1" xr:uid="{00000000-0005-0000-0000-0000AA1C0000}"/>
    <cellStyle name="40% - Accent6 9" xfId="1136" hidden="1" xr:uid="{00000000-0005-0000-0000-0000AB1C0000}"/>
    <cellStyle name="40% - Accent6 9" xfId="712" hidden="1" xr:uid="{00000000-0005-0000-0000-0000AC1C0000}"/>
    <cellStyle name="40% - Accent6 9" xfId="636" hidden="1" xr:uid="{00000000-0005-0000-0000-0000AD1C0000}"/>
    <cellStyle name="40% - Accent6 9" xfId="1520" hidden="1" xr:uid="{00000000-0005-0000-0000-0000AE1C0000}"/>
    <cellStyle name="40% - Accent6 9" xfId="1596" hidden="1" xr:uid="{00000000-0005-0000-0000-0000AF1C0000}"/>
    <cellStyle name="40% - Accent6 9" xfId="1674" hidden="1" xr:uid="{00000000-0005-0000-0000-0000B01C0000}"/>
    <cellStyle name="40% - Accent6 9" xfId="1725" hidden="1" xr:uid="{00000000-0005-0000-0000-0000B11C0000}"/>
    <cellStyle name="40% - Accent6 9" xfId="823" hidden="1" xr:uid="{00000000-0005-0000-0000-0000B21C0000}"/>
    <cellStyle name="40% - Accent6 9" xfId="634" hidden="1" xr:uid="{00000000-0005-0000-0000-0000B31C0000}"/>
    <cellStyle name="40% - Accent6 9" xfId="2052" hidden="1" xr:uid="{00000000-0005-0000-0000-0000B41C0000}"/>
    <cellStyle name="40% - Accent6 9" xfId="2128" hidden="1" xr:uid="{00000000-0005-0000-0000-0000B51C0000}"/>
    <cellStyle name="40% - Accent6 9" xfId="2206" hidden="1" xr:uid="{00000000-0005-0000-0000-0000B61C0000}"/>
    <cellStyle name="40% - Accent6 9" xfId="2389" hidden="1" xr:uid="{00000000-0005-0000-0000-0000B71C0000}"/>
    <cellStyle name="40% - Accent6 9" xfId="2465" hidden="1" xr:uid="{00000000-0005-0000-0000-0000B81C0000}"/>
    <cellStyle name="40% - Accent6 9" xfId="2543" hidden="1" xr:uid="{00000000-0005-0000-0000-0000B91C0000}"/>
    <cellStyle name="40% - Accent6 9" xfId="2726" hidden="1" xr:uid="{00000000-0005-0000-0000-0000BA1C0000}"/>
    <cellStyle name="40% - Accent6 9" xfId="2802" hidden="1" xr:uid="{00000000-0005-0000-0000-0000BB1C0000}"/>
    <cellStyle name="40% - Accent6 9" xfId="2904" hidden="1" xr:uid="{00000000-0005-0000-0000-0000BC1C0000}"/>
    <cellStyle name="40% - Accent6 9" xfId="2978" hidden="1" xr:uid="{00000000-0005-0000-0000-0000BD1C0000}"/>
    <cellStyle name="40% - Accent6 9" xfId="3054" hidden="1" xr:uid="{00000000-0005-0000-0000-0000BE1C0000}"/>
    <cellStyle name="40% - Accent6 9" xfId="3132" hidden="1" xr:uid="{00000000-0005-0000-0000-0000BF1C0000}"/>
    <cellStyle name="40% - Accent6 9" xfId="3717" hidden="1" xr:uid="{00000000-0005-0000-0000-0000C01C0000}"/>
    <cellStyle name="40% - Accent6 9" xfId="3793" hidden="1" xr:uid="{00000000-0005-0000-0000-0000C11C0000}"/>
    <cellStyle name="40% - Accent6 9" xfId="3872" hidden="1" xr:uid="{00000000-0005-0000-0000-0000C21C0000}"/>
    <cellStyle name="40% - Accent6 9" xfId="3928" hidden="1" xr:uid="{00000000-0005-0000-0000-0000C31C0000}"/>
    <cellStyle name="40% - Accent6 9" xfId="3504" hidden="1" xr:uid="{00000000-0005-0000-0000-0000C41C0000}"/>
    <cellStyle name="40% - Accent6 9" xfId="3428" hidden="1" xr:uid="{00000000-0005-0000-0000-0000C51C0000}"/>
    <cellStyle name="40% - Accent6 9" xfId="4312" hidden="1" xr:uid="{00000000-0005-0000-0000-0000C61C0000}"/>
    <cellStyle name="40% - Accent6 9" xfId="4388" hidden="1" xr:uid="{00000000-0005-0000-0000-0000C71C0000}"/>
    <cellStyle name="40% - Accent6 9" xfId="4466" hidden="1" xr:uid="{00000000-0005-0000-0000-0000C81C0000}"/>
    <cellStyle name="40% - Accent6 9" xfId="4517" hidden="1" xr:uid="{00000000-0005-0000-0000-0000C91C0000}"/>
    <cellStyle name="40% - Accent6 9" xfId="3615" hidden="1" xr:uid="{00000000-0005-0000-0000-0000CA1C0000}"/>
    <cellStyle name="40% - Accent6 9" xfId="3426" hidden="1" xr:uid="{00000000-0005-0000-0000-0000CB1C0000}"/>
    <cellStyle name="40% - Accent6 9" xfId="4844" hidden="1" xr:uid="{00000000-0005-0000-0000-0000CC1C0000}"/>
    <cellStyle name="40% - Accent6 9" xfId="4920" hidden="1" xr:uid="{00000000-0005-0000-0000-0000CD1C0000}"/>
    <cellStyle name="40% - Accent6 9" xfId="4998" hidden="1" xr:uid="{00000000-0005-0000-0000-0000CE1C0000}"/>
    <cellStyle name="40% - Accent6 9" xfId="5181" hidden="1" xr:uid="{00000000-0005-0000-0000-0000CF1C0000}"/>
    <cellStyle name="40% - Accent6 9" xfId="5257" hidden="1" xr:uid="{00000000-0005-0000-0000-0000D01C0000}"/>
    <cellStyle name="40% - Accent6 9" xfId="5335" hidden="1" xr:uid="{00000000-0005-0000-0000-0000D11C0000}"/>
    <cellStyle name="40% - Accent6 9" xfId="5518" hidden="1" xr:uid="{00000000-0005-0000-0000-0000D21C0000}"/>
    <cellStyle name="40% - Accent6 9" xfId="5594" hidden="1" xr:uid="{00000000-0005-0000-0000-0000D31C0000}"/>
    <cellStyle name="40% - Accent6 9" xfId="5696" hidden="1" xr:uid="{00000000-0005-0000-0000-0000D41C0000}"/>
    <cellStyle name="40% - Accent6 9" xfId="5770" hidden="1" xr:uid="{00000000-0005-0000-0000-0000D51C0000}"/>
    <cellStyle name="40% - Accent6 9" xfId="5846" hidden="1" xr:uid="{00000000-0005-0000-0000-0000D61C0000}"/>
    <cellStyle name="40% - Accent6 9" xfId="5924" hidden="1" xr:uid="{00000000-0005-0000-0000-0000D71C0000}"/>
    <cellStyle name="40% - Accent6 9" xfId="6509" hidden="1" xr:uid="{00000000-0005-0000-0000-0000D81C0000}"/>
    <cellStyle name="40% - Accent6 9" xfId="6585" hidden="1" xr:uid="{00000000-0005-0000-0000-0000D91C0000}"/>
    <cellStyle name="40% - Accent6 9" xfId="6664" hidden="1" xr:uid="{00000000-0005-0000-0000-0000DA1C0000}"/>
    <cellStyle name="40% - Accent6 9" xfId="6720" hidden="1" xr:uid="{00000000-0005-0000-0000-0000DB1C0000}"/>
    <cellStyle name="40% - Accent6 9" xfId="6296" hidden="1" xr:uid="{00000000-0005-0000-0000-0000DC1C0000}"/>
    <cellStyle name="40% - Accent6 9" xfId="6220" hidden="1" xr:uid="{00000000-0005-0000-0000-0000DD1C0000}"/>
    <cellStyle name="40% - Accent6 9" xfId="7104" hidden="1" xr:uid="{00000000-0005-0000-0000-0000DE1C0000}"/>
    <cellStyle name="40% - Accent6 9" xfId="7180" hidden="1" xr:uid="{00000000-0005-0000-0000-0000DF1C0000}"/>
    <cellStyle name="40% - Accent6 9" xfId="7258" hidden="1" xr:uid="{00000000-0005-0000-0000-0000E01C0000}"/>
    <cellStyle name="40% - Accent6 9" xfId="7309" hidden="1" xr:uid="{00000000-0005-0000-0000-0000E11C0000}"/>
    <cellStyle name="40% - Accent6 9" xfId="6407" hidden="1" xr:uid="{00000000-0005-0000-0000-0000E21C0000}"/>
    <cellStyle name="40% - Accent6 9" xfId="6218" hidden="1" xr:uid="{00000000-0005-0000-0000-0000E31C0000}"/>
    <cellStyle name="40% - Accent6 9" xfId="7636" hidden="1" xr:uid="{00000000-0005-0000-0000-0000E41C0000}"/>
    <cellStyle name="40% - Accent6 9" xfId="7712" hidden="1" xr:uid="{00000000-0005-0000-0000-0000E51C0000}"/>
    <cellStyle name="40% - Accent6 9" xfId="7790" hidden="1" xr:uid="{00000000-0005-0000-0000-0000E61C0000}"/>
    <cellStyle name="40% - Accent6 9" xfId="7973" hidden="1" xr:uid="{00000000-0005-0000-0000-0000E71C0000}"/>
    <cellStyle name="40% - Accent6 9" xfId="8049" hidden="1" xr:uid="{00000000-0005-0000-0000-0000E81C0000}"/>
    <cellStyle name="40% - Accent6 9" xfId="8127" hidden="1" xr:uid="{00000000-0005-0000-0000-0000E91C0000}"/>
    <cellStyle name="40% - Accent6 9" xfId="8310" hidden="1" xr:uid="{00000000-0005-0000-0000-0000EA1C0000}"/>
    <cellStyle name="40% - Accent6 9" xfId="8386" hidden="1" xr:uid="{00000000-0005-0000-0000-0000EB1C0000}"/>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Array" xfId="59" xr:uid="{E110273F-3D35-4F0F-8F00-267F18089E98}"/>
    <cellStyle name="Bad" xfId="11" builtinId="27" hidden="1"/>
    <cellStyle name="Calculation" xfId="15" builtinId="22" hidden="1"/>
    <cellStyle name="Check Cell" xfId="17" builtinId="23" hidden="1"/>
    <cellStyle name="Comma" xfId="1" builtinId="3" hidden="1"/>
    <cellStyle name="Comma" xfId="8447" xr:uid="{827840C3-FAC0-4AE2-86B6-CFC0FF2D57C3}"/>
    <cellStyle name="Comma [0]" xfId="2" builtinId="6" customBuiltin="1"/>
    <cellStyle name="Comma [1]" xfId="54" xr:uid="{00000000-0005-0000-0000-0000011D0000}"/>
    <cellStyle name="Comma [2]" xfId="53" xr:uid="{00000000-0005-0000-0000-0000021D0000}"/>
    <cellStyle name="Comma [3]" xfId="60" xr:uid="{E63FA7D3-F0E9-4D3F-8E2C-8E9D15E7B50E}"/>
    <cellStyle name="Comma [4]" xfId="52" xr:uid="{00000000-0005-0000-0000-0000031D0000}"/>
    <cellStyle name="Currency" xfId="3" builtinId="4" hidden="1"/>
    <cellStyle name="Currency [0]" xfId="4" builtinId="7" hidden="1"/>
    <cellStyle name="Currency [0] 10" xfId="488" hidden="1" xr:uid="{00000000-0005-0000-0000-0000071D0000}"/>
    <cellStyle name="Currency [0] 10" xfId="1207" hidden="1" xr:uid="{00000000-0005-0000-0000-0000081D0000}"/>
    <cellStyle name="Currency [0] 10" xfId="1379" hidden="1" xr:uid="{00000000-0005-0000-0000-0000091D0000}"/>
    <cellStyle name="Currency [0] 10" xfId="1777" hidden="1" xr:uid="{00000000-0005-0000-0000-00000A1D0000}"/>
    <cellStyle name="Currency [0] 10" xfId="1922" hidden="1" xr:uid="{00000000-0005-0000-0000-00000B1D0000}"/>
    <cellStyle name="Currency [0] 10" xfId="2263" hidden="1" xr:uid="{00000000-0005-0000-0000-00000C1D0000}"/>
    <cellStyle name="Currency [0] 10" xfId="2600" hidden="1" xr:uid="{00000000-0005-0000-0000-00000D1D0000}"/>
    <cellStyle name="Currency [0] 10" xfId="2851" hidden="1" xr:uid="{00000000-0005-0000-0000-00000E1D0000}"/>
    <cellStyle name="Currency [0] 10" xfId="3280" hidden="1" xr:uid="{00000000-0005-0000-0000-00000F1D0000}"/>
    <cellStyle name="Currency [0] 10" xfId="3999" hidden="1" xr:uid="{00000000-0005-0000-0000-0000101D0000}"/>
    <cellStyle name="Currency [0] 10" xfId="4171" hidden="1" xr:uid="{00000000-0005-0000-0000-0000111D0000}"/>
    <cellStyle name="Currency [0] 10" xfId="4569" hidden="1" xr:uid="{00000000-0005-0000-0000-0000121D0000}"/>
    <cellStyle name="Currency [0] 10" xfId="4714" hidden="1" xr:uid="{00000000-0005-0000-0000-0000131D0000}"/>
    <cellStyle name="Currency [0] 10" xfId="5055" hidden="1" xr:uid="{00000000-0005-0000-0000-0000141D0000}"/>
    <cellStyle name="Currency [0] 10" xfId="5392" hidden="1" xr:uid="{00000000-0005-0000-0000-0000151D0000}"/>
    <cellStyle name="Currency [0] 10" xfId="5643" hidden="1" xr:uid="{00000000-0005-0000-0000-0000161D0000}"/>
    <cellStyle name="Currency [0] 10" xfId="6072" hidden="1" xr:uid="{00000000-0005-0000-0000-0000171D0000}"/>
    <cellStyle name="Currency [0] 10" xfId="6791" hidden="1" xr:uid="{00000000-0005-0000-0000-0000181D0000}"/>
    <cellStyle name="Currency [0] 10" xfId="6963" hidden="1" xr:uid="{00000000-0005-0000-0000-0000191D0000}"/>
    <cellStyle name="Currency [0] 10" xfId="7361" hidden="1" xr:uid="{00000000-0005-0000-0000-00001A1D0000}"/>
    <cellStyle name="Currency [0] 10" xfId="7506" hidden="1" xr:uid="{00000000-0005-0000-0000-00001B1D0000}"/>
    <cellStyle name="Currency [0] 10" xfId="7847" hidden="1" xr:uid="{00000000-0005-0000-0000-00001C1D0000}"/>
    <cellStyle name="Currency [0] 10" xfId="8184" hidden="1" xr:uid="{00000000-0005-0000-0000-00001D1D0000}"/>
    <cellStyle name="Currency [0] 10" xfId="8435" hidden="1" xr:uid="{00000000-0005-0000-0000-00001E1D0000}"/>
    <cellStyle name="Currency [0] 11" xfId="489" hidden="1" xr:uid="{00000000-0005-0000-0000-00001F1D0000}"/>
    <cellStyle name="Currency [0] 11" xfId="1210" hidden="1" xr:uid="{00000000-0005-0000-0000-0000201D0000}"/>
    <cellStyle name="Currency [0] 11" xfId="1381" hidden="1" xr:uid="{00000000-0005-0000-0000-0000211D0000}"/>
    <cellStyle name="Currency [0] 11" xfId="1778" hidden="1" xr:uid="{00000000-0005-0000-0000-0000221D0000}"/>
    <cellStyle name="Currency [0] 11" xfId="1923" hidden="1" xr:uid="{00000000-0005-0000-0000-0000231D0000}"/>
    <cellStyle name="Currency [0] 11" xfId="2264" hidden="1" xr:uid="{00000000-0005-0000-0000-0000241D0000}"/>
    <cellStyle name="Currency [0] 11" xfId="2601" hidden="1" xr:uid="{00000000-0005-0000-0000-0000251D0000}"/>
    <cellStyle name="Currency [0] 11" xfId="2852" hidden="1" xr:uid="{00000000-0005-0000-0000-0000261D0000}"/>
    <cellStyle name="Currency [0] 11" xfId="3281" hidden="1" xr:uid="{00000000-0005-0000-0000-0000271D0000}"/>
    <cellStyle name="Currency [0] 11" xfId="4002" hidden="1" xr:uid="{00000000-0005-0000-0000-0000281D0000}"/>
    <cellStyle name="Currency [0] 11" xfId="4173" hidden="1" xr:uid="{00000000-0005-0000-0000-0000291D0000}"/>
    <cellStyle name="Currency [0] 11" xfId="4570" hidden="1" xr:uid="{00000000-0005-0000-0000-00002A1D0000}"/>
    <cellStyle name="Currency [0] 11" xfId="4715" hidden="1" xr:uid="{00000000-0005-0000-0000-00002B1D0000}"/>
    <cellStyle name="Currency [0] 11" xfId="5056" hidden="1" xr:uid="{00000000-0005-0000-0000-00002C1D0000}"/>
    <cellStyle name="Currency [0] 11" xfId="5393" hidden="1" xr:uid="{00000000-0005-0000-0000-00002D1D0000}"/>
    <cellStyle name="Currency [0] 11" xfId="5644" hidden="1" xr:uid="{00000000-0005-0000-0000-00002E1D0000}"/>
    <cellStyle name="Currency [0] 11" xfId="6073" hidden="1" xr:uid="{00000000-0005-0000-0000-00002F1D0000}"/>
    <cellStyle name="Currency [0] 11" xfId="6794" hidden="1" xr:uid="{00000000-0005-0000-0000-0000301D0000}"/>
    <cellStyle name="Currency [0] 11" xfId="6965" hidden="1" xr:uid="{00000000-0005-0000-0000-0000311D0000}"/>
    <cellStyle name="Currency [0] 11" xfId="7362" hidden="1" xr:uid="{00000000-0005-0000-0000-0000321D0000}"/>
    <cellStyle name="Currency [0] 11" xfId="7507" hidden="1" xr:uid="{00000000-0005-0000-0000-0000331D0000}"/>
    <cellStyle name="Currency [0] 11" xfId="7848" hidden="1" xr:uid="{00000000-0005-0000-0000-0000341D0000}"/>
    <cellStyle name="Currency [0] 11" xfId="8185" hidden="1" xr:uid="{00000000-0005-0000-0000-0000351D0000}"/>
    <cellStyle name="Currency [0] 11" xfId="8436" hidden="1" xr:uid="{00000000-0005-0000-0000-0000361D0000}"/>
    <cellStyle name="Currency [0] 12" xfId="487" hidden="1" xr:uid="{00000000-0005-0000-0000-0000371D0000}"/>
    <cellStyle name="Currency [0] 12" xfId="1205" hidden="1" xr:uid="{00000000-0005-0000-0000-0000381D0000}"/>
    <cellStyle name="Currency [0] 12" xfId="1377" hidden="1" xr:uid="{00000000-0005-0000-0000-0000391D0000}"/>
    <cellStyle name="Currency [0] 12" xfId="1776" hidden="1" xr:uid="{00000000-0005-0000-0000-00003A1D0000}"/>
    <cellStyle name="Currency [0] 12" xfId="1921" hidden="1" xr:uid="{00000000-0005-0000-0000-00003B1D0000}"/>
    <cellStyle name="Currency [0] 12" xfId="2262" hidden="1" xr:uid="{00000000-0005-0000-0000-00003C1D0000}"/>
    <cellStyle name="Currency [0] 12" xfId="2599" hidden="1" xr:uid="{00000000-0005-0000-0000-00003D1D0000}"/>
    <cellStyle name="Currency [0] 12" xfId="2850" hidden="1" xr:uid="{00000000-0005-0000-0000-00003E1D0000}"/>
    <cellStyle name="Currency [0] 12" xfId="3279" hidden="1" xr:uid="{00000000-0005-0000-0000-00003F1D0000}"/>
    <cellStyle name="Currency [0] 12" xfId="3997" hidden="1" xr:uid="{00000000-0005-0000-0000-0000401D0000}"/>
    <cellStyle name="Currency [0] 12" xfId="4169" hidden="1" xr:uid="{00000000-0005-0000-0000-0000411D0000}"/>
    <cellStyle name="Currency [0] 12" xfId="4568" hidden="1" xr:uid="{00000000-0005-0000-0000-0000421D0000}"/>
    <cellStyle name="Currency [0] 12" xfId="4713" hidden="1" xr:uid="{00000000-0005-0000-0000-0000431D0000}"/>
    <cellStyle name="Currency [0] 12" xfId="5054" hidden="1" xr:uid="{00000000-0005-0000-0000-0000441D0000}"/>
    <cellStyle name="Currency [0] 12" xfId="5391" hidden="1" xr:uid="{00000000-0005-0000-0000-0000451D0000}"/>
    <cellStyle name="Currency [0] 12" xfId="5642" hidden="1" xr:uid="{00000000-0005-0000-0000-0000461D0000}"/>
    <cellStyle name="Currency [0] 12" xfId="6071" hidden="1" xr:uid="{00000000-0005-0000-0000-0000471D0000}"/>
    <cellStyle name="Currency [0] 12" xfId="6789" hidden="1" xr:uid="{00000000-0005-0000-0000-0000481D0000}"/>
    <cellStyle name="Currency [0] 12" xfId="6961" hidden="1" xr:uid="{00000000-0005-0000-0000-0000491D0000}"/>
    <cellStyle name="Currency [0] 12" xfId="7360" hidden="1" xr:uid="{00000000-0005-0000-0000-00004A1D0000}"/>
    <cellStyle name="Currency [0] 12" xfId="7505" hidden="1" xr:uid="{00000000-0005-0000-0000-00004B1D0000}"/>
    <cellStyle name="Currency [0] 12" xfId="7846" hidden="1" xr:uid="{00000000-0005-0000-0000-00004C1D0000}"/>
    <cellStyle name="Currency [0] 12" xfId="8183" hidden="1" xr:uid="{00000000-0005-0000-0000-00004D1D0000}"/>
    <cellStyle name="Currency [0] 12" xfId="8434" hidden="1" xr:uid="{00000000-0005-0000-0000-00004E1D0000}"/>
    <cellStyle name="Currency [0] 13" xfId="490" hidden="1" xr:uid="{00000000-0005-0000-0000-00004F1D0000}"/>
    <cellStyle name="Currency [0] 13" xfId="1211" hidden="1" xr:uid="{00000000-0005-0000-0000-0000501D0000}"/>
    <cellStyle name="Currency [0] 13" xfId="1383" hidden="1" xr:uid="{00000000-0005-0000-0000-0000511D0000}"/>
    <cellStyle name="Currency [0] 13" xfId="1779" hidden="1" xr:uid="{00000000-0005-0000-0000-0000521D0000}"/>
    <cellStyle name="Currency [0] 13" xfId="1925" hidden="1" xr:uid="{00000000-0005-0000-0000-0000531D0000}"/>
    <cellStyle name="Currency [0] 13" xfId="2265" hidden="1" xr:uid="{00000000-0005-0000-0000-0000541D0000}"/>
    <cellStyle name="Currency [0] 13" xfId="2602" hidden="1" xr:uid="{00000000-0005-0000-0000-0000551D0000}"/>
    <cellStyle name="Currency [0] 13" xfId="2853" hidden="1" xr:uid="{00000000-0005-0000-0000-0000561D0000}"/>
    <cellStyle name="Currency [0] 13" xfId="3282" hidden="1" xr:uid="{00000000-0005-0000-0000-0000571D0000}"/>
    <cellStyle name="Currency [0] 13" xfId="4003" hidden="1" xr:uid="{00000000-0005-0000-0000-0000581D0000}"/>
    <cellStyle name="Currency [0] 13" xfId="4175" hidden="1" xr:uid="{00000000-0005-0000-0000-0000591D0000}"/>
    <cellStyle name="Currency [0] 13" xfId="4571" hidden="1" xr:uid="{00000000-0005-0000-0000-00005A1D0000}"/>
    <cellStyle name="Currency [0] 13" xfId="4717" hidden="1" xr:uid="{00000000-0005-0000-0000-00005B1D0000}"/>
    <cellStyle name="Currency [0] 13" xfId="5057" hidden="1" xr:uid="{00000000-0005-0000-0000-00005C1D0000}"/>
    <cellStyle name="Currency [0] 13" xfId="5394" hidden="1" xr:uid="{00000000-0005-0000-0000-00005D1D0000}"/>
    <cellStyle name="Currency [0] 13" xfId="5645" hidden="1" xr:uid="{00000000-0005-0000-0000-00005E1D0000}"/>
    <cellStyle name="Currency [0] 13" xfId="6074" hidden="1" xr:uid="{00000000-0005-0000-0000-00005F1D0000}"/>
    <cellStyle name="Currency [0] 13" xfId="6795" hidden="1" xr:uid="{00000000-0005-0000-0000-0000601D0000}"/>
    <cellStyle name="Currency [0] 13" xfId="6967" hidden="1" xr:uid="{00000000-0005-0000-0000-0000611D0000}"/>
    <cellStyle name="Currency [0] 13" xfId="7363" hidden="1" xr:uid="{00000000-0005-0000-0000-0000621D0000}"/>
    <cellStyle name="Currency [0] 13" xfId="7509" hidden="1" xr:uid="{00000000-0005-0000-0000-0000631D0000}"/>
    <cellStyle name="Currency [0] 13" xfId="7849" hidden="1" xr:uid="{00000000-0005-0000-0000-0000641D0000}"/>
    <cellStyle name="Currency [0] 13" xfId="8186" hidden="1" xr:uid="{00000000-0005-0000-0000-0000651D0000}"/>
    <cellStyle name="Currency [0] 13" xfId="8437" hidden="1" xr:uid="{00000000-0005-0000-0000-0000661D0000}"/>
    <cellStyle name="Currency [0] 14" xfId="492" hidden="1" xr:uid="{00000000-0005-0000-0000-0000671D0000}"/>
    <cellStyle name="Currency [0] 14" xfId="1213" hidden="1" xr:uid="{00000000-0005-0000-0000-0000681D0000}"/>
    <cellStyle name="Currency [0] 14" xfId="1387" hidden="1" xr:uid="{00000000-0005-0000-0000-0000691D0000}"/>
    <cellStyle name="Currency [0] 14" xfId="1781" hidden="1" xr:uid="{00000000-0005-0000-0000-00006A1D0000}"/>
    <cellStyle name="Currency [0] 14" xfId="1928" hidden="1" xr:uid="{00000000-0005-0000-0000-00006B1D0000}"/>
    <cellStyle name="Currency [0] 14" xfId="2267" hidden="1" xr:uid="{00000000-0005-0000-0000-00006C1D0000}"/>
    <cellStyle name="Currency [0] 14" xfId="2604" hidden="1" xr:uid="{00000000-0005-0000-0000-00006D1D0000}"/>
    <cellStyle name="Currency [0] 14" xfId="2855" hidden="1" xr:uid="{00000000-0005-0000-0000-00006E1D0000}"/>
    <cellStyle name="Currency [0] 14" xfId="3284" hidden="1" xr:uid="{00000000-0005-0000-0000-00006F1D0000}"/>
    <cellStyle name="Currency [0] 14" xfId="4005" hidden="1" xr:uid="{00000000-0005-0000-0000-0000701D0000}"/>
    <cellStyle name="Currency [0] 14" xfId="4179" hidden="1" xr:uid="{00000000-0005-0000-0000-0000711D0000}"/>
    <cellStyle name="Currency [0] 14" xfId="4573" hidden="1" xr:uid="{00000000-0005-0000-0000-0000721D0000}"/>
    <cellStyle name="Currency [0] 14" xfId="4720" hidden="1" xr:uid="{00000000-0005-0000-0000-0000731D0000}"/>
    <cellStyle name="Currency [0] 14" xfId="5059" hidden="1" xr:uid="{00000000-0005-0000-0000-0000741D0000}"/>
    <cellStyle name="Currency [0] 14" xfId="5396" hidden="1" xr:uid="{00000000-0005-0000-0000-0000751D0000}"/>
    <cellStyle name="Currency [0] 14" xfId="5647" hidden="1" xr:uid="{00000000-0005-0000-0000-0000761D0000}"/>
    <cellStyle name="Currency [0] 14" xfId="6076" hidden="1" xr:uid="{00000000-0005-0000-0000-0000771D0000}"/>
    <cellStyle name="Currency [0] 14" xfId="6797" hidden="1" xr:uid="{00000000-0005-0000-0000-0000781D0000}"/>
    <cellStyle name="Currency [0] 14" xfId="6971" hidden="1" xr:uid="{00000000-0005-0000-0000-0000791D0000}"/>
    <cellStyle name="Currency [0] 14" xfId="7365" hidden="1" xr:uid="{00000000-0005-0000-0000-00007A1D0000}"/>
    <cellStyle name="Currency [0] 14" xfId="7512" hidden="1" xr:uid="{00000000-0005-0000-0000-00007B1D0000}"/>
    <cellStyle name="Currency [0] 14" xfId="7851" hidden="1" xr:uid="{00000000-0005-0000-0000-00007C1D0000}"/>
    <cellStyle name="Currency [0] 14" xfId="8188" hidden="1" xr:uid="{00000000-0005-0000-0000-00007D1D0000}"/>
    <cellStyle name="Currency [0] 14" xfId="8439" hidden="1" xr:uid="{00000000-0005-0000-0000-00007E1D0000}"/>
    <cellStyle name="Currency [0] 15" xfId="493" hidden="1" xr:uid="{00000000-0005-0000-0000-00007F1D0000}"/>
    <cellStyle name="Currency [0] 15" xfId="1214" hidden="1" xr:uid="{00000000-0005-0000-0000-0000801D0000}"/>
    <cellStyle name="Currency [0] 15" xfId="1388" hidden="1" xr:uid="{00000000-0005-0000-0000-0000811D0000}"/>
    <cellStyle name="Currency [0] 15" xfId="1782" hidden="1" xr:uid="{00000000-0005-0000-0000-0000821D0000}"/>
    <cellStyle name="Currency [0] 15" xfId="1929" hidden="1" xr:uid="{00000000-0005-0000-0000-0000831D0000}"/>
    <cellStyle name="Currency [0] 15" xfId="2268" hidden="1" xr:uid="{00000000-0005-0000-0000-0000841D0000}"/>
    <cellStyle name="Currency [0] 15" xfId="2605" hidden="1" xr:uid="{00000000-0005-0000-0000-0000851D0000}"/>
    <cellStyle name="Currency [0] 15" xfId="2856" hidden="1" xr:uid="{00000000-0005-0000-0000-0000861D0000}"/>
    <cellStyle name="Currency [0] 15" xfId="3285" hidden="1" xr:uid="{00000000-0005-0000-0000-0000871D0000}"/>
    <cellStyle name="Currency [0] 15" xfId="4006" hidden="1" xr:uid="{00000000-0005-0000-0000-0000881D0000}"/>
    <cellStyle name="Currency [0] 15" xfId="4180" hidden="1" xr:uid="{00000000-0005-0000-0000-0000891D0000}"/>
    <cellStyle name="Currency [0] 15" xfId="4574" hidden="1" xr:uid="{00000000-0005-0000-0000-00008A1D0000}"/>
    <cellStyle name="Currency [0] 15" xfId="4721" hidden="1" xr:uid="{00000000-0005-0000-0000-00008B1D0000}"/>
    <cellStyle name="Currency [0] 15" xfId="5060" hidden="1" xr:uid="{00000000-0005-0000-0000-00008C1D0000}"/>
    <cellStyle name="Currency [0] 15" xfId="5397" hidden="1" xr:uid="{00000000-0005-0000-0000-00008D1D0000}"/>
    <cellStyle name="Currency [0] 15" xfId="5648" hidden="1" xr:uid="{00000000-0005-0000-0000-00008E1D0000}"/>
    <cellStyle name="Currency [0] 15" xfId="6077" hidden="1" xr:uid="{00000000-0005-0000-0000-00008F1D0000}"/>
    <cellStyle name="Currency [0] 15" xfId="6798" hidden="1" xr:uid="{00000000-0005-0000-0000-0000901D0000}"/>
    <cellStyle name="Currency [0] 15" xfId="6972" hidden="1" xr:uid="{00000000-0005-0000-0000-0000911D0000}"/>
    <cellStyle name="Currency [0] 15" xfId="7366" hidden="1" xr:uid="{00000000-0005-0000-0000-0000921D0000}"/>
    <cellStyle name="Currency [0] 15" xfId="7513" hidden="1" xr:uid="{00000000-0005-0000-0000-0000931D0000}"/>
    <cellStyle name="Currency [0] 15" xfId="7852" hidden="1" xr:uid="{00000000-0005-0000-0000-0000941D0000}"/>
    <cellStyle name="Currency [0] 15" xfId="8189" hidden="1" xr:uid="{00000000-0005-0000-0000-0000951D0000}"/>
    <cellStyle name="Currency [0] 15" xfId="8440" hidden="1" xr:uid="{00000000-0005-0000-0000-0000961D0000}"/>
    <cellStyle name="Currency [0] 16" xfId="491" hidden="1" xr:uid="{00000000-0005-0000-0000-0000971D0000}"/>
    <cellStyle name="Currency [0] 16" xfId="1212" hidden="1" xr:uid="{00000000-0005-0000-0000-0000981D0000}"/>
    <cellStyle name="Currency [0] 16" xfId="1384" hidden="1" xr:uid="{00000000-0005-0000-0000-0000991D0000}"/>
    <cellStyle name="Currency [0] 16" xfId="1780" hidden="1" xr:uid="{00000000-0005-0000-0000-00009A1D0000}"/>
    <cellStyle name="Currency [0] 16" xfId="1927" hidden="1" xr:uid="{00000000-0005-0000-0000-00009B1D0000}"/>
    <cellStyle name="Currency [0] 16" xfId="2266" hidden="1" xr:uid="{00000000-0005-0000-0000-00009C1D0000}"/>
    <cellStyle name="Currency [0] 16" xfId="2603" hidden="1" xr:uid="{00000000-0005-0000-0000-00009D1D0000}"/>
    <cellStyle name="Currency [0] 16" xfId="2854" hidden="1" xr:uid="{00000000-0005-0000-0000-00009E1D0000}"/>
    <cellStyle name="Currency [0] 16" xfId="3283" hidden="1" xr:uid="{00000000-0005-0000-0000-00009F1D0000}"/>
    <cellStyle name="Currency [0] 16" xfId="4004" hidden="1" xr:uid="{00000000-0005-0000-0000-0000A01D0000}"/>
    <cellStyle name="Currency [0] 16" xfId="4176" hidden="1" xr:uid="{00000000-0005-0000-0000-0000A11D0000}"/>
    <cellStyle name="Currency [0] 16" xfId="4572" hidden="1" xr:uid="{00000000-0005-0000-0000-0000A21D0000}"/>
    <cellStyle name="Currency [0] 16" xfId="4719" hidden="1" xr:uid="{00000000-0005-0000-0000-0000A31D0000}"/>
    <cellStyle name="Currency [0] 16" xfId="5058" hidden="1" xr:uid="{00000000-0005-0000-0000-0000A41D0000}"/>
    <cellStyle name="Currency [0] 16" xfId="5395" hidden="1" xr:uid="{00000000-0005-0000-0000-0000A51D0000}"/>
    <cellStyle name="Currency [0] 16" xfId="5646" hidden="1" xr:uid="{00000000-0005-0000-0000-0000A61D0000}"/>
    <cellStyle name="Currency [0] 16" xfId="6075" hidden="1" xr:uid="{00000000-0005-0000-0000-0000A71D0000}"/>
    <cellStyle name="Currency [0] 16" xfId="6796" hidden="1" xr:uid="{00000000-0005-0000-0000-0000A81D0000}"/>
    <cellStyle name="Currency [0] 16" xfId="6968" hidden="1" xr:uid="{00000000-0005-0000-0000-0000A91D0000}"/>
    <cellStyle name="Currency [0] 16" xfId="7364" hidden="1" xr:uid="{00000000-0005-0000-0000-0000AA1D0000}"/>
    <cellStyle name="Currency [0] 16" xfId="7511" hidden="1" xr:uid="{00000000-0005-0000-0000-0000AB1D0000}"/>
    <cellStyle name="Currency [0] 16" xfId="7850" hidden="1" xr:uid="{00000000-0005-0000-0000-0000AC1D0000}"/>
    <cellStyle name="Currency [0] 16" xfId="8187" hidden="1" xr:uid="{00000000-0005-0000-0000-0000AD1D0000}"/>
    <cellStyle name="Currency [0] 16" xfId="8438" hidden="1" xr:uid="{00000000-0005-0000-0000-0000AE1D0000}"/>
    <cellStyle name="Currency [0] 17" xfId="494" hidden="1" xr:uid="{00000000-0005-0000-0000-0000AF1D0000}"/>
    <cellStyle name="Currency [0] 17" xfId="1216" hidden="1" xr:uid="{00000000-0005-0000-0000-0000B01D0000}"/>
    <cellStyle name="Currency [0] 17" xfId="1389" hidden="1" xr:uid="{00000000-0005-0000-0000-0000B11D0000}"/>
    <cellStyle name="Currency [0] 17" xfId="1783" hidden="1" xr:uid="{00000000-0005-0000-0000-0000B21D0000}"/>
    <cellStyle name="Currency [0] 17" xfId="1930" hidden="1" xr:uid="{00000000-0005-0000-0000-0000B31D0000}"/>
    <cellStyle name="Currency [0] 17" xfId="2269" hidden="1" xr:uid="{00000000-0005-0000-0000-0000B41D0000}"/>
    <cellStyle name="Currency [0] 17" xfId="2606" hidden="1" xr:uid="{00000000-0005-0000-0000-0000B51D0000}"/>
    <cellStyle name="Currency [0] 17" xfId="2857" hidden="1" xr:uid="{00000000-0005-0000-0000-0000B61D0000}"/>
    <cellStyle name="Currency [0] 17" xfId="3286" hidden="1" xr:uid="{00000000-0005-0000-0000-0000B71D0000}"/>
    <cellStyle name="Currency [0] 17" xfId="4008" hidden="1" xr:uid="{00000000-0005-0000-0000-0000B81D0000}"/>
    <cellStyle name="Currency [0] 17" xfId="4181" hidden="1" xr:uid="{00000000-0005-0000-0000-0000B91D0000}"/>
    <cellStyle name="Currency [0] 17" xfId="4575" hidden="1" xr:uid="{00000000-0005-0000-0000-0000BA1D0000}"/>
    <cellStyle name="Currency [0] 17" xfId="4722" hidden="1" xr:uid="{00000000-0005-0000-0000-0000BB1D0000}"/>
    <cellStyle name="Currency [0] 17" xfId="5061" hidden="1" xr:uid="{00000000-0005-0000-0000-0000BC1D0000}"/>
    <cellStyle name="Currency [0] 17" xfId="5398" hidden="1" xr:uid="{00000000-0005-0000-0000-0000BD1D0000}"/>
    <cellStyle name="Currency [0] 17" xfId="5649" hidden="1" xr:uid="{00000000-0005-0000-0000-0000BE1D0000}"/>
    <cellStyle name="Currency [0] 17" xfId="6078" hidden="1" xr:uid="{00000000-0005-0000-0000-0000BF1D0000}"/>
    <cellStyle name="Currency [0] 17" xfId="6800" hidden="1" xr:uid="{00000000-0005-0000-0000-0000C01D0000}"/>
    <cellStyle name="Currency [0] 17" xfId="6973" hidden="1" xr:uid="{00000000-0005-0000-0000-0000C11D0000}"/>
    <cellStyle name="Currency [0] 17" xfId="7367" hidden="1" xr:uid="{00000000-0005-0000-0000-0000C21D0000}"/>
    <cellStyle name="Currency [0] 17" xfId="7514" hidden="1" xr:uid="{00000000-0005-0000-0000-0000C31D0000}"/>
    <cellStyle name="Currency [0] 17" xfId="7853" hidden="1" xr:uid="{00000000-0005-0000-0000-0000C41D0000}"/>
    <cellStyle name="Currency [0] 17" xfId="8190" hidden="1" xr:uid="{00000000-0005-0000-0000-0000C51D0000}"/>
    <cellStyle name="Currency [0] 17" xfId="8441" hidden="1" xr:uid="{00000000-0005-0000-0000-0000C61D0000}"/>
    <cellStyle name="Currency [0] 2" xfId="479" hidden="1" xr:uid="{00000000-0005-0000-0000-0000C71D0000}"/>
    <cellStyle name="Currency [0] 2" xfId="1161" hidden="1" xr:uid="{00000000-0005-0000-0000-0000C81D0000}"/>
    <cellStyle name="Currency [0] 2" xfId="815" hidden="1" xr:uid="{00000000-0005-0000-0000-0000C91D0000}"/>
    <cellStyle name="Currency [0] 2" xfId="1744" hidden="1" xr:uid="{00000000-0005-0000-0000-0000CA1D0000}"/>
    <cellStyle name="Currency [0] 2" xfId="1353" hidden="1" xr:uid="{00000000-0005-0000-0000-0000CB1D0000}"/>
    <cellStyle name="Currency [0] 2" xfId="2249" hidden="1" xr:uid="{00000000-0005-0000-0000-0000CC1D0000}"/>
    <cellStyle name="Currency [0] 2" xfId="2586" hidden="1" xr:uid="{00000000-0005-0000-0000-0000CD1D0000}"/>
    <cellStyle name="Currency [0] 2" xfId="2842" hidden="1" xr:uid="{00000000-0005-0000-0000-0000CE1D0000}"/>
    <cellStyle name="Currency [0] 2" xfId="3271" hidden="1" xr:uid="{00000000-0005-0000-0000-0000CF1D0000}"/>
    <cellStyle name="Currency [0] 2" xfId="3953" hidden="1" xr:uid="{00000000-0005-0000-0000-0000D01D0000}"/>
    <cellStyle name="Currency [0] 2" xfId="3607" hidden="1" xr:uid="{00000000-0005-0000-0000-0000D11D0000}"/>
    <cellStyle name="Currency [0] 2" xfId="4536" hidden="1" xr:uid="{00000000-0005-0000-0000-0000D21D0000}"/>
    <cellStyle name="Currency [0] 2" xfId="4145" hidden="1" xr:uid="{00000000-0005-0000-0000-0000D31D0000}"/>
    <cellStyle name="Currency [0] 2" xfId="5041" hidden="1" xr:uid="{00000000-0005-0000-0000-0000D41D0000}"/>
    <cellStyle name="Currency [0] 2" xfId="5378" hidden="1" xr:uid="{00000000-0005-0000-0000-0000D51D0000}"/>
    <cellStyle name="Currency [0] 2" xfId="5634" hidden="1" xr:uid="{00000000-0005-0000-0000-0000D61D0000}"/>
    <cellStyle name="Currency [0] 2" xfId="6063" hidden="1" xr:uid="{00000000-0005-0000-0000-0000D71D0000}"/>
    <cellStyle name="Currency [0] 2" xfId="6745" hidden="1" xr:uid="{00000000-0005-0000-0000-0000D81D0000}"/>
    <cellStyle name="Currency [0] 2" xfId="6399" hidden="1" xr:uid="{00000000-0005-0000-0000-0000D91D0000}"/>
    <cellStyle name="Currency [0] 2" xfId="7328" hidden="1" xr:uid="{00000000-0005-0000-0000-0000DA1D0000}"/>
    <cellStyle name="Currency [0] 2" xfId="6937" hidden="1" xr:uid="{00000000-0005-0000-0000-0000DB1D0000}"/>
    <cellStyle name="Currency [0] 2" xfId="7833" hidden="1" xr:uid="{00000000-0005-0000-0000-0000DC1D0000}"/>
    <cellStyle name="Currency [0] 2" xfId="8170" hidden="1" xr:uid="{00000000-0005-0000-0000-0000DD1D0000}"/>
    <cellStyle name="Currency [0] 2" xfId="8426" hidden="1" xr:uid="{00000000-0005-0000-0000-0000DE1D0000}"/>
    <cellStyle name="Currency [0] 3" xfId="480" hidden="1" xr:uid="{00000000-0005-0000-0000-0000DF1D0000}"/>
    <cellStyle name="Currency [0] 3" xfId="1162" hidden="1" xr:uid="{00000000-0005-0000-0000-0000E01D0000}"/>
    <cellStyle name="Currency [0] 3" xfId="886" hidden="1" xr:uid="{00000000-0005-0000-0000-0000E11D0000}"/>
    <cellStyle name="Currency [0] 3" xfId="1745" hidden="1" xr:uid="{00000000-0005-0000-0000-0000E21D0000}"/>
    <cellStyle name="Currency [0] 3" xfId="791" hidden="1" xr:uid="{00000000-0005-0000-0000-0000E31D0000}"/>
    <cellStyle name="Currency [0] 3" xfId="2250" hidden="1" xr:uid="{00000000-0005-0000-0000-0000E41D0000}"/>
    <cellStyle name="Currency [0] 3" xfId="2587" hidden="1" xr:uid="{00000000-0005-0000-0000-0000E51D0000}"/>
    <cellStyle name="Currency [0] 3" xfId="2843" hidden="1" xr:uid="{00000000-0005-0000-0000-0000E61D0000}"/>
    <cellStyle name="Currency [0] 3" xfId="3272" hidden="1" xr:uid="{00000000-0005-0000-0000-0000E71D0000}"/>
    <cellStyle name="Currency [0] 3" xfId="3954" hidden="1" xr:uid="{00000000-0005-0000-0000-0000E81D0000}"/>
    <cellStyle name="Currency [0] 3" xfId="3678" hidden="1" xr:uid="{00000000-0005-0000-0000-0000E91D0000}"/>
    <cellStyle name="Currency [0] 3" xfId="4537" hidden="1" xr:uid="{00000000-0005-0000-0000-0000EA1D0000}"/>
    <cellStyle name="Currency [0] 3" xfId="3583" hidden="1" xr:uid="{00000000-0005-0000-0000-0000EB1D0000}"/>
    <cellStyle name="Currency [0] 3" xfId="5042" hidden="1" xr:uid="{00000000-0005-0000-0000-0000EC1D0000}"/>
    <cellStyle name="Currency [0] 3" xfId="5379" hidden="1" xr:uid="{00000000-0005-0000-0000-0000ED1D0000}"/>
    <cellStyle name="Currency [0] 3" xfId="5635" hidden="1" xr:uid="{00000000-0005-0000-0000-0000EE1D0000}"/>
    <cellStyle name="Currency [0] 3" xfId="6064" hidden="1" xr:uid="{00000000-0005-0000-0000-0000EF1D0000}"/>
    <cellStyle name="Currency [0] 3" xfId="6746" hidden="1" xr:uid="{00000000-0005-0000-0000-0000F01D0000}"/>
    <cellStyle name="Currency [0] 3" xfId="6470" hidden="1" xr:uid="{00000000-0005-0000-0000-0000F11D0000}"/>
    <cellStyle name="Currency [0] 3" xfId="7329" hidden="1" xr:uid="{00000000-0005-0000-0000-0000F21D0000}"/>
    <cellStyle name="Currency [0] 3" xfId="6375" hidden="1" xr:uid="{00000000-0005-0000-0000-0000F31D0000}"/>
    <cellStyle name="Currency [0] 3" xfId="7834" hidden="1" xr:uid="{00000000-0005-0000-0000-0000F41D0000}"/>
    <cellStyle name="Currency [0] 3" xfId="8171" hidden="1" xr:uid="{00000000-0005-0000-0000-0000F51D0000}"/>
    <cellStyle name="Currency [0] 3" xfId="8427" hidden="1" xr:uid="{00000000-0005-0000-0000-0000F61D0000}"/>
    <cellStyle name="Currency [0] 4" xfId="482" hidden="1" xr:uid="{00000000-0005-0000-0000-0000F71D0000}"/>
    <cellStyle name="Currency [0] 4" xfId="1200" hidden="1" xr:uid="{00000000-0005-0000-0000-0000F81D0000}"/>
    <cellStyle name="Currency [0] 4" xfId="1364" hidden="1" xr:uid="{00000000-0005-0000-0000-0000F91D0000}"/>
    <cellStyle name="Currency [0] 4" xfId="1771" hidden="1" xr:uid="{00000000-0005-0000-0000-0000FA1D0000}"/>
    <cellStyle name="Currency [0] 4" xfId="1913" hidden="1" xr:uid="{00000000-0005-0000-0000-0000FB1D0000}"/>
    <cellStyle name="Currency [0] 4" xfId="2255" hidden="1" xr:uid="{00000000-0005-0000-0000-0000FC1D0000}"/>
    <cellStyle name="Currency [0] 4" xfId="2592" hidden="1" xr:uid="{00000000-0005-0000-0000-0000FD1D0000}"/>
    <cellStyle name="Currency [0] 4" xfId="2845" hidden="1" xr:uid="{00000000-0005-0000-0000-0000FE1D0000}"/>
    <cellStyle name="Currency [0] 4" xfId="3274" hidden="1" xr:uid="{00000000-0005-0000-0000-0000FF1D0000}"/>
    <cellStyle name="Currency [0] 4" xfId="3992" hidden="1" xr:uid="{00000000-0005-0000-0000-0000001E0000}"/>
    <cellStyle name="Currency [0] 4" xfId="4156" hidden="1" xr:uid="{00000000-0005-0000-0000-0000011E0000}"/>
    <cellStyle name="Currency [0] 4" xfId="4563" hidden="1" xr:uid="{00000000-0005-0000-0000-0000021E0000}"/>
    <cellStyle name="Currency [0] 4" xfId="4705" hidden="1" xr:uid="{00000000-0005-0000-0000-0000031E0000}"/>
    <cellStyle name="Currency [0] 4" xfId="5047" hidden="1" xr:uid="{00000000-0005-0000-0000-0000041E0000}"/>
    <cellStyle name="Currency [0] 4" xfId="5384" hidden="1" xr:uid="{00000000-0005-0000-0000-0000051E0000}"/>
    <cellStyle name="Currency [0] 4" xfId="5637" hidden="1" xr:uid="{00000000-0005-0000-0000-0000061E0000}"/>
    <cellStyle name="Currency [0] 4" xfId="6066" hidden="1" xr:uid="{00000000-0005-0000-0000-0000071E0000}"/>
    <cellStyle name="Currency [0] 4" xfId="6784" hidden="1" xr:uid="{00000000-0005-0000-0000-0000081E0000}"/>
    <cellStyle name="Currency [0] 4" xfId="6948" hidden="1" xr:uid="{00000000-0005-0000-0000-0000091E0000}"/>
    <cellStyle name="Currency [0] 4" xfId="7355" hidden="1" xr:uid="{00000000-0005-0000-0000-00000A1E0000}"/>
    <cellStyle name="Currency [0] 4" xfId="7497" hidden="1" xr:uid="{00000000-0005-0000-0000-00000B1E0000}"/>
    <cellStyle name="Currency [0] 4" xfId="7839" hidden="1" xr:uid="{00000000-0005-0000-0000-00000C1E0000}"/>
    <cellStyle name="Currency [0] 4" xfId="8176" hidden="1" xr:uid="{00000000-0005-0000-0000-00000D1E0000}"/>
    <cellStyle name="Currency [0] 4" xfId="8429" hidden="1" xr:uid="{00000000-0005-0000-0000-00000E1E0000}"/>
    <cellStyle name="Currency [0] 5" xfId="483" hidden="1" xr:uid="{00000000-0005-0000-0000-00000F1E0000}"/>
    <cellStyle name="Currency [0] 5" xfId="1201" hidden="1" xr:uid="{00000000-0005-0000-0000-0000101E0000}"/>
    <cellStyle name="Currency [0] 5" xfId="1366" hidden="1" xr:uid="{00000000-0005-0000-0000-0000111E0000}"/>
    <cellStyle name="Currency [0] 5" xfId="1772" hidden="1" xr:uid="{00000000-0005-0000-0000-0000121E0000}"/>
    <cellStyle name="Currency [0] 5" xfId="1914" hidden="1" xr:uid="{00000000-0005-0000-0000-0000131E0000}"/>
    <cellStyle name="Currency [0] 5" xfId="2256" hidden="1" xr:uid="{00000000-0005-0000-0000-0000141E0000}"/>
    <cellStyle name="Currency [0] 5" xfId="2593" hidden="1" xr:uid="{00000000-0005-0000-0000-0000151E0000}"/>
    <cellStyle name="Currency [0] 5" xfId="2846" hidden="1" xr:uid="{00000000-0005-0000-0000-0000161E0000}"/>
    <cellStyle name="Currency [0] 5" xfId="3275" hidden="1" xr:uid="{00000000-0005-0000-0000-0000171E0000}"/>
    <cellStyle name="Currency [0] 5" xfId="3993" hidden="1" xr:uid="{00000000-0005-0000-0000-0000181E0000}"/>
    <cellStyle name="Currency [0] 5" xfId="4158" hidden="1" xr:uid="{00000000-0005-0000-0000-0000191E0000}"/>
    <cellStyle name="Currency [0] 5" xfId="4564" hidden="1" xr:uid="{00000000-0005-0000-0000-00001A1E0000}"/>
    <cellStyle name="Currency [0] 5" xfId="4706" hidden="1" xr:uid="{00000000-0005-0000-0000-00001B1E0000}"/>
    <cellStyle name="Currency [0] 5" xfId="5048" hidden="1" xr:uid="{00000000-0005-0000-0000-00001C1E0000}"/>
    <cellStyle name="Currency [0] 5" xfId="5385" hidden="1" xr:uid="{00000000-0005-0000-0000-00001D1E0000}"/>
    <cellStyle name="Currency [0] 5" xfId="5638" hidden="1" xr:uid="{00000000-0005-0000-0000-00001E1E0000}"/>
    <cellStyle name="Currency [0] 5" xfId="6067" hidden="1" xr:uid="{00000000-0005-0000-0000-00001F1E0000}"/>
    <cellStyle name="Currency [0] 5" xfId="6785" hidden="1" xr:uid="{00000000-0005-0000-0000-0000201E0000}"/>
    <cellStyle name="Currency [0] 5" xfId="6950" hidden="1" xr:uid="{00000000-0005-0000-0000-0000211E0000}"/>
    <cellStyle name="Currency [0] 5" xfId="7356" hidden="1" xr:uid="{00000000-0005-0000-0000-0000221E0000}"/>
    <cellStyle name="Currency [0] 5" xfId="7498" hidden="1" xr:uid="{00000000-0005-0000-0000-0000231E0000}"/>
    <cellStyle name="Currency [0] 5" xfId="7840" hidden="1" xr:uid="{00000000-0005-0000-0000-0000241E0000}"/>
    <cellStyle name="Currency [0] 5" xfId="8177" hidden="1" xr:uid="{00000000-0005-0000-0000-0000251E0000}"/>
    <cellStyle name="Currency [0] 5" xfId="8430" hidden="1" xr:uid="{00000000-0005-0000-0000-0000261E0000}"/>
    <cellStyle name="Currency [0] 6" xfId="484" hidden="1" xr:uid="{00000000-0005-0000-0000-0000271E0000}"/>
    <cellStyle name="Currency [0] 6" xfId="1202" hidden="1" xr:uid="{00000000-0005-0000-0000-0000281E0000}"/>
    <cellStyle name="Currency [0] 6" xfId="1370" hidden="1" xr:uid="{00000000-0005-0000-0000-0000291E0000}"/>
    <cellStyle name="Currency [0] 6" xfId="1773" hidden="1" xr:uid="{00000000-0005-0000-0000-00002A1E0000}"/>
    <cellStyle name="Currency [0] 6" xfId="1916" hidden="1" xr:uid="{00000000-0005-0000-0000-00002B1E0000}"/>
    <cellStyle name="Currency [0] 6" xfId="2258" hidden="1" xr:uid="{00000000-0005-0000-0000-00002C1E0000}"/>
    <cellStyle name="Currency [0] 6" xfId="2595" hidden="1" xr:uid="{00000000-0005-0000-0000-00002D1E0000}"/>
    <cellStyle name="Currency [0] 6" xfId="2847" hidden="1" xr:uid="{00000000-0005-0000-0000-00002E1E0000}"/>
    <cellStyle name="Currency [0] 6" xfId="3276" hidden="1" xr:uid="{00000000-0005-0000-0000-00002F1E0000}"/>
    <cellStyle name="Currency [0] 6" xfId="3994" hidden="1" xr:uid="{00000000-0005-0000-0000-0000301E0000}"/>
    <cellStyle name="Currency [0] 6" xfId="4162" hidden="1" xr:uid="{00000000-0005-0000-0000-0000311E0000}"/>
    <cellStyle name="Currency [0] 6" xfId="4565" hidden="1" xr:uid="{00000000-0005-0000-0000-0000321E0000}"/>
    <cellStyle name="Currency [0] 6" xfId="4708" hidden="1" xr:uid="{00000000-0005-0000-0000-0000331E0000}"/>
    <cellStyle name="Currency [0] 6" xfId="5050" hidden="1" xr:uid="{00000000-0005-0000-0000-0000341E0000}"/>
    <cellStyle name="Currency [0] 6" xfId="5387" hidden="1" xr:uid="{00000000-0005-0000-0000-0000351E0000}"/>
    <cellStyle name="Currency [0] 6" xfId="5639" hidden="1" xr:uid="{00000000-0005-0000-0000-0000361E0000}"/>
    <cellStyle name="Currency [0] 6" xfId="6068" hidden="1" xr:uid="{00000000-0005-0000-0000-0000371E0000}"/>
    <cellStyle name="Currency [0] 6" xfId="6786" hidden="1" xr:uid="{00000000-0005-0000-0000-0000381E0000}"/>
    <cellStyle name="Currency [0] 6" xfId="6954" hidden="1" xr:uid="{00000000-0005-0000-0000-0000391E0000}"/>
    <cellStyle name="Currency [0] 6" xfId="7357" hidden="1" xr:uid="{00000000-0005-0000-0000-00003A1E0000}"/>
    <cellStyle name="Currency [0] 6" xfId="7500" hidden="1" xr:uid="{00000000-0005-0000-0000-00003B1E0000}"/>
    <cellStyle name="Currency [0] 6" xfId="7842" hidden="1" xr:uid="{00000000-0005-0000-0000-00003C1E0000}"/>
    <cellStyle name="Currency [0] 6" xfId="8179" hidden="1" xr:uid="{00000000-0005-0000-0000-00003D1E0000}"/>
    <cellStyle name="Currency [0] 6" xfId="8431" hidden="1" xr:uid="{00000000-0005-0000-0000-00003E1E0000}"/>
    <cellStyle name="Currency [0] 7" xfId="485" hidden="1" xr:uid="{00000000-0005-0000-0000-00003F1E0000}"/>
    <cellStyle name="Currency [0] 7" xfId="1203" hidden="1" xr:uid="{00000000-0005-0000-0000-0000401E0000}"/>
    <cellStyle name="Currency [0] 7" xfId="1373" hidden="1" xr:uid="{00000000-0005-0000-0000-0000411E0000}"/>
    <cellStyle name="Currency [0] 7" xfId="1774" hidden="1" xr:uid="{00000000-0005-0000-0000-0000421E0000}"/>
    <cellStyle name="Currency [0] 7" xfId="1919" hidden="1" xr:uid="{00000000-0005-0000-0000-0000431E0000}"/>
    <cellStyle name="Currency [0] 7" xfId="2260" hidden="1" xr:uid="{00000000-0005-0000-0000-0000441E0000}"/>
    <cellStyle name="Currency [0] 7" xfId="2597" hidden="1" xr:uid="{00000000-0005-0000-0000-0000451E0000}"/>
    <cellStyle name="Currency [0] 7" xfId="2848" hidden="1" xr:uid="{00000000-0005-0000-0000-0000461E0000}"/>
    <cellStyle name="Currency [0] 7" xfId="3277" hidden="1" xr:uid="{00000000-0005-0000-0000-0000471E0000}"/>
    <cellStyle name="Currency [0] 7" xfId="3995" hidden="1" xr:uid="{00000000-0005-0000-0000-0000481E0000}"/>
    <cellStyle name="Currency [0] 7" xfId="4165" hidden="1" xr:uid="{00000000-0005-0000-0000-0000491E0000}"/>
    <cellStyle name="Currency [0] 7" xfId="4566" hidden="1" xr:uid="{00000000-0005-0000-0000-00004A1E0000}"/>
    <cellStyle name="Currency [0] 7" xfId="4711" hidden="1" xr:uid="{00000000-0005-0000-0000-00004B1E0000}"/>
    <cellStyle name="Currency [0] 7" xfId="5052" hidden="1" xr:uid="{00000000-0005-0000-0000-00004C1E0000}"/>
    <cellStyle name="Currency [0] 7" xfId="5389" hidden="1" xr:uid="{00000000-0005-0000-0000-00004D1E0000}"/>
    <cellStyle name="Currency [0] 7" xfId="5640" hidden="1" xr:uid="{00000000-0005-0000-0000-00004E1E0000}"/>
    <cellStyle name="Currency [0] 7" xfId="6069" hidden="1" xr:uid="{00000000-0005-0000-0000-00004F1E0000}"/>
    <cellStyle name="Currency [0] 7" xfId="6787" hidden="1" xr:uid="{00000000-0005-0000-0000-0000501E0000}"/>
    <cellStyle name="Currency [0] 7" xfId="6957" hidden="1" xr:uid="{00000000-0005-0000-0000-0000511E0000}"/>
    <cellStyle name="Currency [0] 7" xfId="7358" hidden="1" xr:uid="{00000000-0005-0000-0000-0000521E0000}"/>
    <cellStyle name="Currency [0] 7" xfId="7503" hidden="1" xr:uid="{00000000-0005-0000-0000-0000531E0000}"/>
    <cellStyle name="Currency [0] 7" xfId="7844" hidden="1" xr:uid="{00000000-0005-0000-0000-0000541E0000}"/>
    <cellStyle name="Currency [0] 7" xfId="8181" hidden="1" xr:uid="{00000000-0005-0000-0000-0000551E0000}"/>
    <cellStyle name="Currency [0] 7" xfId="8432" hidden="1" xr:uid="{00000000-0005-0000-0000-0000561E0000}"/>
    <cellStyle name="Currency [0] 8" xfId="481" hidden="1" xr:uid="{00000000-0005-0000-0000-0000571E0000}"/>
    <cellStyle name="Currency [0] 8" xfId="1199" hidden="1" xr:uid="{00000000-0005-0000-0000-0000581E0000}"/>
    <cellStyle name="Currency [0] 8" xfId="1363" hidden="1" xr:uid="{00000000-0005-0000-0000-0000591E0000}"/>
    <cellStyle name="Currency [0] 8" xfId="1770" hidden="1" xr:uid="{00000000-0005-0000-0000-00005A1E0000}"/>
    <cellStyle name="Currency [0] 8" xfId="1912" hidden="1" xr:uid="{00000000-0005-0000-0000-00005B1E0000}"/>
    <cellStyle name="Currency [0] 8" xfId="2254" hidden="1" xr:uid="{00000000-0005-0000-0000-00005C1E0000}"/>
    <cellStyle name="Currency [0] 8" xfId="2591" hidden="1" xr:uid="{00000000-0005-0000-0000-00005D1E0000}"/>
    <cellStyle name="Currency [0] 8" xfId="2844" hidden="1" xr:uid="{00000000-0005-0000-0000-00005E1E0000}"/>
    <cellStyle name="Currency [0] 8" xfId="3273" hidden="1" xr:uid="{00000000-0005-0000-0000-00005F1E0000}"/>
    <cellStyle name="Currency [0] 8" xfId="3991" hidden="1" xr:uid="{00000000-0005-0000-0000-0000601E0000}"/>
    <cellStyle name="Currency [0] 8" xfId="4155" hidden="1" xr:uid="{00000000-0005-0000-0000-0000611E0000}"/>
    <cellStyle name="Currency [0] 8" xfId="4562" hidden="1" xr:uid="{00000000-0005-0000-0000-0000621E0000}"/>
    <cellStyle name="Currency [0] 8" xfId="4704" hidden="1" xr:uid="{00000000-0005-0000-0000-0000631E0000}"/>
    <cellStyle name="Currency [0] 8" xfId="5046" hidden="1" xr:uid="{00000000-0005-0000-0000-0000641E0000}"/>
    <cellStyle name="Currency [0] 8" xfId="5383" hidden="1" xr:uid="{00000000-0005-0000-0000-0000651E0000}"/>
    <cellStyle name="Currency [0] 8" xfId="5636" hidden="1" xr:uid="{00000000-0005-0000-0000-0000661E0000}"/>
    <cellStyle name="Currency [0] 8" xfId="6065" hidden="1" xr:uid="{00000000-0005-0000-0000-0000671E0000}"/>
    <cellStyle name="Currency [0] 8" xfId="6783" hidden="1" xr:uid="{00000000-0005-0000-0000-0000681E0000}"/>
    <cellStyle name="Currency [0] 8" xfId="6947" hidden="1" xr:uid="{00000000-0005-0000-0000-0000691E0000}"/>
    <cellStyle name="Currency [0] 8" xfId="7354" hidden="1" xr:uid="{00000000-0005-0000-0000-00006A1E0000}"/>
    <cellStyle name="Currency [0] 8" xfId="7496" hidden="1" xr:uid="{00000000-0005-0000-0000-00006B1E0000}"/>
    <cellStyle name="Currency [0] 8" xfId="7838" hidden="1" xr:uid="{00000000-0005-0000-0000-00006C1E0000}"/>
    <cellStyle name="Currency [0] 8" xfId="8175" hidden="1" xr:uid="{00000000-0005-0000-0000-00006D1E0000}"/>
    <cellStyle name="Currency [0] 8" xfId="8428" hidden="1" xr:uid="{00000000-0005-0000-0000-00006E1E0000}"/>
    <cellStyle name="Currency [0] 9" xfId="486" hidden="1" xr:uid="{00000000-0005-0000-0000-00006F1E0000}"/>
    <cellStyle name="Currency [0] 9" xfId="1204" hidden="1" xr:uid="{00000000-0005-0000-0000-0000701E0000}"/>
    <cellStyle name="Currency [0] 9" xfId="1376" hidden="1" xr:uid="{00000000-0005-0000-0000-0000711E0000}"/>
    <cellStyle name="Currency [0] 9" xfId="1775" hidden="1" xr:uid="{00000000-0005-0000-0000-0000721E0000}"/>
    <cellStyle name="Currency [0] 9" xfId="1920" hidden="1" xr:uid="{00000000-0005-0000-0000-0000731E0000}"/>
    <cellStyle name="Currency [0] 9" xfId="2261" hidden="1" xr:uid="{00000000-0005-0000-0000-0000741E0000}"/>
    <cellStyle name="Currency [0] 9" xfId="2598" hidden="1" xr:uid="{00000000-0005-0000-0000-0000751E0000}"/>
    <cellStyle name="Currency [0] 9" xfId="2849" hidden="1" xr:uid="{00000000-0005-0000-0000-0000761E0000}"/>
    <cellStyle name="Currency [0] 9" xfId="3278" hidden="1" xr:uid="{00000000-0005-0000-0000-0000771E0000}"/>
    <cellStyle name="Currency [0] 9" xfId="3996" hidden="1" xr:uid="{00000000-0005-0000-0000-0000781E0000}"/>
    <cellStyle name="Currency [0] 9" xfId="4168" hidden="1" xr:uid="{00000000-0005-0000-0000-0000791E0000}"/>
    <cellStyle name="Currency [0] 9" xfId="4567" hidden="1" xr:uid="{00000000-0005-0000-0000-00007A1E0000}"/>
    <cellStyle name="Currency [0] 9" xfId="4712" hidden="1" xr:uid="{00000000-0005-0000-0000-00007B1E0000}"/>
    <cellStyle name="Currency [0] 9" xfId="5053" hidden="1" xr:uid="{00000000-0005-0000-0000-00007C1E0000}"/>
    <cellStyle name="Currency [0] 9" xfId="5390" hidden="1" xr:uid="{00000000-0005-0000-0000-00007D1E0000}"/>
    <cellStyle name="Currency [0] 9" xfId="5641" hidden="1" xr:uid="{00000000-0005-0000-0000-00007E1E0000}"/>
    <cellStyle name="Currency [0] 9" xfId="6070" hidden="1" xr:uid="{00000000-0005-0000-0000-00007F1E0000}"/>
    <cellStyle name="Currency [0] 9" xfId="6788" hidden="1" xr:uid="{00000000-0005-0000-0000-0000801E0000}"/>
    <cellStyle name="Currency [0] 9" xfId="6960" hidden="1" xr:uid="{00000000-0005-0000-0000-0000811E0000}"/>
    <cellStyle name="Currency [0] 9" xfId="7359" hidden="1" xr:uid="{00000000-0005-0000-0000-0000821E0000}"/>
    <cellStyle name="Currency [0] 9" xfId="7504" hidden="1" xr:uid="{00000000-0005-0000-0000-0000831E0000}"/>
    <cellStyle name="Currency [0] 9" xfId="7845" hidden="1" xr:uid="{00000000-0005-0000-0000-0000841E0000}"/>
    <cellStyle name="Currency [0] 9" xfId="8182" hidden="1" xr:uid="{00000000-0005-0000-0000-0000851E0000}"/>
    <cellStyle name="Currency [0] 9" xfId="8433" hidden="1" xr:uid="{00000000-0005-0000-0000-0000861E0000}"/>
    <cellStyle name="Currency 4 13 2" xfId="456" hidden="1" xr:uid="{00000000-0005-0000-0000-0000891E0000}"/>
    <cellStyle name="Currency 4 13 2" xfId="571" hidden="1" xr:uid="{00000000-0005-0000-0000-00008A1E0000}"/>
    <cellStyle name="Currency 4 13 2" xfId="1294" hidden="1" xr:uid="{00000000-0005-0000-0000-00008B1E0000}"/>
    <cellStyle name="Currency 4 13 2" xfId="1467" hidden="1" xr:uid="{00000000-0005-0000-0000-00008C1E0000}"/>
    <cellStyle name="Currency 4 13 2" xfId="1860" hidden="1" xr:uid="{00000000-0005-0000-0000-00008D1E0000}"/>
    <cellStyle name="Currency 4 13 2" xfId="2008" hidden="1" xr:uid="{00000000-0005-0000-0000-00008E1E0000}"/>
    <cellStyle name="Currency 4 13 2" xfId="2346" hidden="1" xr:uid="{00000000-0005-0000-0000-00008F1E0000}"/>
    <cellStyle name="Currency 4 13 2" xfId="2683" hidden="1" xr:uid="{00000000-0005-0000-0000-0000901E0000}"/>
    <cellStyle name="Currency 4 13 2" xfId="3248" hidden="1" xr:uid="{00000000-0005-0000-0000-0000911E0000}"/>
    <cellStyle name="Currency 4 13 2" xfId="3363" hidden="1" xr:uid="{00000000-0005-0000-0000-0000921E0000}"/>
    <cellStyle name="Currency 4 13 2" xfId="4086" hidden="1" xr:uid="{00000000-0005-0000-0000-0000931E0000}"/>
    <cellStyle name="Currency 4 13 2" xfId="4259" hidden="1" xr:uid="{00000000-0005-0000-0000-0000941E0000}"/>
    <cellStyle name="Currency 4 13 2" xfId="4652" hidden="1" xr:uid="{00000000-0005-0000-0000-0000951E0000}"/>
    <cellStyle name="Currency 4 13 2" xfId="4800" hidden="1" xr:uid="{00000000-0005-0000-0000-0000961E0000}"/>
    <cellStyle name="Currency 4 13 2" xfId="5138" hidden="1" xr:uid="{00000000-0005-0000-0000-0000971E0000}"/>
    <cellStyle name="Currency 4 13 2" xfId="5475" hidden="1" xr:uid="{00000000-0005-0000-0000-0000981E0000}"/>
    <cellStyle name="Currency 4 13 2" xfId="6040" hidden="1" xr:uid="{00000000-0005-0000-0000-0000991E0000}"/>
    <cellStyle name="Currency 4 13 2" xfId="6155" hidden="1" xr:uid="{00000000-0005-0000-0000-00009A1E0000}"/>
    <cellStyle name="Currency 4 13 2" xfId="6878" hidden="1" xr:uid="{00000000-0005-0000-0000-00009B1E0000}"/>
    <cellStyle name="Currency 4 13 2" xfId="7051" hidden="1" xr:uid="{00000000-0005-0000-0000-00009C1E0000}"/>
    <cellStyle name="Currency 4 13 2" xfId="7444" hidden="1" xr:uid="{00000000-0005-0000-0000-00009D1E0000}"/>
    <cellStyle name="Currency 4 13 2" xfId="7592" hidden="1" xr:uid="{00000000-0005-0000-0000-00009E1E0000}"/>
    <cellStyle name="Currency 4 13 2" xfId="7930" hidden="1" xr:uid="{00000000-0005-0000-0000-00009F1E0000}"/>
    <cellStyle name="Currency 4 13 2" xfId="8267" hidden="1" xr:uid="{00000000-0005-0000-0000-0000A01E0000}"/>
    <cellStyle name="Currency 6 2" xfId="393" hidden="1" xr:uid="{00000000-0005-0000-0000-0000A11E0000}"/>
    <cellStyle name="Currency 6 2" xfId="508" hidden="1" xr:uid="{00000000-0005-0000-0000-0000A21E0000}"/>
    <cellStyle name="Currency 6 2" xfId="1231" hidden="1" xr:uid="{00000000-0005-0000-0000-0000A31E0000}"/>
    <cellStyle name="Currency 6 2" xfId="1404" hidden="1" xr:uid="{00000000-0005-0000-0000-0000A41E0000}"/>
    <cellStyle name="Currency 6 2" xfId="1797" hidden="1" xr:uid="{00000000-0005-0000-0000-0000A51E0000}"/>
    <cellStyle name="Currency 6 2" xfId="1945" hidden="1" xr:uid="{00000000-0005-0000-0000-0000A61E0000}"/>
    <cellStyle name="Currency 6 2" xfId="2283" hidden="1" xr:uid="{00000000-0005-0000-0000-0000A71E0000}"/>
    <cellStyle name="Currency 6 2" xfId="2620" hidden="1" xr:uid="{00000000-0005-0000-0000-0000A81E0000}"/>
    <cellStyle name="Currency 6 2" xfId="3185" hidden="1" xr:uid="{00000000-0005-0000-0000-0000A91E0000}"/>
    <cellStyle name="Currency 6 2" xfId="3300" hidden="1" xr:uid="{00000000-0005-0000-0000-0000AA1E0000}"/>
    <cellStyle name="Currency 6 2" xfId="4023" hidden="1" xr:uid="{00000000-0005-0000-0000-0000AB1E0000}"/>
    <cellStyle name="Currency 6 2" xfId="4196" hidden="1" xr:uid="{00000000-0005-0000-0000-0000AC1E0000}"/>
    <cellStyle name="Currency 6 2" xfId="4589" hidden="1" xr:uid="{00000000-0005-0000-0000-0000AD1E0000}"/>
    <cellStyle name="Currency 6 2" xfId="4737" hidden="1" xr:uid="{00000000-0005-0000-0000-0000AE1E0000}"/>
    <cellStyle name="Currency 6 2" xfId="5075" hidden="1" xr:uid="{00000000-0005-0000-0000-0000AF1E0000}"/>
    <cellStyle name="Currency 6 2" xfId="5412" hidden="1" xr:uid="{00000000-0005-0000-0000-0000B01E0000}"/>
    <cellStyle name="Currency 6 2" xfId="5977" hidden="1" xr:uid="{00000000-0005-0000-0000-0000B11E0000}"/>
    <cellStyle name="Currency 6 2" xfId="6092" hidden="1" xr:uid="{00000000-0005-0000-0000-0000B21E0000}"/>
    <cellStyle name="Currency 6 2" xfId="6815" hidden="1" xr:uid="{00000000-0005-0000-0000-0000B31E0000}"/>
    <cellStyle name="Currency 6 2" xfId="6988" hidden="1" xr:uid="{00000000-0005-0000-0000-0000B41E0000}"/>
    <cellStyle name="Currency 6 2" xfId="7381" hidden="1" xr:uid="{00000000-0005-0000-0000-0000B51E0000}"/>
    <cellStyle name="Currency 6 2" xfId="7529" hidden="1" xr:uid="{00000000-0005-0000-0000-0000B61E0000}"/>
    <cellStyle name="Currency 6 2" xfId="7867" hidden="1" xr:uid="{00000000-0005-0000-0000-0000B71E0000}"/>
    <cellStyle name="Currency 6 2" xfId="8204" hidden="1" xr:uid="{00000000-0005-0000-0000-0000B81E0000}"/>
    <cellStyle name="Date (short)" xfId="51" xr:uid="{00000000-0005-0000-0000-0000B91E0000}"/>
    <cellStyle name="Explanatory Text" xfId="20" builtinId="53" customBuiltin="1"/>
    <cellStyle name="Explanatory Text 3" xfId="65" xr:uid="{4E74D065-42DA-4C69-A92B-3A3BC909DAD0}"/>
    <cellStyle name="Followed Hyperlink" xfId="8443" builtinId="9" customBuiltin="1"/>
    <cellStyle name="Good" xfId="10" builtinId="26" hidden="1"/>
    <cellStyle name="Heading 1" xfId="6" builtinId="16" customBuiltin="1"/>
    <cellStyle name="Heading 2" xfId="7" builtinId="17" customBuiltin="1"/>
    <cellStyle name="Heading 3" xfId="8" builtinId="18" customBuiltin="1"/>
    <cellStyle name="Heading 4" xfId="9" builtinId="19" hidden="1"/>
    <cellStyle name="Hyperlink" xfId="55" builtinId="8" customBuiltin="1"/>
    <cellStyle name="Input" xfId="13" builtinId="20" customBuiltin="1"/>
    <cellStyle name="Input 2" xfId="8449" xr:uid="{35E84FB5-6E85-4E53-B405-3FFC60FD2F48}"/>
    <cellStyle name="Label" xfId="50" xr:uid="{00000000-0005-0000-0000-0000C71E0000}"/>
    <cellStyle name="Label 2" xfId="8445" xr:uid="{B637F9C4-1BE3-4301-BB8C-9F456777BE0E}"/>
    <cellStyle name="Link" xfId="49" xr:uid="{00000000-0005-0000-0000-0000C91E0000}"/>
    <cellStyle name="Link 2" xfId="8450" xr:uid="{64D1EB0B-E742-4ED3-BA24-68448E468821}"/>
    <cellStyle name="Linked Cell" xfId="16" builtinId="24" hidden="1"/>
    <cellStyle name="Neutral" xfId="12" builtinId="28" hidden="1"/>
    <cellStyle name="Normal" xfId="0" builtinId="0" customBuiltin="1"/>
    <cellStyle name="Note" xfId="19" builtinId="10" hidden="1"/>
    <cellStyle name="Note 10" xfId="100" hidden="1" xr:uid="{00000000-0005-0000-0000-0000D11E0000}"/>
    <cellStyle name="Note 10" xfId="157" hidden="1" xr:uid="{00000000-0005-0000-0000-0000D21E0000}"/>
    <cellStyle name="Note 10" xfId="235" hidden="1" xr:uid="{00000000-0005-0000-0000-0000D31E0000}"/>
    <cellStyle name="Note 10" xfId="313" hidden="1" xr:uid="{00000000-0005-0000-0000-0000D41E0000}"/>
    <cellStyle name="Note 10" xfId="895" hidden="1" xr:uid="{00000000-0005-0000-0000-0000D51E0000}"/>
    <cellStyle name="Note 10" xfId="974" hidden="1" xr:uid="{00000000-0005-0000-0000-0000D61E0000}"/>
    <cellStyle name="Note 10" xfId="1053" hidden="1" xr:uid="{00000000-0005-0000-0000-0000D71E0000}"/>
    <cellStyle name="Note 10" xfId="847" hidden="1" xr:uid="{00000000-0005-0000-0000-0000D81E0000}"/>
    <cellStyle name="Note 10" xfId="1154" hidden="1" xr:uid="{00000000-0005-0000-0000-0000D91E0000}"/>
    <cellStyle name="Note 10" xfId="608" hidden="1" xr:uid="{00000000-0005-0000-0000-0000DA1E0000}"/>
    <cellStyle name="Note 10" xfId="1498" hidden="1" xr:uid="{00000000-0005-0000-0000-0000DB1E0000}"/>
    <cellStyle name="Note 10" xfId="1569" hidden="1" xr:uid="{00000000-0005-0000-0000-0000DC1E0000}"/>
    <cellStyle name="Note 10" xfId="1647" hidden="1" xr:uid="{00000000-0005-0000-0000-0000DD1E0000}"/>
    <cellStyle name="Note 10" xfId="649" hidden="1" xr:uid="{00000000-0005-0000-0000-0000DE1E0000}"/>
    <cellStyle name="Note 10" xfId="1740" hidden="1" xr:uid="{00000000-0005-0000-0000-0000DF1E0000}"/>
    <cellStyle name="Note 10" xfId="1169" hidden="1" xr:uid="{00000000-0005-0000-0000-0000E01E0000}"/>
    <cellStyle name="Note 10" xfId="2035" hidden="1" xr:uid="{00000000-0005-0000-0000-0000E11E0000}"/>
    <cellStyle name="Note 10" xfId="2101" hidden="1" xr:uid="{00000000-0005-0000-0000-0000E21E0000}"/>
    <cellStyle name="Note 10" xfId="2179" hidden="1" xr:uid="{00000000-0005-0000-0000-0000E31E0000}"/>
    <cellStyle name="Note 10" xfId="2372" hidden="1" xr:uid="{00000000-0005-0000-0000-0000E41E0000}"/>
    <cellStyle name="Note 10" xfId="2438" hidden="1" xr:uid="{00000000-0005-0000-0000-0000E51E0000}"/>
    <cellStyle name="Note 10" xfId="2516" hidden="1" xr:uid="{00000000-0005-0000-0000-0000E61E0000}"/>
    <cellStyle name="Note 10" xfId="2709" hidden="1" xr:uid="{00000000-0005-0000-0000-0000E71E0000}"/>
    <cellStyle name="Note 10" xfId="2775" hidden="1" xr:uid="{00000000-0005-0000-0000-0000E81E0000}"/>
    <cellStyle name="Note 10" xfId="2892" hidden="1" xr:uid="{00000000-0005-0000-0000-0000E91E0000}"/>
    <cellStyle name="Note 10" xfId="2949" hidden="1" xr:uid="{00000000-0005-0000-0000-0000EA1E0000}"/>
    <cellStyle name="Note 10" xfId="3027" hidden="1" xr:uid="{00000000-0005-0000-0000-0000EB1E0000}"/>
    <cellStyle name="Note 10" xfId="3105" hidden="1" xr:uid="{00000000-0005-0000-0000-0000EC1E0000}"/>
    <cellStyle name="Note 10" xfId="3687" hidden="1" xr:uid="{00000000-0005-0000-0000-0000ED1E0000}"/>
    <cellStyle name="Note 10" xfId="3766" hidden="1" xr:uid="{00000000-0005-0000-0000-0000EE1E0000}"/>
    <cellStyle name="Note 10" xfId="3845" hidden="1" xr:uid="{00000000-0005-0000-0000-0000EF1E0000}"/>
    <cellStyle name="Note 10" xfId="3639" hidden="1" xr:uid="{00000000-0005-0000-0000-0000F01E0000}"/>
    <cellStyle name="Note 10" xfId="3946" hidden="1" xr:uid="{00000000-0005-0000-0000-0000F11E0000}"/>
    <cellStyle name="Note 10" xfId="3400" hidden="1" xr:uid="{00000000-0005-0000-0000-0000F21E0000}"/>
    <cellStyle name="Note 10" xfId="4290" hidden="1" xr:uid="{00000000-0005-0000-0000-0000F31E0000}"/>
    <cellStyle name="Note 10" xfId="4361" hidden="1" xr:uid="{00000000-0005-0000-0000-0000F41E0000}"/>
    <cellStyle name="Note 10" xfId="4439" hidden="1" xr:uid="{00000000-0005-0000-0000-0000F51E0000}"/>
    <cellStyle name="Note 10" xfId="3441" hidden="1" xr:uid="{00000000-0005-0000-0000-0000F61E0000}"/>
    <cellStyle name="Note 10" xfId="4532" hidden="1" xr:uid="{00000000-0005-0000-0000-0000F71E0000}"/>
    <cellStyle name="Note 10" xfId="3961" hidden="1" xr:uid="{00000000-0005-0000-0000-0000F81E0000}"/>
    <cellStyle name="Note 10" xfId="4827" hidden="1" xr:uid="{00000000-0005-0000-0000-0000F91E0000}"/>
    <cellStyle name="Note 10" xfId="4893" hidden="1" xr:uid="{00000000-0005-0000-0000-0000FA1E0000}"/>
    <cellStyle name="Note 10" xfId="4971" hidden="1" xr:uid="{00000000-0005-0000-0000-0000FB1E0000}"/>
    <cellStyle name="Note 10" xfId="5164" hidden="1" xr:uid="{00000000-0005-0000-0000-0000FC1E0000}"/>
    <cellStyle name="Note 10" xfId="5230" hidden="1" xr:uid="{00000000-0005-0000-0000-0000FD1E0000}"/>
    <cellStyle name="Note 10" xfId="5308" hidden="1" xr:uid="{00000000-0005-0000-0000-0000FE1E0000}"/>
    <cellStyle name="Note 10" xfId="5501" hidden="1" xr:uid="{00000000-0005-0000-0000-0000FF1E0000}"/>
    <cellStyle name="Note 10" xfId="5567" hidden="1" xr:uid="{00000000-0005-0000-0000-0000001F0000}"/>
    <cellStyle name="Note 10" xfId="5684" hidden="1" xr:uid="{00000000-0005-0000-0000-0000011F0000}"/>
    <cellStyle name="Note 10" xfId="5741" hidden="1" xr:uid="{00000000-0005-0000-0000-0000021F0000}"/>
    <cellStyle name="Note 10" xfId="5819" hidden="1" xr:uid="{00000000-0005-0000-0000-0000031F0000}"/>
    <cellStyle name="Note 10" xfId="5897" hidden="1" xr:uid="{00000000-0005-0000-0000-0000041F0000}"/>
    <cellStyle name="Note 10" xfId="6479" hidden="1" xr:uid="{00000000-0005-0000-0000-0000051F0000}"/>
    <cellStyle name="Note 10" xfId="6558" hidden="1" xr:uid="{00000000-0005-0000-0000-0000061F0000}"/>
    <cellStyle name="Note 10" xfId="6637" hidden="1" xr:uid="{00000000-0005-0000-0000-0000071F0000}"/>
    <cellStyle name="Note 10" xfId="6431" hidden="1" xr:uid="{00000000-0005-0000-0000-0000081F0000}"/>
    <cellStyle name="Note 10" xfId="6738" hidden="1" xr:uid="{00000000-0005-0000-0000-0000091F0000}"/>
    <cellStyle name="Note 10" xfId="6192" hidden="1" xr:uid="{00000000-0005-0000-0000-00000A1F0000}"/>
    <cellStyle name="Note 10" xfId="7082" hidden="1" xr:uid="{00000000-0005-0000-0000-00000B1F0000}"/>
    <cellStyle name="Note 10" xfId="7153" hidden="1" xr:uid="{00000000-0005-0000-0000-00000C1F0000}"/>
    <cellStyle name="Note 10" xfId="7231" hidden="1" xr:uid="{00000000-0005-0000-0000-00000D1F0000}"/>
    <cellStyle name="Note 10" xfId="6233" hidden="1" xr:uid="{00000000-0005-0000-0000-00000E1F0000}"/>
    <cellStyle name="Note 10" xfId="7324" hidden="1" xr:uid="{00000000-0005-0000-0000-00000F1F0000}"/>
    <cellStyle name="Note 10" xfId="6753" hidden="1" xr:uid="{00000000-0005-0000-0000-0000101F0000}"/>
    <cellStyle name="Note 10" xfId="7619" hidden="1" xr:uid="{00000000-0005-0000-0000-0000111F0000}"/>
    <cellStyle name="Note 10" xfId="7685" hidden="1" xr:uid="{00000000-0005-0000-0000-0000121F0000}"/>
    <cellStyle name="Note 10" xfId="7763" hidden="1" xr:uid="{00000000-0005-0000-0000-0000131F0000}"/>
    <cellStyle name="Note 10" xfId="7956" hidden="1" xr:uid="{00000000-0005-0000-0000-0000141F0000}"/>
    <cellStyle name="Note 10" xfId="8022" hidden="1" xr:uid="{00000000-0005-0000-0000-0000151F0000}"/>
    <cellStyle name="Note 10" xfId="8100" hidden="1" xr:uid="{00000000-0005-0000-0000-0000161F0000}"/>
    <cellStyle name="Note 10" xfId="8293" hidden="1" xr:uid="{00000000-0005-0000-0000-0000171F0000}"/>
    <cellStyle name="Note 10" xfId="8359" hidden="1" xr:uid="{00000000-0005-0000-0000-0000181F0000}"/>
    <cellStyle name="Note 11" xfId="113" hidden="1" xr:uid="{00000000-0005-0000-0000-0000191F0000}"/>
    <cellStyle name="Note 11" xfId="187" hidden="1" xr:uid="{00000000-0005-0000-0000-00001A1F0000}"/>
    <cellStyle name="Note 11" xfId="263" hidden="1" xr:uid="{00000000-0005-0000-0000-00001B1F0000}"/>
    <cellStyle name="Note 11" xfId="341" hidden="1" xr:uid="{00000000-0005-0000-0000-00001C1F0000}"/>
    <cellStyle name="Note 11" xfId="926" hidden="1" xr:uid="{00000000-0005-0000-0000-00001D1F0000}"/>
    <cellStyle name="Note 11" xfId="1002" hidden="1" xr:uid="{00000000-0005-0000-0000-00001E1F0000}"/>
    <cellStyle name="Note 11" xfId="1081" hidden="1" xr:uid="{00000000-0005-0000-0000-00001F1F0000}"/>
    <cellStyle name="Note 11" xfId="1194" hidden="1" xr:uid="{00000000-0005-0000-0000-0000201F0000}"/>
    <cellStyle name="Note 11" xfId="868" hidden="1" xr:uid="{00000000-0005-0000-0000-0000211F0000}"/>
    <cellStyle name="Note 11" xfId="845" hidden="1" xr:uid="{00000000-0005-0000-0000-0000221F0000}"/>
    <cellStyle name="Note 11" xfId="1521" hidden="1" xr:uid="{00000000-0005-0000-0000-0000231F0000}"/>
    <cellStyle name="Note 11" xfId="1597" hidden="1" xr:uid="{00000000-0005-0000-0000-0000241F0000}"/>
    <cellStyle name="Note 11" xfId="1675" hidden="1" xr:uid="{00000000-0005-0000-0000-0000251F0000}"/>
    <cellStyle name="Note 11" xfId="1765" hidden="1" xr:uid="{00000000-0005-0000-0000-0000261F0000}"/>
    <cellStyle name="Note 11" xfId="657" hidden="1" xr:uid="{00000000-0005-0000-0000-0000271F0000}"/>
    <cellStyle name="Note 11" xfId="865" hidden="1" xr:uid="{00000000-0005-0000-0000-0000281F0000}"/>
    <cellStyle name="Note 11" xfId="2053" hidden="1" xr:uid="{00000000-0005-0000-0000-0000291F0000}"/>
    <cellStyle name="Note 11" xfId="2129" hidden="1" xr:uid="{00000000-0005-0000-0000-00002A1F0000}"/>
    <cellStyle name="Note 11" xfId="2207" hidden="1" xr:uid="{00000000-0005-0000-0000-00002B1F0000}"/>
    <cellStyle name="Note 11" xfId="2390" hidden="1" xr:uid="{00000000-0005-0000-0000-00002C1F0000}"/>
    <cellStyle name="Note 11" xfId="2466" hidden="1" xr:uid="{00000000-0005-0000-0000-00002D1F0000}"/>
    <cellStyle name="Note 11" xfId="2544" hidden="1" xr:uid="{00000000-0005-0000-0000-00002E1F0000}"/>
    <cellStyle name="Note 11" xfId="2727" hidden="1" xr:uid="{00000000-0005-0000-0000-00002F1F0000}"/>
    <cellStyle name="Note 11" xfId="2803" hidden="1" xr:uid="{00000000-0005-0000-0000-0000301F0000}"/>
    <cellStyle name="Note 11" xfId="2905" hidden="1" xr:uid="{00000000-0005-0000-0000-0000311F0000}"/>
    <cellStyle name="Note 11" xfId="2979" hidden="1" xr:uid="{00000000-0005-0000-0000-0000321F0000}"/>
    <cellStyle name="Note 11" xfId="3055" hidden="1" xr:uid="{00000000-0005-0000-0000-0000331F0000}"/>
    <cellStyle name="Note 11" xfId="3133" hidden="1" xr:uid="{00000000-0005-0000-0000-0000341F0000}"/>
    <cellStyle name="Note 11" xfId="3718" hidden="1" xr:uid="{00000000-0005-0000-0000-0000351F0000}"/>
    <cellStyle name="Note 11" xfId="3794" hidden="1" xr:uid="{00000000-0005-0000-0000-0000361F0000}"/>
    <cellStyle name="Note 11" xfId="3873" hidden="1" xr:uid="{00000000-0005-0000-0000-0000371F0000}"/>
    <cellStyle name="Note 11" xfId="3986" hidden="1" xr:uid="{00000000-0005-0000-0000-0000381F0000}"/>
    <cellStyle name="Note 11" xfId="3660" hidden="1" xr:uid="{00000000-0005-0000-0000-0000391F0000}"/>
    <cellStyle name="Note 11" xfId="3637" hidden="1" xr:uid="{00000000-0005-0000-0000-00003A1F0000}"/>
    <cellStyle name="Note 11" xfId="4313" hidden="1" xr:uid="{00000000-0005-0000-0000-00003B1F0000}"/>
    <cellStyle name="Note 11" xfId="4389" hidden="1" xr:uid="{00000000-0005-0000-0000-00003C1F0000}"/>
    <cellStyle name="Note 11" xfId="4467" hidden="1" xr:uid="{00000000-0005-0000-0000-00003D1F0000}"/>
    <cellStyle name="Note 11" xfId="4557" hidden="1" xr:uid="{00000000-0005-0000-0000-00003E1F0000}"/>
    <cellStyle name="Note 11" xfId="3449" hidden="1" xr:uid="{00000000-0005-0000-0000-00003F1F0000}"/>
    <cellStyle name="Note 11" xfId="3657" hidden="1" xr:uid="{00000000-0005-0000-0000-0000401F0000}"/>
    <cellStyle name="Note 11" xfId="4845" hidden="1" xr:uid="{00000000-0005-0000-0000-0000411F0000}"/>
    <cellStyle name="Note 11" xfId="4921" hidden="1" xr:uid="{00000000-0005-0000-0000-0000421F0000}"/>
    <cellStyle name="Note 11" xfId="4999" hidden="1" xr:uid="{00000000-0005-0000-0000-0000431F0000}"/>
    <cellStyle name="Note 11" xfId="5182" hidden="1" xr:uid="{00000000-0005-0000-0000-0000441F0000}"/>
    <cellStyle name="Note 11" xfId="5258" hidden="1" xr:uid="{00000000-0005-0000-0000-0000451F0000}"/>
    <cellStyle name="Note 11" xfId="5336" hidden="1" xr:uid="{00000000-0005-0000-0000-0000461F0000}"/>
    <cellStyle name="Note 11" xfId="5519" hidden="1" xr:uid="{00000000-0005-0000-0000-0000471F0000}"/>
    <cellStyle name="Note 11" xfId="5595" hidden="1" xr:uid="{00000000-0005-0000-0000-0000481F0000}"/>
    <cellStyle name="Note 11" xfId="5697" hidden="1" xr:uid="{00000000-0005-0000-0000-0000491F0000}"/>
    <cellStyle name="Note 11" xfId="5771" hidden="1" xr:uid="{00000000-0005-0000-0000-00004A1F0000}"/>
    <cellStyle name="Note 11" xfId="5847" hidden="1" xr:uid="{00000000-0005-0000-0000-00004B1F0000}"/>
    <cellStyle name="Note 11" xfId="5925" hidden="1" xr:uid="{00000000-0005-0000-0000-00004C1F0000}"/>
    <cellStyle name="Note 11" xfId="6510" hidden="1" xr:uid="{00000000-0005-0000-0000-00004D1F0000}"/>
    <cellStyle name="Note 11" xfId="6586" hidden="1" xr:uid="{00000000-0005-0000-0000-00004E1F0000}"/>
    <cellStyle name="Note 11" xfId="6665" hidden="1" xr:uid="{00000000-0005-0000-0000-00004F1F0000}"/>
    <cellStyle name="Note 11" xfId="6778" hidden="1" xr:uid="{00000000-0005-0000-0000-0000501F0000}"/>
    <cellStyle name="Note 11" xfId="6452" hidden="1" xr:uid="{00000000-0005-0000-0000-0000511F0000}"/>
    <cellStyle name="Note 11" xfId="6429" hidden="1" xr:uid="{00000000-0005-0000-0000-0000521F0000}"/>
    <cellStyle name="Note 11" xfId="7105" hidden="1" xr:uid="{00000000-0005-0000-0000-0000531F0000}"/>
    <cellStyle name="Note 11" xfId="7181" hidden="1" xr:uid="{00000000-0005-0000-0000-0000541F0000}"/>
    <cellStyle name="Note 11" xfId="7259" hidden="1" xr:uid="{00000000-0005-0000-0000-0000551F0000}"/>
    <cellStyle name="Note 11" xfId="7349" hidden="1" xr:uid="{00000000-0005-0000-0000-0000561F0000}"/>
    <cellStyle name="Note 11" xfId="6241" hidden="1" xr:uid="{00000000-0005-0000-0000-0000571F0000}"/>
    <cellStyle name="Note 11" xfId="6449" hidden="1" xr:uid="{00000000-0005-0000-0000-0000581F0000}"/>
    <cellStyle name="Note 11" xfId="7637" hidden="1" xr:uid="{00000000-0005-0000-0000-0000591F0000}"/>
    <cellStyle name="Note 11" xfId="7713" hidden="1" xr:uid="{00000000-0005-0000-0000-00005A1F0000}"/>
    <cellStyle name="Note 11" xfId="7791" hidden="1" xr:uid="{00000000-0005-0000-0000-00005B1F0000}"/>
    <cellStyle name="Note 11" xfId="7974" hidden="1" xr:uid="{00000000-0005-0000-0000-00005C1F0000}"/>
    <cellStyle name="Note 11" xfId="8050" hidden="1" xr:uid="{00000000-0005-0000-0000-00005D1F0000}"/>
    <cellStyle name="Note 11" xfId="8128" hidden="1" xr:uid="{00000000-0005-0000-0000-00005E1F0000}"/>
    <cellStyle name="Note 11" xfId="8311" hidden="1" xr:uid="{00000000-0005-0000-0000-00005F1F0000}"/>
    <cellStyle name="Note 11" xfId="8387" hidden="1" xr:uid="{00000000-0005-0000-0000-0000601F0000}"/>
    <cellStyle name="Note 12" xfId="126" hidden="1" xr:uid="{00000000-0005-0000-0000-0000611F0000}"/>
    <cellStyle name="Note 12" xfId="200" hidden="1" xr:uid="{00000000-0005-0000-0000-0000621F0000}"/>
    <cellStyle name="Note 12" xfId="276" hidden="1" xr:uid="{00000000-0005-0000-0000-0000631F0000}"/>
    <cellStyle name="Note 12" xfId="354" hidden="1" xr:uid="{00000000-0005-0000-0000-0000641F0000}"/>
    <cellStyle name="Note 12" xfId="939" hidden="1" xr:uid="{00000000-0005-0000-0000-0000651F0000}"/>
    <cellStyle name="Note 12" xfId="1015" hidden="1" xr:uid="{00000000-0005-0000-0000-0000661F0000}"/>
    <cellStyle name="Note 12" xfId="1094" hidden="1" xr:uid="{00000000-0005-0000-0000-0000671F0000}"/>
    <cellStyle name="Note 12" xfId="1142" hidden="1" xr:uid="{00000000-0005-0000-0000-0000681F0000}"/>
    <cellStyle name="Note 12" xfId="755" hidden="1" xr:uid="{00000000-0005-0000-0000-0000691F0000}"/>
    <cellStyle name="Note 12" xfId="624" hidden="1" xr:uid="{00000000-0005-0000-0000-00006A1F0000}"/>
    <cellStyle name="Note 12" xfId="1534" hidden="1" xr:uid="{00000000-0005-0000-0000-00006B1F0000}"/>
    <cellStyle name="Note 12" xfId="1610" hidden="1" xr:uid="{00000000-0005-0000-0000-00006C1F0000}"/>
    <cellStyle name="Note 12" xfId="1688" hidden="1" xr:uid="{00000000-0005-0000-0000-00006D1F0000}"/>
    <cellStyle name="Note 12" xfId="1730" hidden="1" xr:uid="{00000000-0005-0000-0000-00006E1F0000}"/>
    <cellStyle name="Note 12" xfId="1165" hidden="1" xr:uid="{00000000-0005-0000-0000-00006F1F0000}"/>
    <cellStyle name="Note 12" xfId="1495" hidden="1" xr:uid="{00000000-0005-0000-0000-0000701F0000}"/>
    <cellStyle name="Note 12" xfId="2066" hidden="1" xr:uid="{00000000-0005-0000-0000-0000711F0000}"/>
    <cellStyle name="Note 12" xfId="2142" hidden="1" xr:uid="{00000000-0005-0000-0000-0000721F0000}"/>
    <cellStyle name="Note 12" xfId="2220" hidden="1" xr:uid="{00000000-0005-0000-0000-0000731F0000}"/>
    <cellStyle name="Note 12" xfId="2403" hidden="1" xr:uid="{00000000-0005-0000-0000-0000741F0000}"/>
    <cellStyle name="Note 12" xfId="2479" hidden="1" xr:uid="{00000000-0005-0000-0000-0000751F0000}"/>
    <cellStyle name="Note 12" xfId="2557" hidden="1" xr:uid="{00000000-0005-0000-0000-0000761F0000}"/>
    <cellStyle name="Note 12" xfId="2740" hidden="1" xr:uid="{00000000-0005-0000-0000-0000771F0000}"/>
    <cellStyle name="Note 12" xfId="2816" hidden="1" xr:uid="{00000000-0005-0000-0000-0000781F0000}"/>
    <cellStyle name="Note 12" xfId="2918" hidden="1" xr:uid="{00000000-0005-0000-0000-0000791F0000}"/>
    <cellStyle name="Note 12" xfId="2992" hidden="1" xr:uid="{00000000-0005-0000-0000-00007A1F0000}"/>
    <cellStyle name="Note 12" xfId="3068" hidden="1" xr:uid="{00000000-0005-0000-0000-00007B1F0000}"/>
    <cellStyle name="Note 12" xfId="3146" hidden="1" xr:uid="{00000000-0005-0000-0000-00007C1F0000}"/>
    <cellStyle name="Note 12" xfId="3731" hidden="1" xr:uid="{00000000-0005-0000-0000-00007D1F0000}"/>
    <cellStyle name="Note 12" xfId="3807" hidden="1" xr:uid="{00000000-0005-0000-0000-00007E1F0000}"/>
    <cellStyle name="Note 12" xfId="3886" hidden="1" xr:uid="{00000000-0005-0000-0000-00007F1F0000}"/>
    <cellStyle name="Note 12" xfId="3934" hidden="1" xr:uid="{00000000-0005-0000-0000-0000801F0000}"/>
    <cellStyle name="Note 12" xfId="3547" hidden="1" xr:uid="{00000000-0005-0000-0000-0000811F0000}"/>
    <cellStyle name="Note 12" xfId="3416" hidden="1" xr:uid="{00000000-0005-0000-0000-0000821F0000}"/>
    <cellStyle name="Note 12" xfId="4326" hidden="1" xr:uid="{00000000-0005-0000-0000-0000831F0000}"/>
    <cellStyle name="Note 12" xfId="4402" hidden="1" xr:uid="{00000000-0005-0000-0000-0000841F0000}"/>
    <cellStyle name="Note 12" xfId="4480" hidden="1" xr:uid="{00000000-0005-0000-0000-0000851F0000}"/>
    <cellStyle name="Note 12" xfId="4522" hidden="1" xr:uid="{00000000-0005-0000-0000-0000861F0000}"/>
    <cellStyle name="Note 12" xfId="3957" hidden="1" xr:uid="{00000000-0005-0000-0000-0000871F0000}"/>
    <cellStyle name="Note 12" xfId="4287" hidden="1" xr:uid="{00000000-0005-0000-0000-0000881F0000}"/>
    <cellStyle name="Note 12" xfId="4858" hidden="1" xr:uid="{00000000-0005-0000-0000-0000891F0000}"/>
    <cellStyle name="Note 12" xfId="4934" hidden="1" xr:uid="{00000000-0005-0000-0000-00008A1F0000}"/>
    <cellStyle name="Note 12" xfId="5012" hidden="1" xr:uid="{00000000-0005-0000-0000-00008B1F0000}"/>
    <cellStyle name="Note 12" xfId="5195" hidden="1" xr:uid="{00000000-0005-0000-0000-00008C1F0000}"/>
    <cellStyle name="Note 12" xfId="5271" hidden="1" xr:uid="{00000000-0005-0000-0000-00008D1F0000}"/>
    <cellStyle name="Note 12" xfId="5349" hidden="1" xr:uid="{00000000-0005-0000-0000-00008E1F0000}"/>
    <cellStyle name="Note 12" xfId="5532" hidden="1" xr:uid="{00000000-0005-0000-0000-00008F1F0000}"/>
    <cellStyle name="Note 12" xfId="5608" hidden="1" xr:uid="{00000000-0005-0000-0000-0000901F0000}"/>
    <cellStyle name="Note 12" xfId="5710" hidden="1" xr:uid="{00000000-0005-0000-0000-0000911F0000}"/>
    <cellStyle name="Note 12" xfId="5784" hidden="1" xr:uid="{00000000-0005-0000-0000-0000921F0000}"/>
    <cellStyle name="Note 12" xfId="5860" hidden="1" xr:uid="{00000000-0005-0000-0000-0000931F0000}"/>
    <cellStyle name="Note 12" xfId="5938" hidden="1" xr:uid="{00000000-0005-0000-0000-0000941F0000}"/>
    <cellStyle name="Note 12" xfId="6523" hidden="1" xr:uid="{00000000-0005-0000-0000-0000951F0000}"/>
    <cellStyle name="Note 12" xfId="6599" hidden="1" xr:uid="{00000000-0005-0000-0000-0000961F0000}"/>
    <cellStyle name="Note 12" xfId="6678" hidden="1" xr:uid="{00000000-0005-0000-0000-0000971F0000}"/>
    <cellStyle name="Note 12" xfId="6726" hidden="1" xr:uid="{00000000-0005-0000-0000-0000981F0000}"/>
    <cellStyle name="Note 12" xfId="6339" hidden="1" xr:uid="{00000000-0005-0000-0000-0000991F0000}"/>
    <cellStyle name="Note 12" xfId="6208" hidden="1" xr:uid="{00000000-0005-0000-0000-00009A1F0000}"/>
    <cellStyle name="Note 12" xfId="7118" hidden="1" xr:uid="{00000000-0005-0000-0000-00009B1F0000}"/>
    <cellStyle name="Note 12" xfId="7194" hidden="1" xr:uid="{00000000-0005-0000-0000-00009C1F0000}"/>
    <cellStyle name="Note 12" xfId="7272" hidden="1" xr:uid="{00000000-0005-0000-0000-00009D1F0000}"/>
    <cellStyle name="Note 12" xfId="7314" hidden="1" xr:uid="{00000000-0005-0000-0000-00009E1F0000}"/>
    <cellStyle name="Note 12" xfId="6749" hidden="1" xr:uid="{00000000-0005-0000-0000-00009F1F0000}"/>
    <cellStyle name="Note 12" xfId="7079" hidden="1" xr:uid="{00000000-0005-0000-0000-0000A01F0000}"/>
    <cellStyle name="Note 12" xfId="7650" hidden="1" xr:uid="{00000000-0005-0000-0000-0000A11F0000}"/>
    <cellStyle name="Note 12" xfId="7726" hidden="1" xr:uid="{00000000-0005-0000-0000-0000A21F0000}"/>
    <cellStyle name="Note 12" xfId="7804" hidden="1" xr:uid="{00000000-0005-0000-0000-0000A31F0000}"/>
    <cellStyle name="Note 12" xfId="7987" hidden="1" xr:uid="{00000000-0005-0000-0000-0000A41F0000}"/>
    <cellStyle name="Note 12" xfId="8063" hidden="1" xr:uid="{00000000-0005-0000-0000-0000A51F0000}"/>
    <cellStyle name="Note 12" xfId="8141" hidden="1" xr:uid="{00000000-0005-0000-0000-0000A61F0000}"/>
    <cellStyle name="Note 12" xfId="8324" hidden="1" xr:uid="{00000000-0005-0000-0000-0000A71F0000}"/>
    <cellStyle name="Note 12" xfId="8400" hidden="1" xr:uid="{00000000-0005-0000-0000-0000A81F0000}"/>
    <cellStyle name="Note 13" xfId="139" hidden="1" xr:uid="{00000000-0005-0000-0000-0000A91F0000}"/>
    <cellStyle name="Note 13" xfId="214" hidden="1" xr:uid="{00000000-0005-0000-0000-0000AA1F0000}"/>
    <cellStyle name="Note 13" xfId="289" hidden="1" xr:uid="{00000000-0005-0000-0000-0000AB1F0000}"/>
    <cellStyle name="Note 13" xfId="367" hidden="1" xr:uid="{00000000-0005-0000-0000-0000AC1F0000}"/>
    <cellStyle name="Note 13" xfId="953" hidden="1" xr:uid="{00000000-0005-0000-0000-0000AD1F0000}"/>
    <cellStyle name="Note 13" xfId="1028" hidden="1" xr:uid="{00000000-0005-0000-0000-0000AE1F0000}"/>
    <cellStyle name="Note 13" xfId="1107" hidden="1" xr:uid="{00000000-0005-0000-0000-0000AF1F0000}"/>
    <cellStyle name="Note 13" xfId="1175" hidden="1" xr:uid="{00000000-0005-0000-0000-0000B01F0000}"/>
    <cellStyle name="Note 13" xfId="704" hidden="1" xr:uid="{00000000-0005-0000-0000-0000B11F0000}"/>
    <cellStyle name="Note 13" xfId="605" hidden="1" xr:uid="{00000000-0005-0000-0000-0000B21F0000}"/>
    <cellStyle name="Note 13" xfId="1548" hidden="1" xr:uid="{00000000-0005-0000-0000-0000B31F0000}"/>
    <cellStyle name="Note 13" xfId="1623" hidden="1" xr:uid="{00000000-0005-0000-0000-0000B41F0000}"/>
    <cellStyle name="Note 13" xfId="1701" hidden="1" xr:uid="{00000000-0005-0000-0000-0000B51F0000}"/>
    <cellStyle name="Note 13" xfId="1755" hidden="1" xr:uid="{00000000-0005-0000-0000-0000B61F0000}"/>
    <cellStyle name="Note 13" xfId="654" hidden="1" xr:uid="{00000000-0005-0000-0000-0000B71F0000}"/>
    <cellStyle name="Note 13" xfId="812" hidden="1" xr:uid="{00000000-0005-0000-0000-0000B81F0000}"/>
    <cellStyle name="Note 13" xfId="2080" hidden="1" xr:uid="{00000000-0005-0000-0000-0000B91F0000}"/>
    <cellStyle name="Note 13" xfId="2155" hidden="1" xr:uid="{00000000-0005-0000-0000-0000BA1F0000}"/>
    <cellStyle name="Note 13" xfId="2233" hidden="1" xr:uid="{00000000-0005-0000-0000-0000BB1F0000}"/>
    <cellStyle name="Note 13" xfId="2417" hidden="1" xr:uid="{00000000-0005-0000-0000-0000BC1F0000}"/>
    <cellStyle name="Note 13" xfId="2492" hidden="1" xr:uid="{00000000-0005-0000-0000-0000BD1F0000}"/>
    <cellStyle name="Note 13" xfId="2570" hidden="1" xr:uid="{00000000-0005-0000-0000-0000BE1F0000}"/>
    <cellStyle name="Note 13" xfId="2754" hidden="1" xr:uid="{00000000-0005-0000-0000-0000BF1F0000}"/>
    <cellStyle name="Note 13" xfId="2829" hidden="1" xr:uid="{00000000-0005-0000-0000-0000C01F0000}"/>
    <cellStyle name="Note 13" xfId="2931" hidden="1" xr:uid="{00000000-0005-0000-0000-0000C11F0000}"/>
    <cellStyle name="Note 13" xfId="3006" hidden="1" xr:uid="{00000000-0005-0000-0000-0000C21F0000}"/>
    <cellStyle name="Note 13" xfId="3081" hidden="1" xr:uid="{00000000-0005-0000-0000-0000C31F0000}"/>
    <cellStyle name="Note 13" xfId="3159" hidden="1" xr:uid="{00000000-0005-0000-0000-0000C41F0000}"/>
    <cellStyle name="Note 13" xfId="3745" hidden="1" xr:uid="{00000000-0005-0000-0000-0000C51F0000}"/>
    <cellStyle name="Note 13" xfId="3820" hidden="1" xr:uid="{00000000-0005-0000-0000-0000C61F0000}"/>
    <cellStyle name="Note 13" xfId="3899" hidden="1" xr:uid="{00000000-0005-0000-0000-0000C71F0000}"/>
    <cellStyle name="Note 13" xfId="3967" hidden="1" xr:uid="{00000000-0005-0000-0000-0000C81F0000}"/>
    <cellStyle name="Note 13" xfId="3496" hidden="1" xr:uid="{00000000-0005-0000-0000-0000C91F0000}"/>
    <cellStyle name="Note 13" xfId="3397" hidden="1" xr:uid="{00000000-0005-0000-0000-0000CA1F0000}"/>
    <cellStyle name="Note 13" xfId="4340" hidden="1" xr:uid="{00000000-0005-0000-0000-0000CB1F0000}"/>
    <cellStyle name="Note 13" xfId="4415" hidden="1" xr:uid="{00000000-0005-0000-0000-0000CC1F0000}"/>
    <cellStyle name="Note 13" xfId="4493" hidden="1" xr:uid="{00000000-0005-0000-0000-0000CD1F0000}"/>
    <cellStyle name="Note 13" xfId="4547" hidden="1" xr:uid="{00000000-0005-0000-0000-0000CE1F0000}"/>
    <cellStyle name="Note 13" xfId="3446" hidden="1" xr:uid="{00000000-0005-0000-0000-0000CF1F0000}"/>
    <cellStyle name="Note 13" xfId="3604" hidden="1" xr:uid="{00000000-0005-0000-0000-0000D01F0000}"/>
    <cellStyle name="Note 13" xfId="4872" hidden="1" xr:uid="{00000000-0005-0000-0000-0000D11F0000}"/>
    <cellStyle name="Note 13" xfId="4947" hidden="1" xr:uid="{00000000-0005-0000-0000-0000D21F0000}"/>
    <cellStyle name="Note 13" xfId="5025" hidden="1" xr:uid="{00000000-0005-0000-0000-0000D31F0000}"/>
    <cellStyle name="Note 13" xfId="5209" hidden="1" xr:uid="{00000000-0005-0000-0000-0000D41F0000}"/>
    <cellStyle name="Note 13" xfId="5284" hidden="1" xr:uid="{00000000-0005-0000-0000-0000D51F0000}"/>
    <cellStyle name="Note 13" xfId="5362" hidden="1" xr:uid="{00000000-0005-0000-0000-0000D61F0000}"/>
    <cellStyle name="Note 13" xfId="5546" hidden="1" xr:uid="{00000000-0005-0000-0000-0000D71F0000}"/>
    <cellStyle name="Note 13" xfId="5621" hidden="1" xr:uid="{00000000-0005-0000-0000-0000D81F0000}"/>
    <cellStyle name="Note 13" xfId="5723" hidden="1" xr:uid="{00000000-0005-0000-0000-0000D91F0000}"/>
    <cellStyle name="Note 13" xfId="5798" hidden="1" xr:uid="{00000000-0005-0000-0000-0000DA1F0000}"/>
    <cellStyle name="Note 13" xfId="5873" hidden="1" xr:uid="{00000000-0005-0000-0000-0000DB1F0000}"/>
    <cellStyle name="Note 13" xfId="5951" hidden="1" xr:uid="{00000000-0005-0000-0000-0000DC1F0000}"/>
    <cellStyle name="Note 13" xfId="6537" hidden="1" xr:uid="{00000000-0005-0000-0000-0000DD1F0000}"/>
    <cellStyle name="Note 13" xfId="6612" hidden="1" xr:uid="{00000000-0005-0000-0000-0000DE1F0000}"/>
    <cellStyle name="Note 13" xfId="6691" hidden="1" xr:uid="{00000000-0005-0000-0000-0000DF1F0000}"/>
    <cellStyle name="Note 13" xfId="6759" hidden="1" xr:uid="{00000000-0005-0000-0000-0000E01F0000}"/>
    <cellStyle name="Note 13" xfId="6288" hidden="1" xr:uid="{00000000-0005-0000-0000-0000E11F0000}"/>
    <cellStyle name="Note 13" xfId="6189" hidden="1" xr:uid="{00000000-0005-0000-0000-0000E21F0000}"/>
    <cellStyle name="Note 13" xfId="7132" hidden="1" xr:uid="{00000000-0005-0000-0000-0000E31F0000}"/>
    <cellStyle name="Note 13" xfId="7207" hidden="1" xr:uid="{00000000-0005-0000-0000-0000E41F0000}"/>
    <cellStyle name="Note 13" xfId="7285" hidden="1" xr:uid="{00000000-0005-0000-0000-0000E51F0000}"/>
    <cellStyle name="Note 13" xfId="7339" hidden="1" xr:uid="{00000000-0005-0000-0000-0000E61F0000}"/>
    <cellStyle name="Note 13" xfId="6238" hidden="1" xr:uid="{00000000-0005-0000-0000-0000E71F0000}"/>
    <cellStyle name="Note 13" xfId="6396" hidden="1" xr:uid="{00000000-0005-0000-0000-0000E81F0000}"/>
    <cellStyle name="Note 13" xfId="7664" hidden="1" xr:uid="{00000000-0005-0000-0000-0000E91F0000}"/>
    <cellStyle name="Note 13" xfId="7739" hidden="1" xr:uid="{00000000-0005-0000-0000-0000EA1F0000}"/>
    <cellStyle name="Note 13" xfId="7817" hidden="1" xr:uid="{00000000-0005-0000-0000-0000EB1F0000}"/>
    <cellStyle name="Note 13" xfId="8001" hidden="1" xr:uid="{00000000-0005-0000-0000-0000EC1F0000}"/>
    <cellStyle name="Note 13" xfId="8076" hidden="1" xr:uid="{00000000-0005-0000-0000-0000ED1F0000}"/>
    <cellStyle name="Note 13" xfId="8154" hidden="1" xr:uid="{00000000-0005-0000-0000-0000EE1F0000}"/>
    <cellStyle name="Note 13" xfId="8338" hidden="1" xr:uid="{00000000-0005-0000-0000-0000EF1F0000}"/>
    <cellStyle name="Note 13" xfId="8413" hidden="1" xr:uid="{00000000-0005-0000-0000-0000F01F0000}"/>
    <cellStyle name="Note 14" xfId="380" hidden="1" xr:uid="{00000000-0005-0000-0000-0000F11F0000}"/>
    <cellStyle name="Note 14" xfId="495" hidden="1" xr:uid="{00000000-0005-0000-0000-0000F21F0000}"/>
    <cellStyle name="Note 14" xfId="1218" hidden="1" xr:uid="{00000000-0005-0000-0000-0000F31F0000}"/>
    <cellStyle name="Note 14" xfId="1391" hidden="1" xr:uid="{00000000-0005-0000-0000-0000F41F0000}"/>
    <cellStyle name="Note 14" xfId="1784" hidden="1" xr:uid="{00000000-0005-0000-0000-0000F51F0000}"/>
    <cellStyle name="Note 14" xfId="1932" hidden="1" xr:uid="{00000000-0005-0000-0000-0000F61F0000}"/>
    <cellStyle name="Note 14" xfId="2270" hidden="1" xr:uid="{00000000-0005-0000-0000-0000F71F0000}"/>
    <cellStyle name="Note 14" xfId="2607" hidden="1" xr:uid="{00000000-0005-0000-0000-0000F81F0000}"/>
    <cellStyle name="Note 14" xfId="3172" hidden="1" xr:uid="{00000000-0005-0000-0000-0000F91F0000}"/>
    <cellStyle name="Note 14" xfId="3287" hidden="1" xr:uid="{00000000-0005-0000-0000-0000FA1F0000}"/>
    <cellStyle name="Note 14" xfId="4010" hidden="1" xr:uid="{00000000-0005-0000-0000-0000FB1F0000}"/>
    <cellStyle name="Note 14" xfId="4183" hidden="1" xr:uid="{00000000-0005-0000-0000-0000FC1F0000}"/>
    <cellStyle name="Note 14" xfId="4576" hidden="1" xr:uid="{00000000-0005-0000-0000-0000FD1F0000}"/>
    <cellStyle name="Note 14" xfId="4724" hidden="1" xr:uid="{00000000-0005-0000-0000-0000FE1F0000}"/>
    <cellStyle name="Note 14" xfId="5062" hidden="1" xr:uid="{00000000-0005-0000-0000-0000FF1F0000}"/>
    <cellStyle name="Note 14" xfId="5399" hidden="1" xr:uid="{00000000-0005-0000-0000-000000200000}"/>
    <cellStyle name="Note 14" xfId="5964" hidden="1" xr:uid="{00000000-0005-0000-0000-000001200000}"/>
    <cellStyle name="Note 14" xfId="6079" hidden="1" xr:uid="{00000000-0005-0000-0000-000002200000}"/>
    <cellStyle name="Note 14" xfId="6802" hidden="1" xr:uid="{00000000-0005-0000-0000-000003200000}"/>
    <cellStyle name="Note 14" xfId="6975" hidden="1" xr:uid="{00000000-0005-0000-0000-000004200000}"/>
    <cellStyle name="Note 14" xfId="7368" hidden="1" xr:uid="{00000000-0005-0000-0000-000005200000}"/>
    <cellStyle name="Note 14" xfId="7516" hidden="1" xr:uid="{00000000-0005-0000-0000-000006200000}"/>
    <cellStyle name="Note 14" xfId="7854" hidden="1" xr:uid="{00000000-0005-0000-0000-000007200000}"/>
    <cellStyle name="Note 14" xfId="8191" hidden="1" xr:uid="{00000000-0005-0000-0000-000008200000}"/>
    <cellStyle name="Note 5 2 5 3 2" xfId="454" hidden="1" xr:uid="{00000000-0005-0000-0000-000009200000}"/>
    <cellStyle name="Note 5 2 5 3 2" xfId="569" hidden="1" xr:uid="{00000000-0005-0000-0000-00000A200000}"/>
    <cellStyle name="Note 5 2 5 3 2" xfId="1292" hidden="1" xr:uid="{00000000-0005-0000-0000-00000B200000}"/>
    <cellStyle name="Note 5 2 5 3 2" xfId="1465" hidden="1" xr:uid="{00000000-0005-0000-0000-00000C200000}"/>
    <cellStyle name="Note 5 2 5 3 2" xfId="1858" hidden="1" xr:uid="{00000000-0005-0000-0000-00000D200000}"/>
    <cellStyle name="Note 5 2 5 3 2" xfId="2006" hidden="1" xr:uid="{00000000-0005-0000-0000-00000E200000}"/>
    <cellStyle name="Note 5 2 5 3 2" xfId="2344" hidden="1" xr:uid="{00000000-0005-0000-0000-00000F200000}"/>
    <cellStyle name="Note 5 2 5 3 2" xfId="2681" hidden="1" xr:uid="{00000000-0005-0000-0000-000010200000}"/>
    <cellStyle name="Note 5 2 5 3 2" xfId="3246" hidden="1" xr:uid="{00000000-0005-0000-0000-000011200000}"/>
    <cellStyle name="Note 5 2 5 3 2" xfId="3361" hidden="1" xr:uid="{00000000-0005-0000-0000-000012200000}"/>
    <cellStyle name="Note 5 2 5 3 2" xfId="4084" hidden="1" xr:uid="{00000000-0005-0000-0000-000013200000}"/>
    <cellStyle name="Note 5 2 5 3 2" xfId="4257" hidden="1" xr:uid="{00000000-0005-0000-0000-000014200000}"/>
    <cellStyle name="Note 5 2 5 3 2" xfId="4650" hidden="1" xr:uid="{00000000-0005-0000-0000-000015200000}"/>
    <cellStyle name="Note 5 2 5 3 2" xfId="4798" hidden="1" xr:uid="{00000000-0005-0000-0000-000016200000}"/>
    <cellStyle name="Note 5 2 5 3 2" xfId="5136" hidden="1" xr:uid="{00000000-0005-0000-0000-000017200000}"/>
    <cellStyle name="Note 5 2 5 3 2" xfId="5473" hidden="1" xr:uid="{00000000-0005-0000-0000-000018200000}"/>
    <cellStyle name="Note 5 2 5 3 2" xfId="6038" hidden="1" xr:uid="{00000000-0005-0000-0000-000019200000}"/>
    <cellStyle name="Note 5 2 5 3 2" xfId="6153" hidden="1" xr:uid="{00000000-0005-0000-0000-00001A200000}"/>
    <cellStyle name="Note 5 2 5 3 2" xfId="6876" hidden="1" xr:uid="{00000000-0005-0000-0000-00001B200000}"/>
    <cellStyle name="Note 5 2 5 3 2" xfId="7049" hidden="1" xr:uid="{00000000-0005-0000-0000-00001C200000}"/>
    <cellStyle name="Note 5 2 5 3 2" xfId="7442" hidden="1" xr:uid="{00000000-0005-0000-0000-00001D200000}"/>
    <cellStyle name="Note 5 2 5 3 2" xfId="7590" hidden="1" xr:uid="{00000000-0005-0000-0000-00001E200000}"/>
    <cellStyle name="Note 5 2 5 3 2" xfId="7928" hidden="1" xr:uid="{00000000-0005-0000-0000-00001F200000}"/>
    <cellStyle name="Note 5 2 5 3 2" xfId="8265" hidden="1" xr:uid="{00000000-0005-0000-0000-000020200000}"/>
    <cellStyle name="Note 5 6 3 2" xfId="453" hidden="1" xr:uid="{00000000-0005-0000-0000-000021200000}"/>
    <cellStyle name="Note 5 6 3 2" xfId="568" hidden="1" xr:uid="{00000000-0005-0000-0000-000022200000}"/>
    <cellStyle name="Note 5 6 3 2" xfId="1291" hidden="1" xr:uid="{00000000-0005-0000-0000-000023200000}"/>
    <cellStyle name="Note 5 6 3 2" xfId="1464" hidden="1" xr:uid="{00000000-0005-0000-0000-000024200000}"/>
    <cellStyle name="Note 5 6 3 2" xfId="1857" hidden="1" xr:uid="{00000000-0005-0000-0000-000025200000}"/>
    <cellStyle name="Note 5 6 3 2" xfId="2005" hidden="1" xr:uid="{00000000-0005-0000-0000-000026200000}"/>
    <cellStyle name="Note 5 6 3 2" xfId="2343" hidden="1" xr:uid="{00000000-0005-0000-0000-000027200000}"/>
    <cellStyle name="Note 5 6 3 2" xfId="2680" hidden="1" xr:uid="{00000000-0005-0000-0000-000028200000}"/>
    <cellStyle name="Note 5 6 3 2" xfId="3245" hidden="1" xr:uid="{00000000-0005-0000-0000-000029200000}"/>
    <cellStyle name="Note 5 6 3 2" xfId="3360" hidden="1" xr:uid="{00000000-0005-0000-0000-00002A200000}"/>
    <cellStyle name="Note 5 6 3 2" xfId="4083" hidden="1" xr:uid="{00000000-0005-0000-0000-00002B200000}"/>
    <cellStyle name="Note 5 6 3 2" xfId="4256" hidden="1" xr:uid="{00000000-0005-0000-0000-00002C200000}"/>
    <cellStyle name="Note 5 6 3 2" xfId="4649" hidden="1" xr:uid="{00000000-0005-0000-0000-00002D200000}"/>
    <cellStyle name="Note 5 6 3 2" xfId="4797" hidden="1" xr:uid="{00000000-0005-0000-0000-00002E200000}"/>
    <cellStyle name="Note 5 6 3 2" xfId="5135" hidden="1" xr:uid="{00000000-0005-0000-0000-00002F200000}"/>
    <cellStyle name="Note 5 6 3 2" xfId="5472" hidden="1" xr:uid="{00000000-0005-0000-0000-000030200000}"/>
    <cellStyle name="Note 5 6 3 2" xfId="6037" hidden="1" xr:uid="{00000000-0005-0000-0000-000031200000}"/>
    <cellStyle name="Note 5 6 3 2" xfId="6152" hidden="1" xr:uid="{00000000-0005-0000-0000-000032200000}"/>
    <cellStyle name="Note 5 6 3 2" xfId="6875" hidden="1" xr:uid="{00000000-0005-0000-0000-000033200000}"/>
    <cellStyle name="Note 5 6 3 2" xfId="7048" hidden="1" xr:uid="{00000000-0005-0000-0000-000034200000}"/>
    <cellStyle name="Note 5 6 3 2" xfId="7441" hidden="1" xr:uid="{00000000-0005-0000-0000-000035200000}"/>
    <cellStyle name="Note 5 6 3 2" xfId="7589" hidden="1" xr:uid="{00000000-0005-0000-0000-000036200000}"/>
    <cellStyle name="Note 5 6 3 2" xfId="7927" hidden="1" xr:uid="{00000000-0005-0000-0000-000037200000}"/>
    <cellStyle name="Note 5 6 3 2" xfId="8264" hidden="1" xr:uid="{00000000-0005-0000-0000-000038200000}"/>
    <cellStyle name="Note 6 2 2" xfId="455" hidden="1" xr:uid="{00000000-0005-0000-0000-000039200000}"/>
    <cellStyle name="Note 6 2 2" xfId="570" hidden="1" xr:uid="{00000000-0005-0000-0000-00003A200000}"/>
    <cellStyle name="Note 6 2 2" xfId="1293" hidden="1" xr:uid="{00000000-0005-0000-0000-00003B200000}"/>
    <cellStyle name="Note 6 2 2" xfId="1466" hidden="1" xr:uid="{00000000-0005-0000-0000-00003C200000}"/>
    <cellStyle name="Note 6 2 2" xfId="1859" hidden="1" xr:uid="{00000000-0005-0000-0000-00003D200000}"/>
    <cellStyle name="Note 6 2 2" xfId="2007" hidden="1" xr:uid="{00000000-0005-0000-0000-00003E200000}"/>
    <cellStyle name="Note 6 2 2" xfId="2345" hidden="1" xr:uid="{00000000-0005-0000-0000-00003F200000}"/>
    <cellStyle name="Note 6 2 2" xfId="2682" hidden="1" xr:uid="{00000000-0005-0000-0000-000040200000}"/>
    <cellStyle name="Note 6 2 2" xfId="3247" hidden="1" xr:uid="{00000000-0005-0000-0000-000041200000}"/>
    <cellStyle name="Note 6 2 2" xfId="3362" hidden="1" xr:uid="{00000000-0005-0000-0000-000042200000}"/>
    <cellStyle name="Note 6 2 2" xfId="4085" hidden="1" xr:uid="{00000000-0005-0000-0000-000043200000}"/>
    <cellStyle name="Note 6 2 2" xfId="4258" hidden="1" xr:uid="{00000000-0005-0000-0000-000044200000}"/>
    <cellStyle name="Note 6 2 2" xfId="4651" hidden="1" xr:uid="{00000000-0005-0000-0000-000045200000}"/>
    <cellStyle name="Note 6 2 2" xfId="4799" hidden="1" xr:uid="{00000000-0005-0000-0000-000046200000}"/>
    <cellStyle name="Note 6 2 2" xfId="5137" hidden="1" xr:uid="{00000000-0005-0000-0000-000047200000}"/>
    <cellStyle name="Note 6 2 2" xfId="5474" hidden="1" xr:uid="{00000000-0005-0000-0000-000048200000}"/>
    <cellStyle name="Note 6 2 2" xfId="6039" hidden="1" xr:uid="{00000000-0005-0000-0000-000049200000}"/>
    <cellStyle name="Note 6 2 2" xfId="6154" hidden="1" xr:uid="{00000000-0005-0000-0000-00004A200000}"/>
    <cellStyle name="Note 6 2 2" xfId="6877" hidden="1" xr:uid="{00000000-0005-0000-0000-00004B200000}"/>
    <cellStyle name="Note 6 2 2" xfId="7050" hidden="1" xr:uid="{00000000-0005-0000-0000-00004C200000}"/>
    <cellStyle name="Note 6 2 2" xfId="7443" hidden="1" xr:uid="{00000000-0005-0000-0000-00004D200000}"/>
    <cellStyle name="Note 6 2 2" xfId="7591" hidden="1" xr:uid="{00000000-0005-0000-0000-00004E200000}"/>
    <cellStyle name="Note 6 2 2" xfId="7929" hidden="1" xr:uid="{00000000-0005-0000-0000-00004F200000}"/>
    <cellStyle name="Note 6 2 2" xfId="8266" hidden="1" xr:uid="{00000000-0005-0000-0000-000050200000}"/>
    <cellStyle name="Note 6 3" xfId="394" hidden="1" xr:uid="{00000000-0005-0000-0000-000051200000}"/>
    <cellStyle name="Note 6 3" xfId="509" hidden="1" xr:uid="{00000000-0005-0000-0000-000052200000}"/>
    <cellStyle name="Note 6 3" xfId="1232" hidden="1" xr:uid="{00000000-0005-0000-0000-000053200000}"/>
    <cellStyle name="Note 6 3" xfId="1405" hidden="1" xr:uid="{00000000-0005-0000-0000-000054200000}"/>
    <cellStyle name="Note 6 3" xfId="1798" hidden="1" xr:uid="{00000000-0005-0000-0000-000055200000}"/>
    <cellStyle name="Note 6 3" xfId="1946" hidden="1" xr:uid="{00000000-0005-0000-0000-000056200000}"/>
    <cellStyle name="Note 6 3" xfId="2284" hidden="1" xr:uid="{00000000-0005-0000-0000-000057200000}"/>
    <cellStyle name="Note 6 3" xfId="2621" hidden="1" xr:uid="{00000000-0005-0000-0000-000058200000}"/>
    <cellStyle name="Note 6 3" xfId="3186" hidden="1" xr:uid="{00000000-0005-0000-0000-000059200000}"/>
    <cellStyle name="Note 6 3" xfId="3301" hidden="1" xr:uid="{00000000-0005-0000-0000-00005A200000}"/>
    <cellStyle name="Note 6 3" xfId="4024" hidden="1" xr:uid="{00000000-0005-0000-0000-00005B200000}"/>
    <cellStyle name="Note 6 3" xfId="4197" hidden="1" xr:uid="{00000000-0005-0000-0000-00005C200000}"/>
    <cellStyle name="Note 6 3" xfId="4590" hidden="1" xr:uid="{00000000-0005-0000-0000-00005D200000}"/>
    <cellStyle name="Note 6 3" xfId="4738" hidden="1" xr:uid="{00000000-0005-0000-0000-00005E200000}"/>
    <cellStyle name="Note 6 3" xfId="5076" hidden="1" xr:uid="{00000000-0005-0000-0000-00005F200000}"/>
    <cellStyle name="Note 6 3" xfId="5413" hidden="1" xr:uid="{00000000-0005-0000-0000-000060200000}"/>
    <cellStyle name="Note 6 3" xfId="5978" hidden="1" xr:uid="{00000000-0005-0000-0000-000061200000}"/>
    <cellStyle name="Note 6 3" xfId="6093" hidden="1" xr:uid="{00000000-0005-0000-0000-000062200000}"/>
    <cellStyle name="Note 6 3" xfId="6816" hidden="1" xr:uid="{00000000-0005-0000-0000-000063200000}"/>
    <cellStyle name="Note 6 3" xfId="6989" hidden="1" xr:uid="{00000000-0005-0000-0000-000064200000}"/>
    <cellStyle name="Note 6 3" xfId="7382" hidden="1" xr:uid="{00000000-0005-0000-0000-000065200000}"/>
    <cellStyle name="Note 6 3" xfId="7530" hidden="1" xr:uid="{00000000-0005-0000-0000-000066200000}"/>
    <cellStyle name="Note 6 3" xfId="7868" hidden="1" xr:uid="{00000000-0005-0000-0000-000067200000}"/>
    <cellStyle name="Note 6 3" xfId="8205" hidden="1" xr:uid="{00000000-0005-0000-0000-000068200000}"/>
    <cellStyle name="Note 8" xfId="70" hidden="1" xr:uid="{00000000-0005-0000-0000-000069200000}"/>
    <cellStyle name="Note 8" xfId="156" hidden="1" xr:uid="{00000000-0005-0000-0000-00006A200000}"/>
    <cellStyle name="Note 8" xfId="234" hidden="1" xr:uid="{00000000-0005-0000-0000-00006B200000}"/>
    <cellStyle name="Note 8" xfId="312" hidden="1" xr:uid="{00000000-0005-0000-0000-00006C200000}"/>
    <cellStyle name="Note 8" xfId="894" hidden="1" xr:uid="{00000000-0005-0000-0000-00006D200000}"/>
    <cellStyle name="Note 8" xfId="973" hidden="1" xr:uid="{00000000-0005-0000-0000-00006E200000}"/>
    <cellStyle name="Note 8" xfId="1052" hidden="1" xr:uid="{00000000-0005-0000-0000-00006F200000}"/>
    <cellStyle name="Note 8" xfId="705" hidden="1" xr:uid="{00000000-0005-0000-0000-000070200000}"/>
    <cellStyle name="Note 8" xfId="612" hidden="1" xr:uid="{00000000-0005-0000-0000-000071200000}"/>
    <cellStyle name="Note 8" xfId="666" hidden="1" xr:uid="{00000000-0005-0000-0000-000072200000}"/>
    <cellStyle name="Note 8" xfId="1367" hidden="1" xr:uid="{00000000-0005-0000-0000-000073200000}"/>
    <cellStyle name="Note 8" xfId="1568" hidden="1" xr:uid="{00000000-0005-0000-0000-000074200000}"/>
    <cellStyle name="Note 8" xfId="1646" hidden="1" xr:uid="{00000000-0005-0000-0000-000075200000}"/>
    <cellStyle name="Note 8" xfId="660" hidden="1" xr:uid="{00000000-0005-0000-0000-000076200000}"/>
    <cellStyle name="Note 8" xfId="1192" hidden="1" xr:uid="{00000000-0005-0000-0000-000077200000}"/>
    <cellStyle name="Note 8" xfId="1352" hidden="1" xr:uid="{00000000-0005-0000-0000-000078200000}"/>
    <cellStyle name="Note 8" xfId="1915" hidden="1" xr:uid="{00000000-0005-0000-0000-000079200000}"/>
    <cellStyle name="Note 8" xfId="2100" hidden="1" xr:uid="{00000000-0005-0000-0000-00007A200000}"/>
    <cellStyle name="Note 8" xfId="2178" hidden="1" xr:uid="{00000000-0005-0000-0000-00007B200000}"/>
    <cellStyle name="Note 8" xfId="2257" hidden="1" xr:uid="{00000000-0005-0000-0000-00007C200000}"/>
    <cellStyle name="Note 8" xfId="2437" hidden="1" xr:uid="{00000000-0005-0000-0000-00007D200000}"/>
    <cellStyle name="Note 8" xfId="2515" hidden="1" xr:uid="{00000000-0005-0000-0000-00007E200000}"/>
    <cellStyle name="Note 8" xfId="2594" hidden="1" xr:uid="{00000000-0005-0000-0000-00007F200000}"/>
    <cellStyle name="Note 8" xfId="2774" hidden="1" xr:uid="{00000000-0005-0000-0000-000080200000}"/>
    <cellStyle name="Note 8" xfId="2862" hidden="1" xr:uid="{00000000-0005-0000-0000-000081200000}"/>
    <cellStyle name="Note 8" xfId="2948" hidden="1" xr:uid="{00000000-0005-0000-0000-000082200000}"/>
    <cellStyle name="Note 8" xfId="3026" hidden="1" xr:uid="{00000000-0005-0000-0000-000083200000}"/>
    <cellStyle name="Note 8" xfId="3104" hidden="1" xr:uid="{00000000-0005-0000-0000-000084200000}"/>
    <cellStyle name="Note 8" xfId="3686" hidden="1" xr:uid="{00000000-0005-0000-0000-000085200000}"/>
    <cellStyle name="Note 8" xfId="3765" hidden="1" xr:uid="{00000000-0005-0000-0000-000086200000}"/>
    <cellStyle name="Note 8" xfId="3844" hidden="1" xr:uid="{00000000-0005-0000-0000-000087200000}"/>
    <cellStyle name="Note 8" xfId="3497" hidden="1" xr:uid="{00000000-0005-0000-0000-000088200000}"/>
    <cellStyle name="Note 8" xfId="3404" hidden="1" xr:uid="{00000000-0005-0000-0000-000089200000}"/>
    <cellStyle name="Note 8" xfId="3458" hidden="1" xr:uid="{00000000-0005-0000-0000-00008A200000}"/>
    <cellStyle name="Note 8" xfId="4159" hidden="1" xr:uid="{00000000-0005-0000-0000-00008B200000}"/>
    <cellStyle name="Note 8" xfId="4360" hidden="1" xr:uid="{00000000-0005-0000-0000-00008C200000}"/>
    <cellStyle name="Note 8" xfId="4438" hidden="1" xr:uid="{00000000-0005-0000-0000-00008D200000}"/>
    <cellStyle name="Note 8" xfId="3452" hidden="1" xr:uid="{00000000-0005-0000-0000-00008E200000}"/>
    <cellStyle name="Note 8" xfId="3984" hidden="1" xr:uid="{00000000-0005-0000-0000-00008F200000}"/>
    <cellStyle name="Note 8" xfId="4144" hidden="1" xr:uid="{00000000-0005-0000-0000-000090200000}"/>
    <cellStyle name="Note 8" xfId="4707" hidden="1" xr:uid="{00000000-0005-0000-0000-000091200000}"/>
    <cellStyle name="Note 8" xfId="4892" hidden="1" xr:uid="{00000000-0005-0000-0000-000092200000}"/>
    <cellStyle name="Note 8" xfId="4970" hidden="1" xr:uid="{00000000-0005-0000-0000-000093200000}"/>
    <cellStyle name="Note 8" xfId="5049" hidden="1" xr:uid="{00000000-0005-0000-0000-000094200000}"/>
    <cellStyle name="Note 8" xfId="5229" hidden="1" xr:uid="{00000000-0005-0000-0000-000095200000}"/>
    <cellStyle name="Note 8" xfId="5307" hidden="1" xr:uid="{00000000-0005-0000-0000-000096200000}"/>
    <cellStyle name="Note 8" xfId="5386" hidden="1" xr:uid="{00000000-0005-0000-0000-000097200000}"/>
    <cellStyle name="Note 8" xfId="5566" hidden="1" xr:uid="{00000000-0005-0000-0000-000098200000}"/>
    <cellStyle name="Note 8" xfId="5654" hidden="1" xr:uid="{00000000-0005-0000-0000-000099200000}"/>
    <cellStyle name="Note 8" xfId="5740" hidden="1" xr:uid="{00000000-0005-0000-0000-00009A200000}"/>
    <cellStyle name="Note 8" xfId="5818" hidden="1" xr:uid="{00000000-0005-0000-0000-00009B200000}"/>
    <cellStyle name="Note 8" xfId="5896" hidden="1" xr:uid="{00000000-0005-0000-0000-00009C200000}"/>
    <cellStyle name="Note 8" xfId="6478" hidden="1" xr:uid="{00000000-0005-0000-0000-00009D200000}"/>
    <cellStyle name="Note 8" xfId="6557" hidden="1" xr:uid="{00000000-0005-0000-0000-00009E200000}"/>
    <cellStyle name="Note 8" xfId="6636" hidden="1" xr:uid="{00000000-0005-0000-0000-00009F200000}"/>
    <cellStyle name="Note 8" xfId="6289" hidden="1" xr:uid="{00000000-0005-0000-0000-0000A0200000}"/>
    <cellStyle name="Note 8" xfId="6196" hidden="1" xr:uid="{00000000-0005-0000-0000-0000A1200000}"/>
    <cellStyle name="Note 8" xfId="6250" hidden="1" xr:uid="{00000000-0005-0000-0000-0000A2200000}"/>
    <cellStyle name="Note 8" xfId="6951" hidden="1" xr:uid="{00000000-0005-0000-0000-0000A3200000}"/>
    <cellStyle name="Note 8" xfId="7152" hidden="1" xr:uid="{00000000-0005-0000-0000-0000A4200000}"/>
    <cellStyle name="Note 8" xfId="7230" hidden="1" xr:uid="{00000000-0005-0000-0000-0000A5200000}"/>
    <cellStyle name="Note 8" xfId="6244" hidden="1" xr:uid="{00000000-0005-0000-0000-0000A6200000}"/>
    <cellStyle name="Note 8" xfId="6776" hidden="1" xr:uid="{00000000-0005-0000-0000-0000A7200000}"/>
    <cellStyle name="Note 8" xfId="6936" hidden="1" xr:uid="{00000000-0005-0000-0000-0000A8200000}"/>
    <cellStyle name="Note 8" xfId="7499" hidden="1" xr:uid="{00000000-0005-0000-0000-0000A9200000}"/>
    <cellStyle name="Note 8" xfId="7684" hidden="1" xr:uid="{00000000-0005-0000-0000-0000AA200000}"/>
    <cellStyle name="Note 8" xfId="7762" hidden="1" xr:uid="{00000000-0005-0000-0000-0000AB200000}"/>
    <cellStyle name="Note 8" xfId="7841" hidden="1" xr:uid="{00000000-0005-0000-0000-0000AC200000}"/>
    <cellStyle name="Note 8" xfId="8021" hidden="1" xr:uid="{00000000-0005-0000-0000-0000AD200000}"/>
    <cellStyle name="Note 8" xfId="8099" hidden="1" xr:uid="{00000000-0005-0000-0000-0000AE200000}"/>
    <cellStyle name="Note 8" xfId="8178" hidden="1" xr:uid="{00000000-0005-0000-0000-0000AF200000}"/>
    <cellStyle name="Note 8" xfId="8358" hidden="1" xr:uid="{00000000-0005-0000-0000-0000B0200000}"/>
    <cellStyle name="Note 9" xfId="87" hidden="1" xr:uid="{00000000-0005-0000-0000-0000B1200000}"/>
    <cellStyle name="Note 9" xfId="86" hidden="1" xr:uid="{00000000-0005-0000-0000-0000B2200000}"/>
    <cellStyle name="Note 9" xfId="164" hidden="1" xr:uid="{00000000-0005-0000-0000-0000B3200000}"/>
    <cellStyle name="Note 9" xfId="305" hidden="1" xr:uid="{00000000-0005-0000-0000-0000B4200000}"/>
    <cellStyle name="Note 9" xfId="889" hidden="1" xr:uid="{00000000-0005-0000-0000-0000B5200000}"/>
    <cellStyle name="Note 9" xfId="903" hidden="1" xr:uid="{00000000-0005-0000-0000-0000B6200000}"/>
    <cellStyle name="Note 9" xfId="1044" hidden="1" xr:uid="{00000000-0005-0000-0000-0000B7200000}"/>
    <cellStyle name="Note 9" xfId="1149" hidden="1" xr:uid="{00000000-0005-0000-0000-0000B8200000}"/>
    <cellStyle name="Note 9" xfId="1332" hidden="1" xr:uid="{00000000-0005-0000-0000-0000B9200000}"/>
    <cellStyle name="Note 9" xfId="781" hidden="1" xr:uid="{00000000-0005-0000-0000-0000BA200000}"/>
    <cellStyle name="Note 9" xfId="1351" hidden="1" xr:uid="{00000000-0005-0000-0000-0000BB200000}"/>
    <cellStyle name="Note 9" xfId="790" hidden="1" xr:uid="{00000000-0005-0000-0000-0000BC200000}"/>
    <cellStyle name="Note 9" xfId="1639" hidden="1" xr:uid="{00000000-0005-0000-0000-0000BD200000}"/>
    <cellStyle name="Note 9" xfId="1737" hidden="1" xr:uid="{00000000-0005-0000-0000-0000BE200000}"/>
    <cellStyle name="Note 9" xfId="1892" hidden="1" xr:uid="{00000000-0005-0000-0000-0000BF200000}"/>
    <cellStyle name="Note 9" xfId="833" hidden="1" xr:uid="{00000000-0005-0000-0000-0000C0200000}"/>
    <cellStyle name="Note 9" xfId="1909" hidden="1" xr:uid="{00000000-0005-0000-0000-0000C1200000}"/>
    <cellStyle name="Note 9" xfId="1156" hidden="1" xr:uid="{00000000-0005-0000-0000-0000C2200000}"/>
    <cellStyle name="Note 9" xfId="2171" hidden="1" xr:uid="{00000000-0005-0000-0000-0000C3200000}"/>
    <cellStyle name="Note 9" xfId="758" hidden="1" xr:uid="{00000000-0005-0000-0000-0000C4200000}"/>
    <cellStyle name="Note 9" xfId="1215" hidden="1" xr:uid="{00000000-0005-0000-0000-0000C5200000}"/>
    <cellStyle name="Note 9" xfId="2508" hidden="1" xr:uid="{00000000-0005-0000-0000-0000C6200000}"/>
    <cellStyle name="Note 9" xfId="1931" hidden="1" xr:uid="{00000000-0005-0000-0000-0000C7200000}"/>
    <cellStyle name="Note 9" xfId="1728" hidden="1" xr:uid="{00000000-0005-0000-0000-0000C8200000}"/>
    <cellStyle name="Note 9" xfId="2879" hidden="1" xr:uid="{00000000-0005-0000-0000-0000C9200000}"/>
    <cellStyle name="Note 9" xfId="2878" hidden="1" xr:uid="{00000000-0005-0000-0000-0000CA200000}"/>
    <cellStyle name="Note 9" xfId="2956" hidden="1" xr:uid="{00000000-0005-0000-0000-0000CB200000}"/>
    <cellStyle name="Note 9" xfId="3097" hidden="1" xr:uid="{00000000-0005-0000-0000-0000CC200000}"/>
    <cellStyle name="Note 9" xfId="3681" hidden="1" xr:uid="{00000000-0005-0000-0000-0000CD200000}"/>
    <cellStyle name="Note 9" xfId="3695" hidden="1" xr:uid="{00000000-0005-0000-0000-0000CE200000}"/>
    <cellStyle name="Note 9" xfId="3836" hidden="1" xr:uid="{00000000-0005-0000-0000-0000CF200000}"/>
    <cellStyle name="Note 9" xfId="3941" hidden="1" xr:uid="{00000000-0005-0000-0000-0000D0200000}"/>
    <cellStyle name="Note 9" xfId="4124" hidden="1" xr:uid="{00000000-0005-0000-0000-0000D1200000}"/>
    <cellStyle name="Note 9" xfId="3573" hidden="1" xr:uid="{00000000-0005-0000-0000-0000D2200000}"/>
    <cellStyle name="Note 9" xfId="4143" hidden="1" xr:uid="{00000000-0005-0000-0000-0000D3200000}"/>
    <cellStyle name="Note 9" xfId="3582" hidden="1" xr:uid="{00000000-0005-0000-0000-0000D4200000}"/>
    <cellStyle name="Note 9" xfId="4431" hidden="1" xr:uid="{00000000-0005-0000-0000-0000D5200000}"/>
    <cellStyle name="Note 9" xfId="4529" hidden="1" xr:uid="{00000000-0005-0000-0000-0000D6200000}"/>
    <cellStyle name="Note 9" xfId="4684" hidden="1" xr:uid="{00000000-0005-0000-0000-0000D7200000}"/>
    <cellStyle name="Note 9" xfId="3625" hidden="1" xr:uid="{00000000-0005-0000-0000-0000D8200000}"/>
    <cellStyle name="Note 9" xfId="4701" hidden="1" xr:uid="{00000000-0005-0000-0000-0000D9200000}"/>
    <cellStyle name="Note 9" xfId="3948" hidden="1" xr:uid="{00000000-0005-0000-0000-0000DA200000}"/>
    <cellStyle name="Note 9" xfId="4963" hidden="1" xr:uid="{00000000-0005-0000-0000-0000DB200000}"/>
    <cellStyle name="Note 9" xfId="3550" hidden="1" xr:uid="{00000000-0005-0000-0000-0000DC200000}"/>
    <cellStyle name="Note 9" xfId="4007" hidden="1" xr:uid="{00000000-0005-0000-0000-0000DD200000}"/>
    <cellStyle name="Note 9" xfId="5300" hidden="1" xr:uid="{00000000-0005-0000-0000-0000DE200000}"/>
    <cellStyle name="Note 9" xfId="4723" hidden="1" xr:uid="{00000000-0005-0000-0000-0000DF200000}"/>
    <cellStyle name="Note 9" xfId="4520" hidden="1" xr:uid="{00000000-0005-0000-0000-0000E0200000}"/>
    <cellStyle name="Note 9" xfId="5671" hidden="1" xr:uid="{00000000-0005-0000-0000-0000E1200000}"/>
    <cellStyle name="Note 9" xfId="5670" hidden="1" xr:uid="{00000000-0005-0000-0000-0000E2200000}"/>
    <cellStyle name="Note 9" xfId="5748" hidden="1" xr:uid="{00000000-0005-0000-0000-0000E3200000}"/>
    <cellStyle name="Note 9" xfId="5889" hidden="1" xr:uid="{00000000-0005-0000-0000-0000E4200000}"/>
    <cellStyle name="Note 9" xfId="6473" hidden="1" xr:uid="{00000000-0005-0000-0000-0000E5200000}"/>
    <cellStyle name="Note 9" xfId="6487" hidden="1" xr:uid="{00000000-0005-0000-0000-0000E6200000}"/>
    <cellStyle name="Note 9" xfId="6628" hidden="1" xr:uid="{00000000-0005-0000-0000-0000E7200000}"/>
    <cellStyle name="Note 9" xfId="6733" hidden="1" xr:uid="{00000000-0005-0000-0000-0000E8200000}"/>
    <cellStyle name="Note 9" xfId="6916" hidden="1" xr:uid="{00000000-0005-0000-0000-0000E9200000}"/>
    <cellStyle name="Note 9" xfId="6365" hidden="1" xr:uid="{00000000-0005-0000-0000-0000EA200000}"/>
    <cellStyle name="Note 9" xfId="6935" hidden="1" xr:uid="{00000000-0005-0000-0000-0000EB200000}"/>
    <cellStyle name="Note 9" xfId="6374" hidden="1" xr:uid="{00000000-0005-0000-0000-0000EC200000}"/>
    <cellStyle name="Note 9" xfId="7223" hidden="1" xr:uid="{00000000-0005-0000-0000-0000ED200000}"/>
    <cellStyle name="Note 9" xfId="7321" hidden="1" xr:uid="{00000000-0005-0000-0000-0000EE200000}"/>
    <cellStyle name="Note 9" xfId="7476" hidden="1" xr:uid="{00000000-0005-0000-0000-0000EF200000}"/>
    <cellStyle name="Note 9" xfId="6417" hidden="1" xr:uid="{00000000-0005-0000-0000-0000F0200000}"/>
    <cellStyle name="Note 9" xfId="7493" hidden="1" xr:uid="{00000000-0005-0000-0000-0000F1200000}"/>
    <cellStyle name="Note 9" xfId="6740" hidden="1" xr:uid="{00000000-0005-0000-0000-0000F2200000}"/>
    <cellStyle name="Note 9" xfId="7755" hidden="1" xr:uid="{00000000-0005-0000-0000-0000F3200000}"/>
    <cellStyle name="Note 9" xfId="6342" hidden="1" xr:uid="{00000000-0005-0000-0000-0000F4200000}"/>
    <cellStyle name="Note 9" xfId="6799" hidden="1" xr:uid="{00000000-0005-0000-0000-0000F5200000}"/>
    <cellStyle name="Note 9" xfId="8092" hidden="1" xr:uid="{00000000-0005-0000-0000-0000F6200000}"/>
    <cellStyle name="Note 9" xfId="7515" hidden="1" xr:uid="{00000000-0005-0000-0000-0000F7200000}"/>
    <cellStyle name="Note 9" xfId="7312" hidden="1" xr:uid="{00000000-0005-0000-0000-0000F8200000}"/>
    <cellStyle name="Output" xfId="14" builtinId="21" customBuiltin="1"/>
    <cellStyle name="Output 2" xfId="8448" xr:uid="{A7A92746-3826-44FD-BCF4-E37DEF7AF6D7}"/>
    <cellStyle name="Percent" xfId="56" builtinId="5" hidden="1" customBuiltin="1"/>
    <cellStyle name="Percent" xfId="58" builtinId="5"/>
    <cellStyle name="Percent [0]" xfId="57" xr:uid="{00000000-0005-0000-0000-0000FD200000}"/>
    <cellStyle name="Percent [1]" xfId="48" xr:uid="{00000000-0005-0000-0000-0000FF200000}"/>
    <cellStyle name="Percent [2]" xfId="47" xr:uid="{00000000-0005-0000-0000-000001210000}"/>
    <cellStyle name="Percent [3]" xfId="46" xr:uid="{00000000-0005-0000-0000-000003210000}"/>
    <cellStyle name="Percent [4]" xfId="62" xr:uid="{E128B793-D2E1-4266-95CA-D3A56AB076BC}"/>
    <cellStyle name="Rt border" xfId="8442" xr:uid="{E97A7AD9-A510-4EC7-8727-DACFDBA7C0DF}"/>
    <cellStyle name="Rt margin" xfId="64" xr:uid="{00000000-0005-0000-0000-000008210000}"/>
    <cellStyle name="Rt margin 2" xfId="8451" xr:uid="{EDC54848-862A-45C1-BF30-0FA7E50C9DF7}"/>
    <cellStyle name="Text" xfId="63" xr:uid="{9C67E3D5-99A6-4905-8B12-6C92DC3F5E62}"/>
    <cellStyle name="Text 2" xfId="8446" xr:uid="{970ADB7E-CA9C-4BE6-8499-8804966C7AA0}"/>
    <cellStyle name="Title" xfId="5" builtinId="15" customBuiltin="1"/>
    <cellStyle name="Title 2" xfId="8444" xr:uid="{949E9852-CC02-486D-A593-5443ABAA917F}"/>
    <cellStyle name="Title 2 2" xfId="8452" xr:uid="{F2638F88-9A82-4C4A-B122-393E9FCBAB79}"/>
    <cellStyle name="Total" xfId="21" builtinId="25" hidden="1"/>
    <cellStyle name="Warning Text" xfId="18" builtinId="11" hidden="1"/>
    <cellStyle name="Year" xfId="61" xr:uid="{FD6F7BF8-1B81-473A-877D-ECA096A93746}"/>
  </cellStyles>
  <dxfs count="0"/>
  <tableStyles count="0" defaultTableStyle="TableStyleMedium2" defaultPivotStyle="PivotStyleLight16"/>
  <colors>
    <mruColors>
      <color rgb="FFB8B096"/>
      <color rgb="FFECA68B"/>
      <color rgb="FF69D8FF"/>
      <color rgb="FF639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externalLink" Target="externalLinks/externalLink3.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externalLink" Target="externalLinks/externalLink2.xml" Id="rId25" /><Relationship Type="http://schemas.openxmlformats.org/officeDocument/2006/relationships/calcChain" Target="calcChain.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theme" Target="theme/theme1.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externalLink" Target="externalLinks/externalLink1.xml" Id="rId24" /><Relationship Type="http://schemas.openxmlformats.org/officeDocument/2006/relationships/sheetMetadata" Target="metadata.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externalLink" Target="externalLinks/externalLink5.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sharedStrings" Target="sharedStrings.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externalLink" Target="externalLinks/externalLink4.xml" Id="rId27" /><Relationship Type="http://schemas.openxmlformats.org/officeDocument/2006/relationships/styles" Target="styles.xml" Id="rId30" /><Relationship Type="http://schemas.openxmlformats.org/officeDocument/2006/relationships/worksheet" Target="worksheets/sheet8.xml" Id="rId8"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142875</xdr:rowOff>
    </xdr:from>
    <xdr:to>
      <xdr:col>1</xdr:col>
      <xdr:colOff>884522</xdr:colOff>
      <xdr:row>1</xdr:row>
      <xdr:rowOff>657975</xdr:rowOff>
    </xdr:to>
    <xdr:pic>
      <xdr:nvPicPr>
        <xdr:cNvPr id="2" name="Picture 1">
          <a:extLst>
            <a:ext uri="{FF2B5EF4-FFF2-40B4-BE49-F238E27FC236}">
              <a16:creationId xmlns:a16="http://schemas.microsoft.com/office/drawing/2014/main" id="{65B96CCF-A5EB-4094-AD79-A62372B429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2341847" cy="705600"/>
        </a:xfrm>
        <a:prstGeom prst="rect">
          <a:avLst/>
        </a:prstGeom>
      </xdr:spPr>
    </xdr:pic>
    <xdr:clientData/>
  </xdr:twoCellAnchor>
  <xdr:twoCellAnchor editAs="oneCell">
    <xdr:from>
      <xdr:col>0</xdr:col>
      <xdr:colOff>0</xdr:colOff>
      <xdr:row>1</xdr:row>
      <xdr:rowOff>2203133</xdr:rowOff>
    </xdr:from>
    <xdr:to>
      <xdr:col>4</xdr:col>
      <xdr:colOff>0</xdr:colOff>
      <xdr:row>13</xdr:row>
      <xdr:rowOff>147638</xdr:rowOff>
    </xdr:to>
    <xdr:pic>
      <xdr:nvPicPr>
        <xdr:cNvPr id="3" name="Picture 2">
          <a:extLst>
            <a:ext uri="{FF2B5EF4-FFF2-40B4-BE49-F238E27FC236}">
              <a16:creationId xmlns:a16="http://schemas.microsoft.com/office/drawing/2014/main" id="{ECABDB86-C7FB-4D41-98F1-4BF2A60CE0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393633"/>
          <a:ext cx="8982075" cy="323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2024%20EDB%20reset\Base%20Models%20May%202024%20-%20Publication\v2%20models\Post%20publication%20database%20final.xlsx" TargetMode="External"/><Relationship Id="rId1" Type="http://schemas.openxmlformats.org/officeDocument/2006/relationships/externalLinkPath" Target="Post%20publication%20database%20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2024%20EDB%20reset\Base%20Models%20May%202024%20-%20Publication\v2%20models\EDB%20database%20with%202024%20AMP.xlsx" TargetMode="External"/><Relationship Id="rId1" Type="http://schemas.openxmlformats.org/officeDocument/2006/relationships/externalLinkPath" Target="EDB%20database%20with%202024%20AMP.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wccfp01\Regulation\2024%20EDB%20reset\Base%20Models%20May%202024\Database%202013-23%20filtered_1.xlsx" TargetMode="External"/><Relationship Id="rId1" Type="http://schemas.openxmlformats.org/officeDocument/2006/relationships/externalLinkPath" Target="Database%202013-23%20filtered_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2024%20EDB%20reset\Base%20Models%20May%202024%20-%20Publication\2024%20AMP%20extractor10.xlsm" TargetMode="External"/><Relationship Id="rId1" Type="http://schemas.openxmlformats.org/officeDocument/2006/relationships/externalLinkPath" Target="2024%20AMP%20extractor10.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M:\2024%20EDB%20reset\Base%20Models%20May%202024%20-%20Publication\Financial%20model%20&#8211;%20EDB%20DPP4%20draft%20determination%20&#8211;%2029%20May%202024.xlsx" TargetMode="External"/><Relationship Id="rId1" Type="http://schemas.openxmlformats.org/officeDocument/2006/relationships/externalLinkPath" Target="Financial%20model%20&#8211;%20EDB%20DPP4%20draft%20determination%20&#8211;%2029%20Ma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base"/>
      <sheetName val="Pivots"/>
      <sheetName val="Output"/>
      <sheetName val="ConsumreRef"/>
      <sheetName val="S8"/>
      <sheetName val="S12"/>
    </sheetNames>
    <sheetDataSet>
      <sheetData sheetId="0"/>
      <sheetData sheetId="1"/>
      <sheetData sheetId="2">
        <row r="113">
          <cell r="A113" t="str">
            <v>Assets commissioned, actual, nominal</v>
          </cell>
        </row>
        <row r="114">
          <cell r="A114" t="str">
            <v>Alpine Energy</v>
          </cell>
          <cell r="F114">
            <v>14838.8121390163</v>
          </cell>
          <cell r="G114">
            <v>18553.5095</v>
          </cell>
          <cell r="H114">
            <v>19464.545436548098</v>
          </cell>
        </row>
        <row r="115">
          <cell r="A115" t="str">
            <v>Aurora Energy</v>
          </cell>
          <cell r="F115">
            <v>61073</v>
          </cell>
          <cell r="G115">
            <v>93006</v>
          </cell>
          <cell r="H115">
            <v>76873</v>
          </cell>
        </row>
        <row r="116">
          <cell r="A116" t="str">
            <v>EA Networks</v>
          </cell>
          <cell r="F116">
            <v>15501</v>
          </cell>
          <cell r="G116">
            <v>11600</v>
          </cell>
          <cell r="H116">
            <v>12049.0346434783</v>
          </cell>
        </row>
        <row r="117">
          <cell r="A117" t="str">
            <v>Electricity Invercargill</v>
          </cell>
          <cell r="F117">
            <v>4131.6000000000004</v>
          </cell>
          <cell r="G117">
            <v>6116.73</v>
          </cell>
          <cell r="H117">
            <v>4521.9785000000002</v>
          </cell>
        </row>
        <row r="118">
          <cell r="A118" t="str">
            <v>Firstlight Network</v>
          </cell>
          <cell r="F118">
            <v>10983.468024507099</v>
          </cell>
          <cell r="G118">
            <v>9630.1170299999994</v>
          </cell>
          <cell r="H118">
            <v>16078.13704</v>
          </cell>
        </row>
        <row r="119">
          <cell r="A119" t="str">
            <v>Horizon Energy</v>
          </cell>
          <cell r="F119">
            <v>7154.40697000002</v>
          </cell>
          <cell r="G119">
            <v>6593.4251199999999</v>
          </cell>
          <cell r="H119">
            <v>8222.5562700000191</v>
          </cell>
        </row>
        <row r="120">
          <cell r="A120" t="str">
            <v>Nelson Electricity</v>
          </cell>
          <cell r="F120">
            <v>762.82890999999995</v>
          </cell>
          <cell r="G120">
            <v>1696.3871300000001</v>
          </cell>
          <cell r="H120">
            <v>1644.41113</v>
          </cell>
        </row>
        <row r="121">
          <cell r="A121" t="str">
            <v>Network Tasman</v>
          </cell>
          <cell r="F121">
            <v>8066</v>
          </cell>
          <cell r="G121">
            <v>10506</v>
          </cell>
          <cell r="H121">
            <v>13863</v>
          </cell>
        </row>
        <row r="122">
          <cell r="A122" t="str">
            <v>Orion NZ</v>
          </cell>
          <cell r="F122">
            <v>53186.601000000002</v>
          </cell>
          <cell r="G122">
            <v>97104</v>
          </cell>
          <cell r="H122">
            <v>106220</v>
          </cell>
        </row>
        <row r="123">
          <cell r="A123" t="str">
            <v>OtagoNet</v>
          </cell>
          <cell r="F123">
            <v>12425.352650999999</v>
          </cell>
          <cell r="G123">
            <v>16873.601816999999</v>
          </cell>
          <cell r="H123">
            <v>16919.649445999999</v>
          </cell>
        </row>
        <row r="124">
          <cell r="A124" t="str">
            <v>Powerco</v>
          </cell>
          <cell r="F124">
            <v>184197.353834746</v>
          </cell>
          <cell r="G124">
            <v>199318.15218984499</v>
          </cell>
          <cell r="H124">
            <v>255746.93695538701</v>
          </cell>
        </row>
        <row r="125">
          <cell r="A125" t="str">
            <v>The Lines Company</v>
          </cell>
          <cell r="F125">
            <v>20970</v>
          </cell>
          <cell r="G125">
            <v>19710.658423972101</v>
          </cell>
          <cell r="H125">
            <v>6934.1732014999998</v>
          </cell>
        </row>
        <row r="126">
          <cell r="A126" t="str">
            <v>Top Energy</v>
          </cell>
          <cell r="F126">
            <v>29668.5563508009</v>
          </cell>
          <cell r="G126">
            <v>9230.3691892571896</v>
          </cell>
          <cell r="H126">
            <v>9801.2606322524607</v>
          </cell>
        </row>
        <row r="127">
          <cell r="A127" t="str">
            <v>Unison Networks</v>
          </cell>
          <cell r="F127">
            <v>36200</v>
          </cell>
          <cell r="G127">
            <v>51597</v>
          </cell>
          <cell r="H127">
            <v>54624.989190807501</v>
          </cell>
        </row>
        <row r="128">
          <cell r="A128" t="str">
            <v>Vector Lines</v>
          </cell>
          <cell r="F128">
            <v>215221.23517623401</v>
          </cell>
          <cell r="G128">
            <v>171903</v>
          </cell>
          <cell r="H128">
            <v>169286.63359466099</v>
          </cell>
        </row>
        <row r="129">
          <cell r="A129" t="str">
            <v>Wellington Electricity</v>
          </cell>
          <cell r="F129">
            <v>38067.524659999901</v>
          </cell>
          <cell r="G129">
            <v>43038.099790000102</v>
          </cell>
          <cell r="H129">
            <v>41143.212370000001</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ata"/>
    </sheetNames>
    <sheetDataSet>
      <sheetData sheetId="0">
        <row r="24">
          <cell r="B24">
            <v>2024</v>
          </cell>
          <cell r="C24">
            <v>2025</v>
          </cell>
        </row>
        <row r="25">
          <cell r="A25" t="str">
            <v>Alpine Energy</v>
          </cell>
          <cell r="B25">
            <v>20569</v>
          </cell>
          <cell r="C25">
            <v>31284.442125000001</v>
          </cell>
        </row>
        <row r="26">
          <cell r="A26" t="str">
            <v>Aurora Energy</v>
          </cell>
          <cell r="B26">
            <v>82176.47</v>
          </cell>
          <cell r="C26">
            <v>85830.25</v>
          </cell>
        </row>
        <row r="27">
          <cell r="A27" t="str">
            <v>EA Networks</v>
          </cell>
          <cell r="B27">
            <v>14319</v>
          </cell>
          <cell r="C27">
            <v>13824.1942312012</v>
          </cell>
        </row>
        <row r="28">
          <cell r="A28" t="str">
            <v>Electricity Invercargill</v>
          </cell>
          <cell r="B28">
            <v>5322</v>
          </cell>
          <cell r="C28">
            <v>7394</v>
          </cell>
        </row>
        <row r="29">
          <cell r="A29" t="str">
            <v>Firstlight Network</v>
          </cell>
          <cell r="B29">
            <v>15187.099562519399</v>
          </cell>
          <cell r="C29">
            <v>21039.916158420201</v>
          </cell>
        </row>
        <row r="30">
          <cell r="A30" t="str">
            <v>Horizon Energy</v>
          </cell>
          <cell r="B30">
            <v>8443.5723670000007</v>
          </cell>
          <cell r="C30">
            <v>10749.549703000001</v>
          </cell>
        </row>
        <row r="31">
          <cell r="A31" t="str">
            <v>Nelson Electricity</v>
          </cell>
          <cell r="B31">
            <v>1987</v>
          </cell>
          <cell r="C31">
            <v>3219</v>
          </cell>
        </row>
        <row r="32">
          <cell r="A32" t="str">
            <v>Network Tasman</v>
          </cell>
          <cell r="B32">
            <v>17773</v>
          </cell>
          <cell r="C32">
            <v>18973</v>
          </cell>
        </row>
        <row r="33">
          <cell r="A33" t="str">
            <v>Orion NZ</v>
          </cell>
          <cell r="B33">
            <v>121200.414</v>
          </cell>
          <cell r="C33">
            <v>149313</v>
          </cell>
        </row>
        <row r="34">
          <cell r="A34" t="str">
            <v>OtagoNet</v>
          </cell>
          <cell r="B34">
            <v>20895.387500674999</v>
          </cell>
          <cell r="C34">
            <v>15224.1717338954</v>
          </cell>
        </row>
        <row r="35">
          <cell r="A35" t="str">
            <v>Powerco</v>
          </cell>
          <cell r="B35">
            <v>242300</v>
          </cell>
          <cell r="C35">
            <v>277757</v>
          </cell>
        </row>
        <row r="36">
          <cell r="A36" t="str">
            <v>The Lines Company</v>
          </cell>
          <cell r="B36">
            <v>19385</v>
          </cell>
          <cell r="C36">
            <v>34061.919999999998</v>
          </cell>
        </row>
        <row r="37">
          <cell r="A37" t="str">
            <v>Top Energy</v>
          </cell>
          <cell r="B37">
            <v>19917</v>
          </cell>
          <cell r="C37">
            <v>22598.74</v>
          </cell>
        </row>
        <row r="38">
          <cell r="A38" t="str">
            <v>Unison Networks</v>
          </cell>
          <cell r="B38">
            <v>75494.279012052706</v>
          </cell>
          <cell r="C38">
            <v>92956.904132913696</v>
          </cell>
        </row>
        <row r="39">
          <cell r="A39" t="str">
            <v>Vector Lines</v>
          </cell>
          <cell r="B39">
            <v>308324</v>
          </cell>
          <cell r="C39">
            <v>382111</v>
          </cell>
        </row>
        <row r="40">
          <cell r="A40" t="str">
            <v>Wellington Electricity</v>
          </cell>
          <cell r="B40">
            <v>46504.271768311402</v>
          </cell>
          <cell r="C40">
            <v>55530.4742216546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base"/>
      <sheetName val="Pivots"/>
      <sheetName val="Output"/>
      <sheetName val="ConsumreRef"/>
      <sheetName val="S8"/>
      <sheetName val="S12"/>
      <sheetName val="Database 2013-23 filtered_1"/>
    </sheetNames>
    <sheetDataSet>
      <sheetData sheetId="0" refreshError="1"/>
      <sheetData sheetId="1" refreshError="1"/>
      <sheetData sheetId="2">
        <row r="22">
          <cell r="B22">
            <v>0</v>
          </cell>
        </row>
        <row r="55">
          <cell r="A55" t="str">
            <v>Alpine Energy</v>
          </cell>
          <cell r="B55">
            <v>19956.6006247896</v>
          </cell>
          <cell r="C55">
            <v>22245.4694628502</v>
          </cell>
          <cell r="D55">
            <v>24894.350419999999</v>
          </cell>
        </row>
        <row r="56">
          <cell r="A56" t="str">
            <v>Aurora Energy</v>
          </cell>
          <cell r="B56">
            <v>46252.2</v>
          </cell>
          <cell r="C56">
            <v>46260</v>
          </cell>
          <cell r="D56">
            <v>48271</v>
          </cell>
        </row>
        <row r="57">
          <cell r="A57" t="str">
            <v>EA Networks</v>
          </cell>
          <cell r="B57">
            <v>12963</v>
          </cell>
          <cell r="C57">
            <v>13621</v>
          </cell>
          <cell r="D57">
            <v>15449</v>
          </cell>
        </row>
        <row r="58">
          <cell r="A58" t="str">
            <v>Electricity Invercargill</v>
          </cell>
          <cell r="B58">
            <v>4737.9480000000003</v>
          </cell>
          <cell r="C58">
            <v>5129.4753411695538</v>
          </cell>
          <cell r="D58">
            <v>5585.94</v>
          </cell>
        </row>
        <row r="59">
          <cell r="A59" t="str">
            <v>Firstlight Network</v>
          </cell>
          <cell r="B59">
            <v>10526.23083</v>
          </cell>
          <cell r="C59">
            <v>12109.5903</v>
          </cell>
          <cell r="D59">
            <v>12894.18974</v>
          </cell>
        </row>
        <row r="60">
          <cell r="A60" t="str">
            <v>Horizon Energy</v>
          </cell>
          <cell r="B60">
            <v>10412.24558160115</v>
          </cell>
          <cell r="C60">
            <v>10639.21310978486</v>
          </cell>
          <cell r="D60">
            <v>11277.686589608</v>
          </cell>
        </row>
        <row r="61">
          <cell r="A61" t="str">
            <v>Nelson Electricity</v>
          </cell>
          <cell r="B61">
            <v>2007</v>
          </cell>
          <cell r="C61">
            <v>2282</v>
          </cell>
          <cell r="D61">
            <v>2351</v>
          </cell>
        </row>
        <row r="62">
          <cell r="A62" t="str">
            <v>Network Tasman</v>
          </cell>
          <cell r="B62">
            <v>11454</v>
          </cell>
          <cell r="C62">
            <v>11969</v>
          </cell>
          <cell r="D62">
            <v>13000</v>
          </cell>
        </row>
        <row r="63">
          <cell r="A63" t="str">
            <v>Orion NZ</v>
          </cell>
          <cell r="B63">
            <v>65160.402000000002</v>
          </cell>
          <cell r="C63">
            <v>64307</v>
          </cell>
          <cell r="D63">
            <v>71706.028000000006</v>
          </cell>
        </row>
        <row r="64">
          <cell r="A64" t="str">
            <v>OtagoNet</v>
          </cell>
          <cell r="B64">
            <v>8906.1610000000001</v>
          </cell>
          <cell r="C64">
            <v>8764.6970000000001</v>
          </cell>
          <cell r="D64">
            <v>10030</v>
          </cell>
        </row>
        <row r="65">
          <cell r="A65" t="str">
            <v>Powerco</v>
          </cell>
          <cell r="B65">
            <v>90945.8802</v>
          </cell>
          <cell r="C65">
            <v>103455.4553799986</v>
          </cell>
          <cell r="D65">
            <v>111324.36447</v>
          </cell>
        </row>
        <row r="66">
          <cell r="A66" t="str">
            <v>The Lines Company</v>
          </cell>
          <cell r="B66">
            <v>14601.457140899989</v>
          </cell>
          <cell r="C66">
            <v>16217.329615799999</v>
          </cell>
          <cell r="D66">
            <v>15935.2494376</v>
          </cell>
        </row>
        <row r="67">
          <cell r="A67" t="str">
            <v>Top Energy</v>
          </cell>
          <cell r="B67">
            <v>18297.048624554271</v>
          </cell>
          <cell r="C67">
            <v>19565.41158766636</v>
          </cell>
          <cell r="D67">
            <v>23748.555078583999</v>
          </cell>
        </row>
        <row r="68">
          <cell r="A68" t="str">
            <v>Unison Networks</v>
          </cell>
          <cell r="B68">
            <v>41464</v>
          </cell>
          <cell r="C68">
            <v>44315.334589299579</v>
          </cell>
          <cell r="D68">
            <v>50436.274129161102</v>
          </cell>
        </row>
        <row r="69">
          <cell r="A69" t="str">
            <v>Vector Lines</v>
          </cell>
          <cell r="B69">
            <v>127202</v>
          </cell>
          <cell r="C69">
            <v>136753</v>
          </cell>
          <cell r="D69">
            <v>145942</v>
          </cell>
        </row>
        <row r="70">
          <cell r="A70" t="str">
            <v>Wellington Electricity</v>
          </cell>
          <cell r="B70">
            <v>33408.640490605867</v>
          </cell>
          <cell r="C70">
            <v>35404.040552368053</v>
          </cell>
          <cell r="D70">
            <v>36335.474343300797</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Calculation"/>
      <sheetName val="2024 AMP extractor10"/>
    </sheetNames>
    <sheetDataSet>
      <sheetData sheetId="0"/>
      <sheetData sheetId="1">
        <row r="14">
          <cell r="P14">
            <v>2024</v>
          </cell>
        </row>
        <row r="324">
          <cell r="O324" t="str">
            <v>Alpine Energy</v>
          </cell>
          <cell r="P324">
            <v>29093167.140000001</v>
          </cell>
          <cell r="Q324">
            <v>40162588</v>
          </cell>
        </row>
        <row r="325">
          <cell r="O325" t="str">
            <v>Aurora Energy</v>
          </cell>
          <cell r="P325">
            <v>52510.038158241499</v>
          </cell>
          <cell r="Q325">
            <v>56718.929079548536</v>
          </cell>
        </row>
        <row r="326">
          <cell r="O326" t="str">
            <v>EA Networks</v>
          </cell>
          <cell r="P326">
            <v>16962</v>
          </cell>
          <cell r="Q326">
            <v>21169.238000000001</v>
          </cell>
        </row>
        <row r="327">
          <cell r="O327" t="str">
            <v>Electricity Invercargill</v>
          </cell>
          <cell r="P327">
            <v>6174</v>
          </cell>
          <cell r="Q327">
            <v>6848</v>
          </cell>
        </row>
        <row r="328">
          <cell r="O328" t="str">
            <v>Firstlight Network</v>
          </cell>
          <cell r="P328">
            <v>14799</v>
          </cell>
          <cell r="Q328">
            <v>17837</v>
          </cell>
        </row>
        <row r="329">
          <cell r="O329" t="str">
            <v>Horizon Energy</v>
          </cell>
          <cell r="P329">
            <v>12188.544225000001</v>
          </cell>
          <cell r="Q329">
            <v>16227.494999999999</v>
          </cell>
        </row>
        <row r="330">
          <cell r="O330" t="str">
            <v>Nelson Electricity</v>
          </cell>
          <cell r="P330">
            <v>2239.9856358500001</v>
          </cell>
          <cell r="Q330">
            <v>2437.6923139650003</v>
          </cell>
        </row>
        <row r="331">
          <cell r="O331" t="str">
            <v>Network Tasman</v>
          </cell>
          <cell r="P331">
            <v>14865</v>
          </cell>
          <cell r="Q331">
            <v>15467</v>
          </cell>
        </row>
        <row r="332">
          <cell r="O332" t="str">
            <v>Orion NZ</v>
          </cell>
          <cell r="P332">
            <v>78185</v>
          </cell>
          <cell r="Q332">
            <v>86478</v>
          </cell>
        </row>
        <row r="333">
          <cell r="O333" t="str">
            <v>OtagoNet</v>
          </cell>
          <cell r="P333">
            <v>9771.4089600000007</v>
          </cell>
          <cell r="Q333">
            <v>10864.38700134544</v>
          </cell>
        </row>
        <row r="334">
          <cell r="O334" t="str">
            <v>Powerco</v>
          </cell>
          <cell r="P334">
            <v>121011</v>
          </cell>
          <cell r="Q334">
            <v>128585</v>
          </cell>
        </row>
        <row r="335">
          <cell r="O335" t="str">
            <v>The Lines Company</v>
          </cell>
          <cell r="P335">
            <v>17392.857940499998</v>
          </cell>
          <cell r="Q335">
            <v>18638.127031399999</v>
          </cell>
        </row>
        <row r="336">
          <cell r="O336" t="str">
            <v>Top Energy</v>
          </cell>
          <cell r="P336">
            <v>23354</v>
          </cell>
          <cell r="Q336">
            <v>27849</v>
          </cell>
        </row>
        <row r="337">
          <cell r="O337" t="str">
            <v>Unison Networks</v>
          </cell>
          <cell r="P337">
            <v>51142.74308521003</v>
          </cell>
          <cell r="Q337">
            <v>53160.303715410089</v>
          </cell>
        </row>
        <row r="338">
          <cell r="O338" t="str">
            <v>Vector Lines</v>
          </cell>
          <cell r="P338">
            <v>166961.7899220516</v>
          </cell>
          <cell r="Q338">
            <v>183376.33187877576</v>
          </cell>
        </row>
        <row r="339">
          <cell r="O339" t="str">
            <v>Wellington Electricity</v>
          </cell>
          <cell r="P339">
            <v>38410.614826391029</v>
          </cell>
          <cell r="Q339">
            <v>44488.158636042237</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Sheet"/>
      <sheetName val="Table of Contents"/>
      <sheetName val="Description"/>
      <sheetName val="Inputs"/>
      <sheetName val="EDB data"/>
      <sheetName val="TIMING"/>
      <sheetName val="RAB"/>
      <sheetName val="TAX"/>
      <sheetName val="BBAR"/>
      <sheetName val="MAR"/>
      <sheetName val="IRR"/>
      <sheetName val="Initial"/>
      <sheetName val="Outputs"/>
      <sheetName val="Chartbook outputs"/>
      <sheetName val="Outputs to Determin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C6" t="str">
            <v>Alpine Energy</v>
          </cell>
          <cell r="D6" t="str">
            <v>Aurora Energy</v>
          </cell>
          <cell r="E6" t="str">
            <v>EA Networks</v>
          </cell>
          <cell r="F6" t="str">
            <v>Electricity Invercargill</v>
          </cell>
          <cell r="G6" t="str">
            <v>Firstlight Network</v>
          </cell>
          <cell r="H6" t="str">
            <v>Horizon Energy</v>
          </cell>
          <cell r="I6" t="str">
            <v>Nelson Electricity</v>
          </cell>
          <cell r="J6" t="str">
            <v>Network Tasman</v>
          </cell>
          <cell r="K6" t="str">
            <v>Orion NZ</v>
          </cell>
          <cell r="L6" t="str">
            <v>OtagoNet</v>
          </cell>
          <cell r="M6" t="str">
            <v>Powerco</v>
          </cell>
          <cell r="N6" t="str">
            <v>The Lines Company</v>
          </cell>
          <cell r="O6" t="str">
            <v>Top Energy</v>
          </cell>
          <cell r="P6" t="str">
            <v>Unison Networks</v>
          </cell>
          <cell r="Q6" t="str">
            <v>Vector Lines</v>
          </cell>
          <cell r="R6" t="str">
            <v>Wellington Electricity</v>
          </cell>
        </row>
        <row r="9">
          <cell r="C9">
            <v>319479.02159068803</v>
          </cell>
          <cell r="D9">
            <v>672199.02426636696</v>
          </cell>
          <cell r="E9">
            <v>247118.47917551472</v>
          </cell>
          <cell r="F9">
            <v>88895.609530757822</v>
          </cell>
          <cell r="G9">
            <v>189530.01243359831</v>
          </cell>
          <cell r="H9">
            <v>158481.64381508806</v>
          </cell>
          <cell r="I9">
            <v>35031.564382304328</v>
          </cell>
          <cell r="J9">
            <v>191950.7394440996</v>
          </cell>
          <cell r="K9">
            <v>1218365.4588773299</v>
          </cell>
          <cell r="L9">
            <v>199154.61930197422</v>
          </cell>
          <cell r="M9">
            <v>2108227.7499286258</v>
          </cell>
          <cell r="N9">
            <v>238652.87901521171</v>
          </cell>
          <cell r="O9">
            <v>296796.40405972308</v>
          </cell>
          <cell r="P9">
            <v>761180.81419770955</v>
          </cell>
          <cell r="Q9">
            <v>2955995.9234370939</v>
          </cell>
          <cell r="R9">
            <v>631094.67345855176</v>
          </cell>
        </row>
      </sheetData>
      <sheetData sheetId="13" refreshError="1"/>
      <sheetData sheetId="14" refreshError="1"/>
    </sheetDataSet>
  </externalBook>
</externalLink>
</file>

<file path=xl/theme/theme1.xml><?xml version="1.0" encoding="utf-8"?>
<a:theme xmlns:a="http://schemas.openxmlformats.org/drawingml/2006/main" name="ThemeComCom">
  <a:themeElements>
    <a:clrScheme name="comcom">
      <a:dk1>
        <a:sysClr val="windowText" lastClr="000000"/>
      </a:dk1>
      <a:lt1>
        <a:srgbClr val="FFFFFF"/>
      </a:lt1>
      <a:dk2>
        <a:srgbClr val="639B9F"/>
      </a:dk2>
      <a:lt2>
        <a:srgbClr val="D29C2E"/>
      </a:lt2>
      <a:accent1>
        <a:srgbClr val="BA0F2C"/>
      </a:accent1>
      <a:accent2>
        <a:srgbClr val="7EA0AE"/>
      </a:accent2>
      <a:accent3>
        <a:srgbClr val="E89466"/>
      </a:accent3>
      <a:accent4>
        <a:srgbClr val="3F5E58"/>
      </a:accent4>
      <a:accent5>
        <a:srgbClr val="B6AB86"/>
      </a:accent5>
      <a:accent6>
        <a:srgbClr val="654B45"/>
      </a:accent6>
      <a:hlink>
        <a:srgbClr val="7EA0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mcom.govt.nz/__data/assets/pdf_file/0016/300139/PowercoE28099s-transition-to-the-2020-2025-DPP-Final-reasons-30-November-2022.pdf" TargetMode="External"/><Relationship Id="rId1" Type="http://schemas.openxmlformats.org/officeDocument/2006/relationships/hyperlink" Target="https://comcom.govt.nz/regulated-industries/electricity-lines/projects/powercos-20182023-cpp?target=documents&amp;root=6151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26A7-4127-402B-B423-B2872C3D3580}">
  <sheetPr codeName="Sheet1">
    <pageSetUpPr fitToPage="1"/>
  </sheetPr>
  <dimension ref="A1:D16"/>
  <sheetViews>
    <sheetView showGridLines="0" tabSelected="1" view="pageBreakPreview" zoomScaleNormal="100" zoomScaleSheetLayoutView="100" workbookViewId="0"/>
  </sheetViews>
  <sheetFormatPr defaultColWidth="9.140625" defaultRowHeight="15" customHeight="1" x14ac:dyDescent="0.25"/>
  <cols>
    <col min="1" max="1" width="26.5703125" customWidth="1"/>
    <col min="2" max="2" width="43.140625" customWidth="1"/>
    <col min="3" max="3" width="32.85546875" customWidth="1"/>
    <col min="4" max="4" width="32.140625" customWidth="1"/>
  </cols>
  <sheetData>
    <row r="1" spans="1:4" ht="15" customHeight="1" x14ac:dyDescent="0.25">
      <c r="A1" s="8"/>
      <c r="B1" s="9"/>
      <c r="C1" s="9"/>
      <c r="D1" s="9"/>
    </row>
    <row r="2" spans="1:4" ht="189" customHeight="1" x14ac:dyDescent="0.25">
      <c r="A2" s="10"/>
      <c r="B2" s="231"/>
      <c r="C2" s="232"/>
    </row>
    <row r="3" spans="1:4" ht="22.5" customHeight="1" x14ac:dyDescent="0.4">
      <c r="A3" s="188" t="s">
        <v>206</v>
      </c>
      <c r="B3" s="233"/>
      <c r="C3" s="233"/>
      <c r="D3" s="233"/>
    </row>
    <row r="4" spans="1:4" ht="22.5" customHeight="1" x14ac:dyDescent="0.4">
      <c r="A4" s="188" t="s">
        <v>559</v>
      </c>
      <c r="B4" s="233"/>
      <c r="C4" s="233"/>
      <c r="D4" s="233"/>
    </row>
    <row r="5" spans="1:4" ht="22.5" customHeight="1" x14ac:dyDescent="0.4">
      <c r="A5" s="11" t="s">
        <v>560</v>
      </c>
      <c r="B5" s="233"/>
      <c r="C5" s="233"/>
      <c r="D5" s="233"/>
    </row>
    <row r="6" spans="1:4" ht="22.5" customHeight="1" x14ac:dyDescent="0.4">
      <c r="A6" s="188" t="s">
        <v>594</v>
      </c>
      <c r="B6" s="233"/>
      <c r="C6" s="233"/>
      <c r="D6" s="233"/>
    </row>
    <row r="7" spans="1:4" ht="47.25" customHeight="1" x14ac:dyDescent="0.25">
      <c r="A7" s="10"/>
    </row>
    <row r="8" spans="1:4" ht="15" customHeight="1" x14ac:dyDescent="0.25">
      <c r="A8" s="10"/>
    </row>
    <row r="9" spans="1:4" ht="15" customHeight="1" x14ac:dyDescent="0.25">
      <c r="A9" s="10"/>
    </row>
    <row r="10" spans="1:4" ht="15" customHeight="1" x14ac:dyDescent="0.25">
      <c r="A10" s="10"/>
    </row>
    <row r="11" spans="1:4" ht="15" customHeight="1" x14ac:dyDescent="0.25">
      <c r="A11" s="10"/>
    </row>
    <row r="12" spans="1:4" ht="15" customHeight="1" x14ac:dyDescent="0.25">
      <c r="A12" s="10"/>
    </row>
    <row r="13" spans="1:4" ht="15" customHeight="1" x14ac:dyDescent="0.25">
      <c r="A13" s="10"/>
    </row>
    <row r="14" spans="1:4" ht="15" customHeight="1" x14ac:dyDescent="0.25">
      <c r="A14" s="10"/>
    </row>
    <row r="15" spans="1:4" ht="15" customHeight="1" x14ac:dyDescent="0.25">
      <c r="A15" s="644" t="s">
        <v>601</v>
      </c>
      <c r="B15" s="233"/>
      <c r="C15" s="233"/>
      <c r="D15" s="233"/>
    </row>
    <row r="16" spans="1:4" ht="15" customHeight="1" x14ac:dyDescent="0.25">
      <c r="A16" s="12"/>
      <c r="B16" s="13"/>
      <c r="C16" s="13"/>
      <c r="D16" s="13"/>
    </row>
  </sheetData>
  <sheetProtection formatColumns="0" formatRows="0"/>
  <pageMargins left="0.70866141732283472" right="0.70866141732283472" top="0.74803149606299213" bottom="0.7480314960629921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21AA-EDAC-4067-9A5A-0BDAF357CD19}">
  <sheetPr codeName="Sheet4">
    <pageSetUpPr fitToPage="1"/>
  </sheetPr>
  <dimension ref="A1:C67"/>
  <sheetViews>
    <sheetView showGridLines="0" view="pageBreakPreview" zoomScaleNormal="100" zoomScaleSheetLayoutView="100" workbookViewId="0"/>
  </sheetViews>
  <sheetFormatPr defaultColWidth="9.140625" defaultRowHeight="15" customHeight="1" x14ac:dyDescent="0.25"/>
  <cols>
    <col min="1" max="1" width="3.85546875" customWidth="1"/>
    <col min="2" max="2" width="3.85546875" style="645" customWidth="1"/>
    <col min="3" max="3" width="130.85546875" style="646" customWidth="1"/>
    <col min="4" max="4" width="3.85546875" customWidth="1"/>
  </cols>
  <sheetData>
    <row r="1" spans="1:3" ht="26.25" x14ac:dyDescent="0.4">
      <c r="A1" s="234" t="s">
        <v>196</v>
      </c>
    </row>
    <row r="2" spans="1:3" x14ac:dyDescent="0.25">
      <c r="A2" s="647"/>
      <c r="B2" s="648" t="s">
        <v>468</v>
      </c>
      <c r="C2" s="649"/>
    </row>
    <row r="3" spans="1:3" ht="15" customHeight="1" x14ac:dyDescent="0.25">
      <c r="B3" s="650"/>
    </row>
    <row r="4" spans="1:3" ht="23.25" x14ac:dyDescent="0.35">
      <c r="A4" s="651" t="s">
        <v>197</v>
      </c>
      <c r="B4" s="652"/>
      <c r="C4" s="653"/>
    </row>
    <row r="5" spans="1:3" ht="15" customHeight="1" x14ac:dyDescent="0.25">
      <c r="B5" s="645">
        <v>1</v>
      </c>
      <c r="C5" s="646" t="s">
        <v>469</v>
      </c>
    </row>
    <row r="6" spans="1:3" ht="15" customHeight="1" x14ac:dyDescent="0.25">
      <c r="A6" s="645"/>
      <c r="B6" s="645">
        <v>2</v>
      </c>
      <c r="C6" s="646" t="s">
        <v>470</v>
      </c>
    </row>
    <row r="7" spans="1:3" ht="30" x14ac:dyDescent="0.25">
      <c r="A7" s="645"/>
      <c r="B7" s="645">
        <v>3</v>
      </c>
      <c r="C7" s="646" t="s">
        <v>471</v>
      </c>
    </row>
    <row r="9" spans="1:3" ht="23.25" x14ac:dyDescent="0.35">
      <c r="A9" s="651" t="s">
        <v>472</v>
      </c>
      <c r="B9" s="652"/>
      <c r="C9" s="653"/>
    </row>
    <row r="10" spans="1:3" ht="15" customHeight="1" x14ac:dyDescent="0.25">
      <c r="A10" s="645"/>
      <c r="B10" s="645">
        <v>1</v>
      </c>
      <c r="C10" s="646" t="s">
        <v>473</v>
      </c>
    </row>
    <row r="11" spans="1:3" ht="15" customHeight="1" x14ac:dyDescent="0.25">
      <c r="A11" s="645"/>
      <c r="B11" s="645">
        <v>2</v>
      </c>
      <c r="C11" s="654" t="s">
        <v>487</v>
      </c>
    </row>
    <row r="12" spans="1:3" ht="15" customHeight="1" x14ac:dyDescent="0.25">
      <c r="A12" s="645"/>
      <c r="B12" s="645">
        <v>3</v>
      </c>
      <c r="C12" s="654" t="s">
        <v>488</v>
      </c>
    </row>
    <row r="13" spans="1:3" ht="15" customHeight="1" x14ac:dyDescent="0.25">
      <c r="A13" s="645"/>
      <c r="B13" s="645">
        <v>4</v>
      </c>
      <c r="C13" s="654" t="s">
        <v>489</v>
      </c>
    </row>
    <row r="14" spans="1:3" ht="15" customHeight="1" x14ac:dyDescent="0.25">
      <c r="A14" s="645"/>
      <c r="B14"/>
      <c r="C14"/>
    </row>
    <row r="15" spans="1:3" ht="15" customHeight="1" x14ac:dyDescent="0.25">
      <c r="A15" s="645"/>
      <c r="B15" s="645">
        <v>5</v>
      </c>
      <c r="C15" s="646" t="s">
        <v>474</v>
      </c>
    </row>
    <row r="16" spans="1:3" ht="15" customHeight="1" x14ac:dyDescent="0.25">
      <c r="A16" s="349"/>
      <c r="B16" s="655">
        <v>6</v>
      </c>
      <c r="C16" s="349" t="s">
        <v>475</v>
      </c>
    </row>
    <row r="17" spans="1:3" ht="30" customHeight="1" x14ac:dyDescent="0.25">
      <c r="B17" s="645">
        <v>7</v>
      </c>
      <c r="C17" s="646" t="s">
        <v>484</v>
      </c>
    </row>
    <row r="18" spans="1:3" ht="30" customHeight="1" x14ac:dyDescent="0.25">
      <c r="B18" s="645">
        <v>8</v>
      </c>
      <c r="C18" s="646" t="s">
        <v>570</v>
      </c>
    </row>
    <row r="19" spans="1:3" ht="30" customHeight="1" x14ac:dyDescent="0.25">
      <c r="B19" s="645">
        <v>9</v>
      </c>
      <c r="C19" s="646" t="s">
        <v>481</v>
      </c>
    </row>
    <row r="21" spans="1:3" ht="15" customHeight="1" x14ac:dyDescent="0.25">
      <c r="A21" s="349"/>
      <c r="B21" s="655">
        <v>10</v>
      </c>
      <c r="C21" s="349" t="s">
        <v>476</v>
      </c>
    </row>
    <row r="22" spans="1:3" ht="15" customHeight="1" x14ac:dyDescent="0.25">
      <c r="B22" s="645">
        <v>11</v>
      </c>
      <c r="C22" s="646" t="s">
        <v>477</v>
      </c>
    </row>
    <row r="23" spans="1:3" ht="30" customHeight="1" x14ac:dyDescent="0.25">
      <c r="B23" s="645">
        <v>12</v>
      </c>
      <c r="C23" s="646" t="s">
        <v>478</v>
      </c>
    </row>
    <row r="24" spans="1:3" ht="15" customHeight="1" x14ac:dyDescent="0.25">
      <c r="B24" s="645">
        <v>13</v>
      </c>
      <c r="C24" s="646" t="s">
        <v>479</v>
      </c>
    </row>
    <row r="25" spans="1:3" ht="15" customHeight="1" x14ac:dyDescent="0.25">
      <c r="B25" s="645">
        <v>14</v>
      </c>
      <c r="C25" s="646" t="s">
        <v>480</v>
      </c>
    </row>
    <row r="27" spans="1:3" ht="15" customHeight="1" x14ac:dyDescent="0.25">
      <c r="A27" s="349"/>
      <c r="B27" s="655">
        <v>15</v>
      </c>
      <c r="C27" s="349" t="s">
        <v>482</v>
      </c>
    </row>
    <row r="28" spans="1:3" ht="30" customHeight="1" x14ac:dyDescent="0.25">
      <c r="B28" s="645">
        <v>16</v>
      </c>
      <c r="C28" s="646" t="s">
        <v>483</v>
      </c>
    </row>
    <row r="29" spans="1:3" ht="29.1" customHeight="1" x14ac:dyDescent="0.25">
      <c r="B29" s="645">
        <v>17</v>
      </c>
      <c r="C29" s="706" t="s">
        <v>571</v>
      </c>
    </row>
    <row r="31" spans="1:3" ht="23.25" x14ac:dyDescent="0.35">
      <c r="A31" s="651" t="s">
        <v>12</v>
      </c>
      <c r="B31" s="652"/>
      <c r="C31" s="653"/>
    </row>
    <row r="32" spans="1:3" ht="15" customHeight="1" x14ac:dyDescent="0.25">
      <c r="B32" s="656" t="s">
        <v>485</v>
      </c>
    </row>
    <row r="33" spans="1:3" ht="15" customHeight="1" x14ac:dyDescent="0.25">
      <c r="B33" s="645">
        <v>1</v>
      </c>
      <c r="C33" s="654" t="s">
        <v>610</v>
      </c>
    </row>
    <row r="34" spans="1:3" ht="15" customHeight="1" x14ac:dyDescent="0.25">
      <c r="B34" s="645">
        <v>2</v>
      </c>
      <c r="C34" s="654" t="s">
        <v>609</v>
      </c>
    </row>
    <row r="35" spans="1:3" ht="15" customHeight="1" x14ac:dyDescent="0.25">
      <c r="B35" s="645">
        <v>3</v>
      </c>
      <c r="C35" s="654" t="s">
        <v>608</v>
      </c>
    </row>
    <row r="36" spans="1:3" ht="15" customHeight="1" x14ac:dyDescent="0.25">
      <c r="B36" s="645">
        <v>4</v>
      </c>
      <c r="C36" s="654" t="s">
        <v>607</v>
      </c>
    </row>
    <row r="37" spans="1:3" ht="30" customHeight="1" x14ac:dyDescent="0.25">
      <c r="B37" s="645">
        <v>5</v>
      </c>
      <c r="C37" s="654" t="s">
        <v>606</v>
      </c>
    </row>
    <row r="39" spans="1:3" ht="23.25" x14ac:dyDescent="0.35">
      <c r="A39" s="651" t="s">
        <v>83</v>
      </c>
      <c r="B39" s="652"/>
      <c r="C39" s="653"/>
    </row>
    <row r="40" spans="1:3" ht="15" customHeight="1" x14ac:dyDescent="0.25">
      <c r="B40" s="656" t="s">
        <v>486</v>
      </c>
    </row>
    <row r="41" spans="1:3" ht="15" customHeight="1" x14ac:dyDescent="0.25">
      <c r="B41" s="645">
        <v>1</v>
      </c>
      <c r="C41" s="646" t="s">
        <v>611</v>
      </c>
    </row>
    <row r="42" spans="1:3" ht="15" customHeight="1" x14ac:dyDescent="0.25">
      <c r="B42" s="645">
        <v>2</v>
      </c>
      <c r="C42" s="646" t="s">
        <v>612</v>
      </c>
    </row>
    <row r="44" spans="1:3" ht="23.25" x14ac:dyDescent="0.35">
      <c r="A44" s="651" t="s">
        <v>490</v>
      </c>
      <c r="B44" s="652"/>
      <c r="C44" s="653"/>
    </row>
    <row r="45" spans="1:3" ht="15" customHeight="1" x14ac:dyDescent="0.25">
      <c r="B45" s="645">
        <v>1</v>
      </c>
      <c r="C45" s="657" t="s">
        <v>491</v>
      </c>
    </row>
    <row r="46" spans="1:3" ht="15" customHeight="1" x14ac:dyDescent="0.25">
      <c r="B46" s="645">
        <v>2</v>
      </c>
      <c r="C46" s="657" t="s">
        <v>492</v>
      </c>
    </row>
    <row r="47" spans="1:3" ht="15" customHeight="1" x14ac:dyDescent="0.25">
      <c r="B47" s="645">
        <v>3</v>
      </c>
      <c r="C47" s="646" t="s">
        <v>493</v>
      </c>
    </row>
    <row r="48" spans="1:3" ht="182.25" customHeight="1" x14ac:dyDescent="0.25">
      <c r="C48" s="657" t="s">
        <v>592</v>
      </c>
    </row>
    <row r="49" spans="1:3" ht="15" customHeight="1" x14ac:dyDescent="0.25">
      <c r="B49" s="645">
        <v>4</v>
      </c>
      <c r="C49" s="657" t="s">
        <v>494</v>
      </c>
    </row>
    <row r="50" spans="1:3" ht="30" customHeight="1" x14ac:dyDescent="0.25">
      <c r="B50" s="645">
        <v>5</v>
      </c>
      <c r="C50" s="646" t="s">
        <v>495</v>
      </c>
    </row>
    <row r="51" spans="1:3" x14ac:dyDescent="0.25">
      <c r="B51" s="81">
        <v>6</v>
      </c>
      <c r="C51" t="s">
        <v>593</v>
      </c>
    </row>
    <row r="53" spans="1:3" ht="23.25" x14ac:dyDescent="0.35">
      <c r="A53" s="651" t="s">
        <v>235</v>
      </c>
      <c r="B53" s="652"/>
      <c r="C53" s="653"/>
    </row>
    <row r="54" spans="1:3" ht="45.75" customHeight="1" x14ac:dyDescent="0.25">
      <c r="A54" s="645"/>
      <c r="B54" s="645">
        <v>1</v>
      </c>
      <c r="C54" s="646" t="s">
        <v>568</v>
      </c>
    </row>
    <row r="55" spans="1:3" ht="60" x14ac:dyDescent="0.25">
      <c r="B55" s="645">
        <v>2</v>
      </c>
      <c r="C55" s="658" t="s">
        <v>562</v>
      </c>
    </row>
    <row r="56" spans="1:3" ht="75" x14ac:dyDescent="0.25">
      <c r="B56" s="645">
        <v>3</v>
      </c>
      <c r="C56" s="658" t="s">
        <v>567</v>
      </c>
    </row>
    <row r="57" spans="1:3" ht="60" x14ac:dyDescent="0.25">
      <c r="B57" s="645">
        <v>4</v>
      </c>
      <c r="C57" s="658" t="s">
        <v>569</v>
      </c>
    </row>
    <row r="59" spans="1:3" ht="23.25" x14ac:dyDescent="0.35">
      <c r="A59" s="651" t="s">
        <v>595</v>
      </c>
      <c r="B59" s="652"/>
      <c r="C59" s="653"/>
    </row>
    <row r="60" spans="1:3" x14ac:dyDescent="0.25">
      <c r="A60" s="645"/>
      <c r="B60" s="645">
        <v>1</v>
      </c>
      <c r="C60" s="646" t="s">
        <v>605</v>
      </c>
    </row>
    <row r="61" spans="1:3" ht="30" x14ac:dyDescent="0.25">
      <c r="B61" s="645">
        <v>2</v>
      </c>
      <c r="C61" s="658" t="s">
        <v>602</v>
      </c>
    </row>
    <row r="62" spans="1:3" ht="30" x14ac:dyDescent="0.25">
      <c r="B62" s="645">
        <v>3</v>
      </c>
      <c r="C62" s="658" t="s">
        <v>603</v>
      </c>
    </row>
    <row r="63" spans="1:3" x14ac:dyDescent="0.25">
      <c r="B63" s="645">
        <v>4</v>
      </c>
      <c r="C63" s="658" t="s">
        <v>604</v>
      </c>
    </row>
    <row r="64" spans="1:3" ht="15" customHeight="1" x14ac:dyDescent="0.25">
      <c r="B64" s="659"/>
      <c r="C64" s="658"/>
    </row>
    <row r="65" spans="1:3" ht="23.25" x14ac:dyDescent="0.35">
      <c r="A65" s="651" t="s">
        <v>496</v>
      </c>
      <c r="B65" s="652"/>
      <c r="C65" s="653"/>
    </row>
    <row r="66" spans="1:3" ht="15" customHeight="1" x14ac:dyDescent="0.25">
      <c r="B66" s="645">
        <v>1</v>
      </c>
      <c r="C66" s="707" t="s">
        <v>561</v>
      </c>
    </row>
    <row r="67" spans="1:3" ht="15" customHeight="1" x14ac:dyDescent="0.25">
      <c r="C67" s="708"/>
    </row>
  </sheetData>
  <sheetProtection formatColumns="0" formatRows="0"/>
  <mergeCells count="1">
    <mergeCell ref="C66:C67"/>
  </mergeCells>
  <pageMargins left="0.70866141732283472" right="0.70866141732283472" top="0.74803149606299213" bottom="0.74803149606299213" header="0.31496062992125984" footer="0.31496062992125984"/>
  <pageSetup paperSize="9" scale="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42220-2400-49DA-AF95-EAEAA942A6C9}">
  <sheetPr codeName="Sheet6">
    <pageSetUpPr fitToPage="1"/>
  </sheetPr>
  <dimension ref="A1:C65"/>
  <sheetViews>
    <sheetView showGridLines="0" view="pageBreakPreview" zoomScaleNormal="100" zoomScaleSheetLayoutView="100" workbookViewId="0"/>
  </sheetViews>
  <sheetFormatPr defaultColWidth="9.140625" defaultRowHeight="15" customHeight="1" x14ac:dyDescent="0.25"/>
  <cols>
    <col min="2" max="2" width="26" customWidth="1"/>
    <col min="3" max="3" width="86.85546875" customWidth="1"/>
    <col min="4" max="4" width="2.85546875" customWidth="1"/>
  </cols>
  <sheetData>
    <row r="1" spans="1:3" ht="26.25" x14ac:dyDescent="0.4">
      <c r="A1" s="234" t="s">
        <v>220</v>
      </c>
    </row>
    <row r="2" spans="1:3" x14ac:dyDescent="0.25"/>
    <row r="3" spans="1:3" x14ac:dyDescent="0.25"/>
    <row r="4" spans="1:3" ht="15.75" x14ac:dyDescent="0.25">
      <c r="B4" s="667" t="s">
        <v>221</v>
      </c>
      <c r="C4" s="668" t="s">
        <v>222</v>
      </c>
    </row>
    <row r="5" spans="1:3" x14ac:dyDescent="0.25">
      <c r="B5" s="669" t="s">
        <v>12</v>
      </c>
      <c r="C5" s="670" t="s">
        <v>12</v>
      </c>
    </row>
    <row r="6" spans="1:3" x14ac:dyDescent="0.25">
      <c r="B6" s="671"/>
      <c r="C6" s="672" t="s">
        <v>164</v>
      </c>
    </row>
    <row r="7" spans="1:3" x14ac:dyDescent="0.25">
      <c r="B7" s="671"/>
      <c r="C7" s="672" t="s">
        <v>0</v>
      </c>
    </row>
    <row r="8" spans="1:3" x14ac:dyDescent="0.25">
      <c r="B8" s="671"/>
      <c r="C8" s="672" t="s">
        <v>165</v>
      </c>
    </row>
    <row r="9" spans="1:3" x14ac:dyDescent="0.25">
      <c r="B9" s="673"/>
      <c r="C9" s="674" t="s">
        <v>271</v>
      </c>
    </row>
    <row r="10" spans="1:3" x14ac:dyDescent="0.25">
      <c r="B10" s="675" t="s">
        <v>30</v>
      </c>
      <c r="C10" s="676" t="s">
        <v>30</v>
      </c>
    </row>
    <row r="11" spans="1:3" x14ac:dyDescent="0.25">
      <c r="B11" s="669" t="s">
        <v>198</v>
      </c>
      <c r="C11" s="670" t="s">
        <v>198</v>
      </c>
    </row>
    <row r="12" spans="1:3" x14ac:dyDescent="0.25">
      <c r="B12" s="671"/>
      <c r="C12" s="672" t="s">
        <v>12</v>
      </c>
    </row>
    <row r="13" spans="1:3" x14ac:dyDescent="0.25">
      <c r="B13" s="673"/>
      <c r="C13" s="674" t="s">
        <v>71</v>
      </c>
    </row>
    <row r="14" spans="1:3" x14ac:dyDescent="0.25">
      <c r="B14" s="677" t="s">
        <v>199</v>
      </c>
      <c r="C14" s="678" t="s">
        <v>199</v>
      </c>
    </row>
    <row r="15" spans="1:3" ht="15" customHeight="1" x14ac:dyDescent="0.25">
      <c r="B15" s="679"/>
      <c r="C15" s="680" t="s">
        <v>12</v>
      </c>
    </row>
    <row r="16" spans="1:3" ht="15" customHeight="1" x14ac:dyDescent="0.25">
      <c r="B16" s="681"/>
      <c r="C16" s="682" t="s">
        <v>71</v>
      </c>
    </row>
    <row r="17" spans="2:3" ht="15" customHeight="1" x14ac:dyDescent="0.25">
      <c r="B17" s="669" t="s">
        <v>200</v>
      </c>
      <c r="C17" s="670" t="s">
        <v>200</v>
      </c>
    </row>
    <row r="18" spans="2:3" ht="15" customHeight="1" x14ac:dyDescent="0.25">
      <c r="B18" s="671"/>
      <c r="C18" s="672" t="s">
        <v>12</v>
      </c>
    </row>
    <row r="19" spans="2:3" ht="15" customHeight="1" x14ac:dyDescent="0.25">
      <c r="B19" s="673"/>
      <c r="C19" s="674" t="s">
        <v>71</v>
      </c>
    </row>
    <row r="20" spans="2:3" ht="15" customHeight="1" x14ac:dyDescent="0.25">
      <c r="B20" s="677" t="s">
        <v>83</v>
      </c>
      <c r="C20" s="678" t="s">
        <v>172</v>
      </c>
    </row>
    <row r="21" spans="2:3" ht="15" customHeight="1" x14ac:dyDescent="0.25">
      <c r="B21" s="681"/>
      <c r="C21" s="682" t="s">
        <v>180</v>
      </c>
    </row>
    <row r="22" spans="2:3" ht="15" customHeight="1" x14ac:dyDescent="0.25">
      <c r="B22" s="669" t="s">
        <v>575</v>
      </c>
      <c r="C22" s="670" t="s">
        <v>575</v>
      </c>
    </row>
    <row r="23" spans="2:3" ht="15" customHeight="1" x14ac:dyDescent="0.25">
      <c r="B23" s="671"/>
      <c r="C23" s="672" t="s">
        <v>255</v>
      </c>
    </row>
    <row r="24" spans="2:3" ht="15" customHeight="1" x14ac:dyDescent="0.25">
      <c r="B24" s="671"/>
      <c r="C24" s="672" t="s">
        <v>256</v>
      </c>
    </row>
    <row r="25" spans="2:3" ht="15" customHeight="1" x14ac:dyDescent="0.25">
      <c r="B25" s="673"/>
      <c r="C25" s="674" t="s">
        <v>83</v>
      </c>
    </row>
    <row r="26" spans="2:3" ht="15" customHeight="1" x14ac:dyDescent="0.25">
      <c r="B26" s="675" t="s">
        <v>584</v>
      </c>
      <c r="C26" s="676" t="s">
        <v>190</v>
      </c>
    </row>
    <row r="27" spans="2:3" ht="15" customHeight="1" x14ac:dyDescent="0.25">
      <c r="B27" s="677" t="s">
        <v>224</v>
      </c>
      <c r="C27" s="678" t="s">
        <v>224</v>
      </c>
    </row>
    <row r="28" spans="2:3" ht="15" customHeight="1" x14ac:dyDescent="0.25">
      <c r="B28" s="679"/>
      <c r="C28" s="680" t="s">
        <v>212</v>
      </c>
    </row>
    <row r="29" spans="2:3" ht="15" customHeight="1" x14ac:dyDescent="0.25">
      <c r="B29" s="681"/>
      <c r="C29" s="682" t="s">
        <v>213</v>
      </c>
    </row>
    <row r="30" spans="2:3" ht="15" customHeight="1" x14ac:dyDescent="0.25">
      <c r="B30" s="683" t="s">
        <v>225</v>
      </c>
      <c r="C30" s="684" t="s">
        <v>265</v>
      </c>
    </row>
    <row r="31" spans="2:3" ht="15" customHeight="1" x14ac:dyDescent="0.25">
      <c r="B31" s="677" t="s">
        <v>226</v>
      </c>
      <c r="C31" s="678" t="s">
        <v>261</v>
      </c>
    </row>
    <row r="32" spans="2:3" ht="15" customHeight="1" x14ac:dyDescent="0.25">
      <c r="B32" s="679"/>
      <c r="C32" s="680" t="s">
        <v>12</v>
      </c>
    </row>
    <row r="33" spans="2:3" ht="15" customHeight="1" x14ac:dyDescent="0.25">
      <c r="B33" s="679"/>
      <c r="C33" s="680" t="s">
        <v>71</v>
      </c>
    </row>
    <row r="34" spans="2:3" ht="15" customHeight="1" x14ac:dyDescent="0.25">
      <c r="B34" s="679"/>
      <c r="C34" s="680" t="s">
        <v>83</v>
      </c>
    </row>
    <row r="35" spans="2:3" ht="15" customHeight="1" x14ac:dyDescent="0.25">
      <c r="B35" s="681"/>
      <c r="C35" s="682" t="s">
        <v>85</v>
      </c>
    </row>
    <row r="36" spans="2:3" ht="15" customHeight="1" x14ac:dyDescent="0.25">
      <c r="B36" s="669" t="s">
        <v>227</v>
      </c>
      <c r="C36" s="670" t="s">
        <v>262</v>
      </c>
    </row>
    <row r="37" spans="2:3" ht="15" customHeight="1" x14ac:dyDescent="0.25">
      <c r="B37" s="671"/>
      <c r="C37" s="672" t="s">
        <v>12</v>
      </c>
    </row>
    <row r="38" spans="2:3" ht="15" customHeight="1" x14ac:dyDescent="0.25">
      <c r="B38" s="671"/>
      <c r="C38" s="672" t="s">
        <v>71</v>
      </c>
    </row>
    <row r="39" spans="2:3" ht="15" customHeight="1" x14ac:dyDescent="0.25">
      <c r="B39" s="673"/>
      <c r="C39" s="674" t="s">
        <v>83</v>
      </c>
    </row>
    <row r="40" spans="2:3" ht="15" customHeight="1" x14ac:dyDescent="0.25">
      <c r="B40" s="677" t="s">
        <v>228</v>
      </c>
      <c r="C40" s="678" t="s">
        <v>263</v>
      </c>
    </row>
    <row r="41" spans="2:3" ht="15" customHeight="1" x14ac:dyDescent="0.25">
      <c r="B41" s="679"/>
      <c r="C41" s="680" t="s">
        <v>12</v>
      </c>
    </row>
    <row r="42" spans="2:3" ht="15" customHeight="1" x14ac:dyDescent="0.25">
      <c r="B42" s="679"/>
      <c r="C42" s="680" t="s">
        <v>71</v>
      </c>
    </row>
    <row r="43" spans="2:3" ht="15" customHeight="1" x14ac:dyDescent="0.25">
      <c r="B43" s="681"/>
      <c r="C43" s="682" t="s">
        <v>83</v>
      </c>
    </row>
    <row r="44" spans="2:3" ht="15" customHeight="1" x14ac:dyDescent="0.25">
      <c r="B44" s="669" t="s">
        <v>229</v>
      </c>
      <c r="C44" s="670" t="s">
        <v>264</v>
      </c>
    </row>
    <row r="45" spans="2:3" ht="15" customHeight="1" x14ac:dyDescent="0.25">
      <c r="B45" s="671"/>
      <c r="C45" s="672" t="s">
        <v>12</v>
      </c>
    </row>
    <row r="46" spans="2:3" ht="15" customHeight="1" x14ac:dyDescent="0.25">
      <c r="B46" s="671"/>
      <c r="C46" s="672" t="s">
        <v>71</v>
      </c>
    </row>
    <row r="47" spans="2:3" ht="15" customHeight="1" x14ac:dyDescent="0.25">
      <c r="B47" s="673"/>
      <c r="C47" s="674" t="s">
        <v>83</v>
      </c>
    </row>
    <row r="48" spans="2:3" ht="15" customHeight="1" x14ac:dyDescent="0.25">
      <c r="B48" s="675" t="s">
        <v>230</v>
      </c>
      <c r="C48" s="676" t="s">
        <v>219</v>
      </c>
    </row>
    <row r="49" spans="2:3" ht="15" customHeight="1" x14ac:dyDescent="0.25">
      <c r="B49" s="669" t="s">
        <v>231</v>
      </c>
      <c r="C49" s="670" t="s">
        <v>218</v>
      </c>
    </row>
    <row r="50" spans="2:3" ht="15" customHeight="1" x14ac:dyDescent="0.25">
      <c r="B50" s="671"/>
      <c r="C50" s="672" t="s">
        <v>12</v>
      </c>
    </row>
    <row r="51" spans="2:3" ht="15" customHeight="1" x14ac:dyDescent="0.25">
      <c r="B51" s="671"/>
      <c r="C51" s="672" t="s">
        <v>71</v>
      </c>
    </row>
    <row r="52" spans="2:3" ht="15" customHeight="1" x14ac:dyDescent="0.25">
      <c r="B52" s="671"/>
      <c r="C52" s="672" t="s">
        <v>83</v>
      </c>
    </row>
    <row r="53" spans="2:3" ht="15" customHeight="1" x14ac:dyDescent="0.25">
      <c r="B53" s="673"/>
      <c r="C53" s="674" t="s">
        <v>85</v>
      </c>
    </row>
    <row r="54" spans="2:3" ht="15" customHeight="1" x14ac:dyDescent="0.25">
      <c r="B54" s="677" t="s">
        <v>232</v>
      </c>
      <c r="C54" s="678" t="s">
        <v>217</v>
      </c>
    </row>
    <row r="55" spans="2:3" ht="15" customHeight="1" x14ac:dyDescent="0.25">
      <c r="B55" s="679"/>
      <c r="C55" s="680" t="s">
        <v>12</v>
      </c>
    </row>
    <row r="56" spans="2:3" ht="15" customHeight="1" x14ac:dyDescent="0.25">
      <c r="B56" s="679"/>
      <c r="C56" s="680" t="s">
        <v>71</v>
      </c>
    </row>
    <row r="57" spans="2:3" ht="15" customHeight="1" x14ac:dyDescent="0.25">
      <c r="B57" s="681"/>
      <c r="C57" s="682" t="s">
        <v>83</v>
      </c>
    </row>
    <row r="58" spans="2:3" ht="15" customHeight="1" x14ac:dyDescent="0.25">
      <c r="B58" s="669" t="s">
        <v>233</v>
      </c>
      <c r="C58" s="670" t="s">
        <v>216</v>
      </c>
    </row>
    <row r="59" spans="2:3" ht="15" customHeight="1" x14ac:dyDescent="0.25">
      <c r="B59" s="671"/>
      <c r="C59" s="672" t="s">
        <v>12</v>
      </c>
    </row>
    <row r="60" spans="2:3" ht="15" customHeight="1" x14ac:dyDescent="0.25">
      <c r="B60" s="671"/>
      <c r="C60" s="672" t="s">
        <v>71</v>
      </c>
    </row>
    <row r="61" spans="2:3" ht="15" customHeight="1" x14ac:dyDescent="0.25">
      <c r="B61" s="673"/>
      <c r="C61" s="674" t="s">
        <v>83</v>
      </c>
    </row>
    <row r="62" spans="2:3" ht="15" customHeight="1" x14ac:dyDescent="0.25">
      <c r="B62" s="677" t="s">
        <v>234</v>
      </c>
      <c r="C62" s="678" t="s">
        <v>215</v>
      </c>
    </row>
    <row r="63" spans="2:3" ht="15" customHeight="1" x14ac:dyDescent="0.25">
      <c r="B63" s="679"/>
      <c r="C63" s="680" t="s">
        <v>12</v>
      </c>
    </row>
    <row r="64" spans="2:3" ht="15" customHeight="1" x14ac:dyDescent="0.25">
      <c r="B64" s="679"/>
      <c r="C64" s="680" t="s">
        <v>71</v>
      </c>
    </row>
    <row r="65" spans="2:3" ht="15" customHeight="1" x14ac:dyDescent="0.25">
      <c r="B65" s="681"/>
      <c r="C65" s="682" t="s">
        <v>83</v>
      </c>
    </row>
  </sheetData>
  <sheetProtection formatColumns="0" formatRows="0"/>
  <hyperlinks>
    <hyperlink ref="C5" location="'Inputs'!$A$1" tooltip="Section title. Click once to follow" display="Inputs" xr:uid="{D2EAA2E8-B238-4BFA-B587-BED9CD59CC28}"/>
    <hyperlink ref="C6" location="Inputs!A3" tooltip="Section subtitle. Click once to follow" display="General IRIS inputs" xr:uid="{7BE9A5F9-A58C-4B53-A20A-A1D93E04565C}"/>
    <hyperlink ref="C7" location="Inputs!A12" tooltip="Section subtitle. Click once to follow" display="Capex inputs" xr:uid="{B530B7BB-2E85-4CCF-A413-ACF83457C374}"/>
    <hyperlink ref="C8" location="Inputs!A87" tooltip="Section subtitle. Click once to follow" display="Opex inputs" xr:uid="{3569D95F-C106-40CD-8451-C7D4F92B6B55}"/>
    <hyperlink ref="C9" location="Inputs!A162" tooltip="Section subtitle. Click once to follow" display="DPP4 revenue inputs" xr:uid="{4DB13169-515D-42B7-B77A-A107732357EA}"/>
    <hyperlink ref="C10" location="'EDB select'!$A$1" tooltip="Section title. Click once to follow" display="EDB select" xr:uid="{823672CE-9883-428D-AD50-07B0777E4FF5}"/>
    <hyperlink ref="C11" location="'Capex incentives'!$A$1" tooltip="Section title. Click once to follow" display="Capex incentives" xr:uid="{50B477CC-44C9-46CB-B7C8-B7975002D218}"/>
    <hyperlink ref="C12" location="'Capex incentives'!A12" tooltip="Section subtitle. Click once to follow" display="Inputs" xr:uid="{12B7C9CA-B546-4C7D-8AC0-E395CE0EEEA7}"/>
    <hyperlink ref="C13" location="'Capex incentives'!A41" tooltip="Section subtitle. Click once to follow" display="Calculations" xr:uid="{E64A698F-FA74-4405-865E-4221F456ADD9}"/>
    <hyperlink ref="C14" location="'Opex incentives'!$A$1" tooltip="Section title. Click once to follow" display="Opex incentives" xr:uid="{4308797D-3C2B-47C4-A894-7FDFDADA00F9}"/>
    <hyperlink ref="C15" location="'Opex incentives'!A12" tooltip="Section subtitle. Click once to follow" display="Inputs" xr:uid="{8D8FDF7F-F3CB-4EAF-9E26-1B39DF95F1B3}"/>
    <hyperlink ref="C16" location="'Opex incentives'!A30" tooltip="Section subtitle. Click once to follow" display="Calculations" xr:uid="{1983BFC6-8DF1-4046-B785-437BA54CF503}"/>
    <hyperlink ref="C17" location="'General analysis'!$A$1" tooltip="Section title. Click once to follow" display="General analysis" xr:uid="{614269BC-1F20-4B3D-87F6-DDCAB5DF6866}"/>
    <hyperlink ref="C18" location="'General analysis'!$A$11" tooltip="Section subtitle. Click once to follow" display="Inputs" xr:uid="{8B6DCBA3-3ACE-46B8-9E77-AC7315BC8C60}"/>
    <hyperlink ref="C19" location="'General analysis'!A32" tooltip="Section subtitle. Click once to follow" display="Calculations" xr:uid="{4FF3E38F-7F09-4C76-8956-676EC1CAA2FA}"/>
    <hyperlink ref="C20" location="'Outputs'!$A$1" tooltip="Section title. Click once to follow" display="Output table" xr:uid="{FF0BF33C-9999-404B-AA07-F6B6D859CA9A}"/>
    <hyperlink ref="C21" location="Outputs!A50" tooltip="Section subtitle. Click once to follow" display="Extra outputs for graphs" xr:uid="{61C342B3-5067-4328-89F7-E1782ACC2FA2}"/>
    <hyperlink ref="C22" location="'Supplementary analysis'!Print_Area" tooltip="Section title. Click once to follow" display="Supplementary analysis" xr:uid="{1E1229E3-B80E-4ECE-AB6F-3AEA950B1DCA}"/>
    <hyperlink ref="C23" location="'Supplementary analysis'!A3" tooltip="Section subtitle. Click once to follow" display="Capex inputs and calculations" xr:uid="{439FF44A-B938-4935-9120-49E869051045}"/>
    <hyperlink ref="C26" location="'Supp analysis outputs'!A1" tooltip="Section title. Click once to follow" display="Outputs for chartbook" xr:uid="{027D6339-B7B6-4529-9927-4D3CEF6EF610}"/>
    <hyperlink ref="C27" location="'Inputs (DPP)'!A2" tooltip="Section title. Click once to follow" display="Inputs (DPP)" xr:uid="{54B60FA4-C2C4-4E0E-8406-1FAA5EED4F7C}"/>
    <hyperlink ref="C28" location="'Inputs (DPP)'!A4" tooltip="Section subtitle. Click once to follow" display="Inputs that are the same for all EDBs" xr:uid="{B690AD95-1E9E-42B4-A3B8-B7F01D6CB4A0}"/>
    <hyperlink ref="C29" location="'Inputs (DPP)'!A20" tooltip="Section subtitle. Click once to follow" display="Inputs that are specific to individual EDBs" xr:uid="{6A29DC85-9747-43FC-A8FE-0379D88C40D4}"/>
    <hyperlink ref="C30" location="'EDB data (DPP)'!A2" tooltip="Section title. Click once to follow" display="Inputs for the selected EDB (DPP)" xr:uid="{0BC5C0B4-DA19-4E59-ADFB-8C3962183414}"/>
    <hyperlink ref="C31" location="'TIMING (DPP)'!$A$1" tooltip="Section title. Click once to follow" display="Intra-year timing (DPP)" xr:uid="{6DA2E389-7949-45E1-8653-AE687E11B2F7}"/>
    <hyperlink ref="C32" location="'TIMING (DPP)'!$A$3" tooltip="Section subtitle. Click once to follow" display="Inputs" xr:uid="{B882390C-FED2-432D-8FDB-C0D359435DBF}"/>
    <hyperlink ref="C33" location="'TIMING (DPP)'!$A$10" tooltip="Section subtitle. Click once to follow" display="Calculations" xr:uid="{1DD1F113-5071-4831-9C9B-05DC3192F96C}"/>
    <hyperlink ref="C34" location="'TIMING (DPP)'!$A$21" tooltip="Section subtitle. Click once to follow" display="Outputs" xr:uid="{B70BD5EF-A51A-4F69-805F-CC4823B96110}"/>
    <hyperlink ref="C35" location="'TIMING (DPP)'!$A$28" tooltip="Section subtitle. Click once to follow" display="Check for timing of revenue receipt" xr:uid="{EABE0343-BD71-43BF-9036-83BA5BE54FAF}"/>
    <hyperlink ref="C36" location="'RAB (DPP)'!$A$1" tooltip="Section title. Click once to follow" display="Regulatory asset base (DPP)" xr:uid="{2D333330-7FD5-41B2-9F3F-0B243B67CA8C}"/>
    <hyperlink ref="C37" location="'RAB (DPP)'!$A$3" tooltip="Section subtitle. Click once to follow" display="Inputs" xr:uid="{24804132-847B-4038-BAD8-9280E6AB7A7A}"/>
    <hyperlink ref="C38" location="'RAB (DPP)'!$A$13" tooltip="Section subtitle. Click once to follow" display="Calculations" xr:uid="{9072C78E-7E16-43F7-8E61-C995998F7FA1}"/>
    <hyperlink ref="C39" location="'RAB (DPP)'!$A$87" tooltip="Section subtitle. Click once to follow" display="Outputs" xr:uid="{DC1B8CF9-5D1D-48BE-A266-41FD30EED961}"/>
    <hyperlink ref="C40" location="'TAX (DPP)'!$A$1" tooltip="Section title. Click once to follow" display="Tax calculations (DPP)" xr:uid="{416CCAC6-DC84-4795-BCA5-D7C41D0206F9}"/>
    <hyperlink ref="C41" location="'TAX (DPP)'!$A$3" tooltip="Section subtitle. Click once to follow" display="Inputs" xr:uid="{76EB8605-4EAB-4506-AAD2-16D84E0757DC}"/>
    <hyperlink ref="C42" location="'TAX (DPP)'!$A$24" tooltip="Section subtitle. Click once to follow" display="Calculations" xr:uid="{9C30F937-9314-48C6-9AF9-69C3B61EDC33}"/>
    <hyperlink ref="C43" location="'TAX (DPP)'!$A$93" tooltip="Section subtitle. Click once to follow" display="Outputs" xr:uid="{187082E2-D0E2-4FBB-BBB8-218C577DBBF5}"/>
    <hyperlink ref="C44" location="'BBAR (DPP)'!$A$1" tooltip="Section title. Click once to follow" display="Building blocks allowable revenue (DPP)" xr:uid="{A4D32B0B-B616-476F-8EB0-4A47C0A58A86}"/>
    <hyperlink ref="C45" location="'BBAR (DPP)'!$A$3" tooltip="Section subtitle. Click once to follow" display="Inputs" xr:uid="{A4628021-D8FB-4AD5-A784-6C20FB874623}"/>
    <hyperlink ref="C46" location="'BBAR (DPP)'!$A$23" tooltip="Section subtitle. Click once to follow" display="Calculations" xr:uid="{826613DA-AED8-4CD2-BFF6-22A92C7FAD0D}"/>
    <hyperlink ref="C47" location="'BBAR (DPP)'!$A$54" tooltip="Section subtitle. Click once to follow" display="Outputs" xr:uid="{2FE9B7A2-9A6F-46EB-9EAF-BB409D4AC131}"/>
    <hyperlink ref="C48" location="'EDB data (update)'!$A$1" tooltip="Section title. Click once to follow" display="Inputs for the selected EDB (update)" xr:uid="{67A6C1F0-22D4-42CD-8E09-3C2FB9936477}"/>
    <hyperlink ref="C49" location="'TIMING (update)'!$A$1" tooltip="Section title. Click once to follow" display="Intra-year timing (update)" xr:uid="{F4865013-89C1-42E5-801D-E287CED6832D}"/>
    <hyperlink ref="C50" location="'TIMING (update)'!$A$3" tooltip="Section subtitle. Click once to follow" display="Inputs" xr:uid="{280DA9F7-C618-4CC2-942C-F535F60C82ED}"/>
    <hyperlink ref="C51" location="'TIMING (update)'!$A$10" tooltip="Section subtitle. Click once to follow" display="Calculations" xr:uid="{B9E6ED38-6789-4013-B3B8-37F86ECFC999}"/>
    <hyperlink ref="C52" location="'TIMING (update)'!$A$21" tooltip="Section subtitle. Click once to follow" display="Outputs" xr:uid="{84302F49-D767-4B1C-B5B2-8B826C985056}"/>
    <hyperlink ref="C53" location="'TIMING (update)'!$A$28" tooltip="Section subtitle. Click once to follow" display="Check for timing of revenue receipt" xr:uid="{729745EE-D438-440D-84E5-D4A1899658B8}"/>
    <hyperlink ref="C54" location="'RAB (update)'!$A$1" tooltip="Section title. Click once to follow" display="Regulatory asset base (update)" xr:uid="{CFEB0ADC-E42D-4B7A-9F49-126CA043C020}"/>
    <hyperlink ref="C55" location="'RAB (update)'!$A$3" tooltip="Section subtitle. Click once to follow" display="Inputs" xr:uid="{C55C2DBE-5143-4755-B22B-5AB6F506FC0A}"/>
    <hyperlink ref="C56" location="'RAB (update)'!$A$13" tooltip="Section subtitle. Click once to follow" display="Calculations" xr:uid="{FE25D00A-4D60-4B73-9837-BDFF6AC9408A}"/>
    <hyperlink ref="C57" location="'RAB (update)'!$A$87" tooltip="Section subtitle. Click once to follow" display="Outputs" xr:uid="{F27BA670-D1A4-4234-8BEC-EBD384A64EF4}"/>
    <hyperlink ref="C58" location="'TAX (update)'!$A$1" tooltip="Section title. Click once to follow" display="Tax calculations (update)" xr:uid="{7480EB18-B4FE-4557-9D27-05F99D315017}"/>
    <hyperlink ref="C59" location="'TAX (update)'!$A$3" tooltip="Section subtitle. Click once to follow" display="Inputs" xr:uid="{2B1F65B9-FA5B-41A2-9194-5436AFA9BB25}"/>
    <hyperlink ref="C60" location="'TAX (update)'!$A$24" tooltip="Section subtitle. Click once to follow" display="Calculations" xr:uid="{3AB02943-AD16-4DC2-B967-1690EF7CAF0F}"/>
    <hyperlink ref="C61" location="'TAX (update)'!$A$93" tooltip="Section subtitle. Click once to follow" display="Outputs" xr:uid="{93023361-63F4-44B4-ABA8-A6F93CA8856D}"/>
    <hyperlink ref="C62" location="'BBAR (update)'!$A$1" tooltip="Section title. Click once to follow" display="Building blocks allowable revenue (update)" xr:uid="{A98BECC2-49C1-4567-BD96-76FB72646D3D}"/>
    <hyperlink ref="C63" location="'BBAR (update)'!$A$3" tooltip="Section subtitle. Click once to follow" display="Inputs" xr:uid="{1ED8F86B-BC51-4D7C-A534-2BA9BC07F0AB}"/>
    <hyperlink ref="C64" location="'BBAR (update)'!$A$23" tooltip="Section subtitle. Click once to follow" display="Calculations" xr:uid="{001CA8F1-CFFE-42B0-8F24-B2FD19CA97DE}"/>
    <hyperlink ref="C65" location="'BBAR (update)'!$A$54" tooltip="Section subtitle. Click once to follow" display="Outputs" xr:uid="{714CD104-AE70-459B-A541-DD30198FD687}"/>
    <hyperlink ref="C24" location="'Supplementary analysis'!A87" tooltip="Section subtitle. Click once to follow" display="Opex inputs and calculations" xr:uid="{85472B1A-7F9B-491B-ACFF-A4AC617DAC48}"/>
    <hyperlink ref="C25" location="'Supplementary analysis'!A175" tooltip="Section subtitle. Click once to follow" display="Outputs" xr:uid="{A468FFD0-F84C-4AA1-87F5-37A037DAF4E3}"/>
  </hyperlinks>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CA68B"/>
    <pageSetUpPr fitToPage="1"/>
  </sheetPr>
  <dimension ref="A1:AC179"/>
  <sheetViews>
    <sheetView showGridLines="0" view="pageBreakPreview" zoomScaleNormal="100" zoomScaleSheetLayoutView="100" workbookViewId="0"/>
  </sheetViews>
  <sheetFormatPr defaultRowHeight="15" customHeight="1" x14ac:dyDescent="0.25"/>
  <cols>
    <col min="1" max="1" width="36.140625" customWidth="1"/>
    <col min="3" max="3" width="11.5703125" customWidth="1"/>
    <col min="4" max="8" width="11" customWidth="1"/>
    <col min="9" max="9" width="2.85546875" customWidth="1"/>
    <col min="10" max="10" width="118.5703125" style="656" bestFit="1" customWidth="1"/>
    <col min="11" max="11" width="3.85546875" customWidth="1"/>
    <col min="14" max="14" width="18.42578125" customWidth="1"/>
    <col min="15" max="16" width="10.140625" bestFit="1" customWidth="1"/>
  </cols>
  <sheetData>
    <row r="1" spans="1:25" ht="37.5" customHeight="1" x14ac:dyDescent="0.25">
      <c r="A1" s="236" t="s">
        <v>12</v>
      </c>
      <c r="D1" s="93"/>
      <c r="E1" s="93"/>
      <c r="F1" s="93"/>
      <c r="G1" s="93"/>
      <c r="H1" s="93"/>
      <c r="I1" s="94"/>
      <c r="J1" s="697"/>
    </row>
    <row r="2" spans="1:25" x14ac:dyDescent="0.25">
      <c r="A2" s="238" t="s">
        <v>505</v>
      </c>
      <c r="B2" s="97"/>
      <c r="C2" s="97"/>
      <c r="D2" s="98"/>
      <c r="E2" s="98"/>
      <c r="F2" s="98"/>
      <c r="G2" s="98"/>
      <c r="H2" s="98"/>
      <c r="I2" s="98"/>
      <c r="J2" s="698"/>
      <c r="L2" s="97"/>
      <c r="M2" s="97"/>
      <c r="N2" s="97"/>
    </row>
    <row r="3" spans="1:25" ht="23.25" x14ac:dyDescent="0.35">
      <c r="A3" s="239" t="s">
        <v>164</v>
      </c>
      <c r="B3" s="240"/>
      <c r="C3" s="92"/>
      <c r="D3" s="241"/>
      <c r="E3" s="241"/>
      <c r="F3" s="241"/>
      <c r="G3" s="241"/>
      <c r="H3" s="241"/>
      <c r="I3" s="241"/>
      <c r="J3" s="699"/>
      <c r="L3" s="92"/>
      <c r="M3" s="92"/>
      <c r="N3" s="92"/>
    </row>
    <row r="4" spans="1:25" ht="37.5" customHeight="1" x14ac:dyDescent="0.25">
      <c r="A4" s="242"/>
      <c r="B4" s="243"/>
      <c r="C4" s="243"/>
      <c r="D4" s="3">
        <v>2021</v>
      </c>
      <c r="E4" s="3">
        <v>2022</v>
      </c>
      <c r="F4" s="3">
        <v>2023</v>
      </c>
      <c r="G4" s="3">
        <v>2024</v>
      </c>
      <c r="H4" s="3">
        <v>2025</v>
      </c>
      <c r="I4" s="94"/>
      <c r="J4" s="697"/>
    </row>
    <row r="5" spans="1:25" x14ac:dyDescent="0.25">
      <c r="A5" s="244" t="s">
        <v>236</v>
      </c>
      <c r="B5" s="245"/>
      <c r="C5" s="246">
        <v>4.5699999999999998E-2</v>
      </c>
      <c r="D5" s="246"/>
      <c r="E5" s="246"/>
      <c r="F5" s="246"/>
      <c r="G5" s="246"/>
      <c r="H5" s="246"/>
      <c r="I5" s="100"/>
      <c r="J5" s="704" t="s">
        <v>564</v>
      </c>
    </row>
    <row r="6" spans="1:25" x14ac:dyDescent="0.25">
      <c r="A6" s="244" t="s">
        <v>267</v>
      </c>
      <c r="B6" s="245"/>
      <c r="C6" s="246">
        <v>7.3700000000000002E-2</v>
      </c>
      <c r="D6" s="247"/>
      <c r="E6" s="247"/>
      <c r="F6" s="247"/>
      <c r="G6" s="247"/>
      <c r="H6" s="247"/>
      <c r="I6" s="101"/>
      <c r="J6" s="704" t="s">
        <v>563</v>
      </c>
    </row>
    <row r="7" spans="1:25" x14ac:dyDescent="0.25">
      <c r="A7" s="187" t="s">
        <v>273</v>
      </c>
      <c r="B7" s="245"/>
      <c r="C7" s="246">
        <v>0.23499999999999999</v>
      </c>
      <c r="D7" s="247"/>
      <c r="E7" s="247"/>
      <c r="F7" s="247"/>
      <c r="G7" s="247"/>
      <c r="H7" s="247"/>
      <c r="I7" s="101"/>
      <c r="J7" s="704" t="s">
        <v>565</v>
      </c>
    </row>
    <row r="8" spans="1:25" x14ac:dyDescent="0.25">
      <c r="A8" s="248" t="s">
        <v>266</v>
      </c>
      <c r="B8" s="245"/>
      <c r="C8" s="246">
        <v>6.1199999999999997E-2</v>
      </c>
      <c r="D8" s="247"/>
      <c r="E8" s="247"/>
      <c r="F8" s="247"/>
      <c r="G8" s="247"/>
      <c r="H8" s="247"/>
      <c r="I8" s="101"/>
      <c r="J8" s="704" t="s">
        <v>566</v>
      </c>
    </row>
    <row r="9" spans="1:25" x14ac:dyDescent="0.25">
      <c r="A9" s="249" t="s">
        <v>1</v>
      </c>
      <c r="B9" s="245"/>
      <c r="C9" s="250">
        <v>44</v>
      </c>
      <c r="D9" s="250"/>
      <c r="E9" s="250"/>
      <c r="F9" s="250"/>
      <c r="G9" s="250"/>
      <c r="H9" s="250"/>
      <c r="I9" s="102"/>
      <c r="J9" s="704"/>
    </row>
    <row r="10" spans="1:25" x14ac:dyDescent="0.25">
      <c r="A10" s="249" t="s">
        <v>189</v>
      </c>
      <c r="B10" s="245"/>
      <c r="C10" s="250"/>
      <c r="D10" s="251">
        <v>45</v>
      </c>
      <c r="E10" s="251">
        <v>45</v>
      </c>
      <c r="F10" s="251">
        <v>45</v>
      </c>
      <c r="G10" s="251">
        <v>45</v>
      </c>
      <c r="H10" s="251">
        <v>45</v>
      </c>
      <c r="I10" s="80"/>
      <c r="J10" s="704" t="s">
        <v>508</v>
      </c>
      <c r="L10" s="1"/>
      <c r="M10" s="1"/>
      <c r="N10" s="1"/>
      <c r="O10" s="1"/>
      <c r="P10" s="1"/>
      <c r="Q10" s="1"/>
      <c r="R10" s="1"/>
      <c r="S10" s="1"/>
      <c r="T10" s="1"/>
      <c r="U10" s="1"/>
      <c r="V10" s="1"/>
      <c r="W10" s="1"/>
      <c r="X10" s="1"/>
      <c r="Y10" s="1"/>
    </row>
    <row r="11" spans="1:25" x14ac:dyDescent="0.25">
      <c r="A11" s="235"/>
      <c r="B11" s="235"/>
      <c r="C11" s="235"/>
      <c r="D11" s="252"/>
      <c r="E11" s="252"/>
      <c r="F11" s="252"/>
      <c r="G11" s="252"/>
      <c r="H11" s="252"/>
      <c r="I11" s="253"/>
      <c r="J11" s="697"/>
    </row>
    <row r="12" spans="1:25" ht="23.25" x14ac:dyDescent="0.35">
      <c r="A12" s="239" t="s">
        <v>0</v>
      </c>
      <c r="B12" s="240"/>
      <c r="C12" s="92"/>
      <c r="D12" s="241"/>
      <c r="E12" s="241"/>
      <c r="F12" s="241"/>
      <c r="G12" s="241"/>
      <c r="H12" s="241"/>
      <c r="I12" s="241"/>
      <c r="J12" s="699"/>
      <c r="L12" s="92"/>
      <c r="M12" s="92"/>
      <c r="N12" s="92"/>
    </row>
    <row r="13" spans="1:25" ht="15.75" x14ac:dyDescent="0.25">
      <c r="A13" s="254" t="s">
        <v>14</v>
      </c>
      <c r="B13" s="255"/>
      <c r="C13" s="95"/>
      <c r="D13" s="256"/>
      <c r="E13" s="256"/>
      <c r="F13" s="256"/>
      <c r="G13" s="256"/>
      <c r="H13" s="256"/>
      <c r="I13" s="256"/>
      <c r="J13" s="700"/>
      <c r="L13" s="95"/>
      <c r="M13" s="95"/>
      <c r="N13" s="95"/>
      <c r="O13" s="1"/>
      <c r="P13" s="1"/>
      <c r="Q13" s="1"/>
      <c r="R13" s="1"/>
      <c r="S13" s="1"/>
    </row>
    <row r="14" spans="1:25" x14ac:dyDescent="0.25">
      <c r="A14" s="238" t="s">
        <v>507</v>
      </c>
      <c r="B14" s="97"/>
      <c r="C14" s="97"/>
      <c r="D14" s="98"/>
      <c r="E14" s="98"/>
      <c r="F14" s="98"/>
      <c r="G14" s="98"/>
      <c r="H14" s="98"/>
      <c r="I14" s="98"/>
      <c r="J14" s="698"/>
      <c r="L14" s="97"/>
      <c r="M14" s="97"/>
      <c r="N14" s="97"/>
    </row>
    <row r="15" spans="1:25" x14ac:dyDescent="0.25">
      <c r="A15" s="685" t="s">
        <v>191</v>
      </c>
      <c r="B15" s="686">
        <v>1</v>
      </c>
      <c r="C15" s="687"/>
      <c r="D15" s="688">
        <v>16663.0849870743</v>
      </c>
      <c r="E15" s="688">
        <v>16978.399454502294</v>
      </c>
      <c r="F15" s="688">
        <v>15377.140956497071</v>
      </c>
      <c r="G15" s="688">
        <v>14672.777154184731</v>
      </c>
      <c r="H15" s="688">
        <v>14150.711147161515</v>
      </c>
      <c r="I15" s="80"/>
      <c r="J15" s="701"/>
      <c r="T15" s="259"/>
      <c r="U15" s="259"/>
      <c r="V15" s="259"/>
      <c r="W15" s="259"/>
      <c r="X15" s="259"/>
    </row>
    <row r="16" spans="1:25" ht="14.1" customHeight="1" x14ac:dyDescent="0.25">
      <c r="A16" s="249" t="s">
        <v>17</v>
      </c>
      <c r="B16" s="257">
        <v>2</v>
      </c>
      <c r="C16" s="258"/>
      <c r="D16" s="260">
        <v>47628</v>
      </c>
      <c r="E16" s="260">
        <v>76398</v>
      </c>
      <c r="F16" s="260">
        <v>65392</v>
      </c>
      <c r="G16" s="260">
        <v>77959</v>
      </c>
      <c r="H16" s="260">
        <v>71489</v>
      </c>
      <c r="I16" s="28"/>
      <c r="J16" s="704" t="s">
        <v>497</v>
      </c>
      <c r="T16" s="259"/>
      <c r="U16" s="259"/>
      <c r="V16" s="259"/>
      <c r="W16" s="259"/>
      <c r="X16" s="259"/>
    </row>
    <row r="17" spans="1:29" x14ac:dyDescent="0.25">
      <c r="A17" s="249" t="s">
        <v>237</v>
      </c>
      <c r="B17" s="257">
        <v>3</v>
      </c>
      <c r="C17" s="258"/>
      <c r="D17" s="260">
        <v>18050.3141257922</v>
      </c>
      <c r="E17" s="260">
        <v>17941.493243003944</v>
      </c>
      <c r="F17" s="260">
        <v>17796.759119063441</v>
      </c>
      <c r="G17" s="260">
        <v>15710.84150223012</v>
      </c>
      <c r="H17" s="260">
        <v>14722.518947443514</v>
      </c>
      <c r="I17" s="28"/>
      <c r="J17" s="704"/>
      <c r="T17" s="259"/>
      <c r="U17" s="259"/>
      <c r="V17" s="259"/>
      <c r="W17" s="259"/>
      <c r="X17" s="259"/>
    </row>
    <row r="18" spans="1:29" x14ac:dyDescent="0.25">
      <c r="A18" s="249" t="s">
        <v>18</v>
      </c>
      <c r="B18" s="257">
        <v>4</v>
      </c>
      <c r="C18" s="258"/>
      <c r="D18" s="260">
        <v>4655.6235108371211</v>
      </c>
      <c r="E18" s="260">
        <v>5052.9447714077578</v>
      </c>
      <c r="F18" s="260">
        <v>5567.5747524279859</v>
      </c>
      <c r="G18" s="260">
        <v>5578.0770141048597</v>
      </c>
      <c r="H18" s="260">
        <v>5125.7868259029583</v>
      </c>
      <c r="I18" s="28"/>
      <c r="J18" s="704"/>
      <c r="T18" s="259"/>
      <c r="U18" s="259"/>
      <c r="V18" s="259"/>
      <c r="W18" s="259"/>
      <c r="X18" s="259"/>
    </row>
    <row r="19" spans="1:29" x14ac:dyDescent="0.25">
      <c r="A19" s="244" t="s">
        <v>499</v>
      </c>
      <c r="B19" s="257">
        <v>5</v>
      </c>
      <c r="C19" s="258"/>
      <c r="D19" s="260">
        <v>9684.9777776781502</v>
      </c>
      <c r="E19" s="260">
        <v>10136.401061103601</v>
      </c>
      <c r="F19" s="260">
        <v>8982.1740783163259</v>
      </c>
      <c r="G19" s="260">
        <v>9383.3630278770361</v>
      </c>
      <c r="H19" s="260">
        <v>10052.315192213098</v>
      </c>
      <c r="I19" s="28"/>
      <c r="J19" s="704" t="s">
        <v>500</v>
      </c>
      <c r="T19" s="259"/>
      <c r="U19" s="259"/>
      <c r="V19" s="259"/>
      <c r="W19" s="259"/>
      <c r="X19" s="259"/>
    </row>
    <row r="20" spans="1:29" x14ac:dyDescent="0.25">
      <c r="A20" s="249" t="s">
        <v>238</v>
      </c>
      <c r="B20" s="257">
        <v>6</v>
      </c>
      <c r="C20" s="258"/>
      <c r="D20" s="260">
        <v>8322.4692415684531</v>
      </c>
      <c r="E20" s="260">
        <v>6720.079498778955</v>
      </c>
      <c r="F20" s="260">
        <v>8075.3672553967899</v>
      </c>
      <c r="G20" s="260">
        <v>8520.7632766490988</v>
      </c>
      <c r="H20" s="260">
        <v>8567.1005445935371</v>
      </c>
      <c r="I20" s="28"/>
      <c r="J20" s="704"/>
      <c r="T20" s="259"/>
      <c r="U20" s="259"/>
      <c r="V20" s="259"/>
      <c r="W20" s="259"/>
      <c r="X20" s="259"/>
    </row>
    <row r="21" spans="1:29" x14ac:dyDescent="0.25">
      <c r="A21" s="249" t="s">
        <v>239</v>
      </c>
      <c r="B21" s="257">
        <v>7</v>
      </c>
      <c r="C21" s="258"/>
      <c r="D21" s="260">
        <v>1627.4748243189306</v>
      </c>
      <c r="E21" s="260">
        <v>1709.8203732676643</v>
      </c>
      <c r="F21" s="260">
        <v>1663.731588304842</v>
      </c>
      <c r="G21" s="260">
        <v>1665.5343513423325</v>
      </c>
      <c r="H21" s="260">
        <v>1671.9158090065555</v>
      </c>
      <c r="I21" s="28"/>
      <c r="J21" s="704"/>
      <c r="T21" s="259"/>
      <c r="U21" s="259"/>
      <c r="V21" s="259"/>
      <c r="W21" s="259"/>
      <c r="X21" s="259"/>
    </row>
    <row r="22" spans="1:29" x14ac:dyDescent="0.25">
      <c r="A22" s="249" t="s">
        <v>240</v>
      </c>
      <c r="B22" s="257">
        <v>8</v>
      </c>
      <c r="C22" s="258"/>
      <c r="D22" s="260">
        <v>10289.860370686423</v>
      </c>
      <c r="E22" s="260">
        <v>12261.460641572261</v>
      </c>
      <c r="F22" s="260">
        <v>9042.3641329302391</v>
      </c>
      <c r="G22" s="260">
        <v>10071.951141968706</v>
      </c>
      <c r="H22" s="260">
        <v>8471.990542954245</v>
      </c>
      <c r="I22" s="28"/>
      <c r="J22" s="704"/>
      <c r="T22" s="259"/>
      <c r="U22" s="259"/>
      <c r="V22" s="259"/>
      <c r="W22" s="259"/>
      <c r="X22" s="259"/>
    </row>
    <row r="23" spans="1:29" x14ac:dyDescent="0.25">
      <c r="A23" s="244" t="s">
        <v>268</v>
      </c>
      <c r="B23" s="257">
        <v>9</v>
      </c>
      <c r="C23" s="258"/>
      <c r="D23" s="260">
        <v>72172.38359853992</v>
      </c>
      <c r="E23" s="260">
        <v>63777.111872759626</v>
      </c>
      <c r="F23" s="260">
        <v>89623.654410387855</v>
      </c>
      <c r="G23" s="260">
        <v>79929.574002059759</v>
      </c>
      <c r="H23" s="260">
        <v>84444.365243546883</v>
      </c>
      <c r="I23" s="28"/>
      <c r="J23" s="704"/>
      <c r="T23" s="259"/>
      <c r="U23" s="259"/>
      <c r="V23" s="259"/>
      <c r="W23" s="259"/>
      <c r="X23" s="259"/>
    </row>
    <row r="24" spans="1:29" x14ac:dyDescent="0.25">
      <c r="A24" s="249" t="s">
        <v>241</v>
      </c>
      <c r="B24" s="257">
        <v>10</v>
      </c>
      <c r="C24" s="258"/>
      <c r="D24" s="260">
        <v>13989.584671125622</v>
      </c>
      <c r="E24" s="260">
        <v>13504.173049339088</v>
      </c>
      <c r="F24" s="260">
        <v>18002.808964582848</v>
      </c>
      <c r="G24" s="260">
        <v>23071.296835907422</v>
      </c>
      <c r="H24" s="260">
        <v>13934.599644582944</v>
      </c>
      <c r="I24" s="28"/>
      <c r="J24" s="704"/>
      <c r="T24" s="259"/>
      <c r="U24" s="259"/>
      <c r="V24" s="259"/>
      <c r="W24" s="259"/>
      <c r="X24" s="259"/>
    </row>
    <row r="25" spans="1:29" x14ac:dyDescent="0.25">
      <c r="A25" s="244" t="s">
        <v>269</v>
      </c>
      <c r="B25" s="257">
        <v>11</v>
      </c>
      <c r="C25" s="258"/>
      <c r="D25" s="260">
        <v>175576.69115506724</v>
      </c>
      <c r="E25" s="260">
        <v>211734.9783027441</v>
      </c>
      <c r="F25" s="260">
        <v>216264.75514559916</v>
      </c>
      <c r="G25" s="260">
        <v>241313</v>
      </c>
      <c r="H25" s="260">
        <v>242290</v>
      </c>
      <c r="I25" s="28"/>
      <c r="J25" s="704" t="s">
        <v>465</v>
      </c>
      <c r="L25" s="1"/>
      <c r="M25" s="1"/>
      <c r="N25" s="1"/>
      <c r="O25" s="1"/>
      <c r="T25" s="259"/>
      <c r="U25" s="259"/>
      <c r="V25" s="259"/>
      <c r="W25" s="259"/>
      <c r="X25" s="259"/>
      <c r="AB25" s="261" t="s">
        <v>316</v>
      </c>
      <c r="AC25" s="261" t="s">
        <v>317</v>
      </c>
    </row>
    <row r="26" spans="1:29" x14ac:dyDescent="0.25">
      <c r="A26" s="249" t="s">
        <v>23</v>
      </c>
      <c r="B26" s="257">
        <v>12</v>
      </c>
      <c r="C26" s="258"/>
      <c r="D26" s="260">
        <v>18320.860042033932</v>
      </c>
      <c r="E26" s="260">
        <v>16919.227905563937</v>
      </c>
      <c r="F26" s="260">
        <v>15873.676646380469</v>
      </c>
      <c r="G26" s="260">
        <v>16558.302274241945</v>
      </c>
      <c r="H26" s="260">
        <v>15250.2101420237</v>
      </c>
      <c r="I26" s="28"/>
      <c r="J26" s="704"/>
      <c r="T26" s="259"/>
      <c r="U26" s="259"/>
      <c r="V26" s="259"/>
      <c r="W26" s="259"/>
      <c r="X26" s="259"/>
    </row>
    <row r="27" spans="1:29" x14ac:dyDescent="0.25">
      <c r="A27" s="249" t="s">
        <v>242</v>
      </c>
      <c r="B27" s="257">
        <v>13</v>
      </c>
      <c r="C27" s="258"/>
      <c r="D27" s="260">
        <v>14593.153311847902</v>
      </c>
      <c r="E27" s="260">
        <v>15127.253970962542</v>
      </c>
      <c r="F27" s="260">
        <v>16514.785707311417</v>
      </c>
      <c r="G27" s="260">
        <v>16264.117073022302</v>
      </c>
      <c r="H27" s="260">
        <v>16597.07093675133</v>
      </c>
      <c r="I27" s="28"/>
      <c r="J27" s="704"/>
      <c r="T27" s="259"/>
      <c r="U27" s="259"/>
      <c r="V27" s="259"/>
      <c r="W27" s="259"/>
      <c r="X27" s="259"/>
    </row>
    <row r="28" spans="1:29" x14ac:dyDescent="0.25">
      <c r="A28" s="249" t="s">
        <v>243</v>
      </c>
      <c r="B28" s="257">
        <v>14</v>
      </c>
      <c r="C28" s="258"/>
      <c r="D28" s="260">
        <v>46746.124751395197</v>
      </c>
      <c r="E28" s="260">
        <v>52524.928561752349</v>
      </c>
      <c r="F28" s="260">
        <v>50530.601455491415</v>
      </c>
      <c r="G28" s="260">
        <v>46851.604858224193</v>
      </c>
      <c r="H28" s="260">
        <v>48041.410078531495</v>
      </c>
      <c r="I28" s="28"/>
      <c r="J28" s="704"/>
      <c r="T28" s="259"/>
      <c r="U28" s="259"/>
      <c r="V28" s="259"/>
      <c r="W28" s="259"/>
      <c r="X28" s="259"/>
    </row>
    <row r="29" spans="1:29" x14ac:dyDescent="0.25">
      <c r="A29" s="249" t="s">
        <v>244</v>
      </c>
      <c r="B29" s="257">
        <v>15</v>
      </c>
      <c r="C29" s="258"/>
      <c r="D29" s="260">
        <v>211119.9718515854</v>
      </c>
      <c r="E29" s="260">
        <v>209600.00629559506</v>
      </c>
      <c r="F29" s="260">
        <v>213423.98232804175</v>
      </c>
      <c r="G29" s="260">
        <v>209518.18392710513</v>
      </c>
      <c r="H29" s="260">
        <v>197131.64960191568</v>
      </c>
      <c r="I29" s="28"/>
      <c r="J29" s="704"/>
      <c r="T29" s="259"/>
      <c r="U29" s="259"/>
      <c r="V29" s="259"/>
      <c r="W29" s="259"/>
      <c r="X29" s="259"/>
    </row>
    <row r="30" spans="1:29" x14ac:dyDescent="0.25">
      <c r="A30" s="244" t="s">
        <v>270</v>
      </c>
      <c r="B30" s="257">
        <v>16</v>
      </c>
      <c r="C30" s="258"/>
      <c r="D30" s="260">
        <v>44485</v>
      </c>
      <c r="E30" s="260">
        <v>36754</v>
      </c>
      <c r="F30" s="260">
        <v>42296</v>
      </c>
      <c r="G30" s="260">
        <v>39859</v>
      </c>
      <c r="H30" s="260">
        <v>42399</v>
      </c>
      <c r="I30" s="28"/>
      <c r="J30" s="704" t="s">
        <v>466</v>
      </c>
      <c r="T30" s="259"/>
      <c r="U30" s="259"/>
      <c r="V30" s="259"/>
      <c r="W30" s="259"/>
      <c r="X30" s="259"/>
    </row>
    <row r="31" spans="1:29" x14ac:dyDescent="0.25">
      <c r="A31" s="262"/>
      <c r="B31" s="235"/>
      <c r="C31" s="235"/>
      <c r="D31" s="252"/>
      <c r="E31" s="252"/>
      <c r="F31" s="252"/>
      <c r="G31" s="252"/>
      <c r="H31" s="252"/>
      <c r="I31" s="253"/>
      <c r="J31" s="697"/>
      <c r="T31" s="259"/>
      <c r="U31" s="259"/>
      <c r="V31" s="259"/>
      <c r="W31" s="259"/>
      <c r="X31" s="259"/>
    </row>
    <row r="32" spans="1:29" ht="15.75" x14ac:dyDescent="0.25">
      <c r="A32" s="254" t="s">
        <v>15</v>
      </c>
      <c r="B32" s="255"/>
      <c r="C32" s="95"/>
      <c r="D32" s="256"/>
      <c r="E32" s="256"/>
      <c r="F32" s="256"/>
      <c r="G32" s="256"/>
      <c r="H32" s="256"/>
      <c r="I32" s="256"/>
      <c r="J32" s="700"/>
      <c r="L32" s="95"/>
      <c r="M32" s="95"/>
      <c r="N32" s="95"/>
      <c r="O32" s="1"/>
      <c r="P32" s="1"/>
      <c r="Q32" s="1"/>
      <c r="R32" s="1"/>
      <c r="S32" s="1"/>
    </row>
    <row r="33" spans="1:20" x14ac:dyDescent="0.25">
      <c r="A33" s="685" t="s">
        <v>191</v>
      </c>
      <c r="B33" s="686">
        <v>1</v>
      </c>
      <c r="C33" s="687"/>
      <c r="D33" s="688">
        <f>INDEX([1]Output!$A$113:$H$129,MATCH($A33,[1]Output!$A$113:$A$129,0),6)</f>
        <v>14838.8121390163</v>
      </c>
      <c r="E33" s="688">
        <f>INDEX([1]Output!$A$113:$H$129,MATCH($A33,[1]Output!$A$113:$A$129,0),7)</f>
        <v>18553.5095</v>
      </c>
      <c r="F33" s="688">
        <f>INDEX([1]Output!$A$113:$H$129,MATCH($A33,[1]Output!$A$113:$A$129,0),8)</f>
        <v>19464.545436548098</v>
      </c>
      <c r="G33" s="688"/>
      <c r="H33" s="688"/>
      <c r="I33" s="80"/>
      <c r="J33" s="704" t="s">
        <v>597</v>
      </c>
      <c r="M33" s="259"/>
      <c r="N33" s="259"/>
      <c r="O33" s="259"/>
      <c r="P33" s="259"/>
      <c r="Q33" s="259"/>
      <c r="R33" s="259"/>
      <c r="S33" s="259"/>
      <c r="T33" s="259"/>
    </row>
    <row r="34" spans="1:20" x14ac:dyDescent="0.25">
      <c r="A34" s="249" t="s">
        <v>17</v>
      </c>
      <c r="B34" s="257">
        <v>2</v>
      </c>
      <c r="C34" s="258"/>
      <c r="D34" s="251">
        <f>INDEX([1]Output!$A$113:$H$129,MATCH($A34,[1]Output!$A$113:$A$129,0),6)</f>
        <v>61073</v>
      </c>
      <c r="E34" s="251">
        <f>INDEX([1]Output!$A$113:$H$129,MATCH($A34,[1]Output!$A$113:$A$129,0),7)</f>
        <v>93006</v>
      </c>
      <c r="F34" s="251">
        <f>INDEX([1]Output!$A$113:$H$129,MATCH($A34,[1]Output!$A$113:$A$129,0),8)</f>
        <v>76873</v>
      </c>
      <c r="G34" s="251"/>
      <c r="H34" s="251"/>
      <c r="I34" s="80"/>
      <c r="J34" s="703"/>
      <c r="M34" s="259"/>
      <c r="N34" s="259"/>
      <c r="O34" s="259"/>
      <c r="P34" s="259"/>
      <c r="Q34" s="259"/>
      <c r="R34" s="259"/>
      <c r="S34" s="259"/>
      <c r="T34" s="259"/>
    </row>
    <row r="35" spans="1:20" x14ac:dyDescent="0.25">
      <c r="A35" s="249" t="s">
        <v>237</v>
      </c>
      <c r="B35" s="257">
        <v>3</v>
      </c>
      <c r="C35" s="258"/>
      <c r="D35" s="251">
        <f>INDEX([1]Output!$A$113:$H$129,MATCH($A35,[1]Output!$A$113:$A$129,0),6)</f>
        <v>15501</v>
      </c>
      <c r="E35" s="251">
        <f>INDEX([1]Output!$A$113:$H$129,MATCH($A35,[1]Output!$A$113:$A$129,0),7)</f>
        <v>11600</v>
      </c>
      <c r="F35" s="251">
        <f>INDEX([1]Output!$A$113:$H$129,MATCH($A35,[1]Output!$A$113:$A$129,0),8)</f>
        <v>12049.0346434783</v>
      </c>
      <c r="G35" s="251"/>
      <c r="H35" s="251"/>
      <c r="I35" s="80"/>
      <c r="J35" s="704"/>
      <c r="M35" s="259"/>
      <c r="N35" s="259"/>
      <c r="O35" s="259"/>
      <c r="P35" s="259"/>
      <c r="Q35" s="259"/>
      <c r="R35" s="259"/>
      <c r="S35" s="259"/>
      <c r="T35" s="259"/>
    </row>
    <row r="36" spans="1:20" x14ac:dyDescent="0.25">
      <c r="A36" s="249" t="s">
        <v>18</v>
      </c>
      <c r="B36" s="257">
        <v>4</v>
      </c>
      <c r="C36" s="258"/>
      <c r="D36" s="251">
        <f>INDEX([1]Output!$A$113:$H$129,MATCH($A36,[1]Output!$A$113:$A$129,0),6)</f>
        <v>4131.6000000000004</v>
      </c>
      <c r="E36" s="251">
        <f>INDEX([1]Output!$A$113:$H$129,MATCH($A36,[1]Output!$A$113:$A$129,0),7)</f>
        <v>6116.73</v>
      </c>
      <c r="F36" s="251">
        <f>INDEX([1]Output!$A$113:$H$129,MATCH($A36,[1]Output!$A$113:$A$129,0),8)</f>
        <v>4521.9785000000002</v>
      </c>
      <c r="G36" s="251"/>
      <c r="H36" s="251"/>
      <c r="I36" s="80"/>
      <c r="J36" s="704"/>
      <c r="M36" s="259"/>
      <c r="N36" s="259"/>
      <c r="O36" s="259"/>
      <c r="P36" s="259"/>
      <c r="Q36" s="259"/>
      <c r="R36" s="259"/>
      <c r="S36" s="259"/>
      <c r="T36" s="259"/>
    </row>
    <row r="37" spans="1:20" x14ac:dyDescent="0.25">
      <c r="A37" s="244" t="s">
        <v>499</v>
      </c>
      <c r="B37" s="257">
        <v>5</v>
      </c>
      <c r="C37" s="258"/>
      <c r="D37" s="251">
        <f>INDEX([1]Output!$A$113:$H$129,MATCH($A37,[1]Output!$A$113:$A$129,0),6)</f>
        <v>10983.468024507099</v>
      </c>
      <c r="E37" s="251">
        <f>INDEX([1]Output!$A$113:$H$129,MATCH($A37,[1]Output!$A$113:$A$129,0),7)</f>
        <v>9630.1170299999994</v>
      </c>
      <c r="F37" s="251">
        <f>INDEX([1]Output!$A$113:$H$129,MATCH($A37,[1]Output!$A$113:$A$129,0),8)</f>
        <v>16078.13704</v>
      </c>
      <c r="G37" s="251"/>
      <c r="H37" s="251"/>
      <c r="I37" s="80"/>
      <c r="J37" s="704" t="s">
        <v>501</v>
      </c>
      <c r="L37" s="1"/>
      <c r="M37" s="259"/>
      <c r="N37" s="259"/>
      <c r="O37" s="259"/>
      <c r="P37" s="259"/>
      <c r="Q37" s="259"/>
      <c r="R37" s="259"/>
      <c r="S37" s="259"/>
      <c r="T37" s="259"/>
    </row>
    <row r="38" spans="1:20" x14ac:dyDescent="0.25">
      <c r="A38" s="249" t="s">
        <v>238</v>
      </c>
      <c r="B38" s="257">
        <v>6</v>
      </c>
      <c r="C38" s="258"/>
      <c r="D38" s="251">
        <f>INDEX([1]Output!$A$113:$H$129,MATCH($A38,[1]Output!$A$113:$A$129,0),6)</f>
        <v>7154.40697000002</v>
      </c>
      <c r="E38" s="251">
        <f>INDEX([1]Output!$A$113:$H$129,MATCH($A38,[1]Output!$A$113:$A$129,0),7)</f>
        <v>6593.4251199999999</v>
      </c>
      <c r="F38" s="251">
        <f>INDEX([1]Output!$A$113:$H$129,MATCH($A38,[1]Output!$A$113:$A$129,0),8)</f>
        <v>8222.5562700000191</v>
      </c>
      <c r="G38" s="251"/>
      <c r="H38" s="251"/>
      <c r="I38" s="80"/>
      <c r="J38" s="704"/>
      <c r="M38" s="259"/>
      <c r="N38" s="259"/>
      <c r="O38" s="259"/>
      <c r="P38" s="259"/>
      <c r="Q38" s="259"/>
      <c r="R38" s="259"/>
      <c r="S38" s="259"/>
      <c r="T38" s="259"/>
    </row>
    <row r="39" spans="1:20" x14ac:dyDescent="0.25">
      <c r="A39" s="249" t="s">
        <v>239</v>
      </c>
      <c r="B39" s="257">
        <v>7</v>
      </c>
      <c r="C39" s="258"/>
      <c r="D39" s="251">
        <f>INDEX([1]Output!$A$113:$H$129,MATCH($A39,[1]Output!$A$113:$A$129,0),6)</f>
        <v>762.82890999999995</v>
      </c>
      <c r="E39" s="251">
        <f>INDEX([1]Output!$A$113:$H$129,MATCH($A39,[1]Output!$A$113:$A$129,0),7)</f>
        <v>1696.3871300000001</v>
      </c>
      <c r="F39" s="251">
        <f>INDEX([1]Output!$A$113:$H$129,MATCH($A39,[1]Output!$A$113:$A$129,0),8)</f>
        <v>1644.41113</v>
      </c>
      <c r="G39" s="251"/>
      <c r="H39" s="251"/>
      <c r="I39" s="80"/>
      <c r="J39" s="705"/>
      <c r="M39" s="259"/>
      <c r="N39" s="259"/>
      <c r="O39" s="259"/>
      <c r="P39" s="259"/>
      <c r="Q39" s="259"/>
      <c r="R39" s="259"/>
      <c r="S39" s="259"/>
      <c r="T39" s="259"/>
    </row>
    <row r="40" spans="1:20" x14ac:dyDescent="0.25">
      <c r="A40" s="249" t="s">
        <v>240</v>
      </c>
      <c r="B40" s="257">
        <v>8</v>
      </c>
      <c r="C40" s="258"/>
      <c r="D40" s="251">
        <f>INDEX([1]Output!$A$113:$H$129,MATCH($A40,[1]Output!$A$113:$A$129,0),6)</f>
        <v>8066</v>
      </c>
      <c r="E40" s="251">
        <f>INDEX([1]Output!$A$113:$H$129,MATCH($A40,[1]Output!$A$113:$A$129,0),7)</f>
        <v>10506</v>
      </c>
      <c r="F40" s="251">
        <f>INDEX([1]Output!$A$113:$H$129,MATCH($A40,[1]Output!$A$113:$A$129,0),8)</f>
        <v>13863</v>
      </c>
      <c r="G40" s="251"/>
      <c r="H40" s="251"/>
      <c r="I40" s="80"/>
      <c r="J40" s="704"/>
      <c r="M40" s="259"/>
      <c r="N40" s="259"/>
      <c r="O40" s="259"/>
      <c r="P40" s="259"/>
      <c r="Q40" s="259"/>
      <c r="R40" s="259"/>
      <c r="S40" s="259"/>
      <c r="T40" s="259"/>
    </row>
    <row r="41" spans="1:20" x14ac:dyDescent="0.25">
      <c r="A41" s="244" t="s">
        <v>268</v>
      </c>
      <c r="B41" s="257">
        <v>9</v>
      </c>
      <c r="C41" s="258"/>
      <c r="D41" s="251">
        <f>INDEX([1]Output!$A$113:$H$129,MATCH($A41,[1]Output!$A$113:$A$129,0),6)</f>
        <v>53186.601000000002</v>
      </c>
      <c r="E41" s="251">
        <f>INDEX([1]Output!$A$113:$H$129,MATCH($A41,[1]Output!$A$113:$A$129,0),7)</f>
        <v>97104</v>
      </c>
      <c r="F41" s="251">
        <f>INDEX([1]Output!$A$113:$H$129,MATCH($A41,[1]Output!$A$113:$A$129,0),8)</f>
        <v>106220</v>
      </c>
      <c r="G41" s="251"/>
      <c r="H41" s="251"/>
      <c r="I41" s="80"/>
      <c r="J41" s="704"/>
      <c r="M41" s="259"/>
      <c r="N41" s="259"/>
      <c r="O41" s="259"/>
      <c r="P41" s="259"/>
      <c r="Q41" s="259"/>
      <c r="R41" s="259"/>
      <c r="S41" s="259"/>
      <c r="T41" s="259"/>
    </row>
    <row r="42" spans="1:20" x14ac:dyDescent="0.25">
      <c r="A42" s="249" t="s">
        <v>241</v>
      </c>
      <c r="B42" s="257">
        <v>10</v>
      </c>
      <c r="C42" s="258"/>
      <c r="D42" s="251">
        <f>INDEX([1]Output!$A$113:$H$129,MATCH($A42,[1]Output!$A$113:$A$129,0),6)</f>
        <v>12425.352650999999</v>
      </c>
      <c r="E42" s="251">
        <f>INDEX([1]Output!$A$113:$H$129,MATCH($A42,[1]Output!$A$113:$A$129,0),7)</f>
        <v>16873.601816999999</v>
      </c>
      <c r="F42" s="251">
        <f>INDEX([1]Output!$A$113:$H$129,MATCH($A42,[1]Output!$A$113:$A$129,0),8)</f>
        <v>16919.649445999999</v>
      </c>
      <c r="G42" s="251"/>
      <c r="H42" s="251"/>
      <c r="I42" s="80"/>
      <c r="J42" s="704"/>
      <c r="M42" s="259"/>
      <c r="N42" s="259"/>
      <c r="O42" s="259"/>
      <c r="P42" s="259"/>
      <c r="Q42" s="259"/>
      <c r="R42" s="259"/>
      <c r="S42" s="259"/>
      <c r="T42" s="259"/>
    </row>
    <row r="43" spans="1:20" x14ac:dyDescent="0.25">
      <c r="A43" s="244" t="s">
        <v>269</v>
      </c>
      <c r="B43" s="257">
        <v>11</v>
      </c>
      <c r="C43" s="258"/>
      <c r="D43" s="251">
        <f>INDEX([1]Output!$A$113:$H$129,MATCH($A43,[1]Output!$A$113:$A$129,0),6)</f>
        <v>184197.353834746</v>
      </c>
      <c r="E43" s="251">
        <f>INDEX([1]Output!$A$113:$H$129,MATCH($A43,[1]Output!$A$113:$A$129,0),7)</f>
        <v>199318.15218984499</v>
      </c>
      <c r="F43" s="251">
        <f>INDEX([1]Output!$A$113:$H$129,MATCH($A43,[1]Output!$A$113:$A$129,0),8)</f>
        <v>255746.93695538701</v>
      </c>
      <c r="G43" s="251"/>
      <c r="H43" s="251"/>
      <c r="I43" s="80"/>
      <c r="J43" s="704"/>
      <c r="M43" s="259"/>
      <c r="N43" s="259"/>
      <c r="O43" s="259"/>
      <c r="P43" s="259"/>
      <c r="Q43" s="259"/>
      <c r="R43" s="259"/>
      <c r="S43" s="259"/>
      <c r="T43" s="259"/>
    </row>
    <row r="44" spans="1:20" x14ac:dyDescent="0.25">
      <c r="A44" s="249" t="s">
        <v>23</v>
      </c>
      <c r="B44" s="257">
        <v>12</v>
      </c>
      <c r="C44" s="258"/>
      <c r="D44" s="251">
        <f>INDEX([1]Output!$A$113:$H$129,MATCH($A44,[1]Output!$A$113:$A$129,0),6)</f>
        <v>20970</v>
      </c>
      <c r="E44" s="251">
        <f>INDEX([1]Output!$A$113:$H$129,MATCH($A44,[1]Output!$A$113:$A$129,0),7)</f>
        <v>19710.658423972101</v>
      </c>
      <c r="F44" s="251">
        <f>INDEX([1]Output!$A$113:$H$129,MATCH($A44,[1]Output!$A$113:$A$129,0),8)</f>
        <v>6934.1732014999998</v>
      </c>
      <c r="G44" s="251"/>
      <c r="H44" s="251"/>
      <c r="I44" s="80"/>
      <c r="J44" s="704"/>
      <c r="M44" s="259"/>
      <c r="N44" s="259"/>
      <c r="O44" s="259"/>
      <c r="P44" s="259"/>
      <c r="Q44" s="259"/>
      <c r="R44" s="259"/>
      <c r="S44" s="259"/>
      <c r="T44" s="259"/>
    </row>
    <row r="45" spans="1:20" x14ac:dyDescent="0.25">
      <c r="A45" s="249" t="s">
        <v>242</v>
      </c>
      <c r="B45" s="257">
        <v>13</v>
      </c>
      <c r="C45" s="258"/>
      <c r="D45" s="251">
        <f>INDEX([1]Output!$A$113:$H$129,MATCH($A45,[1]Output!$A$113:$A$129,0),6)</f>
        <v>29668.5563508009</v>
      </c>
      <c r="E45" s="251">
        <f>INDEX([1]Output!$A$113:$H$129,MATCH($A45,[1]Output!$A$113:$A$129,0),7)</f>
        <v>9230.3691892571896</v>
      </c>
      <c r="F45" s="251">
        <f>INDEX([1]Output!$A$113:$H$129,MATCH($A45,[1]Output!$A$113:$A$129,0),8)</f>
        <v>9801.2606322524607</v>
      </c>
      <c r="G45" s="251"/>
      <c r="H45" s="251"/>
      <c r="I45" s="80"/>
      <c r="J45" s="704"/>
      <c r="M45" s="259"/>
      <c r="N45" s="259"/>
      <c r="O45" s="259"/>
      <c r="P45" s="259"/>
      <c r="Q45" s="259"/>
      <c r="R45" s="259"/>
      <c r="S45" s="259"/>
      <c r="T45" s="259"/>
    </row>
    <row r="46" spans="1:20" x14ac:dyDescent="0.25">
      <c r="A46" s="249" t="s">
        <v>243</v>
      </c>
      <c r="B46" s="257">
        <v>14</v>
      </c>
      <c r="C46" s="258"/>
      <c r="D46" s="251">
        <f>INDEX([1]Output!$A$113:$H$129,MATCH($A46,[1]Output!$A$113:$A$129,0),6)</f>
        <v>36200</v>
      </c>
      <c r="E46" s="251">
        <f>INDEX([1]Output!$A$113:$H$129,MATCH($A46,[1]Output!$A$113:$A$129,0),7)</f>
        <v>51597</v>
      </c>
      <c r="F46" s="251">
        <f>INDEX([1]Output!$A$113:$H$129,MATCH($A46,[1]Output!$A$113:$A$129,0),8)</f>
        <v>54624.989190807501</v>
      </c>
      <c r="G46" s="251"/>
      <c r="H46" s="251"/>
      <c r="I46" s="80"/>
      <c r="J46" s="704"/>
      <c r="M46" s="259"/>
      <c r="N46" s="259"/>
      <c r="O46" s="259"/>
      <c r="P46" s="259"/>
      <c r="Q46" s="259"/>
      <c r="R46" s="259"/>
      <c r="S46" s="259"/>
      <c r="T46" s="259"/>
    </row>
    <row r="47" spans="1:20" x14ac:dyDescent="0.25">
      <c r="A47" s="249" t="s">
        <v>244</v>
      </c>
      <c r="B47" s="257">
        <v>15</v>
      </c>
      <c r="C47" s="258"/>
      <c r="D47" s="251">
        <f>INDEX([1]Output!$A$113:$H$129,MATCH($A47,[1]Output!$A$113:$A$129,0),6)</f>
        <v>215221.23517623401</v>
      </c>
      <c r="E47" s="251">
        <f>INDEX([1]Output!$A$113:$H$129,MATCH($A47,[1]Output!$A$113:$A$129,0),7)</f>
        <v>171903</v>
      </c>
      <c r="F47" s="251">
        <f>INDEX([1]Output!$A$113:$H$129,MATCH($A47,[1]Output!$A$113:$A$129,0),8)</f>
        <v>169286.63359466099</v>
      </c>
      <c r="G47" s="251"/>
      <c r="H47" s="251"/>
      <c r="I47" s="80"/>
      <c r="J47" s="704"/>
      <c r="M47" s="259"/>
      <c r="N47" s="259"/>
      <c r="O47" s="259"/>
      <c r="P47" s="259"/>
      <c r="Q47" s="259"/>
      <c r="R47" s="259"/>
      <c r="S47" s="259"/>
      <c r="T47" s="259"/>
    </row>
    <row r="48" spans="1:20" x14ac:dyDescent="0.25">
      <c r="A48" s="244" t="s">
        <v>270</v>
      </c>
      <c r="B48" s="257">
        <v>16</v>
      </c>
      <c r="C48" s="258"/>
      <c r="D48" s="251">
        <f>INDEX([1]Output!$A$113:$H$129,MATCH($A48,[1]Output!$A$113:$A$129,0),6)</f>
        <v>38067.524659999901</v>
      </c>
      <c r="E48" s="251">
        <f>INDEX([1]Output!$A$113:$H$129,MATCH($A48,[1]Output!$A$113:$A$129,0),7)</f>
        <v>43038.099790000102</v>
      </c>
      <c r="F48" s="251">
        <f>INDEX([1]Output!$A$113:$H$129,MATCH($A48,[1]Output!$A$113:$A$129,0),8)</f>
        <v>41143.212370000001</v>
      </c>
      <c r="G48" s="251"/>
      <c r="H48" s="251"/>
      <c r="I48" s="80"/>
      <c r="J48" s="704"/>
      <c r="M48" s="259"/>
      <c r="N48" s="259"/>
      <c r="O48" s="259"/>
      <c r="P48" s="259"/>
      <c r="Q48" s="259"/>
      <c r="R48" s="259"/>
      <c r="S48" s="259"/>
      <c r="T48" s="259"/>
    </row>
    <row r="49" spans="1:20" x14ac:dyDescent="0.25">
      <c r="A49" s="262"/>
      <c r="B49" s="235"/>
      <c r="C49" s="235"/>
      <c r="D49" s="252"/>
      <c r="E49" s="252"/>
      <c r="F49" s="252"/>
      <c r="G49" s="252"/>
      <c r="H49" s="252"/>
      <c r="I49" s="253"/>
      <c r="J49" s="697"/>
      <c r="P49" s="259"/>
      <c r="Q49" s="259"/>
      <c r="R49" s="259"/>
      <c r="S49" s="259"/>
      <c r="T49" s="259"/>
    </row>
    <row r="50" spans="1:20" ht="15.75" x14ac:dyDescent="0.25">
      <c r="A50" s="254" t="s">
        <v>463</v>
      </c>
      <c r="B50" s="255"/>
      <c r="C50" s="95"/>
      <c r="D50" s="256"/>
      <c r="E50" s="256"/>
      <c r="F50" s="256"/>
      <c r="G50" s="256"/>
      <c r="H50" s="256"/>
      <c r="I50" s="256"/>
      <c r="J50" s="700"/>
      <c r="L50" s="95"/>
      <c r="M50" s="95"/>
      <c r="N50" s="95"/>
      <c r="O50" s="1"/>
      <c r="P50" s="1"/>
      <c r="Q50" s="1"/>
      <c r="R50" s="1"/>
      <c r="S50" s="1"/>
    </row>
    <row r="51" spans="1:20" ht="15" customHeight="1" x14ac:dyDescent="0.25">
      <c r="A51" s="685" t="s">
        <v>191</v>
      </c>
      <c r="B51" s="686">
        <v>1</v>
      </c>
      <c r="C51" s="687"/>
      <c r="D51" s="688"/>
      <c r="E51" s="688"/>
      <c r="F51" s="688"/>
      <c r="G51" s="688">
        <f>INDEX([2]Sheet1!$A$24:$C$40,MATCH($A51,[2]Sheet1!$A$24:$A$40,0),2)</f>
        <v>20569</v>
      </c>
      <c r="H51" s="688">
        <f>INDEX([2]Sheet1!$A$24:$C$40,MATCH($A51,[2]Sheet1!$A$24:$A$40,0),3)</f>
        <v>31284.442125000001</v>
      </c>
      <c r="I51" s="99"/>
      <c r="J51" s="704" t="s">
        <v>598</v>
      </c>
      <c r="Q51" s="259"/>
      <c r="R51" s="259"/>
    </row>
    <row r="52" spans="1:20" x14ac:dyDescent="0.25">
      <c r="A52" s="249" t="s">
        <v>17</v>
      </c>
      <c r="B52" s="257">
        <v>2</v>
      </c>
      <c r="C52" s="258"/>
      <c r="D52" s="251"/>
      <c r="E52" s="251"/>
      <c r="F52" s="251"/>
      <c r="G52" s="251">
        <f>INDEX([2]Sheet1!$A$24:$C$40,MATCH($A52,[2]Sheet1!$A$24:$A$40,0),2)</f>
        <v>82176.47</v>
      </c>
      <c r="H52" s="251">
        <f>INDEX([2]Sheet1!$A$24:$C$40,MATCH($A52,[2]Sheet1!$A$24:$A$40,0),3)</f>
        <v>85830.25</v>
      </c>
      <c r="I52" s="99"/>
      <c r="J52" s="704"/>
      <c r="Q52" s="259"/>
      <c r="R52" s="259"/>
    </row>
    <row r="53" spans="1:20" x14ac:dyDescent="0.25">
      <c r="A53" s="249" t="s">
        <v>237</v>
      </c>
      <c r="B53" s="257">
        <v>3</v>
      </c>
      <c r="C53" s="258"/>
      <c r="D53" s="251"/>
      <c r="E53" s="251"/>
      <c r="F53" s="251"/>
      <c r="G53" s="251">
        <f>INDEX([2]Sheet1!$A$24:$C$40,MATCH($A53,[2]Sheet1!$A$24:$A$40,0),2)</f>
        <v>14319</v>
      </c>
      <c r="H53" s="251">
        <f>INDEX([2]Sheet1!$A$24:$C$40,MATCH($A53,[2]Sheet1!$A$24:$A$40,0),3)</f>
        <v>13824.1942312012</v>
      </c>
      <c r="I53" s="99"/>
      <c r="J53" s="704"/>
      <c r="Q53" s="259"/>
      <c r="R53" s="259"/>
    </row>
    <row r="54" spans="1:20" x14ac:dyDescent="0.25">
      <c r="A54" s="249" t="s">
        <v>18</v>
      </c>
      <c r="B54" s="257">
        <v>4</v>
      </c>
      <c r="C54" s="258"/>
      <c r="D54" s="251"/>
      <c r="E54" s="251"/>
      <c r="F54" s="251"/>
      <c r="G54" s="251">
        <f>INDEX([2]Sheet1!$A$24:$C$40,MATCH($A54,[2]Sheet1!$A$24:$A$40,0),2)</f>
        <v>5322</v>
      </c>
      <c r="H54" s="251">
        <f>INDEX([2]Sheet1!$A$24:$C$40,MATCH($A54,[2]Sheet1!$A$24:$A$40,0),3)</f>
        <v>7394</v>
      </c>
      <c r="I54" s="99"/>
      <c r="J54" s="704"/>
      <c r="Q54" s="259"/>
      <c r="R54" s="259"/>
    </row>
    <row r="55" spans="1:20" x14ac:dyDescent="0.25">
      <c r="A55" s="244" t="s">
        <v>499</v>
      </c>
      <c r="B55" s="257">
        <v>5</v>
      </c>
      <c r="C55" s="258"/>
      <c r="D55" s="251"/>
      <c r="E55" s="251"/>
      <c r="F55" s="251"/>
      <c r="G55" s="251">
        <f>INDEX([2]Sheet1!$A$24:$C$40,MATCH($A55,[2]Sheet1!$A$24:$A$40,0),2)</f>
        <v>15187.099562519399</v>
      </c>
      <c r="H55" s="251">
        <f>INDEX([2]Sheet1!$A$24:$C$40,MATCH($A55,[2]Sheet1!$A$24:$A$40,0),3)</f>
        <v>21039.916158420201</v>
      </c>
      <c r="I55" s="99"/>
      <c r="J55" s="704"/>
      <c r="Q55" s="259"/>
      <c r="R55" s="259"/>
    </row>
    <row r="56" spans="1:20" x14ac:dyDescent="0.25">
      <c r="A56" s="249" t="s">
        <v>238</v>
      </c>
      <c r="B56" s="257">
        <v>6</v>
      </c>
      <c r="C56" s="258"/>
      <c r="D56" s="251"/>
      <c r="E56" s="251"/>
      <c r="F56" s="251"/>
      <c r="G56" s="251">
        <f>INDEX([2]Sheet1!$A$24:$C$40,MATCH($A56,[2]Sheet1!$A$24:$A$40,0),2)</f>
        <v>8443.5723670000007</v>
      </c>
      <c r="H56" s="251">
        <f>INDEX([2]Sheet1!$A$24:$C$40,MATCH($A56,[2]Sheet1!$A$24:$A$40,0),3)</f>
        <v>10749.549703000001</v>
      </c>
      <c r="I56" s="99"/>
      <c r="J56" s="704"/>
      <c r="Q56" s="259"/>
      <c r="R56" s="259"/>
    </row>
    <row r="57" spans="1:20" x14ac:dyDescent="0.25">
      <c r="A57" s="249" t="s">
        <v>239</v>
      </c>
      <c r="B57" s="257">
        <v>7</v>
      </c>
      <c r="C57" s="258"/>
      <c r="D57" s="251"/>
      <c r="E57" s="251"/>
      <c r="F57" s="251"/>
      <c r="G57" s="251">
        <f>INDEX([2]Sheet1!$A$24:$C$40,MATCH($A57,[2]Sheet1!$A$24:$A$40,0),2)</f>
        <v>1987</v>
      </c>
      <c r="H57" s="251">
        <f>INDEX([2]Sheet1!$A$24:$C$40,MATCH($A57,[2]Sheet1!$A$24:$A$40,0),3)</f>
        <v>3219</v>
      </c>
      <c r="I57" s="99"/>
      <c r="J57" s="704" t="s">
        <v>599</v>
      </c>
      <c r="Q57" s="259"/>
      <c r="R57" s="259"/>
    </row>
    <row r="58" spans="1:20" x14ac:dyDescent="0.25">
      <c r="A58" s="249" t="s">
        <v>240</v>
      </c>
      <c r="B58" s="257">
        <v>8</v>
      </c>
      <c r="C58" s="258"/>
      <c r="D58" s="251"/>
      <c r="E58" s="251"/>
      <c r="F58" s="251"/>
      <c r="G58" s="251">
        <f>INDEX([2]Sheet1!$A$24:$C$40,MATCH($A58,[2]Sheet1!$A$24:$A$40,0),2)</f>
        <v>17773</v>
      </c>
      <c r="H58" s="251">
        <f>INDEX([2]Sheet1!$A$24:$C$40,MATCH($A58,[2]Sheet1!$A$24:$A$40,0),3)</f>
        <v>18973</v>
      </c>
      <c r="I58" s="99"/>
      <c r="J58" s="704"/>
      <c r="Q58" s="259"/>
      <c r="R58" s="259"/>
    </row>
    <row r="59" spans="1:20" x14ac:dyDescent="0.25">
      <c r="A59" s="244" t="s">
        <v>268</v>
      </c>
      <c r="B59" s="257">
        <v>9</v>
      </c>
      <c r="C59" s="258"/>
      <c r="D59" s="251"/>
      <c r="E59" s="251"/>
      <c r="F59" s="251"/>
      <c r="G59" s="251">
        <f>INDEX([2]Sheet1!$A$24:$C$40,MATCH($A59,[2]Sheet1!$A$24:$A$40,0),2)</f>
        <v>121200.414</v>
      </c>
      <c r="H59" s="251">
        <f>INDEX([2]Sheet1!$A$24:$C$40,MATCH($A59,[2]Sheet1!$A$24:$A$40,0),3)</f>
        <v>149313</v>
      </c>
      <c r="I59" s="99"/>
      <c r="J59" s="702"/>
      <c r="Q59" s="259"/>
      <c r="R59" s="259"/>
    </row>
    <row r="60" spans="1:20" x14ac:dyDescent="0.25">
      <c r="A60" s="249" t="s">
        <v>241</v>
      </c>
      <c r="B60" s="257">
        <v>10</v>
      </c>
      <c r="C60" s="258"/>
      <c r="D60" s="251"/>
      <c r="E60" s="251"/>
      <c r="F60" s="251"/>
      <c r="G60" s="251">
        <f>INDEX([2]Sheet1!$A$24:$C$40,MATCH($A60,[2]Sheet1!$A$24:$A$40,0),2)</f>
        <v>20895.387500674999</v>
      </c>
      <c r="H60" s="251">
        <f>INDEX([2]Sheet1!$A$24:$C$40,MATCH($A60,[2]Sheet1!$A$24:$A$40,0),3)</f>
        <v>15224.1717338954</v>
      </c>
      <c r="I60" s="99"/>
      <c r="J60" s="702"/>
      <c r="Q60" s="259"/>
      <c r="R60" s="259"/>
    </row>
    <row r="61" spans="1:20" x14ac:dyDescent="0.25">
      <c r="A61" s="244" t="s">
        <v>269</v>
      </c>
      <c r="B61" s="257">
        <v>11</v>
      </c>
      <c r="C61" s="258"/>
      <c r="D61" s="251"/>
      <c r="E61" s="251"/>
      <c r="F61" s="251"/>
      <c r="G61" s="251">
        <f>INDEX([2]Sheet1!$A$24:$C$40,MATCH($A61,[2]Sheet1!$A$24:$A$40,0),2)</f>
        <v>242300</v>
      </c>
      <c r="H61" s="251">
        <f>INDEX([2]Sheet1!$A$24:$C$40,MATCH($A61,[2]Sheet1!$A$24:$A$40,0),3)</f>
        <v>277757</v>
      </c>
      <c r="I61" s="99"/>
      <c r="J61" s="702"/>
      <c r="Q61" s="259"/>
      <c r="R61" s="259"/>
    </row>
    <row r="62" spans="1:20" x14ac:dyDescent="0.25">
      <c r="A62" s="249" t="s">
        <v>23</v>
      </c>
      <c r="B62" s="257">
        <v>12</v>
      </c>
      <c r="C62" s="258"/>
      <c r="D62" s="251"/>
      <c r="E62" s="251"/>
      <c r="F62" s="251"/>
      <c r="G62" s="251">
        <f>INDEX([2]Sheet1!$A$24:$C$40,MATCH($A62,[2]Sheet1!$A$24:$A$40,0),2)</f>
        <v>19385</v>
      </c>
      <c r="H62" s="251">
        <f>INDEX([2]Sheet1!$A$24:$C$40,MATCH($A62,[2]Sheet1!$A$24:$A$40,0),3)</f>
        <v>34061.919999999998</v>
      </c>
      <c r="I62" s="99"/>
      <c r="J62" s="702"/>
      <c r="Q62" s="259"/>
      <c r="R62" s="259"/>
    </row>
    <row r="63" spans="1:20" x14ac:dyDescent="0.25">
      <c r="A63" s="249" t="s">
        <v>242</v>
      </c>
      <c r="B63" s="257">
        <v>13</v>
      </c>
      <c r="C63" s="258"/>
      <c r="D63" s="251"/>
      <c r="E63" s="251"/>
      <c r="F63" s="251"/>
      <c r="G63" s="251">
        <f>INDEX([2]Sheet1!$A$24:$C$40,MATCH($A63,[2]Sheet1!$A$24:$A$40,0),2)</f>
        <v>19917</v>
      </c>
      <c r="H63" s="251">
        <f>INDEX([2]Sheet1!$A$24:$C$40,MATCH($A63,[2]Sheet1!$A$24:$A$40,0),3)</f>
        <v>22598.74</v>
      </c>
      <c r="I63" s="99"/>
      <c r="J63" s="702"/>
      <c r="Q63" s="259"/>
      <c r="R63" s="259"/>
    </row>
    <row r="64" spans="1:20" x14ac:dyDescent="0.25">
      <c r="A64" s="249" t="s">
        <v>243</v>
      </c>
      <c r="B64" s="257">
        <v>14</v>
      </c>
      <c r="C64" s="258"/>
      <c r="D64" s="251"/>
      <c r="E64" s="251"/>
      <c r="F64" s="251"/>
      <c r="G64" s="251">
        <f>INDEX([2]Sheet1!$A$24:$C$40,MATCH($A64,[2]Sheet1!$A$24:$A$40,0),2)</f>
        <v>75494.279012052706</v>
      </c>
      <c r="H64" s="251">
        <f>INDEX([2]Sheet1!$A$24:$C$40,MATCH($A64,[2]Sheet1!$A$24:$A$40,0),3)</f>
        <v>92956.904132913696</v>
      </c>
      <c r="I64" s="99"/>
      <c r="J64" s="702"/>
      <c r="Q64" s="259"/>
      <c r="R64" s="259"/>
    </row>
    <row r="65" spans="1:19" x14ac:dyDescent="0.25">
      <c r="A65" s="249" t="s">
        <v>244</v>
      </c>
      <c r="B65" s="257">
        <v>15</v>
      </c>
      <c r="C65" s="258"/>
      <c r="D65" s="251"/>
      <c r="E65" s="251"/>
      <c r="F65" s="251"/>
      <c r="G65" s="251">
        <f>INDEX([2]Sheet1!$A$24:$C$40,MATCH($A65,[2]Sheet1!$A$24:$A$40,0),2)</f>
        <v>308324</v>
      </c>
      <c r="H65" s="251">
        <f>INDEX([2]Sheet1!$A$24:$C$40,MATCH($A65,[2]Sheet1!$A$24:$A$40,0),3)</f>
        <v>382111</v>
      </c>
      <c r="I65" s="99"/>
      <c r="J65" s="702"/>
      <c r="Q65" s="259"/>
      <c r="R65" s="259"/>
    </row>
    <row r="66" spans="1:19" x14ac:dyDescent="0.25">
      <c r="A66" s="244" t="s">
        <v>270</v>
      </c>
      <c r="B66" s="257">
        <v>16</v>
      </c>
      <c r="C66" s="258"/>
      <c r="D66" s="251"/>
      <c r="E66" s="251"/>
      <c r="F66" s="251"/>
      <c r="G66" s="251">
        <f>INDEX([2]Sheet1!$A$24:$C$40,MATCH($A66,[2]Sheet1!$A$24:$A$40,0),2)</f>
        <v>46504.271768311402</v>
      </c>
      <c r="H66" s="251">
        <f>INDEX([2]Sheet1!$A$24:$C$40,MATCH($A66,[2]Sheet1!$A$24:$A$40,0),3)</f>
        <v>55530.4742216546</v>
      </c>
      <c r="I66" s="99"/>
      <c r="J66" s="702"/>
      <c r="Q66" s="259"/>
      <c r="R66" s="259"/>
    </row>
    <row r="67" spans="1:19" x14ac:dyDescent="0.25">
      <c r="A67" s="75"/>
      <c r="B67" s="76"/>
      <c r="C67" s="77"/>
      <c r="D67" s="78"/>
      <c r="E67" s="78"/>
      <c r="F67" s="78"/>
      <c r="G67" s="78"/>
      <c r="H67" s="78"/>
      <c r="I67" s="80"/>
      <c r="J67" s="697"/>
    </row>
    <row r="68" spans="1:19" ht="15.75" x14ac:dyDescent="0.25">
      <c r="A68" s="254" t="s">
        <v>449</v>
      </c>
      <c r="B68" s="255"/>
      <c r="C68" s="95"/>
      <c r="D68" s="256"/>
      <c r="E68" s="256"/>
      <c r="F68" s="256"/>
      <c r="G68" s="256"/>
      <c r="H68" s="256"/>
      <c r="I68" s="256"/>
      <c r="J68" s="700"/>
      <c r="L68" s="95"/>
      <c r="M68" s="95"/>
      <c r="N68" s="95"/>
      <c r="O68" s="1"/>
      <c r="P68" s="1"/>
      <c r="Q68" s="1"/>
      <c r="R68" s="1"/>
      <c r="S68" s="1"/>
    </row>
    <row r="69" spans="1:19" x14ac:dyDescent="0.25">
      <c r="A69" s="238" t="s">
        <v>509</v>
      </c>
      <c r="B69" s="97"/>
      <c r="C69" s="97"/>
      <c r="D69" s="98"/>
      <c r="E69" s="98"/>
      <c r="F69" s="98"/>
      <c r="G69" s="98"/>
      <c r="H69" s="98"/>
      <c r="I69" s="98"/>
      <c r="J69" s="698"/>
      <c r="L69" s="97"/>
      <c r="M69" s="97"/>
      <c r="N69" s="97"/>
    </row>
    <row r="70" spans="1:19" x14ac:dyDescent="0.25">
      <c r="A70" s="685" t="s">
        <v>191</v>
      </c>
      <c r="B70" s="686">
        <v>1</v>
      </c>
      <c r="C70" s="687"/>
      <c r="D70" s="688">
        <v>0</v>
      </c>
      <c r="E70" s="688">
        <v>0</v>
      </c>
      <c r="F70" s="688">
        <v>0</v>
      </c>
      <c r="G70" s="688">
        <v>0</v>
      </c>
      <c r="H70" s="688">
        <v>0</v>
      </c>
      <c r="I70" s="80"/>
      <c r="J70" s="702"/>
    </row>
    <row r="71" spans="1:19" x14ac:dyDescent="0.25">
      <c r="A71" s="269" t="s">
        <v>17</v>
      </c>
      <c r="B71" s="270">
        <v>2</v>
      </c>
      <c r="C71" s="271"/>
      <c r="D71" s="251">
        <v>0</v>
      </c>
      <c r="E71" s="251">
        <v>0</v>
      </c>
      <c r="F71" s="251">
        <v>0</v>
      </c>
      <c r="G71" s="251">
        <v>0</v>
      </c>
      <c r="H71" s="251">
        <v>0</v>
      </c>
      <c r="I71" s="80"/>
      <c r="J71" s="702"/>
    </row>
    <row r="72" spans="1:19" x14ac:dyDescent="0.25">
      <c r="A72" s="249" t="s">
        <v>237</v>
      </c>
      <c r="B72" s="257">
        <v>3</v>
      </c>
      <c r="C72" s="258"/>
      <c r="D72" s="251">
        <v>0</v>
      </c>
      <c r="E72" s="251">
        <v>0</v>
      </c>
      <c r="F72" s="251">
        <v>0</v>
      </c>
      <c r="G72" s="251">
        <v>0</v>
      </c>
      <c r="H72" s="251">
        <v>0</v>
      </c>
      <c r="I72" s="80"/>
      <c r="J72" s="702"/>
    </row>
    <row r="73" spans="1:19" x14ac:dyDescent="0.25">
      <c r="A73" s="249" t="s">
        <v>18</v>
      </c>
      <c r="B73" s="257">
        <v>4</v>
      </c>
      <c r="C73" s="258"/>
      <c r="D73" s="251">
        <v>0</v>
      </c>
      <c r="E73" s="251">
        <v>0</v>
      </c>
      <c r="F73" s="251">
        <v>0</v>
      </c>
      <c r="G73" s="251">
        <v>0</v>
      </c>
      <c r="H73" s="251">
        <v>0</v>
      </c>
      <c r="I73" s="80"/>
      <c r="J73" s="702"/>
    </row>
    <row r="74" spans="1:19" x14ac:dyDescent="0.25">
      <c r="A74" s="244" t="s">
        <v>499</v>
      </c>
      <c r="B74" s="257">
        <v>5</v>
      </c>
      <c r="C74" s="258"/>
      <c r="D74" s="251">
        <v>0</v>
      </c>
      <c r="E74" s="251">
        <v>0</v>
      </c>
      <c r="F74" s="251">
        <v>0</v>
      </c>
      <c r="G74" s="251">
        <v>0</v>
      </c>
      <c r="H74" s="251">
        <v>0</v>
      </c>
      <c r="I74" s="80"/>
      <c r="J74" s="702"/>
    </row>
    <row r="75" spans="1:19" x14ac:dyDescent="0.25">
      <c r="A75" s="249" t="s">
        <v>238</v>
      </c>
      <c r="B75" s="257">
        <v>6</v>
      </c>
      <c r="C75" s="258"/>
      <c r="D75" s="251">
        <v>0</v>
      </c>
      <c r="E75" s="251">
        <v>0</v>
      </c>
      <c r="F75" s="251">
        <v>0</v>
      </c>
      <c r="G75" s="251">
        <v>0</v>
      </c>
      <c r="H75" s="251">
        <v>0</v>
      </c>
      <c r="I75" s="80"/>
      <c r="J75" s="702"/>
    </row>
    <row r="76" spans="1:19" x14ac:dyDescent="0.25">
      <c r="A76" s="249" t="s">
        <v>239</v>
      </c>
      <c r="B76" s="257">
        <v>7</v>
      </c>
      <c r="C76" s="258"/>
      <c r="D76" s="251">
        <v>0</v>
      </c>
      <c r="E76" s="251">
        <v>0</v>
      </c>
      <c r="F76" s="251">
        <v>0</v>
      </c>
      <c r="G76" s="251">
        <v>0</v>
      </c>
      <c r="H76" s="251">
        <v>0</v>
      </c>
      <c r="I76" s="80"/>
      <c r="J76" s="702"/>
    </row>
    <row r="77" spans="1:19" x14ac:dyDescent="0.25">
      <c r="A77" s="249" t="s">
        <v>240</v>
      </c>
      <c r="B77" s="257">
        <v>8</v>
      </c>
      <c r="C77" s="258"/>
      <c r="D77" s="251">
        <v>0</v>
      </c>
      <c r="E77" s="251">
        <v>0</v>
      </c>
      <c r="F77" s="251">
        <v>0</v>
      </c>
      <c r="G77" s="251">
        <v>0</v>
      </c>
      <c r="H77" s="251">
        <v>0</v>
      </c>
      <c r="I77" s="80"/>
      <c r="J77" s="702"/>
    </row>
    <row r="78" spans="1:19" x14ac:dyDescent="0.25">
      <c r="A78" s="244" t="s">
        <v>268</v>
      </c>
      <c r="B78" s="257">
        <v>9</v>
      </c>
      <c r="C78" s="258"/>
      <c r="D78" s="251">
        <v>0</v>
      </c>
      <c r="E78" s="251">
        <v>0</v>
      </c>
      <c r="F78" s="251">
        <v>0</v>
      </c>
      <c r="G78" s="251">
        <v>0</v>
      </c>
      <c r="H78" s="251">
        <v>0</v>
      </c>
      <c r="I78" s="80"/>
      <c r="J78" s="702"/>
    </row>
    <row r="79" spans="1:19" x14ac:dyDescent="0.25">
      <c r="A79" s="249" t="s">
        <v>241</v>
      </c>
      <c r="B79" s="257">
        <v>10</v>
      </c>
      <c r="C79" s="258"/>
      <c r="D79" s="251">
        <v>0</v>
      </c>
      <c r="E79" s="251">
        <v>0</v>
      </c>
      <c r="F79" s="251">
        <v>0</v>
      </c>
      <c r="G79" s="251">
        <v>0</v>
      </c>
      <c r="H79" s="251">
        <v>0</v>
      </c>
      <c r="I79" s="80"/>
      <c r="J79" s="702"/>
    </row>
    <row r="80" spans="1:19" x14ac:dyDescent="0.25">
      <c r="A80" s="244" t="s">
        <v>269</v>
      </c>
      <c r="B80" s="257">
        <v>11</v>
      </c>
      <c r="C80" s="258"/>
      <c r="D80" s="251">
        <v>0</v>
      </c>
      <c r="E80" s="251">
        <v>0</v>
      </c>
      <c r="F80" s="251">
        <v>0</v>
      </c>
      <c r="G80" s="251">
        <v>0</v>
      </c>
      <c r="H80" s="251">
        <v>0</v>
      </c>
      <c r="I80" s="80"/>
      <c r="J80" s="702"/>
    </row>
    <row r="81" spans="1:19" x14ac:dyDescent="0.25">
      <c r="A81" s="249" t="s">
        <v>23</v>
      </c>
      <c r="B81" s="257">
        <v>12</v>
      </c>
      <c r="C81" s="258"/>
      <c r="D81" s="251">
        <v>0</v>
      </c>
      <c r="E81" s="251">
        <v>0</v>
      </c>
      <c r="F81" s="251">
        <v>0</v>
      </c>
      <c r="G81" s="251">
        <v>0</v>
      </c>
      <c r="H81" s="251">
        <v>0</v>
      </c>
      <c r="I81" s="80"/>
      <c r="J81" s="702"/>
    </row>
    <row r="82" spans="1:19" x14ac:dyDescent="0.25">
      <c r="A82" s="249" t="s">
        <v>242</v>
      </c>
      <c r="B82" s="257">
        <v>13</v>
      </c>
      <c r="C82" s="258"/>
      <c r="D82" s="251">
        <v>0</v>
      </c>
      <c r="E82" s="251">
        <v>0</v>
      </c>
      <c r="F82" s="251">
        <v>0</v>
      </c>
      <c r="G82" s="251">
        <v>0</v>
      </c>
      <c r="H82" s="251">
        <v>0</v>
      </c>
      <c r="I82" s="80"/>
      <c r="J82" s="702"/>
    </row>
    <row r="83" spans="1:19" x14ac:dyDescent="0.25">
      <c r="A83" s="249" t="s">
        <v>243</v>
      </c>
      <c r="B83" s="257">
        <v>14</v>
      </c>
      <c r="C83" s="258"/>
      <c r="D83" s="251">
        <v>0</v>
      </c>
      <c r="E83" s="251">
        <v>0</v>
      </c>
      <c r="F83" s="251">
        <v>0</v>
      </c>
      <c r="G83" s="251">
        <v>0</v>
      </c>
      <c r="H83" s="251">
        <v>0</v>
      </c>
      <c r="I83" s="80"/>
      <c r="J83" s="702"/>
    </row>
    <row r="84" spans="1:19" x14ac:dyDescent="0.25">
      <c r="A84" s="249" t="s">
        <v>244</v>
      </c>
      <c r="B84" s="257">
        <v>15</v>
      </c>
      <c r="C84" s="258"/>
      <c r="D84" s="251">
        <v>0</v>
      </c>
      <c r="E84" s="251">
        <v>0</v>
      </c>
      <c r="F84" s="251">
        <v>0</v>
      </c>
      <c r="G84" s="251">
        <v>0</v>
      </c>
      <c r="H84" s="251">
        <v>0</v>
      </c>
      <c r="I84" s="80"/>
      <c r="J84" s="702"/>
    </row>
    <row r="85" spans="1:19" x14ac:dyDescent="0.25">
      <c r="A85" s="244" t="s">
        <v>270</v>
      </c>
      <c r="B85" s="257">
        <v>16</v>
      </c>
      <c r="C85" s="258"/>
      <c r="D85" s="251">
        <v>0</v>
      </c>
      <c r="E85" s="251">
        <v>0</v>
      </c>
      <c r="F85" s="251">
        <v>0</v>
      </c>
      <c r="G85" s="251">
        <v>0</v>
      </c>
      <c r="H85" s="251">
        <v>0</v>
      </c>
      <c r="I85" s="80"/>
      <c r="J85" s="702"/>
    </row>
    <row r="86" spans="1:19" x14ac:dyDescent="0.25">
      <c r="A86" s="272"/>
      <c r="B86" s="140"/>
      <c r="C86" s="273"/>
      <c r="D86" s="78"/>
      <c r="E86" s="78"/>
      <c r="F86" s="78"/>
      <c r="G86" s="78"/>
      <c r="H86" s="78"/>
      <c r="I86" s="80"/>
      <c r="J86" s="697"/>
    </row>
    <row r="87" spans="1:19" ht="23.25" x14ac:dyDescent="0.35">
      <c r="A87" s="239" t="s">
        <v>165</v>
      </c>
      <c r="B87" s="240"/>
      <c r="C87" s="92"/>
      <c r="D87" s="241"/>
      <c r="E87" s="241"/>
      <c r="F87" s="241"/>
      <c r="G87" s="241"/>
      <c r="H87" s="241"/>
      <c r="I87" s="241"/>
      <c r="J87" s="699"/>
      <c r="L87" s="92"/>
      <c r="M87" s="92"/>
      <c r="N87" s="92"/>
    </row>
    <row r="88" spans="1:19" ht="15.75" x14ac:dyDescent="0.25">
      <c r="A88" s="254" t="s">
        <v>166</v>
      </c>
      <c r="B88" s="255"/>
      <c r="C88" s="95"/>
      <c r="D88" s="256"/>
      <c r="E88" s="256"/>
      <c r="F88" s="256"/>
      <c r="G88" s="256"/>
      <c r="H88" s="256"/>
      <c r="I88" s="256"/>
      <c r="J88" s="700"/>
      <c r="L88" s="95"/>
      <c r="M88" s="95"/>
      <c r="N88" s="95"/>
      <c r="O88" s="1"/>
      <c r="P88" s="1"/>
      <c r="Q88" s="1"/>
      <c r="R88" s="1"/>
      <c r="S88" s="1"/>
    </row>
    <row r="89" spans="1:19" x14ac:dyDescent="0.25">
      <c r="A89" s="238" t="s">
        <v>510</v>
      </c>
      <c r="B89" s="97"/>
      <c r="C89" s="97"/>
      <c r="D89" s="98"/>
      <c r="E89" s="98"/>
      <c r="F89" s="98"/>
      <c r="G89" s="98"/>
      <c r="H89" s="98"/>
      <c r="I89" s="98"/>
      <c r="J89" s="698"/>
      <c r="L89" s="97"/>
      <c r="M89" s="97"/>
      <c r="N89" s="97"/>
    </row>
    <row r="90" spans="1:19" x14ac:dyDescent="0.25">
      <c r="A90" s="689" t="s">
        <v>191</v>
      </c>
      <c r="B90" s="84">
        <v>1</v>
      </c>
      <c r="C90" s="690"/>
      <c r="D90" s="688">
        <v>19420.272954529883</v>
      </c>
      <c r="E90" s="688">
        <v>20012.120279799667</v>
      </c>
      <c r="F90" s="688">
        <v>20629.432088719677</v>
      </c>
      <c r="G90" s="688">
        <v>21237.104508905344</v>
      </c>
      <c r="H90" s="688">
        <v>21815.917390452156</v>
      </c>
      <c r="I90" s="80"/>
      <c r="J90" s="701"/>
    </row>
    <row r="91" spans="1:19" x14ac:dyDescent="0.25">
      <c r="A91" s="269" t="s">
        <v>17</v>
      </c>
      <c r="B91" s="270">
        <v>2</v>
      </c>
      <c r="C91" s="271"/>
      <c r="D91" s="260">
        <v>45951</v>
      </c>
      <c r="E91" s="260">
        <v>53414</v>
      </c>
      <c r="F91" s="260">
        <v>52096</v>
      </c>
      <c r="G91" s="260">
        <v>50204</v>
      </c>
      <c r="H91" s="260">
        <v>48726</v>
      </c>
      <c r="I91" s="28"/>
      <c r="J91" s="704" t="s">
        <v>498</v>
      </c>
    </row>
    <row r="92" spans="1:19" x14ac:dyDescent="0.25">
      <c r="A92" s="269" t="s">
        <v>237</v>
      </c>
      <c r="B92" s="270">
        <v>3</v>
      </c>
      <c r="C92" s="271"/>
      <c r="D92" s="260">
        <v>12666</v>
      </c>
      <c r="E92" s="260">
        <v>13058</v>
      </c>
      <c r="F92" s="260">
        <v>13468</v>
      </c>
      <c r="G92" s="260">
        <v>13906</v>
      </c>
      <c r="H92" s="260">
        <v>14329</v>
      </c>
      <c r="I92" s="28"/>
      <c r="J92" s="702"/>
    </row>
    <row r="93" spans="1:19" x14ac:dyDescent="0.25">
      <c r="A93" s="269" t="s">
        <v>18</v>
      </c>
      <c r="B93" s="270">
        <v>4</v>
      </c>
      <c r="C93" s="271"/>
      <c r="D93" s="260">
        <v>5180.7118078829417</v>
      </c>
      <c r="E93" s="260">
        <v>5310.5866354806431</v>
      </c>
      <c r="F93" s="260">
        <v>5445.680405811705</v>
      </c>
      <c r="G93" s="260">
        <v>5585.0372989621037</v>
      </c>
      <c r="H93" s="260">
        <v>5715.7104429980354</v>
      </c>
      <c r="I93" s="28"/>
      <c r="J93" s="702"/>
    </row>
    <row r="94" spans="1:19" x14ac:dyDescent="0.25">
      <c r="A94" s="274" t="s">
        <v>499</v>
      </c>
      <c r="B94" s="270">
        <v>5</v>
      </c>
      <c r="C94" s="271"/>
      <c r="D94" s="260">
        <v>10620</v>
      </c>
      <c r="E94" s="260">
        <v>10902</v>
      </c>
      <c r="F94" s="260">
        <v>11197</v>
      </c>
      <c r="G94" s="260">
        <v>11499</v>
      </c>
      <c r="H94" s="260">
        <v>11783.558278263976</v>
      </c>
      <c r="I94" s="28"/>
      <c r="J94" s="702"/>
    </row>
    <row r="95" spans="1:19" x14ac:dyDescent="0.25">
      <c r="A95" s="269" t="s">
        <v>238</v>
      </c>
      <c r="B95" s="270">
        <v>6</v>
      </c>
      <c r="C95" s="271"/>
      <c r="D95" s="260">
        <v>9978</v>
      </c>
      <c r="E95" s="260">
        <v>10255</v>
      </c>
      <c r="F95" s="260">
        <v>10544</v>
      </c>
      <c r="G95" s="260">
        <v>10841</v>
      </c>
      <c r="H95" s="260">
        <v>11121</v>
      </c>
      <c r="I95" s="28"/>
      <c r="J95" s="702"/>
    </row>
    <row r="96" spans="1:19" x14ac:dyDescent="0.25">
      <c r="A96" s="269" t="s">
        <v>239</v>
      </c>
      <c r="B96" s="270">
        <v>7</v>
      </c>
      <c r="C96" s="271"/>
      <c r="D96" s="260">
        <v>2255</v>
      </c>
      <c r="E96" s="260">
        <v>2325</v>
      </c>
      <c r="F96" s="260">
        <v>2398</v>
      </c>
      <c r="G96" s="260">
        <v>2473</v>
      </c>
      <c r="H96" s="260">
        <v>2545</v>
      </c>
      <c r="I96" s="28"/>
      <c r="J96" s="702"/>
    </row>
    <row r="97" spans="1:20" x14ac:dyDescent="0.25">
      <c r="A97" s="269" t="s">
        <v>240</v>
      </c>
      <c r="B97" s="270">
        <v>8</v>
      </c>
      <c r="C97" s="271"/>
      <c r="D97" s="260">
        <v>11161</v>
      </c>
      <c r="E97" s="260">
        <v>11513.079497756995</v>
      </c>
      <c r="F97" s="260">
        <v>11880.376540380918</v>
      </c>
      <c r="G97" s="260">
        <v>12252.618877414719</v>
      </c>
      <c r="H97" s="260">
        <v>12609.498185049688</v>
      </c>
      <c r="I97" s="28"/>
      <c r="J97" s="702"/>
    </row>
    <row r="98" spans="1:20" x14ac:dyDescent="0.25">
      <c r="A98" s="274" t="s">
        <v>268</v>
      </c>
      <c r="B98" s="270">
        <v>9</v>
      </c>
      <c r="C98" s="271"/>
      <c r="D98" s="260">
        <v>64153.54839840129</v>
      </c>
      <c r="E98" s="260">
        <v>66487.65442505297</v>
      </c>
      <c r="F98" s="260">
        <v>68931.505534761251</v>
      </c>
      <c r="G98" s="260">
        <v>71320.638016152108</v>
      </c>
      <c r="H98" s="260">
        <v>73634.73385941294</v>
      </c>
      <c r="I98" s="28"/>
      <c r="J98" s="704"/>
    </row>
    <row r="99" spans="1:20" ht="14.85" customHeight="1" x14ac:dyDescent="0.25">
      <c r="A99" s="269" t="s">
        <v>241</v>
      </c>
      <c r="B99" s="270">
        <v>10</v>
      </c>
      <c r="C99" s="271"/>
      <c r="D99" s="260">
        <v>9162.9239113704207</v>
      </c>
      <c r="E99" s="260">
        <v>9425.276484157599</v>
      </c>
      <c r="F99" s="260">
        <v>9698.6497569249568</v>
      </c>
      <c r="G99" s="260">
        <v>9957.7843427989283</v>
      </c>
      <c r="H99" s="260">
        <v>10201.98054950084</v>
      </c>
      <c r="I99" s="28"/>
      <c r="J99" s="704"/>
    </row>
    <row r="100" spans="1:20" ht="14.85" customHeight="1" x14ac:dyDescent="0.25">
      <c r="A100" s="274" t="s">
        <v>269</v>
      </c>
      <c r="B100" s="270">
        <v>11</v>
      </c>
      <c r="C100" s="271"/>
      <c r="D100" s="260">
        <v>99660</v>
      </c>
      <c r="E100" s="260">
        <v>98445</v>
      </c>
      <c r="F100" s="260">
        <v>98132</v>
      </c>
      <c r="G100" s="260">
        <v>121090</v>
      </c>
      <c r="H100" s="260">
        <v>126524</v>
      </c>
      <c r="I100" s="28"/>
      <c r="J100" s="704" t="s">
        <v>464</v>
      </c>
    </row>
    <row r="101" spans="1:20" x14ac:dyDescent="0.25">
      <c r="A101" s="269" t="s">
        <v>23</v>
      </c>
      <c r="B101" s="270">
        <v>12</v>
      </c>
      <c r="C101" s="271"/>
      <c r="D101" s="260">
        <v>14917</v>
      </c>
      <c r="E101" s="260">
        <v>15307</v>
      </c>
      <c r="F101" s="260">
        <v>15712</v>
      </c>
      <c r="G101" s="260">
        <v>16112</v>
      </c>
      <c r="H101" s="260">
        <v>16487</v>
      </c>
      <c r="I101" s="28"/>
      <c r="J101" s="704"/>
    </row>
    <row r="102" spans="1:20" x14ac:dyDescent="0.25">
      <c r="A102" s="269" t="s">
        <v>242</v>
      </c>
      <c r="B102" s="270">
        <v>13</v>
      </c>
      <c r="C102" s="271"/>
      <c r="D102" s="260">
        <v>16349</v>
      </c>
      <c r="E102" s="260">
        <v>16831</v>
      </c>
      <c r="F102" s="260">
        <v>17335</v>
      </c>
      <c r="G102" s="260">
        <v>17852</v>
      </c>
      <c r="H102" s="260">
        <v>18346</v>
      </c>
      <c r="I102" s="28"/>
      <c r="J102" s="704"/>
    </row>
    <row r="103" spans="1:20" x14ac:dyDescent="0.25">
      <c r="A103" s="269" t="s">
        <v>243</v>
      </c>
      <c r="B103" s="270">
        <v>14</v>
      </c>
      <c r="C103" s="271"/>
      <c r="D103" s="260">
        <v>41931</v>
      </c>
      <c r="E103" s="260">
        <v>43234</v>
      </c>
      <c r="F103" s="260">
        <v>44594</v>
      </c>
      <c r="G103" s="260">
        <v>45966</v>
      </c>
      <c r="H103" s="260">
        <v>47279</v>
      </c>
      <c r="I103" s="28"/>
      <c r="J103" s="704"/>
    </row>
    <row r="104" spans="1:20" x14ac:dyDescent="0.25">
      <c r="A104" s="269" t="s">
        <v>244</v>
      </c>
      <c r="B104" s="270">
        <v>15</v>
      </c>
      <c r="C104" s="271"/>
      <c r="D104" s="260">
        <v>129198</v>
      </c>
      <c r="E104" s="260">
        <v>134295</v>
      </c>
      <c r="F104" s="260">
        <v>139643</v>
      </c>
      <c r="G104" s="260">
        <v>144816</v>
      </c>
      <c r="H104" s="260">
        <v>149858</v>
      </c>
      <c r="I104" s="28"/>
      <c r="J104" s="704"/>
    </row>
    <row r="105" spans="1:20" x14ac:dyDescent="0.25">
      <c r="A105" s="274" t="s">
        <v>270</v>
      </c>
      <c r="B105" s="270">
        <v>16</v>
      </c>
      <c r="C105" s="271"/>
      <c r="D105" s="260">
        <v>34039</v>
      </c>
      <c r="E105" s="260">
        <v>35217</v>
      </c>
      <c r="F105" s="260">
        <v>36324</v>
      </c>
      <c r="G105" s="260">
        <v>37434</v>
      </c>
      <c r="H105" s="260">
        <v>38496</v>
      </c>
      <c r="I105" s="28"/>
      <c r="J105" s="704" t="s">
        <v>467</v>
      </c>
    </row>
    <row r="106" spans="1:20" x14ac:dyDescent="0.25">
      <c r="A106" s="262"/>
      <c r="B106" s="235"/>
      <c r="C106" s="235"/>
      <c r="D106" s="252"/>
      <c r="E106" s="252"/>
      <c r="F106" s="252"/>
      <c r="G106" s="252"/>
      <c r="H106" s="252"/>
      <c r="I106" s="253"/>
      <c r="J106" s="697"/>
    </row>
    <row r="107" spans="1:20" ht="15.75" x14ac:dyDescent="0.25">
      <c r="A107" s="254" t="s">
        <v>167</v>
      </c>
      <c r="B107" s="255"/>
      <c r="C107" s="95"/>
      <c r="D107" s="256"/>
      <c r="E107" s="256"/>
      <c r="F107" s="256"/>
      <c r="G107" s="256"/>
      <c r="H107" s="256"/>
      <c r="I107" s="256"/>
      <c r="J107" s="700"/>
      <c r="L107" s="95"/>
      <c r="M107" s="95"/>
      <c r="N107" s="95"/>
      <c r="O107" s="1"/>
      <c r="P107" s="1"/>
      <c r="Q107" s="1"/>
      <c r="R107" s="1"/>
      <c r="S107" s="1"/>
    </row>
    <row r="108" spans="1:20" x14ac:dyDescent="0.25">
      <c r="A108" s="685" t="s">
        <v>191</v>
      </c>
      <c r="B108" s="686">
        <v>1</v>
      </c>
      <c r="C108" s="687"/>
      <c r="D108" s="691">
        <f>INDEX([3]Output!$B$55:$D$70,MATCH($A108,[3]Output!$A$55:$A$70,0),1)</f>
        <v>19956.6006247896</v>
      </c>
      <c r="E108" s="692">
        <f>INDEX([3]Output!$B$55:$D$70,MATCH($A108,[3]Output!$A$55:$A$70,0),2)</f>
        <v>22245.4694628502</v>
      </c>
      <c r="F108" s="693">
        <f>INDEX([3]Output!$B$55:$D$70,MATCH($A108,[3]Output!$A$55:$A$70,0),3)</f>
        <v>24894.350419999999</v>
      </c>
      <c r="G108" s="688"/>
      <c r="H108" s="688"/>
      <c r="I108" s="80"/>
      <c r="J108" s="704" t="s">
        <v>461</v>
      </c>
      <c r="N108" s="275"/>
      <c r="O108" s="275"/>
      <c r="P108" s="275"/>
      <c r="Q108" s="259"/>
      <c r="R108" s="259"/>
      <c r="S108" s="259"/>
      <c r="T108" s="259"/>
    </row>
    <row r="109" spans="1:20" x14ac:dyDescent="0.25">
      <c r="A109" s="249" t="s">
        <v>17</v>
      </c>
      <c r="B109" s="257">
        <v>2</v>
      </c>
      <c r="C109" s="258"/>
      <c r="D109" s="266">
        <f>INDEX([3]Output!$B$55:$D$70,MATCH($A109,[3]Output!$A$55:$A$70,0),1)</f>
        <v>46252.2</v>
      </c>
      <c r="E109" s="267">
        <f>INDEX([3]Output!$B$55:$D$70,MATCH($A109,[3]Output!$A$55:$A$70,0),2)</f>
        <v>46260</v>
      </c>
      <c r="F109" s="264">
        <f>INDEX([3]Output!$B$55:$D$70,MATCH($A109,[3]Output!$A$55:$A$70,0),3)</f>
        <v>48271</v>
      </c>
      <c r="G109" s="251"/>
      <c r="H109" s="251"/>
      <c r="I109" s="80"/>
      <c r="J109" s="703"/>
      <c r="N109" s="275"/>
      <c r="O109" s="275"/>
      <c r="P109" s="275"/>
      <c r="Q109" s="259"/>
      <c r="R109" s="259"/>
      <c r="S109" s="259"/>
      <c r="T109" s="259"/>
    </row>
    <row r="110" spans="1:20" x14ac:dyDescent="0.25">
      <c r="A110" s="249" t="s">
        <v>237</v>
      </c>
      <c r="B110" s="257">
        <v>3</v>
      </c>
      <c r="C110" s="258"/>
      <c r="D110" s="266">
        <f>INDEX([3]Output!$B$55:$D$70,MATCH($A110,[3]Output!$A$55:$A$70,0),1)</f>
        <v>12963</v>
      </c>
      <c r="E110" s="267">
        <f>INDEX([3]Output!$B$55:$D$70,MATCH($A110,[3]Output!$A$55:$A$70,0),2)</f>
        <v>13621</v>
      </c>
      <c r="F110" s="264">
        <f>INDEX([3]Output!$B$55:$D$70,MATCH($A110,[3]Output!$A$55:$A$70,0),3)</f>
        <v>15449</v>
      </c>
      <c r="G110" s="251"/>
      <c r="H110" s="251"/>
      <c r="I110" s="80"/>
      <c r="J110" s="702"/>
      <c r="N110" s="275"/>
      <c r="O110" s="275"/>
      <c r="P110" s="275"/>
      <c r="Q110" s="259"/>
      <c r="R110" s="259"/>
      <c r="S110" s="259"/>
      <c r="T110" s="259"/>
    </row>
    <row r="111" spans="1:20" x14ac:dyDescent="0.25">
      <c r="A111" s="249" t="s">
        <v>18</v>
      </c>
      <c r="B111" s="257">
        <v>4</v>
      </c>
      <c r="C111" s="258"/>
      <c r="D111" s="266">
        <f>INDEX([3]Output!$B$55:$D$70,MATCH($A111,[3]Output!$A$55:$A$70,0),1)</f>
        <v>4737.9480000000003</v>
      </c>
      <c r="E111" s="267">
        <f>INDEX([3]Output!$B$55:$D$70,MATCH($A111,[3]Output!$A$55:$A$70,0),2)</f>
        <v>5129.4753411695538</v>
      </c>
      <c r="F111" s="264">
        <f>INDEX([3]Output!$B$55:$D$70,MATCH($A111,[3]Output!$A$55:$A$70,0),3)</f>
        <v>5585.94</v>
      </c>
      <c r="G111" s="251"/>
      <c r="H111" s="251"/>
      <c r="I111" s="80"/>
      <c r="J111" s="702"/>
      <c r="N111" s="275"/>
      <c r="O111" s="275"/>
      <c r="P111" s="275"/>
      <c r="Q111" s="259"/>
      <c r="R111" s="259"/>
      <c r="S111" s="259"/>
      <c r="T111" s="259"/>
    </row>
    <row r="112" spans="1:20" x14ac:dyDescent="0.25">
      <c r="A112" s="274" t="s">
        <v>499</v>
      </c>
      <c r="B112" s="270">
        <v>5</v>
      </c>
      <c r="C112" s="271"/>
      <c r="D112" s="266">
        <f>INDEX([3]Output!$B$55:$D$70,MATCH($A112,[3]Output!$A$55:$A$70,0),1)</f>
        <v>10526.23083</v>
      </c>
      <c r="E112" s="267">
        <f>INDEX([3]Output!$B$55:$D$70,MATCH($A112,[3]Output!$A$55:$A$70,0),2)</f>
        <v>12109.5903</v>
      </c>
      <c r="F112" s="264">
        <f>INDEX([3]Output!$B$55:$D$70,MATCH($A112,[3]Output!$A$55:$A$70,0),3)</f>
        <v>12894.18974</v>
      </c>
      <c r="G112" s="251"/>
      <c r="H112" s="251"/>
      <c r="I112" s="80"/>
      <c r="J112" s="702"/>
      <c r="L112" s="276"/>
      <c r="M112" s="276"/>
      <c r="N112" s="277"/>
      <c r="O112" s="277"/>
      <c r="P112" s="277"/>
      <c r="Q112" s="259"/>
      <c r="R112" s="259"/>
      <c r="S112" s="259"/>
      <c r="T112" s="259"/>
    </row>
    <row r="113" spans="1:20" x14ac:dyDescent="0.25">
      <c r="A113" s="249" t="s">
        <v>238</v>
      </c>
      <c r="B113" s="257">
        <v>6</v>
      </c>
      <c r="C113" s="258"/>
      <c r="D113" s="266">
        <f>INDEX([3]Output!$B$55:$D$70,MATCH($A113,[3]Output!$A$55:$A$70,0),1)</f>
        <v>10412.24558160115</v>
      </c>
      <c r="E113" s="267">
        <f>INDEX([3]Output!$B$55:$D$70,MATCH($A113,[3]Output!$A$55:$A$70,0),2)</f>
        <v>10639.21310978486</v>
      </c>
      <c r="F113" s="264">
        <f>INDEX([3]Output!$B$55:$D$70,MATCH($A113,[3]Output!$A$55:$A$70,0),3)</f>
        <v>11277.686589608</v>
      </c>
      <c r="G113" s="251"/>
      <c r="H113" s="251"/>
      <c r="I113" s="80"/>
      <c r="J113" s="702"/>
      <c r="N113" s="275"/>
      <c r="O113" s="275"/>
      <c r="P113" s="275"/>
      <c r="Q113" s="259"/>
      <c r="R113" s="259"/>
      <c r="S113" s="259"/>
      <c r="T113" s="259"/>
    </row>
    <row r="114" spans="1:20" x14ac:dyDescent="0.25">
      <c r="A114" s="249" t="s">
        <v>239</v>
      </c>
      <c r="B114" s="257">
        <v>7</v>
      </c>
      <c r="C114" s="258"/>
      <c r="D114" s="266">
        <f>INDEX([3]Output!$B$55:$D$70,MATCH($A114,[3]Output!$A$55:$A$70,0),1)</f>
        <v>2007</v>
      </c>
      <c r="E114" s="267">
        <f>INDEX([3]Output!$B$55:$D$70,MATCH($A114,[3]Output!$A$55:$A$70,0),2)</f>
        <v>2282</v>
      </c>
      <c r="F114" s="264">
        <f>INDEX([3]Output!$B$55:$D$70,MATCH($A114,[3]Output!$A$55:$A$70,0),3)</f>
        <v>2351</v>
      </c>
      <c r="G114" s="251"/>
      <c r="H114" s="251"/>
      <c r="I114" s="80"/>
      <c r="J114" s="702"/>
      <c r="N114" s="275"/>
      <c r="O114" s="275"/>
      <c r="P114" s="275"/>
      <c r="Q114" s="259"/>
      <c r="R114" s="259"/>
      <c r="S114" s="259"/>
      <c r="T114" s="259"/>
    </row>
    <row r="115" spans="1:20" x14ac:dyDescent="0.25">
      <c r="A115" s="249" t="s">
        <v>240</v>
      </c>
      <c r="B115" s="257">
        <v>8</v>
      </c>
      <c r="C115" s="258"/>
      <c r="D115" s="266">
        <f>INDEX([3]Output!$B$55:$D$70,MATCH($A115,[3]Output!$A$55:$A$70,0),1)</f>
        <v>11454</v>
      </c>
      <c r="E115" s="267">
        <f>INDEX([3]Output!$B$55:$D$70,MATCH($A115,[3]Output!$A$55:$A$70,0),2)</f>
        <v>11969</v>
      </c>
      <c r="F115" s="264">
        <f>INDEX([3]Output!$B$55:$D$70,MATCH($A115,[3]Output!$A$55:$A$70,0),3)</f>
        <v>13000</v>
      </c>
      <c r="G115" s="251"/>
      <c r="H115" s="251"/>
      <c r="I115" s="80"/>
      <c r="J115" s="702"/>
      <c r="N115" s="275"/>
      <c r="O115" s="275"/>
      <c r="P115" s="275"/>
      <c r="Q115" s="259"/>
      <c r="R115" s="259"/>
      <c r="S115" s="259"/>
      <c r="T115" s="259"/>
    </row>
    <row r="116" spans="1:20" x14ac:dyDescent="0.25">
      <c r="A116" s="244" t="s">
        <v>268</v>
      </c>
      <c r="B116" s="257">
        <v>9</v>
      </c>
      <c r="C116" s="258"/>
      <c r="D116" s="266">
        <f>INDEX([3]Output!$B$55:$D$70,MATCH($A116,[3]Output!$A$55:$A$70,0),1)</f>
        <v>65160.402000000002</v>
      </c>
      <c r="E116" s="267">
        <f>INDEX([3]Output!$B$55:$D$70,MATCH($A116,[3]Output!$A$55:$A$70,0),2)</f>
        <v>64307</v>
      </c>
      <c r="F116" s="264">
        <f>INDEX([3]Output!$B$55:$D$70,MATCH($A116,[3]Output!$A$55:$A$70,0),3)</f>
        <v>71706.028000000006</v>
      </c>
      <c r="G116" s="251"/>
      <c r="H116" s="251"/>
      <c r="I116" s="80"/>
      <c r="J116" s="703"/>
      <c r="N116" s="275"/>
      <c r="O116" s="275"/>
      <c r="P116" s="275"/>
      <c r="Q116" s="259"/>
      <c r="R116" s="259"/>
      <c r="S116" s="259"/>
      <c r="T116" s="259"/>
    </row>
    <row r="117" spans="1:20" x14ac:dyDescent="0.25">
      <c r="A117" s="249" t="s">
        <v>241</v>
      </c>
      <c r="B117" s="257">
        <v>10</v>
      </c>
      <c r="C117" s="258"/>
      <c r="D117" s="266">
        <f>INDEX([3]Output!$B$55:$D$70,MATCH($A117,[3]Output!$A$55:$A$70,0),1)</f>
        <v>8906.1610000000001</v>
      </c>
      <c r="E117" s="267">
        <f>INDEX([3]Output!$B$55:$D$70,MATCH($A117,[3]Output!$A$55:$A$70,0),2)</f>
        <v>8764.6970000000001</v>
      </c>
      <c r="F117" s="264">
        <f>INDEX([3]Output!$B$55:$D$70,MATCH($A117,[3]Output!$A$55:$A$70,0),3)</f>
        <v>10030</v>
      </c>
      <c r="G117" s="251"/>
      <c r="H117" s="251"/>
      <c r="I117" s="80"/>
      <c r="J117" s="702"/>
      <c r="N117" s="275"/>
      <c r="O117" s="275"/>
      <c r="P117" s="275"/>
      <c r="Q117" s="259"/>
      <c r="R117" s="259"/>
      <c r="S117" s="259"/>
      <c r="T117" s="259"/>
    </row>
    <row r="118" spans="1:20" x14ac:dyDescent="0.25">
      <c r="A118" s="244" t="s">
        <v>269</v>
      </c>
      <c r="B118" s="257">
        <v>11</v>
      </c>
      <c r="C118" s="258"/>
      <c r="D118" s="266">
        <f>INDEX([3]Output!$B$55:$D$70,MATCH($A118,[3]Output!$A$55:$A$70,0),1)</f>
        <v>90945.8802</v>
      </c>
      <c r="E118" s="267">
        <f>INDEX([3]Output!$B$55:$D$70,MATCH($A118,[3]Output!$A$55:$A$70,0),2)</f>
        <v>103455.4553799986</v>
      </c>
      <c r="F118" s="264">
        <f>INDEX([3]Output!$B$55:$D$70,MATCH($A118,[3]Output!$A$55:$A$70,0),3)</f>
        <v>111324.36447</v>
      </c>
      <c r="G118" s="251"/>
      <c r="H118" s="251"/>
      <c r="I118" s="80"/>
      <c r="J118" s="702"/>
      <c r="N118" s="275"/>
      <c r="O118" s="275"/>
      <c r="P118" s="275"/>
      <c r="Q118" s="259"/>
      <c r="R118" s="259"/>
      <c r="S118" s="259"/>
      <c r="T118" s="259"/>
    </row>
    <row r="119" spans="1:20" x14ac:dyDescent="0.25">
      <c r="A119" s="249" t="s">
        <v>23</v>
      </c>
      <c r="B119" s="257">
        <v>12</v>
      </c>
      <c r="C119" s="258"/>
      <c r="D119" s="266">
        <f>INDEX([3]Output!$B$55:$D$70,MATCH($A119,[3]Output!$A$55:$A$70,0),1)</f>
        <v>14601.457140899989</v>
      </c>
      <c r="E119" s="267">
        <f>INDEX([3]Output!$B$55:$D$70,MATCH($A119,[3]Output!$A$55:$A$70,0),2)</f>
        <v>16217.329615799999</v>
      </c>
      <c r="F119" s="264">
        <f>INDEX([3]Output!$B$55:$D$70,MATCH($A119,[3]Output!$A$55:$A$70,0),3)</f>
        <v>15935.2494376</v>
      </c>
      <c r="G119" s="251"/>
      <c r="H119" s="251"/>
      <c r="I119" s="80"/>
      <c r="J119" s="702"/>
      <c r="N119" s="275"/>
      <c r="O119" s="275"/>
      <c r="P119" s="275"/>
      <c r="Q119" s="259"/>
      <c r="R119" s="259"/>
      <c r="S119" s="259"/>
      <c r="T119" s="259"/>
    </row>
    <row r="120" spans="1:20" x14ac:dyDescent="0.25">
      <c r="A120" s="249" t="s">
        <v>242</v>
      </c>
      <c r="B120" s="257">
        <v>13</v>
      </c>
      <c r="C120" s="258"/>
      <c r="D120" s="266">
        <f>INDEX([3]Output!$B$55:$D$70,MATCH($A120,[3]Output!$A$55:$A$70,0),1)</f>
        <v>18297.048624554271</v>
      </c>
      <c r="E120" s="267">
        <f>INDEX([3]Output!$B$55:$D$70,MATCH($A120,[3]Output!$A$55:$A$70,0),2)</f>
        <v>19565.41158766636</v>
      </c>
      <c r="F120" s="264">
        <f>INDEX([3]Output!$B$55:$D$70,MATCH($A120,[3]Output!$A$55:$A$70,0),3)</f>
        <v>23748.555078583999</v>
      </c>
      <c r="G120" s="251"/>
      <c r="H120" s="251"/>
      <c r="I120" s="80"/>
      <c r="J120" s="702"/>
      <c r="N120" s="275"/>
      <c r="O120" s="275"/>
      <c r="P120" s="275"/>
      <c r="Q120" s="259"/>
      <c r="R120" s="259"/>
      <c r="S120" s="259"/>
      <c r="T120" s="259"/>
    </row>
    <row r="121" spans="1:20" x14ac:dyDescent="0.25">
      <c r="A121" s="249" t="s">
        <v>243</v>
      </c>
      <c r="B121" s="257">
        <v>14</v>
      </c>
      <c r="C121" s="258"/>
      <c r="D121" s="266">
        <f>INDEX([3]Output!$B$55:$D$70,MATCH($A121,[3]Output!$A$55:$A$70,0),1)</f>
        <v>41464</v>
      </c>
      <c r="E121" s="267">
        <f>INDEX([3]Output!$B$55:$D$70,MATCH($A121,[3]Output!$A$55:$A$70,0),2)</f>
        <v>44315.334589299579</v>
      </c>
      <c r="F121" s="264">
        <f>INDEX([3]Output!$B$55:$D$70,MATCH($A121,[3]Output!$A$55:$A$70,0),3)</f>
        <v>50436.274129161102</v>
      </c>
      <c r="G121" s="251"/>
      <c r="H121" s="251"/>
      <c r="I121" s="80"/>
      <c r="J121" s="702"/>
      <c r="N121" s="275"/>
      <c r="O121" s="275"/>
      <c r="P121" s="275"/>
      <c r="Q121" s="259"/>
      <c r="R121" s="259"/>
      <c r="S121" s="259"/>
      <c r="T121" s="259"/>
    </row>
    <row r="122" spans="1:20" x14ac:dyDescent="0.25">
      <c r="A122" s="249" t="s">
        <v>244</v>
      </c>
      <c r="B122" s="257">
        <v>15</v>
      </c>
      <c r="C122" s="258"/>
      <c r="D122" s="266">
        <f>INDEX([3]Output!$B$55:$D$70,MATCH($A122,[3]Output!$A$55:$A$70,0),1)</f>
        <v>127202</v>
      </c>
      <c r="E122" s="267">
        <f>INDEX([3]Output!$B$55:$D$70,MATCH($A122,[3]Output!$A$55:$A$70,0),2)</f>
        <v>136753</v>
      </c>
      <c r="F122" s="264">
        <f>INDEX([3]Output!$B$55:$D$70,MATCH($A122,[3]Output!$A$55:$A$70,0),3)</f>
        <v>145942</v>
      </c>
      <c r="G122" s="251"/>
      <c r="H122" s="251"/>
      <c r="I122" s="80"/>
      <c r="J122" s="702"/>
      <c r="N122" s="275"/>
      <c r="O122" s="275"/>
      <c r="P122" s="275"/>
      <c r="Q122" s="259"/>
      <c r="R122" s="259"/>
      <c r="S122" s="259"/>
      <c r="T122" s="259"/>
    </row>
    <row r="123" spans="1:20" x14ac:dyDescent="0.25">
      <c r="A123" s="244" t="s">
        <v>270</v>
      </c>
      <c r="B123" s="257">
        <v>16</v>
      </c>
      <c r="C123" s="258"/>
      <c r="D123" s="251">
        <f>INDEX([3]Output!$B$55:$D$70,MATCH($A123,[3]Output!$A$55:$A$70,0),1)</f>
        <v>33408.640490605867</v>
      </c>
      <c r="E123" s="265">
        <f>INDEX([3]Output!$B$55:$D$70,MATCH($A123,[3]Output!$A$55:$A$70,0),2)</f>
        <v>35404.040552368053</v>
      </c>
      <c r="F123" s="264">
        <f>INDEX([3]Output!$B$55:$D$70,MATCH($A123,[3]Output!$A$55:$A$70,0),3)</f>
        <v>36335.474343300797</v>
      </c>
      <c r="G123" s="251"/>
      <c r="H123" s="251"/>
      <c r="I123" s="80"/>
      <c r="J123" s="702"/>
      <c r="N123" s="275"/>
      <c r="O123" s="275"/>
      <c r="P123" s="275"/>
      <c r="Q123" s="259"/>
      <c r="R123" s="259"/>
      <c r="S123" s="259"/>
      <c r="T123" s="259"/>
    </row>
    <row r="124" spans="1:20" x14ac:dyDescent="0.25">
      <c r="A124" s="262"/>
      <c r="B124" s="235"/>
      <c r="C124" s="235"/>
      <c r="D124" s="252"/>
      <c r="E124" s="252"/>
      <c r="F124" s="252"/>
      <c r="G124" s="252"/>
      <c r="H124" s="252"/>
      <c r="I124" s="253"/>
      <c r="J124" s="697"/>
    </row>
    <row r="125" spans="1:20" ht="15.75" x14ac:dyDescent="0.25">
      <c r="A125" s="254" t="s">
        <v>462</v>
      </c>
      <c r="B125" s="255"/>
      <c r="C125" s="95"/>
      <c r="D125" s="256"/>
      <c r="E125" s="256"/>
      <c r="F125" s="256"/>
      <c r="G125" s="256"/>
      <c r="H125" s="256"/>
      <c r="I125" s="256"/>
      <c r="J125" s="700"/>
      <c r="L125" s="95"/>
      <c r="M125" s="95"/>
      <c r="N125" s="95"/>
      <c r="O125" s="1"/>
      <c r="P125" s="1"/>
      <c r="Q125" s="1"/>
      <c r="R125" s="1"/>
      <c r="S125" s="1"/>
    </row>
    <row r="126" spans="1:20" x14ac:dyDescent="0.25">
      <c r="A126" s="685" t="s">
        <v>191</v>
      </c>
      <c r="B126" s="686">
        <v>1</v>
      </c>
      <c r="C126" s="687"/>
      <c r="D126" s="688"/>
      <c r="E126" s="688"/>
      <c r="F126" s="688"/>
      <c r="G126" s="694">
        <f>INDEX([4]Calculation!$O$324:$Q$339,MATCH($A126,[4]Calculation!$O$324:$O$339,0),2)/1000</f>
        <v>29093.167140000001</v>
      </c>
      <c r="H126" s="693">
        <f>INDEX([4]Calculation!$O$324:$Q$339,MATCH($A126,[4]Calculation!$O$324:$O$339,0),3)/1000</f>
        <v>40162.588000000003</v>
      </c>
      <c r="I126" s="80"/>
      <c r="J126" s="704" t="s">
        <v>511</v>
      </c>
      <c r="P126" s="259"/>
      <c r="Q126" s="259"/>
    </row>
    <row r="127" spans="1:20" x14ac:dyDescent="0.25">
      <c r="A127" s="249" t="s">
        <v>17</v>
      </c>
      <c r="B127" s="257">
        <v>2</v>
      </c>
      <c r="C127" s="258"/>
      <c r="D127" s="251"/>
      <c r="E127" s="251"/>
      <c r="F127" s="251"/>
      <c r="G127" s="278">
        <f>INDEX([4]Calculation!$O$324:$Q$339,MATCH($A127,[4]Calculation!$O$324:$O$339,0),2)</f>
        <v>52510.038158241499</v>
      </c>
      <c r="H127" s="264">
        <f>INDEX([4]Calculation!$O$324:$Q$339,MATCH($A127,[4]Calculation!$O$324:$O$339,0),3)</f>
        <v>56718.929079548536</v>
      </c>
      <c r="I127" s="80"/>
      <c r="J127" s="703"/>
      <c r="P127" s="259"/>
      <c r="Q127" s="259"/>
    </row>
    <row r="128" spans="1:20" x14ac:dyDescent="0.25">
      <c r="A128" s="249" t="s">
        <v>237</v>
      </c>
      <c r="B128" s="257">
        <v>3</v>
      </c>
      <c r="C128" s="258"/>
      <c r="D128" s="251"/>
      <c r="E128" s="251"/>
      <c r="F128" s="251"/>
      <c r="G128" s="278">
        <f>INDEX([4]Calculation!$O$324:$Q$339,MATCH($A128,[4]Calculation!$O$324:$O$339,0),2)</f>
        <v>16962</v>
      </c>
      <c r="H128" s="264">
        <f>INDEX([4]Calculation!$O$324:$Q$339,MATCH($A128,[4]Calculation!$O$324:$O$339,0),3)</f>
        <v>21169.238000000001</v>
      </c>
      <c r="I128" s="80"/>
      <c r="J128" s="702"/>
      <c r="P128" s="259"/>
      <c r="Q128" s="259"/>
    </row>
    <row r="129" spans="1:19" x14ac:dyDescent="0.25">
      <c r="A129" s="249" t="s">
        <v>18</v>
      </c>
      <c r="B129" s="257">
        <v>4</v>
      </c>
      <c r="C129" s="258"/>
      <c r="D129" s="251"/>
      <c r="E129" s="251"/>
      <c r="F129" s="251"/>
      <c r="G129" s="278">
        <f>INDEX([4]Calculation!$O$324:$Q$339,MATCH($A129,[4]Calculation!$O$324:$O$339,0),2)</f>
        <v>6174</v>
      </c>
      <c r="H129" s="264">
        <f>INDEX([4]Calculation!$O$324:$Q$339,MATCH($A129,[4]Calculation!$O$324:$O$339,0),3)</f>
        <v>6848</v>
      </c>
      <c r="I129" s="80"/>
      <c r="J129" s="702"/>
      <c r="P129" s="259"/>
      <c r="Q129" s="259"/>
    </row>
    <row r="130" spans="1:19" x14ac:dyDescent="0.25">
      <c r="A130" s="244" t="s">
        <v>499</v>
      </c>
      <c r="B130" s="257">
        <v>5</v>
      </c>
      <c r="C130" s="258"/>
      <c r="D130" s="251"/>
      <c r="E130" s="251"/>
      <c r="F130" s="251"/>
      <c r="G130" s="278">
        <f>INDEX([4]Calculation!$O$324:$Q$339,MATCH($A130,[4]Calculation!$O$324:$O$339,0),2)</f>
        <v>14799</v>
      </c>
      <c r="H130" s="264">
        <f>INDEX([4]Calculation!$O$324:$Q$339,MATCH($A130,[4]Calculation!$O$324:$O$339,0),3)</f>
        <v>17837</v>
      </c>
      <c r="I130" s="80"/>
      <c r="J130" s="702"/>
      <c r="P130" s="259"/>
      <c r="Q130" s="259"/>
    </row>
    <row r="131" spans="1:19" x14ac:dyDescent="0.25">
      <c r="A131" s="249" t="s">
        <v>238</v>
      </c>
      <c r="B131" s="257">
        <v>6</v>
      </c>
      <c r="C131" s="258"/>
      <c r="D131" s="251"/>
      <c r="E131" s="251"/>
      <c r="F131" s="251"/>
      <c r="G131" s="278">
        <f>INDEX([4]Calculation!$O$324:$Q$339,MATCH($A131,[4]Calculation!$O$324:$O$339,0),2)</f>
        <v>12188.544225000001</v>
      </c>
      <c r="H131" s="264">
        <f>INDEX([4]Calculation!$O$324:$Q$339,MATCH($A131,[4]Calculation!$O$324:$O$339,0),3)</f>
        <v>16227.494999999999</v>
      </c>
      <c r="I131" s="80"/>
      <c r="J131" s="702"/>
      <c r="P131" s="259"/>
      <c r="Q131" s="259"/>
    </row>
    <row r="132" spans="1:19" x14ac:dyDescent="0.25">
      <c r="A132" s="249" t="s">
        <v>239</v>
      </c>
      <c r="B132" s="257">
        <v>7</v>
      </c>
      <c r="C132" s="258"/>
      <c r="D132" s="251"/>
      <c r="E132" s="251"/>
      <c r="F132" s="251"/>
      <c r="G132" s="278">
        <f>INDEX([4]Calculation!$O$324:$Q$339,MATCH($A132,[4]Calculation!$O$324:$O$339,0),2)</f>
        <v>2239.9856358500001</v>
      </c>
      <c r="H132" s="264">
        <f>INDEX([4]Calculation!$O$324:$Q$339,MATCH($A132,[4]Calculation!$O$324:$O$339,0),3)</f>
        <v>2437.6923139650003</v>
      </c>
      <c r="I132" s="80"/>
      <c r="J132" s="702"/>
      <c r="P132" s="259"/>
      <c r="Q132" s="259"/>
    </row>
    <row r="133" spans="1:19" x14ac:dyDescent="0.25">
      <c r="A133" s="249" t="s">
        <v>240</v>
      </c>
      <c r="B133" s="257">
        <v>8</v>
      </c>
      <c r="C133" s="258"/>
      <c r="D133" s="251"/>
      <c r="E133" s="251"/>
      <c r="F133" s="251"/>
      <c r="G133" s="278">
        <f>INDEX([4]Calculation!$O$324:$Q$339,MATCH($A133,[4]Calculation!$O$324:$O$339,0),2)</f>
        <v>14865</v>
      </c>
      <c r="H133" s="264">
        <f>INDEX([4]Calculation!$O$324:$Q$339,MATCH($A133,[4]Calculation!$O$324:$O$339,0),3)</f>
        <v>15467</v>
      </c>
      <c r="I133" s="80"/>
      <c r="J133" s="702"/>
      <c r="P133" s="259"/>
      <c r="Q133" s="259"/>
    </row>
    <row r="134" spans="1:19" x14ac:dyDescent="0.25">
      <c r="A134" s="244" t="s">
        <v>268</v>
      </c>
      <c r="B134" s="257">
        <v>9</v>
      </c>
      <c r="C134" s="258"/>
      <c r="D134" s="251"/>
      <c r="E134" s="251"/>
      <c r="F134" s="251"/>
      <c r="G134" s="278">
        <f>INDEX([4]Calculation!$O$324:$Q$339,MATCH($A134,[4]Calculation!$O$324:$O$339,0),2)</f>
        <v>78185</v>
      </c>
      <c r="H134" s="264">
        <f>INDEX([4]Calculation!$O$324:$Q$339,MATCH($A134,[4]Calculation!$O$324:$O$339,0),3)</f>
        <v>86478</v>
      </c>
      <c r="I134" s="80"/>
      <c r="J134" s="702"/>
      <c r="P134" s="259"/>
      <c r="Q134" s="259"/>
    </row>
    <row r="135" spans="1:19" x14ac:dyDescent="0.25">
      <c r="A135" s="249" t="s">
        <v>241</v>
      </c>
      <c r="B135" s="257">
        <v>10</v>
      </c>
      <c r="C135" s="258"/>
      <c r="D135" s="251"/>
      <c r="E135" s="251"/>
      <c r="F135" s="251"/>
      <c r="G135" s="278">
        <f>INDEX([4]Calculation!$O$324:$Q$339,MATCH($A135,[4]Calculation!$O$324:$O$339,0),2)</f>
        <v>9771.4089600000007</v>
      </c>
      <c r="H135" s="264">
        <f>INDEX([4]Calculation!$O$324:$Q$339,MATCH($A135,[4]Calculation!$O$324:$O$339,0),3)</f>
        <v>10864.38700134544</v>
      </c>
      <c r="I135" s="80"/>
      <c r="J135" s="702"/>
      <c r="P135" s="259"/>
      <c r="Q135" s="259"/>
    </row>
    <row r="136" spans="1:19" x14ac:dyDescent="0.25">
      <c r="A136" s="244" t="s">
        <v>269</v>
      </c>
      <c r="B136" s="257">
        <v>11</v>
      </c>
      <c r="C136" s="258"/>
      <c r="D136" s="251"/>
      <c r="E136" s="251"/>
      <c r="F136" s="251"/>
      <c r="G136" s="278">
        <f>INDEX([4]Calculation!$O$324:$Q$339,MATCH($A136,[4]Calculation!$O$324:$O$339,0),2)</f>
        <v>121011</v>
      </c>
      <c r="H136" s="264">
        <f>INDEX([4]Calculation!$O$324:$Q$339,MATCH($A136,[4]Calculation!$O$324:$O$339,0),3)</f>
        <v>128585</v>
      </c>
      <c r="I136" s="80"/>
      <c r="J136" s="702"/>
      <c r="P136" s="259"/>
      <c r="Q136" s="259"/>
    </row>
    <row r="137" spans="1:19" x14ac:dyDescent="0.25">
      <c r="A137" s="249" t="s">
        <v>23</v>
      </c>
      <c r="B137" s="257">
        <v>12</v>
      </c>
      <c r="C137" s="258"/>
      <c r="D137" s="251"/>
      <c r="E137" s="251"/>
      <c r="F137" s="251"/>
      <c r="G137" s="278">
        <f>INDEX([4]Calculation!$O$324:$Q$339,MATCH($A137,[4]Calculation!$O$324:$O$339,0),2)</f>
        <v>17392.857940499998</v>
      </c>
      <c r="H137" s="264">
        <f>INDEX([4]Calculation!$O$324:$Q$339,MATCH($A137,[4]Calculation!$O$324:$O$339,0),3)</f>
        <v>18638.127031399999</v>
      </c>
      <c r="I137" s="80"/>
      <c r="J137" s="702"/>
      <c r="P137" s="259"/>
      <c r="Q137" s="259"/>
    </row>
    <row r="138" spans="1:19" x14ac:dyDescent="0.25">
      <c r="A138" s="249" t="s">
        <v>242</v>
      </c>
      <c r="B138" s="257">
        <v>13</v>
      </c>
      <c r="C138" s="258"/>
      <c r="D138" s="251"/>
      <c r="E138" s="251"/>
      <c r="F138" s="251"/>
      <c r="G138" s="278">
        <f>INDEX([4]Calculation!$O$324:$Q$339,MATCH($A138,[4]Calculation!$O$324:$O$339,0),2)</f>
        <v>23354</v>
      </c>
      <c r="H138" s="264">
        <f>INDEX([4]Calculation!$O$324:$Q$339,MATCH($A138,[4]Calculation!$O$324:$O$339,0),3)</f>
        <v>27849</v>
      </c>
      <c r="I138" s="80"/>
      <c r="J138" s="702"/>
      <c r="P138" s="259"/>
      <c r="Q138" s="259"/>
    </row>
    <row r="139" spans="1:19" x14ac:dyDescent="0.25">
      <c r="A139" s="249" t="s">
        <v>243</v>
      </c>
      <c r="B139" s="257">
        <v>14</v>
      </c>
      <c r="C139" s="258"/>
      <c r="D139" s="251"/>
      <c r="E139" s="251"/>
      <c r="F139" s="251"/>
      <c r="G139" s="278">
        <f>INDEX([4]Calculation!$O$324:$Q$339,MATCH($A139,[4]Calculation!$O$324:$O$339,0),2)</f>
        <v>51142.74308521003</v>
      </c>
      <c r="H139" s="264">
        <f>INDEX([4]Calculation!$O$324:$Q$339,MATCH($A139,[4]Calculation!$O$324:$O$339,0),3)</f>
        <v>53160.303715410089</v>
      </c>
      <c r="I139" s="80"/>
      <c r="J139" s="702"/>
      <c r="P139" s="259"/>
      <c r="Q139" s="259"/>
    </row>
    <row r="140" spans="1:19" x14ac:dyDescent="0.25">
      <c r="A140" s="249" t="s">
        <v>244</v>
      </c>
      <c r="B140" s="257">
        <v>15</v>
      </c>
      <c r="C140" s="258"/>
      <c r="D140" s="251"/>
      <c r="E140" s="251"/>
      <c r="F140" s="251"/>
      <c r="G140" s="278">
        <f>INDEX([4]Calculation!$O$324:$Q$339,MATCH($A140,[4]Calculation!$O$324:$O$339,0),2)</f>
        <v>166961.7899220516</v>
      </c>
      <c r="H140" s="264">
        <f>INDEX([4]Calculation!$O$324:$Q$339,MATCH($A140,[4]Calculation!$O$324:$O$339,0),3)</f>
        <v>183376.33187877576</v>
      </c>
      <c r="I140" s="80"/>
      <c r="J140" s="702"/>
      <c r="P140" s="259"/>
      <c r="Q140" s="259"/>
    </row>
    <row r="141" spans="1:19" x14ac:dyDescent="0.25">
      <c r="A141" s="244" t="s">
        <v>270</v>
      </c>
      <c r="B141" s="257">
        <v>16</v>
      </c>
      <c r="C141" s="258"/>
      <c r="D141" s="251"/>
      <c r="E141" s="251"/>
      <c r="F141" s="251"/>
      <c r="G141" s="263">
        <f>INDEX([4]Calculation!$O$324:$Q$339,MATCH($A141,[4]Calculation!$O$324:$O$339,0),2)</f>
        <v>38410.614826391029</v>
      </c>
      <c r="H141" s="264">
        <f>INDEX([4]Calculation!$O$324:$Q$339,MATCH($A141,[4]Calculation!$O$324:$O$339,0),3)</f>
        <v>44488.158636042237</v>
      </c>
      <c r="I141" s="80"/>
      <c r="J141" s="702"/>
      <c r="P141" s="259"/>
      <c r="Q141" s="259"/>
    </row>
    <row r="142" spans="1:19" x14ac:dyDescent="0.25">
      <c r="A142" s="75"/>
      <c r="B142" s="76"/>
      <c r="C142" s="77"/>
      <c r="D142" s="78"/>
      <c r="E142" s="78"/>
      <c r="F142" s="78"/>
      <c r="G142" s="78"/>
      <c r="H142" s="78"/>
      <c r="I142" s="80"/>
      <c r="J142" s="697"/>
    </row>
    <row r="143" spans="1:19" ht="15.75" x14ac:dyDescent="0.25">
      <c r="A143" s="254" t="s">
        <v>450</v>
      </c>
      <c r="B143" s="255"/>
      <c r="C143" s="95"/>
      <c r="D143" s="256"/>
      <c r="E143" s="256"/>
      <c r="F143" s="256"/>
      <c r="G143" s="256"/>
      <c r="H143" s="256"/>
      <c r="I143" s="256"/>
      <c r="J143" s="700"/>
      <c r="L143" s="95"/>
      <c r="M143" s="95"/>
      <c r="N143" s="95"/>
      <c r="O143" s="1"/>
      <c r="P143" s="1"/>
      <c r="Q143" s="1"/>
      <c r="R143" s="1"/>
      <c r="S143" s="1"/>
    </row>
    <row r="144" spans="1:19" x14ac:dyDescent="0.25">
      <c r="A144" s="238" t="s">
        <v>512</v>
      </c>
      <c r="B144" s="97"/>
      <c r="C144" s="97"/>
      <c r="D144" s="98"/>
      <c r="E144" s="98"/>
      <c r="F144" s="98"/>
      <c r="G144" s="98"/>
      <c r="H144" s="98"/>
      <c r="I144" s="98"/>
      <c r="J144" s="698"/>
      <c r="L144" s="97"/>
      <c r="M144" s="97"/>
      <c r="N144" s="97"/>
    </row>
    <row r="145" spans="1:10" x14ac:dyDescent="0.25">
      <c r="A145" s="685" t="s">
        <v>191</v>
      </c>
      <c r="B145" s="686">
        <v>1</v>
      </c>
      <c r="C145" s="687"/>
      <c r="D145" s="688">
        <v>0</v>
      </c>
      <c r="E145" s="688">
        <v>0</v>
      </c>
      <c r="F145" s="688">
        <v>0</v>
      </c>
      <c r="G145" s="688">
        <v>0</v>
      </c>
      <c r="H145" s="688">
        <v>0</v>
      </c>
      <c r="I145" s="80"/>
      <c r="J145" s="697"/>
    </row>
    <row r="146" spans="1:10" x14ac:dyDescent="0.25">
      <c r="A146" s="269" t="s">
        <v>17</v>
      </c>
      <c r="B146" s="270">
        <v>2</v>
      </c>
      <c r="C146" s="271"/>
      <c r="D146" s="251">
        <v>0</v>
      </c>
      <c r="E146" s="251">
        <v>0</v>
      </c>
      <c r="F146" s="251">
        <v>0</v>
      </c>
      <c r="G146" s="251">
        <v>0</v>
      </c>
      <c r="H146" s="251">
        <v>0</v>
      </c>
      <c r="I146" s="80"/>
      <c r="J146" s="702"/>
    </row>
    <row r="147" spans="1:10" x14ac:dyDescent="0.25">
      <c r="A147" s="249" t="s">
        <v>237</v>
      </c>
      <c r="B147" s="257">
        <v>3</v>
      </c>
      <c r="C147" s="258"/>
      <c r="D147" s="251">
        <v>0</v>
      </c>
      <c r="E147" s="251">
        <v>0</v>
      </c>
      <c r="F147" s="251">
        <v>0</v>
      </c>
      <c r="G147" s="251">
        <v>0</v>
      </c>
      <c r="H147" s="251">
        <v>0</v>
      </c>
      <c r="I147" s="80"/>
      <c r="J147" s="697"/>
    </row>
    <row r="148" spans="1:10" x14ac:dyDescent="0.25">
      <c r="A148" s="249" t="s">
        <v>18</v>
      </c>
      <c r="B148" s="270">
        <v>4</v>
      </c>
      <c r="C148" s="258"/>
      <c r="D148" s="251">
        <v>0</v>
      </c>
      <c r="E148" s="251">
        <v>0</v>
      </c>
      <c r="F148" s="251">
        <v>0</v>
      </c>
      <c r="G148" s="251">
        <v>0</v>
      </c>
      <c r="H148" s="251">
        <v>0</v>
      </c>
      <c r="I148" s="80"/>
      <c r="J148" s="697"/>
    </row>
    <row r="149" spans="1:10" x14ac:dyDescent="0.25">
      <c r="A149" s="244" t="s">
        <v>499</v>
      </c>
      <c r="B149" s="270">
        <v>5</v>
      </c>
      <c r="C149" s="258"/>
      <c r="D149" s="251">
        <v>0</v>
      </c>
      <c r="E149" s="251">
        <v>0</v>
      </c>
      <c r="F149" s="251">
        <v>0</v>
      </c>
      <c r="G149" s="251">
        <v>0</v>
      </c>
      <c r="H149" s="251">
        <v>0</v>
      </c>
      <c r="I149" s="80"/>
      <c r="J149" s="697"/>
    </row>
    <row r="150" spans="1:10" x14ac:dyDescent="0.25">
      <c r="A150" s="249" t="s">
        <v>238</v>
      </c>
      <c r="B150" s="270">
        <v>6</v>
      </c>
      <c r="C150" s="258"/>
      <c r="D150" s="251">
        <v>0</v>
      </c>
      <c r="E150" s="251">
        <v>0</v>
      </c>
      <c r="F150" s="251">
        <v>0</v>
      </c>
      <c r="G150" s="251">
        <v>0</v>
      </c>
      <c r="H150" s="251">
        <v>0</v>
      </c>
      <c r="I150" s="80"/>
      <c r="J150" s="697"/>
    </row>
    <row r="151" spans="1:10" x14ac:dyDescent="0.25">
      <c r="A151" s="249" t="s">
        <v>239</v>
      </c>
      <c r="B151" s="270">
        <v>7</v>
      </c>
      <c r="C151" s="258"/>
      <c r="D151" s="251">
        <v>0</v>
      </c>
      <c r="E151" s="251">
        <v>0</v>
      </c>
      <c r="F151" s="251">
        <v>0</v>
      </c>
      <c r="G151" s="251">
        <v>0</v>
      </c>
      <c r="H151" s="251">
        <v>0</v>
      </c>
      <c r="I151" s="80"/>
      <c r="J151" s="697"/>
    </row>
    <row r="152" spans="1:10" x14ac:dyDescent="0.25">
      <c r="A152" s="249" t="s">
        <v>240</v>
      </c>
      <c r="B152" s="270">
        <v>8</v>
      </c>
      <c r="C152" s="258"/>
      <c r="D152" s="251">
        <v>0</v>
      </c>
      <c r="E152" s="251">
        <v>0</v>
      </c>
      <c r="F152" s="251">
        <v>0</v>
      </c>
      <c r="G152" s="251">
        <v>0</v>
      </c>
      <c r="H152" s="251">
        <v>0</v>
      </c>
      <c r="I152" s="80"/>
      <c r="J152" s="697"/>
    </row>
    <row r="153" spans="1:10" x14ac:dyDescent="0.25">
      <c r="A153" s="244" t="s">
        <v>268</v>
      </c>
      <c r="B153" s="270">
        <v>9</v>
      </c>
      <c r="C153" s="258"/>
      <c r="D153" s="251">
        <v>0</v>
      </c>
      <c r="E153" s="251">
        <v>0</v>
      </c>
      <c r="F153" s="251">
        <v>0</v>
      </c>
      <c r="G153" s="251">
        <v>0</v>
      </c>
      <c r="H153" s="251">
        <v>0</v>
      </c>
      <c r="I153" s="80"/>
      <c r="J153" s="697"/>
    </row>
    <row r="154" spans="1:10" x14ac:dyDescent="0.25">
      <c r="A154" s="249" t="s">
        <v>241</v>
      </c>
      <c r="B154" s="270">
        <v>10</v>
      </c>
      <c r="C154" s="258"/>
      <c r="D154" s="251">
        <v>0</v>
      </c>
      <c r="E154" s="251">
        <v>0</v>
      </c>
      <c r="F154" s="251">
        <v>0</v>
      </c>
      <c r="G154" s="251">
        <v>0</v>
      </c>
      <c r="H154" s="251">
        <v>0</v>
      </c>
      <c r="I154" s="80"/>
      <c r="J154" s="697"/>
    </row>
    <row r="155" spans="1:10" x14ac:dyDescent="0.25">
      <c r="A155" s="244" t="s">
        <v>269</v>
      </c>
      <c r="B155" s="270">
        <v>11</v>
      </c>
      <c r="C155" s="258"/>
      <c r="D155" s="251">
        <v>0</v>
      </c>
      <c r="E155" s="251">
        <v>0</v>
      </c>
      <c r="F155" s="251">
        <v>0</v>
      </c>
      <c r="G155" s="251">
        <v>0</v>
      </c>
      <c r="H155" s="251">
        <v>0</v>
      </c>
      <c r="I155" s="80"/>
      <c r="J155" s="702"/>
    </row>
    <row r="156" spans="1:10" x14ac:dyDescent="0.25">
      <c r="A156" s="249" t="s">
        <v>23</v>
      </c>
      <c r="B156" s="270">
        <v>12</v>
      </c>
      <c r="C156" s="258"/>
      <c r="D156" s="251">
        <v>0</v>
      </c>
      <c r="E156" s="251">
        <v>0</v>
      </c>
      <c r="F156" s="251">
        <v>0</v>
      </c>
      <c r="G156" s="251">
        <v>0</v>
      </c>
      <c r="H156" s="251">
        <v>0</v>
      </c>
      <c r="I156" s="80"/>
      <c r="J156" s="702"/>
    </row>
    <row r="157" spans="1:10" x14ac:dyDescent="0.25">
      <c r="A157" s="249" t="s">
        <v>242</v>
      </c>
      <c r="B157" s="270">
        <v>13</v>
      </c>
      <c r="C157" s="258"/>
      <c r="D157" s="251">
        <v>0</v>
      </c>
      <c r="E157" s="251">
        <v>0</v>
      </c>
      <c r="F157" s="251">
        <v>0</v>
      </c>
      <c r="G157" s="251">
        <v>0</v>
      </c>
      <c r="H157" s="251">
        <v>0</v>
      </c>
      <c r="I157" s="80"/>
      <c r="J157" s="702"/>
    </row>
    <row r="158" spans="1:10" x14ac:dyDescent="0.25">
      <c r="A158" s="249" t="s">
        <v>243</v>
      </c>
      <c r="B158" s="270">
        <v>14</v>
      </c>
      <c r="C158" s="258"/>
      <c r="D158" s="251">
        <v>0</v>
      </c>
      <c r="E158" s="251">
        <v>0</v>
      </c>
      <c r="F158" s="251">
        <v>0</v>
      </c>
      <c r="G158" s="251">
        <v>0</v>
      </c>
      <c r="H158" s="251">
        <v>0</v>
      </c>
      <c r="I158" s="80"/>
      <c r="J158" s="702"/>
    </row>
    <row r="159" spans="1:10" x14ac:dyDescent="0.25">
      <c r="A159" s="249" t="s">
        <v>244</v>
      </c>
      <c r="B159" s="270">
        <v>15</v>
      </c>
      <c r="C159" s="258"/>
      <c r="D159" s="251">
        <v>0</v>
      </c>
      <c r="E159" s="251">
        <v>0</v>
      </c>
      <c r="F159" s="251">
        <v>0</v>
      </c>
      <c r="G159" s="251">
        <v>0</v>
      </c>
      <c r="H159" s="251">
        <v>0</v>
      </c>
      <c r="I159" s="80"/>
      <c r="J159" s="702"/>
    </row>
    <row r="160" spans="1:10" x14ac:dyDescent="0.25">
      <c r="A160" s="244" t="s">
        <v>270</v>
      </c>
      <c r="B160" s="270">
        <v>16</v>
      </c>
      <c r="C160" s="258"/>
      <c r="D160" s="251">
        <v>0</v>
      </c>
      <c r="E160" s="251">
        <v>0</v>
      </c>
      <c r="F160" s="251">
        <v>0</v>
      </c>
      <c r="G160" s="251">
        <v>0</v>
      </c>
      <c r="H160" s="251">
        <v>0</v>
      </c>
      <c r="I160" s="80"/>
      <c r="J160" s="702"/>
    </row>
    <row r="161" spans="1:19" x14ac:dyDescent="0.25">
      <c r="A161" s="272"/>
      <c r="B161" s="140"/>
      <c r="C161" s="273"/>
      <c r="D161" s="78"/>
      <c r="E161" s="78"/>
      <c r="F161" s="78"/>
      <c r="G161" s="78"/>
      <c r="H161" s="78"/>
      <c r="I161" s="80"/>
      <c r="J161" s="697"/>
    </row>
    <row r="162" spans="1:19" ht="23.25" x14ac:dyDescent="0.35">
      <c r="A162" s="239" t="s">
        <v>271</v>
      </c>
      <c r="B162" s="240"/>
      <c r="C162" s="92"/>
      <c r="D162" s="241"/>
      <c r="E162" s="241"/>
      <c r="F162" s="241"/>
      <c r="G162" s="241"/>
      <c r="H162" s="241"/>
      <c r="I162" s="241"/>
      <c r="J162" s="699"/>
      <c r="L162" s="92"/>
      <c r="M162" s="92"/>
      <c r="N162" s="92"/>
    </row>
    <row r="163" spans="1:19" ht="15.75" x14ac:dyDescent="0.25">
      <c r="A163" s="254" t="s">
        <v>423</v>
      </c>
      <c r="B163" s="255"/>
      <c r="C163" s="95"/>
      <c r="D163" s="256"/>
      <c r="E163" s="256"/>
      <c r="F163" s="256"/>
      <c r="G163" s="256"/>
      <c r="H163" s="256"/>
      <c r="I163" s="256"/>
      <c r="J163" s="700"/>
      <c r="L163" s="95"/>
      <c r="M163" s="95"/>
      <c r="N163" s="95"/>
      <c r="O163" s="1"/>
      <c r="P163" s="1"/>
      <c r="Q163" s="1"/>
      <c r="R163" s="1"/>
      <c r="S163" s="1"/>
    </row>
    <row r="164" spans="1:19" x14ac:dyDescent="0.25">
      <c r="A164" s="685" t="s">
        <v>191</v>
      </c>
      <c r="B164" s="695">
        <v>1</v>
      </c>
      <c r="C164" s="696" cm="1">
        <f t="array" ref="C164">INDEX(TRANSPOSE([5]Outputs!$C$9:$R$9),MATCH(A164,[5]Outputs!$C$6:$R$6,0),1)</f>
        <v>319479.02159068803</v>
      </c>
      <c r="F164" s="1"/>
      <c r="G164" s="281"/>
      <c r="H164" s="1"/>
      <c r="I164" s="1"/>
      <c r="J164" s="704" t="s">
        <v>556</v>
      </c>
    </row>
    <row r="165" spans="1:19" x14ac:dyDescent="0.25">
      <c r="A165" s="249" t="s">
        <v>17</v>
      </c>
      <c r="B165" s="282">
        <v>2</v>
      </c>
      <c r="C165" s="280" cm="1">
        <f t="array" ref="C165">INDEX(TRANSPOSE([5]Outputs!$C$9:$R$9),MATCH(A165,[5]Outputs!$C$6:$R$6,0),1)</f>
        <v>672199.02426636696</v>
      </c>
      <c r="G165" s="281"/>
    </row>
    <row r="166" spans="1:19" x14ac:dyDescent="0.25">
      <c r="A166" s="249" t="s">
        <v>237</v>
      </c>
      <c r="B166" s="282">
        <v>3</v>
      </c>
      <c r="C166" s="280" cm="1">
        <f t="array" ref="C166">INDEX(TRANSPOSE([5]Outputs!$C$9:$R$9),MATCH(A166,[5]Outputs!$C$6:$R$6,0),1)</f>
        <v>247118.47917551472</v>
      </c>
      <c r="G166" s="281"/>
      <c r="J166" s="697"/>
    </row>
    <row r="167" spans="1:19" x14ac:dyDescent="0.25">
      <c r="A167" s="249" t="s">
        <v>18</v>
      </c>
      <c r="B167" s="282">
        <v>4</v>
      </c>
      <c r="C167" s="280" cm="1">
        <f t="array" ref="C167">INDEX(TRANSPOSE([5]Outputs!$C$9:$R$9),MATCH(A167,[5]Outputs!$C$6:$R$6,0),1)</f>
        <v>88895.609530757822</v>
      </c>
      <c r="G167" s="281"/>
      <c r="J167" s="697"/>
    </row>
    <row r="168" spans="1:19" x14ac:dyDescent="0.25">
      <c r="A168" s="244" t="s">
        <v>499</v>
      </c>
      <c r="B168" s="282">
        <v>5</v>
      </c>
      <c r="C168" s="280" cm="1">
        <f t="array" ref="C168">INDEX(TRANSPOSE([5]Outputs!$C$9:$R$9),MATCH(A168,[5]Outputs!$C$6:$R$6,0),1)</f>
        <v>189530.01243359831</v>
      </c>
      <c r="G168" s="281"/>
      <c r="J168" s="697"/>
    </row>
    <row r="169" spans="1:19" x14ac:dyDescent="0.25">
      <c r="A169" s="249" t="s">
        <v>238</v>
      </c>
      <c r="B169" s="282">
        <v>6</v>
      </c>
      <c r="C169" s="280" cm="1">
        <f t="array" ref="C169">INDEX(TRANSPOSE([5]Outputs!$C$9:$R$9),MATCH(A169,[5]Outputs!$C$6:$R$6,0),1)</f>
        <v>158481.64381508806</v>
      </c>
      <c r="G169" s="281"/>
      <c r="J169" s="697"/>
    </row>
    <row r="170" spans="1:19" x14ac:dyDescent="0.25">
      <c r="A170" s="249" t="s">
        <v>239</v>
      </c>
      <c r="B170" s="282">
        <v>7</v>
      </c>
      <c r="C170" s="280" cm="1">
        <f t="array" ref="C170">INDEX(TRANSPOSE([5]Outputs!$C$9:$R$9),MATCH(A170,[5]Outputs!$C$6:$R$6,0),1)</f>
        <v>35031.564382304328</v>
      </c>
      <c r="G170" s="281"/>
      <c r="J170" s="697"/>
    </row>
    <row r="171" spans="1:19" x14ac:dyDescent="0.25">
      <c r="A171" s="249" t="s">
        <v>240</v>
      </c>
      <c r="B171" s="282">
        <v>8</v>
      </c>
      <c r="C171" s="280" cm="1">
        <f t="array" ref="C171">INDEX(TRANSPOSE([5]Outputs!$C$9:$R$9),MATCH(A171,[5]Outputs!$C$6:$R$6,0),1)</f>
        <v>191950.7394440996</v>
      </c>
      <c r="G171" s="281"/>
      <c r="J171" s="697"/>
    </row>
    <row r="172" spans="1:19" x14ac:dyDescent="0.25">
      <c r="A172" s="244" t="s">
        <v>268</v>
      </c>
      <c r="B172" s="282">
        <v>9</v>
      </c>
      <c r="C172" s="280" cm="1">
        <f t="array" ref="C172">INDEX(TRANSPOSE([5]Outputs!$C$9:$R$9),MATCH(A172,[5]Outputs!$C$6:$R$6,0),1)</f>
        <v>1218365.4588773299</v>
      </c>
      <c r="G172" s="281"/>
      <c r="J172" s="697"/>
    </row>
    <row r="173" spans="1:19" x14ac:dyDescent="0.25">
      <c r="A173" s="249" t="s">
        <v>241</v>
      </c>
      <c r="B173" s="282">
        <v>10</v>
      </c>
      <c r="C173" s="280" cm="1">
        <f t="array" ref="C173">INDEX(TRANSPOSE([5]Outputs!$C$9:$R$9),MATCH(A173,[5]Outputs!$C$6:$R$6,0),1)</f>
        <v>199154.61930197422</v>
      </c>
      <c r="G173" s="281"/>
      <c r="J173" s="697"/>
    </row>
    <row r="174" spans="1:19" x14ac:dyDescent="0.25">
      <c r="A174" s="244" t="s">
        <v>269</v>
      </c>
      <c r="B174" s="282">
        <v>11</v>
      </c>
      <c r="C174" s="280" cm="1">
        <f t="array" ref="C174">INDEX(TRANSPOSE([5]Outputs!$C$9:$R$9),MATCH(A174,[5]Outputs!$C$6:$R$6,0),1)</f>
        <v>2108227.7499286258</v>
      </c>
      <c r="G174" s="281"/>
      <c r="J174" s="697"/>
    </row>
    <row r="175" spans="1:19" x14ac:dyDescent="0.25">
      <c r="A175" s="249" t="s">
        <v>23</v>
      </c>
      <c r="B175" s="282">
        <v>12</v>
      </c>
      <c r="C175" s="280" cm="1">
        <f t="array" ref="C175">INDEX(TRANSPOSE([5]Outputs!$C$9:$R$9),MATCH(A175,[5]Outputs!$C$6:$R$6,0),1)</f>
        <v>238652.87901521171</v>
      </c>
      <c r="G175" s="281"/>
      <c r="J175" s="697"/>
    </row>
    <row r="176" spans="1:19" x14ac:dyDescent="0.25">
      <c r="A176" s="249" t="s">
        <v>242</v>
      </c>
      <c r="B176" s="282">
        <v>13</v>
      </c>
      <c r="C176" s="280" cm="1">
        <f t="array" ref="C176">INDEX(TRANSPOSE([5]Outputs!$C$9:$R$9),MATCH(A176,[5]Outputs!$C$6:$R$6,0),1)</f>
        <v>296796.40405972308</v>
      </c>
      <c r="G176" s="281"/>
      <c r="J176" s="697"/>
    </row>
    <row r="177" spans="1:10" x14ac:dyDescent="0.25">
      <c r="A177" s="249" t="s">
        <v>243</v>
      </c>
      <c r="B177" s="282">
        <v>14</v>
      </c>
      <c r="C177" s="280" cm="1">
        <f t="array" ref="C177">INDEX(TRANSPOSE([5]Outputs!$C$9:$R$9),MATCH(A177,[5]Outputs!$C$6:$R$6,0),1)</f>
        <v>761180.81419770955</v>
      </c>
      <c r="G177" s="281"/>
      <c r="J177" s="697"/>
    </row>
    <row r="178" spans="1:10" x14ac:dyDescent="0.25">
      <c r="A178" s="249" t="s">
        <v>244</v>
      </c>
      <c r="B178" s="282">
        <v>15</v>
      </c>
      <c r="C178" s="280" cm="1">
        <f t="array" ref="C178">INDEX(TRANSPOSE([5]Outputs!$C$9:$R$9),MATCH(A178,[5]Outputs!$C$6:$R$6,0),1)</f>
        <v>2955995.9234370939</v>
      </c>
      <c r="G178" s="281"/>
      <c r="J178" s="697"/>
    </row>
    <row r="179" spans="1:10" x14ac:dyDescent="0.25">
      <c r="A179" s="244" t="s">
        <v>270</v>
      </c>
      <c r="B179" s="279">
        <v>16</v>
      </c>
      <c r="C179" s="280" cm="1">
        <f t="array" ref="C179">INDEX(TRANSPOSE([5]Outputs!$C$9:$R$9),MATCH(A179,[5]Outputs!$C$6:$R$6,0),1)</f>
        <v>631094.67345855176</v>
      </c>
      <c r="G179" s="281"/>
      <c r="J179" s="697"/>
    </row>
  </sheetData>
  <hyperlinks>
    <hyperlink ref="AB25" r:id="rId1" xr:uid="{9E8EFB47-A562-4576-A664-D181295630ED}"/>
    <hyperlink ref="AC25" r:id="rId2" xr:uid="{75A9C171-FE17-4243-B3E7-49F355213119}"/>
  </hyperlinks>
  <pageMargins left="0.70866141732283472" right="0.70866141732283472" top="0.74803149606299213" bottom="0.74803149606299213" header="0.31496062992125984" footer="0.31496062992125984"/>
  <pageSetup paperSize="9" scale="26" orientation="portrait" r:id="rId3"/>
  <rowBreaks count="1" manualBreakCount="1">
    <brk id="10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0808-C6B7-443A-BD61-26973B9C4C27}">
  <sheetPr codeName="Sheet23">
    <pageSetUpPr fitToPage="1"/>
  </sheetPr>
  <dimension ref="A1:B7"/>
  <sheetViews>
    <sheetView showGridLines="0" view="pageBreakPreview" zoomScaleNormal="100" zoomScaleSheetLayoutView="100" workbookViewId="0"/>
  </sheetViews>
  <sheetFormatPr defaultRowHeight="15" customHeight="1" x14ac:dyDescent="0.25"/>
  <cols>
    <col min="1" max="1" width="58.5703125" customWidth="1"/>
    <col min="2" max="2" width="26.5703125" customWidth="1"/>
    <col min="3" max="3" width="2.85546875" customWidth="1"/>
    <col min="4" max="9" width="9.140625" customWidth="1"/>
  </cols>
  <sheetData>
    <row r="1" spans="1:2" ht="26.25" x14ac:dyDescent="0.4">
      <c r="A1" s="234" t="s">
        <v>30</v>
      </c>
      <c r="B1" s="283"/>
    </row>
    <row r="2" spans="1:2" x14ac:dyDescent="0.25">
      <c r="A2" s="284"/>
      <c r="B2" s="284"/>
    </row>
    <row r="3" spans="1:2" x14ac:dyDescent="0.25">
      <c r="A3" s="285" t="s">
        <v>207</v>
      </c>
      <c r="B3" s="285"/>
    </row>
    <row r="4" spans="1:2" x14ac:dyDescent="0.25">
      <c r="A4" s="286" t="s">
        <v>208</v>
      </c>
      <c r="B4" s="286" t="s">
        <v>27</v>
      </c>
    </row>
    <row r="5" spans="1:2" x14ac:dyDescent="0.25">
      <c r="A5" s="287" t="s">
        <v>28</v>
      </c>
      <c r="B5" s="288" t="s">
        <v>244</v>
      </c>
    </row>
    <row r="6" spans="1:2" x14ac:dyDescent="0.25">
      <c r="A6" s="287" t="s">
        <v>209</v>
      </c>
      <c r="B6" s="257">
        <f>Outputs!C5</f>
        <v>15</v>
      </c>
    </row>
    <row r="7" spans="1:2" x14ac:dyDescent="0.25">
      <c r="A7" s="287" t="s">
        <v>210</v>
      </c>
      <c r="B7" s="270">
        <f>VLOOKUP(B5,Inputs!A15:B30,2,0)</f>
        <v>15</v>
      </c>
    </row>
  </sheetData>
  <pageMargins left="0.70866141732283472" right="0.70866141732283472" top="0.74803149606299213" bottom="0.74803149606299213"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C98AF7F-A7F0-4A3E-A3CE-D87BDC7FB725}">
          <x14:formula1>
            <xm:f>Inputs!$A$15:$A$30</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34998626667073579"/>
    <pageSetUpPr fitToPage="1"/>
  </sheetPr>
  <dimension ref="A1:AI71"/>
  <sheetViews>
    <sheetView showGridLines="0" view="pageBreakPreview" zoomScaleNormal="100" zoomScaleSheetLayoutView="100" workbookViewId="0"/>
  </sheetViews>
  <sheetFormatPr defaultColWidth="9" defaultRowHeight="15" customHeight="1" x14ac:dyDescent="0.25"/>
  <cols>
    <col min="1" max="1" width="60.42578125" customWidth="1"/>
    <col min="2" max="2" width="20.85546875" bestFit="1" customWidth="1"/>
    <col min="3" max="4" width="11.42578125" customWidth="1"/>
    <col min="5" max="9" width="11.140625" customWidth="1"/>
    <col min="10" max="14" width="11.42578125" customWidth="1"/>
    <col min="15" max="15" width="2.85546875" customWidth="1"/>
    <col min="16" max="16" width="184.140625" bestFit="1" customWidth="1"/>
    <col min="17" max="35" width="9.140625" customWidth="1"/>
    <col min="36" max="16384" width="9" style="1"/>
  </cols>
  <sheetData>
    <row r="1" spans="1:35" ht="26.25" x14ac:dyDescent="0.4">
      <c r="A1" s="234" t="s">
        <v>198</v>
      </c>
      <c r="B1" s="283"/>
      <c r="M1" s="283"/>
      <c r="N1" s="289" t="str">
        <f>B5</f>
        <v>Vector Lines</v>
      </c>
    </row>
    <row r="2" spans="1:35" ht="15" customHeight="1" x14ac:dyDescent="0.35">
      <c r="A2" s="290" t="s">
        <v>513</v>
      </c>
      <c r="B2" s="291"/>
      <c r="C2" s="97"/>
      <c r="D2" s="97"/>
      <c r="E2" s="97"/>
      <c r="F2" s="97"/>
      <c r="G2" s="97"/>
      <c r="H2" s="97"/>
      <c r="I2" s="97"/>
      <c r="J2" s="97"/>
      <c r="K2" s="97"/>
      <c r="L2" s="97"/>
      <c r="M2" s="291"/>
      <c r="N2" s="145"/>
      <c r="Q2" s="97"/>
      <c r="R2" s="97"/>
      <c r="S2" s="97"/>
      <c r="T2" s="97"/>
      <c r="U2" s="97"/>
      <c r="V2" s="97"/>
      <c r="W2" s="97"/>
      <c r="X2" s="97"/>
      <c r="Y2" s="97"/>
      <c r="Z2" s="97"/>
      <c r="AA2" s="97"/>
      <c r="AB2" s="97"/>
      <c r="AC2" s="97"/>
      <c r="AD2" s="97"/>
      <c r="AE2" s="97"/>
      <c r="AF2" s="97"/>
      <c r="AG2" s="97"/>
      <c r="AH2" s="97"/>
      <c r="AI2" s="97"/>
    </row>
    <row r="3" spans="1:35" x14ac:dyDescent="0.25">
      <c r="A3" s="292"/>
      <c r="B3" s="292"/>
      <c r="C3" s="293"/>
      <c r="D3" s="293"/>
      <c r="E3" s="293"/>
      <c r="F3" s="293"/>
      <c r="G3" s="293"/>
      <c r="H3" s="293"/>
      <c r="I3" s="293"/>
      <c r="J3" s="293"/>
      <c r="K3" s="293"/>
      <c r="L3" s="294"/>
      <c r="M3" s="294"/>
      <c r="N3" s="294"/>
    </row>
    <row r="4" spans="1:35" x14ac:dyDescent="0.25">
      <c r="A4" s="295" t="s">
        <v>208</v>
      </c>
      <c r="B4" s="295" t="s">
        <v>27</v>
      </c>
    </row>
    <row r="5" spans="1:35" x14ac:dyDescent="0.25">
      <c r="A5" s="287" t="s">
        <v>28</v>
      </c>
      <c r="B5" s="257" t="str">
        <f>'EDB select'!$B$5</f>
        <v>Vector Lines</v>
      </c>
    </row>
    <row r="6" spans="1:35" x14ac:dyDescent="0.25">
      <c r="A6" s="287" t="s">
        <v>209</v>
      </c>
      <c r="B6" s="257">
        <f>'EDB select'!B6</f>
        <v>15</v>
      </c>
    </row>
    <row r="7" spans="1:35" x14ac:dyDescent="0.25">
      <c r="A7" s="287" t="s">
        <v>210</v>
      </c>
      <c r="B7" s="257">
        <f>'EDB select'!B7</f>
        <v>15</v>
      </c>
    </row>
    <row r="8" spans="1:35" x14ac:dyDescent="0.25">
      <c r="A8" s="296"/>
      <c r="B8" s="257"/>
    </row>
    <row r="9" spans="1:35" x14ac:dyDescent="0.25">
      <c r="A9" s="297" t="s">
        <v>29</v>
      </c>
      <c r="B9" s="257"/>
    </row>
    <row r="10" spans="1:35" x14ac:dyDescent="0.25">
      <c r="A10" s="287" t="s">
        <v>214</v>
      </c>
      <c r="B10" s="298" t="s">
        <v>179</v>
      </c>
      <c r="C10" s="237" t="s">
        <v>572</v>
      </c>
    </row>
    <row r="11" spans="1:35" x14ac:dyDescent="0.25">
      <c r="A11" s="142"/>
      <c r="B11" s="76"/>
    </row>
    <row r="12" spans="1:35" ht="23.25" x14ac:dyDescent="0.35">
      <c r="A12" s="299" t="s">
        <v>12</v>
      </c>
      <c r="B12" s="107"/>
      <c r="C12" s="107"/>
      <c r="D12" s="107"/>
      <c r="E12" s="107"/>
      <c r="F12" s="107"/>
      <c r="G12" s="107"/>
      <c r="H12" s="107"/>
      <c r="I12" s="107"/>
      <c r="J12" s="92"/>
      <c r="K12" s="92"/>
      <c r="L12" s="92"/>
      <c r="M12" s="92"/>
      <c r="N12" s="92"/>
      <c r="Q12" s="92"/>
      <c r="R12" s="92"/>
      <c r="S12" s="92"/>
      <c r="T12" s="92"/>
      <c r="U12" s="92"/>
      <c r="V12" s="92"/>
      <c r="W12" s="92"/>
      <c r="X12" s="92"/>
      <c r="Y12" s="92"/>
      <c r="Z12" s="92"/>
      <c r="AA12" s="92"/>
      <c r="AB12" s="92"/>
      <c r="AC12" s="92"/>
      <c r="AD12" s="92"/>
      <c r="AE12" s="92"/>
      <c r="AF12" s="92"/>
      <c r="AG12" s="92"/>
      <c r="AH12" s="92"/>
      <c r="AI12" s="92"/>
    </row>
    <row r="13" spans="1:35" ht="15" customHeight="1" x14ac:dyDescent="0.35">
      <c r="A13" s="290" t="s">
        <v>573</v>
      </c>
      <c r="B13" s="291"/>
      <c r="C13" s="97"/>
      <c r="D13" s="97"/>
      <c r="E13" s="97"/>
      <c r="F13" s="97"/>
      <c r="G13" s="97"/>
      <c r="H13" s="97"/>
      <c r="I13" s="97"/>
      <c r="J13" s="97"/>
      <c r="K13" s="97"/>
      <c r="L13" s="97"/>
      <c r="M13" s="291"/>
      <c r="N13" s="145"/>
      <c r="Q13" s="97"/>
      <c r="R13" s="97"/>
      <c r="S13" s="97"/>
      <c r="T13" s="97"/>
      <c r="U13" s="97"/>
      <c r="V13" s="97"/>
      <c r="W13" s="97"/>
      <c r="X13" s="97"/>
      <c r="Y13" s="97"/>
      <c r="Z13" s="97"/>
      <c r="AA13" s="97"/>
      <c r="AB13" s="97"/>
      <c r="AC13" s="97"/>
      <c r="AD13" s="97"/>
      <c r="AE13" s="97"/>
      <c r="AF13" s="97"/>
      <c r="AG13" s="97"/>
      <c r="AH13" s="97"/>
      <c r="AI13" s="97"/>
    </row>
    <row r="14" spans="1:35" ht="15" customHeight="1" x14ac:dyDescent="0.35">
      <c r="A14" s="290" t="s">
        <v>574</v>
      </c>
      <c r="B14" s="291"/>
      <c r="C14" s="97"/>
      <c r="D14" s="97"/>
      <c r="E14" s="97"/>
      <c r="F14" s="97"/>
      <c r="G14" s="97"/>
      <c r="H14" s="97"/>
      <c r="I14" s="97"/>
      <c r="J14" s="97"/>
      <c r="K14" s="97"/>
      <c r="L14" s="97"/>
      <c r="M14" s="291"/>
      <c r="N14" s="145"/>
      <c r="Q14" s="97"/>
      <c r="R14" s="97"/>
      <c r="S14" s="97"/>
      <c r="T14" s="97"/>
      <c r="U14" s="97"/>
      <c r="V14" s="97"/>
      <c r="W14" s="97"/>
      <c r="X14" s="97"/>
      <c r="Y14" s="97"/>
      <c r="Z14" s="97"/>
      <c r="AA14" s="97"/>
      <c r="AB14" s="97"/>
      <c r="AC14" s="97"/>
      <c r="AD14" s="97"/>
      <c r="AE14" s="97"/>
      <c r="AF14" s="97"/>
      <c r="AG14" s="97"/>
      <c r="AH14" s="97"/>
      <c r="AI14" s="97"/>
    </row>
    <row r="15" spans="1:35" x14ac:dyDescent="0.25">
      <c r="A15" s="3"/>
      <c r="B15" s="3"/>
      <c r="C15" s="3"/>
      <c r="D15" s="3"/>
      <c r="E15" s="3">
        <v>2021</v>
      </c>
      <c r="F15" s="3">
        <v>2022</v>
      </c>
      <c r="G15" s="3">
        <v>2023</v>
      </c>
      <c r="H15" s="3">
        <v>2024</v>
      </c>
      <c r="I15" s="109">
        <v>2025</v>
      </c>
      <c r="J15" s="3"/>
      <c r="K15" s="3"/>
      <c r="L15" s="3"/>
      <c r="M15" s="3"/>
      <c r="N15" s="3"/>
      <c r="O15" s="94"/>
      <c r="P15" s="94"/>
    </row>
    <row r="16" spans="1:35" x14ac:dyDescent="0.25">
      <c r="A16" s="300" t="s">
        <v>451</v>
      </c>
      <c r="B16" s="270"/>
      <c r="C16" s="301"/>
      <c r="D16" s="302"/>
      <c r="E16" s="303">
        <f>INDEX(Inputs!$B$68:$H$85,MATCH($B$6,Inputs!$B$68:$B$85,0),MATCH(E15,Inputs!$B$4:$H$4,0))</f>
        <v>0</v>
      </c>
      <c r="F16" s="303">
        <f>INDEX(Inputs!$B$68:$H$85,MATCH($B$6,Inputs!$B$68:$B$85,0),MATCH(F15,Inputs!$B$4:$H$4,0))</f>
        <v>0</v>
      </c>
      <c r="G16" s="303">
        <f>INDEX(Inputs!$B$68:$H$85,MATCH($B$6,Inputs!$B$68:$B$85,0),MATCH(G15,Inputs!$B$4:$H$4,0))</f>
        <v>0</v>
      </c>
      <c r="H16" s="303">
        <f>INDEX(Inputs!$B$68:$H$85,MATCH($B$6,Inputs!$B$68:$B$85,0),MATCH(H15,Inputs!$B$4:$H$4,0))</f>
        <v>0</v>
      </c>
      <c r="I16" s="303">
        <f>INDEX(Inputs!$B$68:$H$85,MATCH($B$6,Inputs!$B$68:$B$85,0),MATCH(I15,Inputs!$B$4:$H$4,0))</f>
        <v>0</v>
      </c>
      <c r="J16" s="40"/>
      <c r="K16" s="40"/>
      <c r="L16" s="40"/>
      <c r="M16" s="40"/>
      <c r="N16" s="40"/>
    </row>
    <row r="17" spans="1:16" x14ac:dyDescent="0.25">
      <c r="A17" s="300" t="s">
        <v>272</v>
      </c>
      <c r="B17" s="270"/>
      <c r="C17" s="301"/>
      <c r="D17" s="302"/>
      <c r="E17" s="303">
        <f>INDEX(Inputs!$B$13:$H$30,MATCH($B$6,Inputs!$B$13:$B$30,0),MATCH(E15,Inputs!$B$4:$H$4,0))</f>
        <v>211119.9718515854</v>
      </c>
      <c r="F17" s="303">
        <f>INDEX(Inputs!$B$13:$H$30,MATCH($B$6,Inputs!$B$13:$B$30,0),MATCH(F15,Inputs!$B$4:$H$4,0))</f>
        <v>209600.00629559506</v>
      </c>
      <c r="G17" s="303">
        <f>INDEX(Inputs!$B$13:$H$30,MATCH($B$6,Inputs!$B$13:$B$30,0),MATCH(G15,Inputs!$B$4:$H$4,0))</f>
        <v>213423.98232804175</v>
      </c>
      <c r="H17" s="303">
        <f>INDEX(Inputs!$B$13:$H$30,MATCH($B$6,Inputs!$B$13:$B$30,0),MATCH(H15,Inputs!$B$4:$H$4,0))</f>
        <v>209518.18392710513</v>
      </c>
      <c r="I17" s="303">
        <f>INDEX(Inputs!$B$13:$H$30,MATCH($B$6,Inputs!$B$13:$B$30,0),MATCH(I15,Inputs!$B$4:$H$4,0))</f>
        <v>197131.64960191568</v>
      </c>
      <c r="J17" s="1"/>
      <c r="K17" s="1"/>
      <c r="L17" s="1"/>
      <c r="M17" s="1"/>
      <c r="N17" s="1"/>
    </row>
    <row r="18" spans="1:16" x14ac:dyDescent="0.25">
      <c r="A18" s="300" t="s">
        <v>453</v>
      </c>
      <c r="B18" s="270"/>
      <c r="C18" s="301"/>
      <c r="D18" s="302"/>
      <c r="E18" s="303">
        <f>INDEX(Inputs!$B$32:$H$48,MATCH($B$6,Inputs!$B$32:$B$48,0),MATCH(E15,Inputs!$B$4:$H$4,0))</f>
        <v>215221.23517623401</v>
      </c>
      <c r="F18" s="303">
        <f>INDEX(Inputs!$B$32:$H$48,MATCH($B$6,Inputs!$B$32:$B$48,0),MATCH(F15,Inputs!$B$4:$H$4,0))</f>
        <v>171903</v>
      </c>
      <c r="G18" s="303">
        <f>INDEX(Inputs!$B$32:$H$48,MATCH($B$6,Inputs!$B$32:$B$48,0),MATCH(G15,Inputs!$B$4:$H$4,0))</f>
        <v>169286.63359466099</v>
      </c>
      <c r="H18" s="303">
        <f>INDEX(Inputs!$B$32:$H$48,MATCH($B$6,Inputs!$B$32:$B$48,0),MATCH(H15,Inputs!$B$4:$H$4,0))</f>
        <v>0</v>
      </c>
      <c r="I18" s="303">
        <f>INDEX(Inputs!$B$32:$H$48,MATCH($B$6,Inputs!$B$32:$B$48,0),MATCH(I15,Inputs!$B$4:$H$4,0))</f>
        <v>0</v>
      </c>
      <c r="J18" s="1"/>
      <c r="K18" s="1"/>
      <c r="L18" s="1"/>
      <c r="M18" s="1"/>
      <c r="N18" s="1"/>
    </row>
    <row r="19" spans="1:16" ht="30" x14ac:dyDescent="0.25">
      <c r="A19" s="300" t="s">
        <v>455</v>
      </c>
      <c r="B19" s="270"/>
      <c r="C19" s="301"/>
      <c r="D19" s="302"/>
      <c r="E19" s="303">
        <f>INDEX(Inputs!$B$50:$H$66,MATCH($B$6,Inputs!$B$50:$B$66,0),MATCH(E15,Inputs!$B$4:$H$4,0))</f>
        <v>0</v>
      </c>
      <c r="F19" s="303">
        <f>INDEX(Inputs!$B$50:$H$66,MATCH($B$6,Inputs!$B$50:$B$66,0),MATCH(F15,Inputs!$B$4:$H$4,0))</f>
        <v>0</v>
      </c>
      <c r="G19" s="303">
        <f>INDEX(Inputs!$B$50:$H$66,MATCH($B$6,Inputs!$B$50:$B$66,0),MATCH(G15,Inputs!$B$4:$H$4,0))</f>
        <v>0</v>
      </c>
      <c r="H19" s="303">
        <f>INDEX(Inputs!$B$50:$H$66,MATCH($B$6,Inputs!$B$50:$B$66,0),MATCH(H15,Inputs!$B$4:$H$4,0))</f>
        <v>308324</v>
      </c>
      <c r="I19" s="303">
        <f>INDEX(Inputs!$B$50:$H$66,MATCH($B$6,Inputs!$B$50:$B$66,0),MATCH(I15,Inputs!$B$4:$H$4,0))</f>
        <v>382111</v>
      </c>
      <c r="J19" s="1"/>
      <c r="K19" s="1"/>
      <c r="L19" s="1"/>
      <c r="M19" s="1"/>
      <c r="N19" s="1"/>
    </row>
    <row r="20" spans="1:16" x14ac:dyDescent="0.25">
      <c r="A20" s="300" t="s">
        <v>452</v>
      </c>
      <c r="B20" s="270"/>
      <c r="C20" s="301"/>
      <c r="D20" s="302"/>
      <c r="E20" s="303">
        <f>MAX(0,E18-E16)</f>
        <v>215221.23517623401</v>
      </c>
      <c r="F20" s="303">
        <f>MAX(0,F18-F16)</f>
        <v>171903</v>
      </c>
      <c r="G20" s="303">
        <f>MAX(0,G18-G16)</f>
        <v>169286.63359466099</v>
      </c>
      <c r="H20" s="303">
        <f>MAX(0,H18-H16)</f>
        <v>0</v>
      </c>
      <c r="I20" s="303">
        <f>MAX(0,I18-I16)</f>
        <v>0</v>
      </c>
      <c r="J20" s="1"/>
      <c r="K20" s="1"/>
      <c r="L20" s="1"/>
      <c r="M20" s="1"/>
      <c r="N20" s="1"/>
    </row>
    <row r="21" spans="1:16" ht="30" x14ac:dyDescent="0.25">
      <c r="A21" s="300" t="s">
        <v>454</v>
      </c>
      <c r="B21" s="270"/>
      <c r="C21" s="301"/>
      <c r="D21" s="302"/>
      <c r="E21" s="303">
        <f>MAX(0,E19-E16)</f>
        <v>0</v>
      </c>
      <c r="F21" s="303">
        <f>MAX(0,F19-F16)</f>
        <v>0</v>
      </c>
      <c r="G21" s="303">
        <f>MAX(0,G19-G16)</f>
        <v>0</v>
      </c>
      <c r="H21" s="303">
        <f>MAX(0,H19-H16)</f>
        <v>308324</v>
      </c>
      <c r="I21" s="303">
        <f>MAX(0,I19-I16)</f>
        <v>382111</v>
      </c>
      <c r="J21" s="1"/>
      <c r="K21" s="1"/>
      <c r="L21" s="1"/>
      <c r="M21" s="1"/>
      <c r="N21" s="1"/>
    </row>
    <row r="22" spans="1:16" x14ac:dyDescent="0.25">
      <c r="A22" s="304"/>
      <c r="B22" s="270"/>
      <c r="C22" s="305"/>
      <c r="D22" s="306"/>
      <c r="E22" s="306"/>
      <c r="F22" s="306"/>
      <c r="G22" s="306"/>
      <c r="H22" s="306"/>
      <c r="I22" s="306"/>
      <c r="J22" s="307"/>
      <c r="K22" s="307"/>
      <c r="L22" s="307"/>
      <c r="M22" s="307"/>
      <c r="N22" s="307"/>
    </row>
    <row r="23" spans="1:16" x14ac:dyDescent="0.25">
      <c r="A23" s="300" t="s">
        <v>236</v>
      </c>
      <c r="B23" s="270"/>
      <c r="C23" s="308">
        <f>Inputs!C5</f>
        <v>4.5699999999999998E-2</v>
      </c>
      <c r="D23" s="308"/>
      <c r="E23" s="308"/>
      <c r="F23" s="308"/>
      <c r="G23" s="308"/>
      <c r="H23" s="308"/>
      <c r="I23" s="308"/>
      <c r="J23" s="308"/>
      <c r="K23" s="308"/>
      <c r="L23" s="308"/>
      <c r="M23" s="308"/>
      <c r="N23" s="308"/>
      <c r="O23" s="191"/>
      <c r="P23" s="191"/>
    </row>
    <row r="24" spans="1:16" x14ac:dyDescent="0.25">
      <c r="A24" s="300" t="s">
        <v>267</v>
      </c>
      <c r="B24" s="270"/>
      <c r="C24" s="308">
        <f>Inputs!C6</f>
        <v>7.3700000000000002E-2</v>
      </c>
      <c r="D24" s="308"/>
      <c r="E24" s="308"/>
      <c r="F24" s="308"/>
      <c r="G24" s="308"/>
      <c r="H24" s="308"/>
      <c r="I24" s="308"/>
      <c r="J24" s="308"/>
      <c r="K24" s="308"/>
      <c r="L24" s="308"/>
      <c r="M24" s="308"/>
      <c r="N24" s="308"/>
      <c r="O24" s="191"/>
      <c r="P24" s="191"/>
    </row>
    <row r="25" spans="1:16" x14ac:dyDescent="0.25">
      <c r="A25" s="300" t="s">
        <v>273</v>
      </c>
      <c r="B25" s="270"/>
      <c r="C25" s="308">
        <f>Inputs!C7</f>
        <v>0.23499999999999999</v>
      </c>
      <c r="D25" s="308"/>
      <c r="E25" s="308"/>
      <c r="F25" s="308"/>
      <c r="G25" s="308"/>
      <c r="H25" s="308"/>
      <c r="I25" s="308"/>
      <c r="J25" s="308"/>
      <c r="K25" s="308"/>
      <c r="L25" s="308"/>
      <c r="M25" s="308"/>
      <c r="N25" s="308"/>
      <c r="O25" s="191"/>
      <c r="P25" s="191"/>
    </row>
    <row r="26" spans="1:16" x14ac:dyDescent="0.25">
      <c r="A26" s="300" t="s">
        <v>266</v>
      </c>
      <c r="B26" s="270"/>
      <c r="C26" s="308">
        <f>Inputs!C8</f>
        <v>6.1199999999999997E-2</v>
      </c>
      <c r="D26" s="308"/>
      <c r="E26" s="308"/>
      <c r="F26" s="308"/>
      <c r="G26" s="308"/>
      <c r="H26" s="308"/>
      <c r="I26" s="308"/>
      <c r="J26" s="308"/>
      <c r="K26" s="308"/>
      <c r="L26" s="308"/>
      <c r="M26" s="308"/>
      <c r="N26" s="308"/>
      <c r="O26" s="191"/>
      <c r="P26" s="191"/>
    </row>
    <row r="27" spans="1:16" x14ac:dyDescent="0.25">
      <c r="A27" s="304" t="s">
        <v>1</v>
      </c>
      <c r="B27" s="270"/>
      <c r="C27" s="303">
        <f>Inputs!C9</f>
        <v>44</v>
      </c>
      <c r="D27" s="303"/>
      <c r="E27" s="303"/>
      <c r="F27" s="303"/>
      <c r="G27" s="303"/>
      <c r="H27" s="303"/>
      <c r="I27" s="303"/>
      <c r="J27" s="303"/>
      <c r="K27" s="303"/>
      <c r="L27" s="303"/>
      <c r="M27" s="303"/>
      <c r="N27" s="303"/>
      <c r="O27" s="192"/>
      <c r="P27" s="192"/>
    </row>
    <row r="28" spans="1:16" x14ac:dyDescent="0.25">
      <c r="A28" s="304" t="s">
        <v>204</v>
      </c>
      <c r="B28" s="270"/>
      <c r="C28" s="303"/>
      <c r="D28" s="303"/>
      <c r="E28" s="303">
        <f>Inputs!D10</f>
        <v>45</v>
      </c>
      <c r="F28" s="303">
        <f>Inputs!E10</f>
        <v>45</v>
      </c>
      <c r="G28" s="303">
        <f>Inputs!F10</f>
        <v>45</v>
      </c>
      <c r="H28" s="303">
        <f>Inputs!G10</f>
        <v>45</v>
      </c>
      <c r="I28" s="303">
        <f>Inputs!H10</f>
        <v>45</v>
      </c>
      <c r="J28" s="303"/>
      <c r="K28" s="303"/>
      <c r="L28" s="303"/>
      <c r="M28" s="303"/>
      <c r="N28" s="303"/>
      <c r="O28" s="192"/>
      <c r="P28" s="192"/>
    </row>
    <row r="29" spans="1:16" x14ac:dyDescent="0.25">
      <c r="A29" s="304"/>
      <c r="B29" s="270"/>
      <c r="C29" s="305"/>
      <c r="D29" s="306"/>
      <c r="E29" s="306"/>
      <c r="F29" s="306"/>
      <c r="G29" s="306"/>
      <c r="H29" s="306"/>
      <c r="I29" s="306"/>
      <c r="J29" s="306"/>
      <c r="K29" s="306"/>
      <c r="L29" s="306"/>
      <c r="M29" s="306"/>
      <c r="N29" s="306"/>
    </row>
    <row r="30" spans="1:16" x14ac:dyDescent="0.25">
      <c r="A30" s="287" t="s">
        <v>2</v>
      </c>
      <c r="B30" s="257"/>
      <c r="C30" s="104">
        <f>'BBAR (DPP)'!C57</f>
        <v>1801373.7352488665</v>
      </c>
      <c r="D30" s="308"/>
      <c r="E30" s="308"/>
      <c r="F30" s="308"/>
      <c r="G30" s="308"/>
      <c r="H30" s="308"/>
      <c r="I30" s="308"/>
      <c r="J30" s="308"/>
      <c r="K30" s="308"/>
      <c r="L30" s="308"/>
      <c r="M30" s="308"/>
      <c r="N30" s="308"/>
      <c r="O30" s="191"/>
      <c r="P30" s="193" t="s">
        <v>416</v>
      </c>
    </row>
    <row r="31" spans="1:16" x14ac:dyDescent="0.25">
      <c r="A31" s="304" t="s">
        <v>3</v>
      </c>
      <c r="B31" s="82"/>
      <c r="C31" s="303">
        <f>'BBAR (update)'!C56</f>
        <v>1802466.6869793849</v>
      </c>
      <c r="D31" s="303"/>
      <c r="E31" s="303"/>
      <c r="F31" s="303"/>
      <c r="G31" s="303"/>
      <c r="H31" s="303"/>
      <c r="I31" s="303"/>
      <c r="J31" s="303"/>
      <c r="K31" s="303"/>
      <c r="L31" s="303"/>
      <c r="M31" s="303"/>
      <c r="N31" s="303"/>
      <c r="O31" s="192"/>
      <c r="P31" s="193" t="s">
        <v>421</v>
      </c>
    </row>
    <row r="32" spans="1:16" x14ac:dyDescent="0.25">
      <c r="A32" s="40"/>
      <c r="B32" s="309"/>
      <c r="C32" s="40"/>
      <c r="D32" s="40"/>
      <c r="E32" s="40"/>
      <c r="F32" s="40"/>
      <c r="G32" s="40"/>
      <c r="H32" s="40"/>
      <c r="I32" s="40"/>
      <c r="J32" s="40"/>
      <c r="K32" s="40"/>
      <c r="L32" s="40"/>
      <c r="M32" s="40"/>
      <c r="N32" s="40"/>
    </row>
    <row r="33" spans="1:35" x14ac:dyDescent="0.25">
      <c r="A33" s="3"/>
      <c r="B33" s="3"/>
      <c r="C33" s="3" t="s">
        <v>185</v>
      </c>
      <c r="D33" s="3" t="s">
        <v>186</v>
      </c>
      <c r="E33" s="3">
        <v>2021</v>
      </c>
      <c r="F33" s="3">
        <v>2022</v>
      </c>
      <c r="G33" s="3">
        <v>2023</v>
      </c>
      <c r="H33" s="3">
        <v>2024</v>
      </c>
      <c r="I33" s="109">
        <v>2025</v>
      </c>
      <c r="J33" s="3"/>
      <c r="K33" s="3"/>
      <c r="L33" s="3"/>
      <c r="M33" s="3"/>
      <c r="N33" s="3"/>
      <c r="O33" s="94"/>
      <c r="P33" s="94"/>
    </row>
    <row r="34" spans="1:35" x14ac:dyDescent="0.25">
      <c r="A34" s="304" t="s">
        <v>503</v>
      </c>
      <c r="B34" s="270"/>
      <c r="C34" s="305"/>
      <c r="D34" s="306"/>
      <c r="E34" s="136">
        <v>-4.5</v>
      </c>
      <c r="F34" s="136">
        <v>-3.5</v>
      </c>
      <c r="G34" s="136">
        <v>-2.5</v>
      </c>
      <c r="H34" s="136">
        <v>-1.5</v>
      </c>
      <c r="I34" s="136">
        <v>-0.5</v>
      </c>
      <c r="J34" s="306"/>
      <c r="K34" s="306"/>
      <c r="L34" s="306"/>
      <c r="M34" s="306"/>
      <c r="N34" s="306"/>
    </row>
    <row r="35" spans="1:35" x14ac:dyDescent="0.25">
      <c r="A35" s="304" t="s">
        <v>502</v>
      </c>
      <c r="B35" s="270"/>
      <c r="C35" s="305"/>
      <c r="D35" s="308"/>
      <c r="E35" s="136">
        <f>1/(1+$C$23)^E34</f>
        <v>1.2227339929176178</v>
      </c>
      <c r="F35" s="136">
        <f>1/(1+$C$23)^F34</f>
        <v>1.1692971147725137</v>
      </c>
      <c r="G35" s="136">
        <f>1/(1+$C$23)^G34</f>
        <v>1.118195576907826</v>
      </c>
      <c r="H35" s="136">
        <f>1/(1+$C$23)^H34</f>
        <v>1.0693273184544572</v>
      </c>
      <c r="I35" s="136">
        <f>1/(1+$C$23)^I34</f>
        <v>1.0225947388873073</v>
      </c>
      <c r="J35" s="308"/>
      <c r="K35" s="308"/>
      <c r="L35" s="308"/>
      <c r="M35" s="308"/>
      <c r="N35" s="308"/>
      <c r="O35" s="191"/>
      <c r="P35" s="191"/>
    </row>
    <row r="36" spans="1:35" x14ac:dyDescent="0.25">
      <c r="A36" s="304" t="s">
        <v>272</v>
      </c>
      <c r="B36" s="270"/>
      <c r="C36" s="105">
        <f>SUM(E36:I36)</f>
        <v>1040793.7940042431</v>
      </c>
      <c r="D36" s="308"/>
      <c r="E36" s="106">
        <f>E17</f>
        <v>211119.9718515854</v>
      </c>
      <c r="F36" s="106">
        <f>F17</f>
        <v>209600.00629559506</v>
      </c>
      <c r="G36" s="106">
        <f>G17</f>
        <v>213423.98232804175</v>
      </c>
      <c r="H36" s="106">
        <f>H17</f>
        <v>209518.18392710513</v>
      </c>
      <c r="I36" s="106">
        <f>I17</f>
        <v>197131.64960191568</v>
      </c>
      <c r="J36" s="308"/>
      <c r="K36" s="308"/>
      <c r="L36" s="308"/>
      <c r="M36" s="308"/>
      <c r="N36" s="308"/>
      <c r="O36" s="191"/>
      <c r="P36" s="191"/>
    </row>
    <row r="37" spans="1:35" ht="30" x14ac:dyDescent="0.25">
      <c r="A37" s="304" t="s">
        <v>457</v>
      </c>
      <c r="B37" s="270"/>
      <c r="C37" s="105"/>
      <c r="D37" s="308"/>
      <c r="E37" s="106">
        <f>IF(E18=0,IF($B$10="Use DPP model values",E17,E19),E18)</f>
        <v>215221.23517623401</v>
      </c>
      <c r="F37" s="106">
        <f>IF(F18=0,IF($B$10="Use DPP model values",F17,F19),F18)</f>
        <v>171903</v>
      </c>
      <c r="G37" s="106">
        <f>IF(G18=0,IF($B$10="Use DPP model values",G17,G19),G18)</f>
        <v>169286.63359466099</v>
      </c>
      <c r="H37" s="106">
        <f>IF(H18=0,IF($B$10="Use DPP model values",H17,H19),H18)</f>
        <v>308324</v>
      </c>
      <c r="I37" s="106">
        <f>IF(I18=0,IF($B$10="Use DPP model values",I17,I19),I18)</f>
        <v>382111</v>
      </c>
      <c r="J37" s="308"/>
      <c r="K37" s="308"/>
      <c r="L37" s="308"/>
      <c r="M37" s="308"/>
      <c r="N37" s="308"/>
      <c r="O37" s="191"/>
      <c r="P37" s="193" t="s">
        <v>589</v>
      </c>
    </row>
    <row r="38" spans="1:35" ht="30" x14ac:dyDescent="0.25">
      <c r="A38" s="304" t="s">
        <v>456</v>
      </c>
      <c r="B38" s="270"/>
      <c r="C38" s="105">
        <f>SUM(E38:I38)</f>
        <v>1246845.8687708951</v>
      </c>
      <c r="D38" s="308"/>
      <c r="E38" s="106">
        <f>IF(E20&lt;=0,IF($B$10="Use DPP model values",E17,E21),E20)</f>
        <v>215221.23517623401</v>
      </c>
      <c r="F38" s="106">
        <f>IF(F20&lt;=0,IF($B$10="Use DPP model values",F17,F21),F20)</f>
        <v>171903</v>
      </c>
      <c r="G38" s="106">
        <f>IF(G20&lt;=0,IF($B$10="Use DPP model values",G17,G21),G20)</f>
        <v>169286.63359466099</v>
      </c>
      <c r="H38" s="106">
        <f>IF(H20&lt;=0,IF($B$10="Use DPP model values",H17,H21),H20)</f>
        <v>308324</v>
      </c>
      <c r="I38" s="106">
        <f>IF(I20&lt;=0,IF($B$10="Use DPP model values",I17,I21),I20)</f>
        <v>382111</v>
      </c>
      <c r="J38" s="308"/>
      <c r="K38" s="308"/>
      <c r="L38" s="308"/>
      <c r="M38" s="308"/>
      <c r="N38" s="308"/>
      <c r="O38" s="191"/>
      <c r="P38" s="193" t="s">
        <v>590</v>
      </c>
    </row>
    <row r="39" spans="1:35" x14ac:dyDescent="0.25">
      <c r="A39" s="310"/>
      <c r="B39" s="40"/>
      <c r="C39" s="40"/>
      <c r="D39" s="40"/>
      <c r="E39" s="40"/>
      <c r="F39" s="40"/>
      <c r="G39" s="40"/>
      <c r="H39" s="40"/>
      <c r="I39" s="40"/>
      <c r="J39" s="40"/>
      <c r="K39" s="40"/>
      <c r="L39" s="40"/>
      <c r="M39" s="40"/>
      <c r="N39" s="40"/>
    </row>
    <row r="40" spans="1:35" x14ac:dyDescent="0.25">
      <c r="A40" s="1"/>
      <c r="B40" s="1"/>
      <c r="C40" s="1"/>
      <c r="D40" s="1"/>
      <c r="E40" s="1"/>
      <c r="F40" s="1"/>
      <c r="G40" s="1"/>
      <c r="H40" s="1"/>
      <c r="I40" s="1"/>
      <c r="J40" s="1"/>
      <c r="K40" s="1"/>
      <c r="L40" s="1"/>
      <c r="M40" s="1"/>
      <c r="N40" s="1"/>
    </row>
    <row r="41" spans="1:35" ht="23.25" x14ac:dyDescent="0.35">
      <c r="A41" s="299" t="s">
        <v>71</v>
      </c>
      <c r="B41" s="107"/>
      <c r="C41" s="107"/>
      <c r="D41" s="107" t="s">
        <v>186</v>
      </c>
      <c r="E41" s="107"/>
      <c r="F41" s="107"/>
      <c r="G41" s="107"/>
      <c r="H41" s="107"/>
      <c r="I41" s="107"/>
      <c r="J41" s="107"/>
      <c r="K41" s="107"/>
      <c r="L41" s="107"/>
      <c r="M41" s="107"/>
      <c r="N41" s="107"/>
      <c r="O41" s="94"/>
      <c r="Q41" s="92"/>
      <c r="R41" s="92"/>
      <c r="S41" s="92"/>
      <c r="T41" s="92"/>
      <c r="U41" s="92"/>
      <c r="V41" s="92"/>
      <c r="W41" s="92"/>
      <c r="X41" s="92"/>
      <c r="Y41" s="92"/>
      <c r="Z41" s="92"/>
      <c r="AA41" s="92"/>
      <c r="AB41" s="92"/>
      <c r="AC41" s="92"/>
      <c r="AD41" s="92"/>
      <c r="AE41" s="92"/>
      <c r="AF41" s="92"/>
      <c r="AG41" s="92"/>
      <c r="AH41" s="92"/>
      <c r="AI41" s="92"/>
    </row>
    <row r="42" spans="1:35" x14ac:dyDescent="0.25">
      <c r="A42" s="108" t="s">
        <v>529</v>
      </c>
      <c r="B42" s="96"/>
      <c r="C42" s="96"/>
      <c r="D42" s="96"/>
      <c r="E42" s="96"/>
      <c r="F42" s="96"/>
      <c r="G42" s="96"/>
      <c r="H42" s="96"/>
      <c r="I42" s="96"/>
      <c r="J42" s="96"/>
      <c r="K42" s="96"/>
      <c r="L42" s="96"/>
      <c r="M42" s="96"/>
      <c r="N42" s="96"/>
      <c r="O42" s="94"/>
      <c r="Q42" s="95"/>
      <c r="R42" s="95"/>
      <c r="S42" s="95"/>
      <c r="T42" s="95"/>
      <c r="U42" s="95"/>
      <c r="V42" s="95"/>
      <c r="W42" s="95"/>
      <c r="X42" s="95"/>
      <c r="Y42" s="95"/>
      <c r="Z42" s="95"/>
      <c r="AA42" s="95"/>
      <c r="AB42" s="95"/>
      <c r="AC42" s="95"/>
      <c r="AD42" s="95"/>
      <c r="AE42" s="95"/>
      <c r="AF42" s="95"/>
      <c r="AG42" s="95"/>
      <c r="AH42" s="95"/>
      <c r="AI42" s="95"/>
    </row>
    <row r="43" spans="1:35" x14ac:dyDescent="0.25">
      <c r="A43" s="311" t="s">
        <v>523</v>
      </c>
      <c r="B43" s="98"/>
      <c r="C43" s="98"/>
      <c r="D43" s="98"/>
      <c r="E43" s="98"/>
      <c r="F43" s="98"/>
      <c r="G43" s="98"/>
      <c r="H43" s="98"/>
      <c r="I43" s="98"/>
      <c r="J43" s="98"/>
      <c r="K43" s="98"/>
      <c r="L43" s="98"/>
      <c r="M43" s="98"/>
      <c r="N43" s="98"/>
      <c r="O43" s="94"/>
      <c r="Q43" s="97"/>
      <c r="R43" s="97"/>
      <c r="S43" s="97"/>
      <c r="T43" s="97"/>
      <c r="U43" s="97"/>
      <c r="V43" s="97"/>
      <c r="W43" s="97"/>
      <c r="X43" s="97"/>
      <c r="Y43" s="97"/>
      <c r="Z43" s="97"/>
      <c r="AA43" s="97"/>
      <c r="AB43" s="97"/>
      <c r="AC43" s="97"/>
      <c r="AD43" s="97"/>
      <c r="AE43" s="97"/>
      <c r="AF43" s="97"/>
      <c r="AG43" s="97"/>
      <c r="AH43" s="97"/>
      <c r="AI43" s="97"/>
    </row>
    <row r="44" spans="1:35" x14ac:dyDescent="0.25">
      <c r="A44" s="311" t="s">
        <v>526</v>
      </c>
      <c r="B44" s="98"/>
      <c r="C44" s="98"/>
      <c r="D44" s="98"/>
      <c r="E44" s="98"/>
      <c r="F44" s="98"/>
      <c r="G44" s="98"/>
      <c r="H44" s="98"/>
      <c r="I44" s="98"/>
      <c r="J44" s="98"/>
      <c r="K44" s="98"/>
      <c r="L44" s="98"/>
      <c r="M44" s="98"/>
      <c r="N44" s="98"/>
      <c r="O44" s="94"/>
      <c r="Q44" s="97"/>
      <c r="R44" s="97"/>
      <c r="S44" s="97"/>
      <c r="T44" s="97"/>
      <c r="U44" s="97"/>
      <c r="V44" s="97"/>
      <c r="W44" s="97"/>
      <c r="X44" s="97"/>
      <c r="Y44" s="97"/>
      <c r="Z44" s="97"/>
      <c r="AA44" s="97"/>
      <c r="AB44" s="97"/>
      <c r="AC44" s="97"/>
      <c r="AD44" s="97"/>
      <c r="AE44" s="97"/>
      <c r="AF44" s="97"/>
      <c r="AG44" s="97"/>
      <c r="AH44" s="97"/>
      <c r="AI44" s="97"/>
    </row>
    <row r="45" spans="1:35" x14ac:dyDescent="0.25">
      <c r="A45" s="311" t="s">
        <v>528</v>
      </c>
      <c r="B45" s="98"/>
      <c r="C45" s="98"/>
      <c r="D45" s="98"/>
      <c r="E45" s="98"/>
      <c r="F45" s="98"/>
      <c r="G45" s="98"/>
      <c r="H45" s="98"/>
      <c r="I45" s="98"/>
      <c r="J45" s="98"/>
      <c r="K45" s="98"/>
      <c r="L45" s="98"/>
      <c r="M45" s="98"/>
      <c r="N45" s="98"/>
      <c r="O45" s="94"/>
      <c r="Q45" s="97"/>
      <c r="R45" s="97"/>
      <c r="S45" s="97"/>
      <c r="T45" s="97"/>
      <c r="U45" s="97"/>
      <c r="V45" s="97"/>
      <c r="W45" s="97"/>
      <c r="X45" s="97"/>
      <c r="Y45" s="97"/>
      <c r="Z45" s="97"/>
      <c r="AA45" s="97"/>
      <c r="AB45" s="97"/>
      <c r="AC45" s="97"/>
      <c r="AD45" s="97"/>
      <c r="AE45" s="97"/>
      <c r="AF45" s="97"/>
      <c r="AG45" s="97"/>
      <c r="AH45" s="97"/>
      <c r="AI45" s="97"/>
    </row>
    <row r="46" spans="1:35" s="190" customFormat="1" x14ac:dyDescent="0.25">
      <c r="A46" s="312"/>
      <c r="B46" s="313"/>
      <c r="C46" s="313" t="s">
        <v>185</v>
      </c>
      <c r="D46" s="189"/>
      <c r="E46" s="189"/>
      <c r="F46" s="189"/>
      <c r="G46" s="189"/>
      <c r="H46" s="189"/>
      <c r="I46" s="189"/>
      <c r="J46" s="189"/>
      <c r="K46" s="189"/>
      <c r="L46" s="189"/>
      <c r="M46" s="189"/>
      <c r="N46" s="189"/>
      <c r="O46" s="189"/>
    </row>
    <row r="47" spans="1:35" x14ac:dyDescent="0.25">
      <c r="A47" s="300" t="s">
        <v>274</v>
      </c>
      <c r="B47" s="270"/>
      <c r="C47" s="314">
        <f>C30</f>
        <v>1801373.7352488665</v>
      </c>
      <c r="D47" s="1"/>
      <c r="E47" s="1"/>
      <c r="F47" s="1"/>
      <c r="G47" s="1"/>
      <c r="H47" s="1"/>
      <c r="I47" s="1"/>
      <c r="J47" s="1"/>
      <c r="K47" s="1"/>
      <c r="L47" s="1"/>
      <c r="M47" s="1"/>
      <c r="N47" s="1"/>
    </row>
    <row r="48" spans="1:35" ht="30" x14ac:dyDescent="0.25">
      <c r="A48" s="300" t="s">
        <v>275</v>
      </c>
      <c r="B48" s="82"/>
      <c r="C48" s="314">
        <f>C31</f>
        <v>1802466.6869793849</v>
      </c>
      <c r="D48" s="1"/>
      <c r="E48" s="1"/>
      <c r="F48" s="1"/>
      <c r="G48" s="1"/>
      <c r="H48" s="1"/>
      <c r="I48" s="1"/>
      <c r="J48" s="1"/>
      <c r="K48" s="1"/>
      <c r="L48" s="1"/>
      <c r="M48" s="1"/>
      <c r="N48" s="1"/>
    </row>
    <row r="49" spans="1:35" x14ac:dyDescent="0.25">
      <c r="A49" s="300" t="s">
        <v>276</v>
      </c>
      <c r="B49" s="315"/>
      <c r="C49" s="314">
        <f>C48-C47</f>
        <v>1092.951730518369</v>
      </c>
      <c r="D49" s="1"/>
      <c r="E49" s="1"/>
      <c r="F49" s="1"/>
      <c r="G49" s="1"/>
      <c r="H49" s="1"/>
      <c r="I49" s="1"/>
      <c r="J49" s="1"/>
      <c r="K49" s="1"/>
      <c r="L49" s="1"/>
      <c r="M49" s="1"/>
      <c r="N49" s="1"/>
      <c r="P49" t="s">
        <v>514</v>
      </c>
    </row>
    <row r="50" spans="1:35" x14ac:dyDescent="0.25">
      <c r="A50" s="85" t="s">
        <v>522</v>
      </c>
      <c r="B50" s="270"/>
      <c r="C50" s="316">
        <f>C49*(1+C23)^5</f>
        <v>1366.5845993062051</v>
      </c>
      <c r="D50" s="1"/>
      <c r="E50" s="1"/>
      <c r="F50" s="1"/>
      <c r="G50" s="1"/>
      <c r="H50" s="1"/>
      <c r="I50" s="1"/>
      <c r="J50" s="1"/>
      <c r="K50" s="1"/>
      <c r="L50" s="1"/>
      <c r="M50" s="1"/>
      <c r="N50" s="1"/>
      <c r="P50" t="s">
        <v>515</v>
      </c>
    </row>
    <row r="51" spans="1:35" x14ac:dyDescent="0.25">
      <c r="A51" s="309"/>
      <c r="B51" s="40"/>
      <c r="C51" s="40"/>
      <c r="D51" s="1"/>
      <c r="E51" s="1"/>
      <c r="F51" s="1"/>
      <c r="G51" s="1"/>
      <c r="H51" s="1"/>
      <c r="I51" s="1"/>
      <c r="J51" s="1"/>
      <c r="K51" s="1"/>
      <c r="L51" s="1"/>
      <c r="M51" s="1"/>
      <c r="N51" s="1"/>
    </row>
    <row r="52" spans="1:35" x14ac:dyDescent="0.25">
      <c r="A52" s="108" t="s">
        <v>530</v>
      </c>
      <c r="B52" s="96"/>
      <c r="C52" s="96"/>
      <c r="D52" s="96"/>
      <c r="E52" s="96"/>
      <c r="F52" s="96"/>
      <c r="G52" s="96"/>
      <c r="H52" s="96"/>
      <c r="I52" s="96"/>
      <c r="J52" s="96"/>
      <c r="K52" s="96"/>
      <c r="L52" s="96"/>
      <c r="M52" s="96"/>
      <c r="N52" s="96"/>
      <c r="O52" s="94"/>
      <c r="Q52" s="95"/>
      <c r="R52" s="95"/>
      <c r="S52" s="95"/>
      <c r="T52" s="95"/>
      <c r="U52" s="95"/>
      <c r="V52" s="95"/>
      <c r="W52" s="95"/>
      <c r="X52" s="95"/>
      <c r="Y52" s="95"/>
      <c r="Z52" s="95"/>
      <c r="AA52" s="95"/>
      <c r="AB52" s="95"/>
      <c r="AC52" s="95"/>
      <c r="AD52" s="95"/>
      <c r="AE52" s="95"/>
      <c r="AF52" s="95"/>
      <c r="AG52" s="95"/>
      <c r="AH52" s="95"/>
      <c r="AI52" s="95"/>
    </row>
    <row r="53" spans="1:35" x14ac:dyDescent="0.25">
      <c r="A53" s="311" t="s">
        <v>525</v>
      </c>
      <c r="B53" s="98"/>
      <c r="C53" s="98"/>
      <c r="D53" s="98"/>
      <c r="E53" s="98"/>
      <c r="F53" s="98"/>
      <c r="G53" s="98"/>
      <c r="H53" s="98"/>
      <c r="I53" s="98"/>
      <c r="J53" s="98"/>
      <c r="K53" s="98"/>
      <c r="L53" s="98"/>
      <c r="M53" s="98"/>
      <c r="N53" s="98"/>
      <c r="O53" s="94"/>
      <c r="Q53" s="97"/>
      <c r="R53" s="97"/>
      <c r="S53" s="97"/>
      <c r="T53" s="97"/>
      <c r="U53" s="97"/>
      <c r="V53" s="97"/>
      <c r="W53" s="97"/>
      <c r="X53" s="97"/>
      <c r="Y53" s="97"/>
      <c r="Z53" s="97"/>
      <c r="AA53" s="97"/>
      <c r="AB53" s="97"/>
      <c r="AC53" s="97"/>
      <c r="AD53" s="97"/>
      <c r="AE53" s="97"/>
      <c r="AF53" s="97"/>
      <c r="AG53" s="97"/>
      <c r="AH53" s="97"/>
      <c r="AI53" s="97"/>
    </row>
    <row r="54" spans="1:35" x14ac:dyDescent="0.25">
      <c r="A54" s="311" t="s">
        <v>527</v>
      </c>
      <c r="B54" s="98"/>
      <c r="C54" s="98"/>
      <c r="D54" s="98"/>
      <c r="E54" s="98"/>
      <c r="F54" s="98"/>
      <c r="G54" s="98"/>
      <c r="H54" s="98"/>
      <c r="I54" s="98"/>
      <c r="J54" s="98"/>
      <c r="K54" s="98"/>
      <c r="L54" s="98"/>
      <c r="M54" s="98"/>
      <c r="N54" s="98"/>
      <c r="O54" s="94"/>
      <c r="Q54" s="97"/>
      <c r="R54" s="97"/>
      <c r="S54" s="97"/>
      <c r="T54" s="97"/>
      <c r="U54" s="97"/>
      <c r="V54" s="97"/>
      <c r="W54" s="97"/>
      <c r="X54" s="97"/>
      <c r="Y54" s="97"/>
      <c r="Z54" s="97"/>
      <c r="AA54" s="97"/>
      <c r="AB54" s="97"/>
      <c r="AC54" s="97"/>
      <c r="AD54" s="97"/>
      <c r="AE54" s="97"/>
      <c r="AF54" s="97"/>
      <c r="AG54" s="97"/>
      <c r="AH54" s="97"/>
      <c r="AI54" s="97"/>
    </row>
    <row r="55" spans="1:35" x14ac:dyDescent="0.25">
      <c r="A55" s="1"/>
      <c r="B55" s="1"/>
      <c r="C55" s="1"/>
      <c r="D55" s="1"/>
      <c r="E55" s="1"/>
      <c r="F55" s="1"/>
      <c r="G55" s="1"/>
      <c r="H55" s="1"/>
      <c r="I55" s="1"/>
      <c r="J55" s="1"/>
      <c r="K55" s="1"/>
      <c r="L55" s="1"/>
      <c r="M55" s="1"/>
      <c r="N55" s="1"/>
    </row>
    <row r="56" spans="1:35" x14ac:dyDescent="0.25">
      <c r="A56" s="307"/>
      <c r="B56" s="307"/>
      <c r="C56" s="307"/>
      <c r="D56" s="307"/>
      <c r="E56" s="31">
        <v>2021</v>
      </c>
      <c r="F56" s="31">
        <v>2022</v>
      </c>
      <c r="G56" s="31">
        <v>2023</v>
      </c>
      <c r="H56" s="31">
        <v>2024</v>
      </c>
      <c r="I56" s="31">
        <v>2025</v>
      </c>
      <c r="J56" s="44">
        <v>2026</v>
      </c>
      <c r="K56" s="44">
        <v>2027</v>
      </c>
      <c r="L56" s="44">
        <v>2028</v>
      </c>
      <c r="M56" s="44">
        <v>2029</v>
      </c>
      <c r="N56" s="44">
        <v>2030</v>
      </c>
    </row>
    <row r="57" spans="1:35" x14ac:dyDescent="0.25">
      <c r="A57" s="304" t="s">
        <v>201</v>
      </c>
      <c r="B57" s="304"/>
      <c r="C57" s="304"/>
      <c r="D57" s="304"/>
      <c r="E57" s="314">
        <f>E36*E$35</f>
        <v>258143.56616674407</v>
      </c>
      <c r="F57" s="314">
        <f>F36*F$35</f>
        <v>245084.68261774001</v>
      </c>
      <c r="G57" s="314">
        <f>G36*G$35</f>
        <v>238649.75304527031</v>
      </c>
      <c r="H57" s="314">
        <f>H36*H$35</f>
        <v>224043.51778621908</v>
      </c>
      <c r="I57" s="314">
        <f>I36*I$35</f>
        <v>201585.78775109514</v>
      </c>
      <c r="J57" s="1"/>
      <c r="K57" s="1"/>
      <c r="L57" s="1"/>
      <c r="M57" s="1"/>
      <c r="N57" s="1"/>
      <c r="P57" t="s">
        <v>516</v>
      </c>
    </row>
    <row r="58" spans="1:35" x14ac:dyDescent="0.25">
      <c r="A58" s="304" t="s">
        <v>202</v>
      </c>
      <c r="B58" s="270"/>
      <c r="C58" s="314"/>
      <c r="D58" s="314"/>
      <c r="E58" s="314">
        <f>E38*E$35</f>
        <v>263158.32024769828</v>
      </c>
      <c r="F58" s="314">
        <f>F38*F$35</f>
        <v>201005.68192073944</v>
      </c>
      <c r="G58" s="314">
        <f>G38*G$35</f>
        <v>189295.56491516571</v>
      </c>
      <c r="H58" s="314">
        <f>H38*H$35</f>
        <v>329699.27613515203</v>
      </c>
      <c r="I58" s="314">
        <f>I38*I$35</f>
        <v>390744.69827096787</v>
      </c>
      <c r="J58" s="1"/>
      <c r="K58" s="1"/>
      <c r="L58" s="1"/>
      <c r="M58" s="1"/>
      <c r="N58" s="1"/>
      <c r="P58" t="s">
        <v>517</v>
      </c>
    </row>
    <row r="59" spans="1:35" x14ac:dyDescent="0.25">
      <c r="A59" s="304" t="s">
        <v>4</v>
      </c>
      <c r="B59" s="270"/>
      <c r="C59" s="314"/>
      <c r="D59" s="314"/>
      <c r="E59" s="314">
        <f>E57-E58</f>
        <v>-5014.7540809542115</v>
      </c>
      <c r="F59" s="314">
        <f t="shared" ref="F59:I59" si="0">F57-F58</f>
        <v>44079.000697000563</v>
      </c>
      <c r="G59" s="314">
        <f t="shared" si="0"/>
        <v>49354.188130104594</v>
      </c>
      <c r="H59" s="314">
        <f t="shared" si="0"/>
        <v>-105655.75834893296</v>
      </c>
      <c r="I59" s="314">
        <f t="shared" si="0"/>
        <v>-189158.91051987273</v>
      </c>
      <c r="J59" s="1"/>
      <c r="K59" s="1"/>
      <c r="L59" s="1"/>
      <c r="M59" s="1"/>
      <c r="N59" s="1"/>
      <c r="P59" t="s">
        <v>518</v>
      </c>
    </row>
    <row r="60" spans="1:35" x14ac:dyDescent="0.25">
      <c r="A60" s="83" t="s">
        <v>524</v>
      </c>
      <c r="B60" s="82"/>
      <c r="C60" s="316">
        <f>SUM(E60:I60)</f>
        <v>-48503.115018823868</v>
      </c>
      <c r="D60" s="314"/>
      <c r="E60" s="314">
        <f>E59*$C$25</f>
        <v>-1178.4672090242395</v>
      </c>
      <c r="F60" s="314">
        <f>F59*$C$25</f>
        <v>10358.565163795132</v>
      </c>
      <c r="G60" s="314">
        <f>G59*$C$25</f>
        <v>11598.234210574579</v>
      </c>
      <c r="H60" s="314">
        <f>H59*$C$25</f>
        <v>-24829.103211999241</v>
      </c>
      <c r="I60" s="314">
        <f>I59*$C$25</f>
        <v>-44452.343972170092</v>
      </c>
      <c r="J60" s="1"/>
      <c r="K60" s="1"/>
      <c r="L60" s="1"/>
      <c r="M60" s="1"/>
      <c r="N60" s="1"/>
      <c r="P60" t="s">
        <v>591</v>
      </c>
    </row>
    <row r="61" spans="1:35" x14ac:dyDescent="0.25">
      <c r="A61" s="317"/>
      <c r="B61" s="318"/>
      <c r="C61" s="319"/>
      <c r="D61" s="320"/>
      <c r="E61" s="321"/>
      <c r="F61" s="321"/>
      <c r="G61" s="321"/>
      <c r="H61" s="321"/>
      <c r="I61" s="321"/>
      <c r="J61" s="1"/>
      <c r="K61" s="322"/>
      <c r="L61" s="322"/>
      <c r="M61" s="322"/>
      <c r="N61" s="322"/>
    </row>
    <row r="62" spans="1:35" x14ac:dyDescent="0.25">
      <c r="A62" s="304" t="s">
        <v>5</v>
      </c>
      <c r="B62" s="314"/>
      <c r="C62" s="316">
        <f>C50+C60</f>
        <v>-47136.530419517665</v>
      </c>
      <c r="D62" s="1"/>
      <c r="E62" s="1"/>
      <c r="F62" s="1"/>
      <c r="G62" s="1"/>
      <c r="H62" s="1"/>
      <c r="I62" s="1"/>
      <c r="J62" s="1"/>
      <c r="K62" s="1"/>
      <c r="L62" s="1"/>
      <c r="M62" s="1"/>
      <c r="N62" s="1"/>
    </row>
    <row r="63" spans="1:35" x14ac:dyDescent="0.25">
      <c r="A63" s="304" t="s">
        <v>6</v>
      </c>
      <c r="B63" s="314"/>
      <c r="C63" s="314">
        <v>4</v>
      </c>
      <c r="D63" s="1"/>
      <c r="E63" s="1"/>
      <c r="F63" s="1"/>
      <c r="G63" s="1"/>
      <c r="H63" s="1"/>
      <c r="I63" s="1"/>
      <c r="J63" s="1"/>
      <c r="K63" s="1"/>
      <c r="L63" s="1"/>
      <c r="M63" s="1"/>
      <c r="N63" s="1"/>
    </row>
    <row r="64" spans="1:35" x14ac:dyDescent="0.25">
      <c r="A64" s="304" t="s">
        <v>7</v>
      </c>
      <c r="B64" s="314"/>
      <c r="C64" s="323">
        <f>1+C26</f>
        <v>1.0611999999999999</v>
      </c>
      <c r="D64" s="324"/>
      <c r="E64" s="307"/>
      <c r="F64" s="307"/>
      <c r="G64" s="307"/>
      <c r="H64" s="307"/>
      <c r="I64" s="307"/>
      <c r="J64" s="307"/>
      <c r="K64" s="307"/>
      <c r="L64" s="307"/>
      <c r="M64" s="307"/>
      <c r="N64" s="307"/>
    </row>
    <row r="65" spans="1:18" x14ac:dyDescent="0.25">
      <c r="A65" s="83" t="s">
        <v>8</v>
      </c>
      <c r="B65" s="325"/>
      <c r="C65" s="325"/>
      <c r="D65" s="325"/>
      <c r="E65" s="325"/>
      <c r="F65" s="325"/>
      <c r="G65" s="325"/>
      <c r="H65" s="325"/>
      <c r="I65" s="325"/>
      <c r="J65" s="136">
        <v>0.5</v>
      </c>
      <c r="K65" s="136">
        <v>1.5</v>
      </c>
      <c r="L65" s="136">
        <v>2.5</v>
      </c>
      <c r="M65" s="136">
        <v>3.5</v>
      </c>
      <c r="N65" s="136">
        <v>4.5</v>
      </c>
    </row>
    <row r="66" spans="1:18" x14ac:dyDescent="0.25">
      <c r="A66" s="326" t="s">
        <v>520</v>
      </c>
      <c r="B66" s="325"/>
      <c r="C66" s="325"/>
      <c r="D66" s="325"/>
      <c r="E66" s="325"/>
      <c r="F66" s="325"/>
      <c r="G66" s="325"/>
      <c r="H66" s="325"/>
      <c r="I66" s="325"/>
      <c r="J66" s="136"/>
      <c r="K66" s="136">
        <f>$C$64^K65</f>
        <v>1.0931905327654461</v>
      </c>
      <c r="L66" s="136">
        <f t="shared" ref="L66:N66" si="1">$C$64^L65</f>
        <v>1.1600937933706912</v>
      </c>
      <c r="M66" s="136">
        <f t="shared" si="1"/>
        <v>1.2310915335249775</v>
      </c>
      <c r="N66" s="136">
        <f t="shared" si="1"/>
        <v>1.3064343353767061</v>
      </c>
      <c r="P66" t="s">
        <v>521</v>
      </c>
    </row>
    <row r="67" spans="1:18" ht="18.75" x14ac:dyDescent="0.3">
      <c r="A67" s="137" t="s">
        <v>9</v>
      </c>
      <c r="B67" s="327" t="s">
        <v>557</v>
      </c>
      <c r="C67" s="328" cm="1">
        <f t="array" ref="C67">SUMPRODUCT(1/C64^K65:N65,K67:N67)-SUM(C50,C60)</f>
        <v>0</v>
      </c>
      <c r="D67" s="325"/>
      <c r="E67" s="325"/>
      <c r="F67" s="325"/>
      <c r="G67" s="325"/>
      <c r="H67" s="325"/>
      <c r="I67" s="325"/>
      <c r="J67" s="325"/>
      <c r="K67" s="316">
        <f>($C$62/$C$63)*K66</f>
        <v>-12882.302200506792</v>
      </c>
      <c r="L67" s="316">
        <f t="shared" ref="L67:N67" si="2">($C$62/$C$63)*L66</f>
        <v>-13670.699095177806</v>
      </c>
      <c r="M67" s="316">
        <f t="shared" si="2"/>
        <v>-14507.345879802688</v>
      </c>
      <c r="N67" s="316">
        <f t="shared" si="2"/>
        <v>-15395.195447646613</v>
      </c>
      <c r="P67" t="s">
        <v>519</v>
      </c>
    </row>
    <row r="68" spans="1:18" x14ac:dyDescent="0.25">
      <c r="A68" s="138"/>
      <c r="B68" s="325"/>
      <c r="C68" s="325"/>
      <c r="D68" s="325"/>
      <c r="E68" s="325"/>
      <c r="F68" s="325"/>
      <c r="G68" s="325"/>
      <c r="H68" s="325"/>
      <c r="I68" s="325"/>
      <c r="J68" s="325"/>
      <c r="K68" s="325"/>
      <c r="L68" s="325"/>
      <c r="M68" s="325"/>
      <c r="N68" s="325"/>
    </row>
    <row r="69" spans="1:18" x14ac:dyDescent="0.25">
      <c r="A69" s="304" t="s">
        <v>10</v>
      </c>
      <c r="B69" s="325"/>
      <c r="C69" s="325"/>
      <c r="D69" s="325"/>
      <c r="E69" s="325"/>
      <c r="F69" s="325"/>
      <c r="G69" s="325"/>
      <c r="H69" s="325"/>
      <c r="I69" s="325"/>
      <c r="J69" s="325"/>
      <c r="K69" s="314">
        <f>$C$50/$C$63*K66</f>
        <v>373.48433654615098</v>
      </c>
      <c r="L69" s="314">
        <f t="shared" ref="L69:N69" si="3">$C$50/$C$63*L66</f>
        <v>396.34157794277536</v>
      </c>
      <c r="M69" s="314">
        <f t="shared" si="3"/>
        <v>420.59768251287323</v>
      </c>
      <c r="N69" s="314">
        <f t="shared" si="3"/>
        <v>446.33826068266103</v>
      </c>
    </row>
    <row r="70" spans="1:18" x14ac:dyDescent="0.25">
      <c r="A70" s="304" t="s">
        <v>11</v>
      </c>
      <c r="B70" s="325"/>
      <c r="C70" s="325"/>
      <c r="D70" s="325"/>
      <c r="E70" s="325"/>
      <c r="F70" s="325"/>
      <c r="G70" s="325"/>
      <c r="H70" s="325"/>
      <c r="I70" s="325"/>
      <c r="J70" s="325"/>
      <c r="K70" s="314">
        <f>(SUM($E$60:$I$60)/$C$63)*K66</f>
        <v>-13255.786537052943</v>
      </c>
      <c r="L70" s="314">
        <f t="shared" ref="L70:N70" si="4">(SUM($E$60:$I$60)/$C$63)*L66</f>
        <v>-14067.04067312058</v>
      </c>
      <c r="M70" s="314">
        <f t="shared" si="4"/>
        <v>-14927.94356231556</v>
      </c>
      <c r="N70" s="314">
        <f t="shared" si="4"/>
        <v>-15841.533708329272</v>
      </c>
      <c r="Q70" s="1"/>
      <c r="R70" s="1"/>
    </row>
    <row r="71" spans="1:18" ht="15" customHeight="1" x14ac:dyDescent="0.25">
      <c r="A71" s="235"/>
      <c r="B71" s="235"/>
      <c r="C71" s="235"/>
      <c r="D71" s="235"/>
      <c r="E71" s="235"/>
      <c r="F71" s="235"/>
      <c r="G71" s="235"/>
      <c r="H71" s="235"/>
      <c r="I71" s="235"/>
      <c r="J71" s="235"/>
      <c r="K71" s="329">
        <f>K67-K69-K70</f>
        <v>0</v>
      </c>
      <c r="L71" s="329">
        <f t="shared" ref="L71:N71" si="5">L67-L69-L70</f>
        <v>0</v>
      </c>
      <c r="M71" s="329">
        <f t="shared" si="5"/>
        <v>0</v>
      </c>
      <c r="N71" s="329">
        <f t="shared" si="5"/>
        <v>0</v>
      </c>
    </row>
  </sheetData>
  <phoneticPr fontId="29" type="noConversion"/>
  <dataValidations count="1">
    <dataValidation type="list" allowBlank="1" showInputMessage="1" showErrorMessage="1" sqref="B10" xr:uid="{00000000-0002-0000-0100-000000000000}">
      <formula1>"Use latest AMP forecast,Use DPP model values"</formula1>
    </dataValidation>
  </dataValidations>
  <pageMargins left="0.70866141732283472" right="0.70866141732283472" top="0.74803149606299213" bottom="0.74803149606299213" header="0.31496062992125984" footer="0.31496062992125984"/>
  <pageSetup paperSize="9" scale="3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41DF-2D80-43D6-B052-A2FFB32D9AFD}">
  <sheetPr codeName="Sheet21">
    <tabColor theme="0" tint="-0.34998626667073579"/>
    <pageSetUpPr fitToPage="1"/>
  </sheetPr>
  <dimension ref="A1:AG50"/>
  <sheetViews>
    <sheetView showGridLines="0" view="pageBreakPreview" zoomScaleNormal="100" zoomScaleSheetLayoutView="100" workbookViewId="0"/>
  </sheetViews>
  <sheetFormatPr defaultColWidth="9" defaultRowHeight="15" customHeight="1" x14ac:dyDescent="0.25"/>
  <cols>
    <col min="1" max="1" width="60.140625" customWidth="1"/>
    <col min="2" max="2" width="20.85546875" bestFit="1" customWidth="1"/>
    <col min="3" max="14" width="11.42578125" customWidth="1"/>
    <col min="15" max="15" width="2.85546875" customWidth="1"/>
    <col min="16" max="16" width="170.85546875" style="1" bestFit="1" customWidth="1"/>
    <col min="17" max="33" width="9.140625" customWidth="1"/>
    <col min="34" max="16384" width="9" style="1"/>
  </cols>
  <sheetData>
    <row r="1" spans="1:33" ht="26.25" x14ac:dyDescent="0.4">
      <c r="A1" s="234" t="s">
        <v>199</v>
      </c>
      <c r="B1" s="283"/>
      <c r="N1" s="289" t="str">
        <f>B5</f>
        <v>Vector Lines</v>
      </c>
    </row>
    <row r="2" spans="1:33" ht="15" customHeight="1" x14ac:dyDescent="0.35">
      <c r="A2" s="290" t="s">
        <v>531</v>
      </c>
      <c r="B2" s="291"/>
      <c r="C2" s="97"/>
      <c r="D2" s="97"/>
      <c r="E2" s="97"/>
      <c r="F2" s="97"/>
      <c r="G2" s="97"/>
      <c r="H2" s="97"/>
      <c r="I2" s="97"/>
      <c r="J2" s="97"/>
      <c r="K2" s="97"/>
      <c r="L2" s="97"/>
      <c r="M2" s="291"/>
      <c r="N2" s="145"/>
      <c r="Q2" s="97"/>
      <c r="R2" s="97"/>
      <c r="S2" s="97"/>
      <c r="T2" s="97"/>
      <c r="U2" s="97"/>
      <c r="V2" s="97"/>
      <c r="W2" s="97"/>
      <c r="X2" s="97"/>
      <c r="Y2" s="97"/>
      <c r="Z2" s="97"/>
      <c r="AA2" s="97"/>
      <c r="AB2" s="97"/>
      <c r="AC2" s="97"/>
      <c r="AD2" s="97"/>
      <c r="AE2" s="97"/>
      <c r="AF2" s="97"/>
      <c r="AG2" s="97"/>
    </row>
    <row r="3" spans="1:33" x14ac:dyDescent="0.25">
      <c r="A3" s="292"/>
      <c r="B3" s="292"/>
      <c r="C3" s="293"/>
      <c r="D3" s="293"/>
      <c r="E3" s="293"/>
      <c r="F3" s="293"/>
      <c r="G3" s="293"/>
      <c r="H3" s="293"/>
      <c r="I3" s="293"/>
      <c r="J3" s="293"/>
      <c r="K3" s="293"/>
      <c r="L3" s="294"/>
      <c r="M3" s="294"/>
      <c r="N3" s="294"/>
    </row>
    <row r="4" spans="1:33" x14ac:dyDescent="0.25">
      <c r="A4" s="330" t="s">
        <v>208</v>
      </c>
      <c r="B4" s="330" t="s">
        <v>27</v>
      </c>
      <c r="C4" s="1"/>
      <c r="D4" s="1"/>
      <c r="E4" s="1"/>
      <c r="F4" s="1"/>
      <c r="G4" s="1"/>
      <c r="H4" s="1"/>
      <c r="I4" s="1"/>
      <c r="J4" s="1"/>
      <c r="K4" s="1"/>
      <c r="L4" s="1"/>
      <c r="M4" s="1"/>
      <c r="N4" s="1"/>
    </row>
    <row r="5" spans="1:33" x14ac:dyDescent="0.25">
      <c r="A5" s="304" t="s">
        <v>28</v>
      </c>
      <c r="B5" s="270" t="str">
        <f>'EDB select'!$B$5</f>
        <v>Vector Lines</v>
      </c>
      <c r="C5" s="1"/>
      <c r="D5" s="1"/>
      <c r="E5" s="1"/>
      <c r="F5" s="1"/>
      <c r="G5" s="1"/>
      <c r="H5" s="1"/>
      <c r="I5" s="1"/>
      <c r="J5" s="1"/>
      <c r="K5" s="1"/>
      <c r="L5" s="1"/>
      <c r="M5" s="1"/>
      <c r="N5" s="1"/>
    </row>
    <row r="6" spans="1:33" x14ac:dyDescent="0.25">
      <c r="A6" s="304" t="s">
        <v>209</v>
      </c>
      <c r="B6" s="270">
        <f>Outputs!C5</f>
        <v>15</v>
      </c>
      <c r="C6" s="1"/>
      <c r="D6" s="1"/>
      <c r="E6" s="1"/>
      <c r="F6" s="1"/>
      <c r="G6" s="1"/>
      <c r="H6" s="1"/>
      <c r="I6" s="1"/>
      <c r="J6" s="1"/>
      <c r="K6" s="1"/>
      <c r="L6" s="1"/>
      <c r="M6" s="1"/>
      <c r="N6" s="1"/>
    </row>
    <row r="7" spans="1:33" x14ac:dyDescent="0.25">
      <c r="A7" s="304" t="s">
        <v>210</v>
      </c>
      <c r="B7" s="270">
        <f>VLOOKUP($B$5,Inputs!$A$15:$B$30,2)</f>
        <v>15</v>
      </c>
      <c r="C7" s="1"/>
      <c r="D7" s="1"/>
      <c r="E7" s="1"/>
      <c r="F7" s="1"/>
      <c r="G7" s="1"/>
      <c r="H7" s="1"/>
      <c r="I7" s="1"/>
      <c r="J7" s="1"/>
      <c r="K7" s="1"/>
      <c r="L7" s="1"/>
      <c r="M7" s="1"/>
      <c r="N7" s="1"/>
    </row>
    <row r="8" spans="1:33" x14ac:dyDescent="0.25">
      <c r="A8" s="306"/>
      <c r="B8" s="306"/>
      <c r="C8" s="1"/>
      <c r="D8" s="1"/>
      <c r="E8" s="1"/>
      <c r="F8" s="1"/>
      <c r="G8" s="1"/>
      <c r="H8" s="1"/>
      <c r="I8" s="1"/>
      <c r="J8" s="1"/>
      <c r="K8" s="1"/>
      <c r="L8" s="1"/>
      <c r="M8" s="1"/>
      <c r="N8" s="1"/>
    </row>
    <row r="9" spans="1:33" x14ac:dyDescent="0.25">
      <c r="A9" s="297" t="s">
        <v>29</v>
      </c>
      <c r="B9" s="270"/>
      <c r="C9" s="1"/>
      <c r="D9" s="1"/>
      <c r="E9" s="1"/>
      <c r="F9" s="1"/>
      <c r="G9" s="1"/>
      <c r="H9" s="1"/>
      <c r="I9" s="1"/>
      <c r="J9" s="1"/>
      <c r="K9" s="1"/>
      <c r="L9" s="1"/>
      <c r="M9" s="1"/>
      <c r="N9" s="1"/>
    </row>
    <row r="10" spans="1:33" x14ac:dyDescent="0.25">
      <c r="A10" s="304" t="s">
        <v>214</v>
      </c>
      <c r="B10" s="288" t="s">
        <v>179</v>
      </c>
      <c r="C10" s="237" t="s">
        <v>572</v>
      </c>
      <c r="D10" s="1"/>
      <c r="E10" s="1"/>
      <c r="F10" s="1"/>
      <c r="G10" s="1"/>
      <c r="H10" s="1"/>
      <c r="I10" s="1"/>
      <c r="J10" s="1"/>
      <c r="K10" s="1"/>
      <c r="L10" s="1"/>
      <c r="M10" s="1"/>
      <c r="N10" s="1"/>
    </row>
    <row r="11" spans="1:33" x14ac:dyDescent="0.25">
      <c r="A11" s="40"/>
      <c r="B11" s="40"/>
      <c r="C11" s="1"/>
      <c r="D11" s="1"/>
      <c r="E11" s="1"/>
      <c r="F11" s="1"/>
      <c r="G11" s="1"/>
      <c r="H11" s="1"/>
      <c r="I11" s="1"/>
      <c r="J11" s="1"/>
      <c r="K11" s="1"/>
      <c r="L11" s="1"/>
      <c r="M11" s="1"/>
      <c r="N11" s="1"/>
    </row>
    <row r="12" spans="1:33" ht="23.25" x14ac:dyDescent="0.35">
      <c r="A12" s="299" t="s">
        <v>12</v>
      </c>
      <c r="B12" s="107"/>
      <c r="C12" s="107"/>
      <c r="D12" s="107"/>
      <c r="E12" s="107"/>
      <c r="F12" s="107"/>
      <c r="G12" s="107"/>
      <c r="H12" s="107"/>
      <c r="I12" s="107"/>
      <c r="J12" s="92"/>
      <c r="K12" s="92"/>
      <c r="L12" s="92"/>
      <c r="M12" s="92"/>
      <c r="N12" s="92"/>
      <c r="Q12" s="92"/>
      <c r="R12" s="92"/>
      <c r="S12" s="92"/>
      <c r="T12" s="92"/>
      <c r="U12" s="92"/>
      <c r="V12" s="92"/>
      <c r="W12" s="92"/>
      <c r="X12" s="92"/>
      <c r="Y12" s="92"/>
      <c r="Z12" s="92"/>
      <c r="AA12" s="92"/>
      <c r="AB12" s="92"/>
      <c r="AC12" s="92"/>
      <c r="AD12" s="92"/>
      <c r="AE12" s="92"/>
      <c r="AF12" s="92"/>
      <c r="AG12" s="92"/>
    </row>
    <row r="13" spans="1:33" ht="30" customHeight="1" x14ac:dyDescent="0.25">
      <c r="A13" s="709" t="s">
        <v>600</v>
      </c>
      <c r="B13" s="709"/>
      <c r="C13" s="709"/>
      <c r="D13" s="709"/>
      <c r="E13" s="709"/>
      <c r="F13" s="709"/>
      <c r="G13" s="709"/>
      <c r="H13" s="709"/>
      <c r="I13" s="709"/>
      <c r="J13" s="709"/>
      <c r="K13" s="709"/>
      <c r="L13" s="709"/>
      <c r="M13" s="709"/>
      <c r="N13" s="709"/>
      <c r="Q13" s="97"/>
      <c r="R13" s="97"/>
      <c r="S13" s="97"/>
      <c r="T13" s="97"/>
      <c r="U13" s="97"/>
      <c r="V13" s="97"/>
      <c r="W13" s="97"/>
      <c r="X13" s="97"/>
      <c r="Y13" s="97"/>
      <c r="Z13" s="97"/>
      <c r="AA13" s="97"/>
      <c r="AB13" s="97"/>
      <c r="AC13" s="97"/>
      <c r="AD13" s="97"/>
      <c r="AE13" s="97"/>
      <c r="AF13" s="97"/>
      <c r="AG13" s="97"/>
    </row>
    <row r="14" spans="1:33" ht="14.45" customHeight="1" x14ac:dyDescent="0.25">
      <c r="A14" s="143"/>
      <c r="B14" s="84"/>
      <c r="C14" s="144"/>
      <c r="D14" s="144"/>
      <c r="E14" s="31">
        <v>2021</v>
      </c>
      <c r="F14" s="31">
        <v>2022</v>
      </c>
      <c r="G14" s="31">
        <v>2023</v>
      </c>
      <c r="H14" s="31">
        <v>2024</v>
      </c>
      <c r="I14" s="31">
        <v>2025</v>
      </c>
      <c r="J14" s="1"/>
      <c r="K14" s="1"/>
      <c r="L14" s="1"/>
      <c r="M14" s="1"/>
      <c r="N14" s="1"/>
    </row>
    <row r="15" spans="1:33" x14ac:dyDescent="0.25">
      <c r="A15" s="300" t="s">
        <v>458</v>
      </c>
      <c r="B15" s="270"/>
      <c r="C15" s="302"/>
      <c r="D15" s="302"/>
      <c r="E15" s="314">
        <f>INDEX(Inputs!$B$145:$H$160,MATCH($B$6,Inputs!$B$145:$B$160,0),MATCH(E14,Inputs!$B$4:$H$4,0))</f>
        <v>0</v>
      </c>
      <c r="F15" s="314">
        <f>INDEX(Inputs!$B$145:$H$160,MATCH($B$6,Inputs!$B$145:$B$160,0),MATCH(F14,Inputs!$B$4:$H$4,0))</f>
        <v>0</v>
      </c>
      <c r="G15" s="314">
        <f>INDEX(Inputs!$B$145:$H$160,MATCH($B$6,Inputs!$B$145:$B$160,0),MATCH(G14,Inputs!$B$4:$H$4,0))</f>
        <v>0</v>
      </c>
      <c r="H15" s="314">
        <f>INDEX(Inputs!$B$145:$H$160,MATCH($B$6,Inputs!$B$145:$B$160,0),MATCH(H14,Inputs!$B$4:$H$4,0))</f>
        <v>0</v>
      </c>
      <c r="I15" s="314">
        <f>INDEX(Inputs!$B$145:$H$160,MATCH($B$6,Inputs!$B$145:$B$160,0),MATCH(I14,Inputs!$B$4:$H$4,0))</f>
        <v>0</v>
      </c>
      <c r="J15" s="1"/>
      <c r="K15" s="1"/>
      <c r="L15" s="1"/>
      <c r="M15" s="1"/>
      <c r="N15" s="1"/>
    </row>
    <row r="16" spans="1:33" x14ac:dyDescent="0.25">
      <c r="A16" s="300" t="s">
        <v>277</v>
      </c>
      <c r="B16" s="270"/>
      <c r="C16" s="302"/>
      <c r="D16" s="302"/>
      <c r="E16" s="314">
        <f>INDEX(Inputs!$B$90:$H$105,MATCH($B$6,Inputs!$B$90:$B$105,0),MATCH(E14,Inputs!$B$4:$H$4,0))</f>
        <v>129198</v>
      </c>
      <c r="F16" s="314">
        <f>INDEX(Inputs!$B$90:$H$105,MATCH($B$6,Inputs!$B$90:$B$105,0),MATCH(F14,Inputs!$B$4:$H$4,0))</f>
        <v>134295</v>
      </c>
      <c r="G16" s="314">
        <f>INDEX(Inputs!$B$90:$H$105,MATCH($B$6,Inputs!$B$90:$B$105,0),MATCH(G14,Inputs!$B$4:$H$4,0))</f>
        <v>139643</v>
      </c>
      <c r="H16" s="314">
        <f>INDEX(Inputs!$B$90:$H$105,MATCH($B$6,Inputs!$B$90:$B$105,0),MATCH(H14,Inputs!$B$4:$H$4,0))</f>
        <v>144816</v>
      </c>
      <c r="I16" s="314">
        <f>INDEX(Inputs!$B$90:$H$105,MATCH($B$6,Inputs!$B$90:$B$105,0),MATCH(I14,Inputs!$B$4:$H$4,0))</f>
        <v>149858</v>
      </c>
      <c r="J16" s="1"/>
      <c r="K16" s="1"/>
      <c r="L16" s="1"/>
      <c r="M16" s="1"/>
      <c r="N16" s="1"/>
    </row>
    <row r="17" spans="1:33" x14ac:dyDescent="0.25">
      <c r="A17" s="300" t="s">
        <v>459</v>
      </c>
      <c r="B17" s="270"/>
      <c r="C17" s="302"/>
      <c r="D17" s="302"/>
      <c r="E17" s="314">
        <f>INDEX(Inputs!$B$108:$H$123,MATCH($B$6,Inputs!$B$108:$B$123,0),MATCH(E14,Inputs!$B$4:$H$4,0))</f>
        <v>127202</v>
      </c>
      <c r="F17" s="314">
        <f>INDEX(Inputs!$B$108:$H$123,MATCH($B$6,Inputs!$B$108:$B$123,0),MATCH(F14,Inputs!$B$4:$H$4,0))</f>
        <v>136753</v>
      </c>
      <c r="G17" s="314">
        <f>INDEX(Inputs!$B$108:$H$123,MATCH($B$6,Inputs!$B$108:$B$123,0),MATCH(G14,Inputs!$B$4:$H$4,0))</f>
        <v>145942</v>
      </c>
      <c r="H17" s="314">
        <f>INDEX(Inputs!$B$108:$H$123,MATCH($B$6,Inputs!$B$108:$B$123,0),MATCH(H14,Inputs!$B$4:$H$4,0))</f>
        <v>0</v>
      </c>
      <c r="I17" s="314">
        <f>INDEX(Inputs!$B$108:$H$123,MATCH($B$6,Inputs!$B$108:$B$123,0),MATCH(I14,Inputs!$B$4:$H$4,0))</f>
        <v>0</v>
      </c>
      <c r="J17" s="1"/>
      <c r="K17" s="1"/>
      <c r="L17" s="1"/>
      <c r="M17" s="1"/>
      <c r="N17" s="1"/>
    </row>
    <row r="18" spans="1:33" ht="30" x14ac:dyDescent="0.25">
      <c r="A18" s="300" t="s">
        <v>506</v>
      </c>
      <c r="B18" s="270"/>
      <c r="C18" s="302"/>
      <c r="D18" s="302"/>
      <c r="E18" s="314">
        <f>INDEX(Inputs!$B$126:$H$141,MATCH($B$6,Inputs!$B$126:$B$141,0),MATCH(E14,Inputs!$B$4:$H$4,0))</f>
        <v>0</v>
      </c>
      <c r="F18" s="314">
        <f>INDEX(Inputs!$B$126:$H$141,MATCH($B$6,Inputs!$B$126:$B$141,0),MATCH(F14,Inputs!$B$4:$H$4,0))</f>
        <v>0</v>
      </c>
      <c r="G18" s="314">
        <f>INDEX(Inputs!$B$126:$H$141,MATCH($B$6,Inputs!$B$126:$B$141,0),MATCH(G14,Inputs!$B$4:$H$4,0))</f>
        <v>0</v>
      </c>
      <c r="H18" s="314">
        <f>INDEX(Inputs!$B$126:$H$141,MATCH($B$6,Inputs!$B$126:$B$141,0),MATCH(H14,Inputs!$B$4:$H$4,0))</f>
        <v>166961.7899220516</v>
      </c>
      <c r="I18" s="314">
        <f>INDEX(Inputs!$B$126:$H$141,MATCH($B$6,Inputs!$B$126:$B$141,0),MATCH(I14,Inputs!$B$4:$H$4,0))</f>
        <v>183376.33187877576</v>
      </c>
      <c r="J18" s="1"/>
      <c r="K18" s="1"/>
      <c r="L18" s="1"/>
      <c r="M18" s="1"/>
      <c r="N18" s="1"/>
    </row>
    <row r="19" spans="1:33" x14ac:dyDescent="0.25">
      <c r="A19" s="300" t="s">
        <v>460</v>
      </c>
      <c r="B19" s="270"/>
      <c r="C19" s="302"/>
      <c r="D19" s="302"/>
      <c r="E19" s="314">
        <f>IF(E17=0,0,E17+E15)</f>
        <v>127202</v>
      </c>
      <c r="F19" s="314">
        <f t="shared" ref="F19:I19" si="0">IF(F17=0,0,F17+F15)</f>
        <v>136753</v>
      </c>
      <c r="G19" s="314">
        <f t="shared" si="0"/>
        <v>145942</v>
      </c>
      <c r="H19" s="314">
        <f>IF(H17=0,0,H17+H15)</f>
        <v>0</v>
      </c>
      <c r="I19" s="314">
        <f t="shared" si="0"/>
        <v>0</v>
      </c>
      <c r="J19" s="1"/>
      <c r="K19" s="1"/>
      <c r="L19" s="1"/>
      <c r="M19" s="1"/>
      <c r="N19" s="1"/>
    </row>
    <row r="20" spans="1:33" ht="30" x14ac:dyDescent="0.25">
      <c r="A20" s="300" t="s">
        <v>542</v>
      </c>
      <c r="B20" s="270"/>
      <c r="C20" s="302"/>
      <c r="D20" s="302"/>
      <c r="E20" s="314">
        <f>IF(E18=0,0,E18+E15)</f>
        <v>0</v>
      </c>
      <c r="F20" s="314">
        <f t="shared" ref="F20:I20" si="1">IF(F18=0,0,F18+F15)</f>
        <v>0</v>
      </c>
      <c r="G20" s="314">
        <f t="shared" si="1"/>
        <v>0</v>
      </c>
      <c r="H20" s="314">
        <f>IF(H18=0,0,H18+H15)</f>
        <v>166961.7899220516</v>
      </c>
      <c r="I20" s="314">
        <f t="shared" si="1"/>
        <v>183376.33187877576</v>
      </c>
      <c r="J20" s="1"/>
      <c r="K20" s="1"/>
      <c r="L20" s="1"/>
      <c r="M20" s="1"/>
      <c r="N20" s="1"/>
    </row>
    <row r="21" spans="1:33" x14ac:dyDescent="0.25">
      <c r="A21" s="304"/>
      <c r="B21" s="270"/>
      <c r="C21" s="331"/>
      <c r="D21" s="40"/>
      <c r="E21" s="40"/>
      <c r="F21" s="40"/>
      <c r="G21" s="40"/>
      <c r="H21" s="40"/>
      <c r="I21" s="40"/>
      <c r="J21" s="1"/>
      <c r="K21" s="1"/>
      <c r="L21" s="1"/>
      <c r="M21" s="1"/>
      <c r="N21" s="1"/>
    </row>
    <row r="22" spans="1:33" x14ac:dyDescent="0.25">
      <c r="A22" s="300" t="s">
        <v>267</v>
      </c>
      <c r="B22" s="270"/>
      <c r="C22" s="332">
        <f>Inputs!C6</f>
        <v>7.3700000000000002E-2</v>
      </c>
      <c r="D22" s="1"/>
      <c r="E22" s="1"/>
      <c r="F22" s="1"/>
      <c r="G22" s="1"/>
      <c r="H22" s="1"/>
      <c r="I22" s="1"/>
      <c r="J22" s="1"/>
      <c r="K22" s="1"/>
      <c r="L22" s="1"/>
      <c r="M22" s="1"/>
      <c r="N22" s="1"/>
    </row>
    <row r="23" spans="1:33" x14ac:dyDescent="0.25">
      <c r="A23" s="300" t="s">
        <v>266</v>
      </c>
      <c r="B23" s="270"/>
      <c r="C23" s="332">
        <f>Inputs!C8</f>
        <v>6.1199999999999997E-2</v>
      </c>
      <c r="D23" s="1"/>
      <c r="E23" s="1"/>
      <c r="F23" s="1"/>
      <c r="G23" s="1"/>
      <c r="H23" s="1"/>
      <c r="I23" s="1"/>
      <c r="J23" s="1"/>
      <c r="K23" s="1"/>
      <c r="L23" s="1"/>
      <c r="M23" s="1"/>
      <c r="N23" s="1"/>
    </row>
    <row r="24" spans="1:33" x14ac:dyDescent="0.25">
      <c r="A24" s="40"/>
      <c r="B24" s="40"/>
      <c r="C24" s="306"/>
      <c r="D24" s="307"/>
      <c r="E24" s="307"/>
      <c r="F24" s="307"/>
      <c r="G24" s="307"/>
      <c r="H24" s="307"/>
      <c r="I24" s="307"/>
      <c r="J24" s="1"/>
      <c r="K24" s="1"/>
      <c r="L24" s="1"/>
      <c r="M24" s="1"/>
      <c r="N24" s="1"/>
    </row>
    <row r="25" spans="1:33" x14ac:dyDescent="0.25">
      <c r="A25" s="334"/>
      <c r="B25" s="334"/>
      <c r="C25" s="334" t="s">
        <v>185</v>
      </c>
      <c r="D25" s="334" t="s">
        <v>186</v>
      </c>
      <c r="E25" s="334">
        <v>2021</v>
      </c>
      <c r="F25" s="334">
        <v>2022</v>
      </c>
      <c r="G25" s="334">
        <v>2023</v>
      </c>
      <c r="H25" s="334">
        <v>2024</v>
      </c>
      <c r="I25" s="334">
        <v>2025</v>
      </c>
      <c r="J25" s="1"/>
      <c r="K25" s="1"/>
      <c r="L25" s="1"/>
      <c r="M25" s="1"/>
      <c r="N25" s="1"/>
    </row>
    <row r="26" spans="1:33" x14ac:dyDescent="0.25">
      <c r="A26" s="300" t="s">
        <v>277</v>
      </c>
      <c r="B26" s="270"/>
      <c r="C26" s="335">
        <f>SUM(E26:I26)</f>
        <v>697810</v>
      </c>
      <c r="D26" s="336"/>
      <c r="E26" s="314">
        <f>E16</f>
        <v>129198</v>
      </c>
      <c r="F26" s="314">
        <f>F16</f>
        <v>134295</v>
      </c>
      <c r="G26" s="314">
        <f>G16</f>
        <v>139643</v>
      </c>
      <c r="H26" s="314">
        <f>H16</f>
        <v>144816</v>
      </c>
      <c r="I26" s="314">
        <f>I16</f>
        <v>149858</v>
      </c>
      <c r="J26" s="1"/>
      <c r="K26" s="1"/>
      <c r="L26" s="1"/>
      <c r="M26" s="1"/>
      <c r="N26" s="1"/>
    </row>
    <row r="27" spans="1:33" x14ac:dyDescent="0.25">
      <c r="A27" s="304" t="s">
        <v>168</v>
      </c>
      <c r="B27" s="270"/>
      <c r="C27" s="335">
        <f>SUM(E27:I27)</f>
        <v>760235.12180082733</v>
      </c>
      <c r="D27" s="336"/>
      <c r="E27" s="314">
        <f>IF(E17=0,IF($B$10="Use DPP model values",E16,E20),E19)</f>
        <v>127202</v>
      </c>
      <c r="F27" s="314">
        <f t="shared" ref="F27:I27" si="2">IF(F17=0,IF($B$10="Use DPP model values",F16,F20),F19)</f>
        <v>136753</v>
      </c>
      <c r="G27" s="314">
        <f>IF(G17=0,IF($B$10="Use DPP model values",G16,G20),G19)</f>
        <v>145942</v>
      </c>
      <c r="H27" s="314">
        <f>IF(H17=0,IF($B$10="Use DPP model values",H16,H20),H19)</f>
        <v>166961.7899220516</v>
      </c>
      <c r="I27" s="314">
        <f t="shared" si="2"/>
        <v>183376.33187877576</v>
      </c>
      <c r="J27" s="1"/>
      <c r="K27" s="1"/>
      <c r="L27" s="1"/>
      <c r="M27" s="1"/>
      <c r="N27" s="1"/>
      <c r="P27" s="110" t="s">
        <v>588</v>
      </c>
    </row>
    <row r="28" spans="1:33" x14ac:dyDescent="0.25">
      <c r="A28" s="310"/>
      <c r="B28" s="40"/>
      <c r="C28" s="40"/>
      <c r="D28" s="40"/>
      <c r="E28" s="40"/>
      <c r="F28" s="40"/>
      <c r="G28" s="40"/>
      <c r="H28" s="40"/>
      <c r="I28" s="40"/>
      <c r="J28" s="1"/>
      <c r="K28" s="1"/>
      <c r="L28" s="1"/>
      <c r="M28" s="1"/>
      <c r="N28" s="1"/>
    </row>
    <row r="29" spans="1:33" x14ac:dyDescent="0.25">
      <c r="A29" s="337"/>
      <c r="B29" s="1"/>
      <c r="C29" s="1"/>
      <c r="D29" s="1"/>
      <c r="E29" s="1"/>
      <c r="F29" s="1"/>
      <c r="G29" s="1"/>
      <c r="H29" s="1"/>
      <c r="I29" s="1"/>
      <c r="J29" s="1"/>
      <c r="K29" s="1"/>
      <c r="L29" s="1"/>
      <c r="M29" s="1"/>
      <c r="N29" s="1"/>
    </row>
    <row r="30" spans="1:33" ht="23.25" x14ac:dyDescent="0.35">
      <c r="A30" s="299" t="s">
        <v>71</v>
      </c>
      <c r="B30" s="111"/>
      <c r="C30" s="111"/>
      <c r="D30" s="111"/>
      <c r="E30" s="107"/>
      <c r="F30" s="107"/>
      <c r="G30" s="107"/>
      <c r="H30" s="107"/>
      <c r="I30" s="107"/>
      <c r="J30" s="107"/>
      <c r="K30" s="107"/>
      <c r="L30" s="107"/>
      <c r="M30" s="107"/>
      <c r="N30" s="107"/>
      <c r="Q30" s="92"/>
      <c r="R30" s="92"/>
      <c r="S30" s="92"/>
      <c r="T30" s="92"/>
      <c r="U30" s="92"/>
      <c r="V30" s="92"/>
      <c r="W30" s="92"/>
      <c r="X30" s="92"/>
      <c r="Y30" s="92"/>
      <c r="Z30" s="92"/>
      <c r="AA30" s="92"/>
      <c r="AB30" s="92"/>
      <c r="AC30" s="92"/>
      <c r="AD30" s="92"/>
      <c r="AE30" s="92"/>
      <c r="AF30" s="92"/>
      <c r="AG30" s="92"/>
    </row>
    <row r="31" spans="1:33" ht="14.45" customHeight="1" x14ac:dyDescent="0.25">
      <c r="A31" s="349" t="s">
        <v>532</v>
      </c>
      <c r="B31" s="662"/>
      <c r="C31" s="662"/>
      <c r="D31" s="662"/>
      <c r="E31" s="96"/>
      <c r="F31" s="96"/>
      <c r="G31" s="96"/>
      <c r="H31" s="96"/>
      <c r="I31" s="96"/>
      <c r="J31" s="96"/>
      <c r="K31" s="96"/>
      <c r="L31" s="96"/>
      <c r="M31" s="96"/>
      <c r="N31" s="96"/>
      <c r="Q31" s="95"/>
      <c r="R31" s="95"/>
      <c r="S31" s="95"/>
      <c r="T31" s="95"/>
      <c r="U31" s="95"/>
      <c r="V31" s="95"/>
      <c r="W31" s="95"/>
      <c r="X31" s="95"/>
      <c r="Y31" s="95"/>
      <c r="Z31" s="95"/>
      <c r="AA31" s="95"/>
      <c r="AB31" s="95"/>
      <c r="AC31" s="95"/>
      <c r="AD31" s="95"/>
      <c r="AE31" s="95"/>
      <c r="AF31" s="95"/>
      <c r="AG31" s="95"/>
    </row>
    <row r="32" spans="1:33" ht="14.45" customHeight="1" x14ac:dyDescent="0.25">
      <c r="A32" s="311" t="s">
        <v>533</v>
      </c>
      <c r="B32" s="663"/>
      <c r="C32" s="663"/>
      <c r="D32" s="663"/>
      <c r="E32" s="98"/>
      <c r="F32" s="98"/>
      <c r="G32" s="98"/>
      <c r="H32" s="98"/>
      <c r="I32" s="98"/>
      <c r="J32" s="98"/>
      <c r="K32" s="98"/>
      <c r="L32" s="98"/>
      <c r="M32" s="98"/>
      <c r="N32" s="98"/>
      <c r="Q32" s="97"/>
      <c r="R32" s="97"/>
      <c r="S32" s="97"/>
      <c r="T32" s="97"/>
      <c r="U32" s="97"/>
      <c r="V32" s="97"/>
      <c r="W32" s="97"/>
      <c r="X32" s="97"/>
      <c r="Y32" s="97"/>
      <c r="Z32" s="97"/>
      <c r="AA32" s="97"/>
      <c r="AB32" s="97"/>
      <c r="AC32" s="97"/>
      <c r="AD32" s="97"/>
      <c r="AE32" s="97"/>
      <c r="AF32" s="97"/>
      <c r="AG32" s="97"/>
    </row>
    <row r="33" spans="1:33" ht="14.45" customHeight="1" x14ac:dyDescent="0.25">
      <c r="A33" s="660"/>
      <c r="B33" s="661"/>
      <c r="C33" s="661"/>
      <c r="D33" s="661"/>
      <c r="E33" s="31">
        <v>2021</v>
      </c>
      <c r="F33" s="31">
        <v>2022</v>
      </c>
      <c r="G33" s="31">
        <v>2023</v>
      </c>
      <c r="H33" s="31">
        <v>2024</v>
      </c>
      <c r="I33" s="31">
        <v>2025</v>
      </c>
      <c r="J33" s="31">
        <v>2026</v>
      </c>
      <c r="K33" s="31">
        <v>2027</v>
      </c>
      <c r="L33" s="31">
        <v>2028</v>
      </c>
      <c r="M33" s="31">
        <v>2029</v>
      </c>
      <c r="N33" s="31">
        <v>2030</v>
      </c>
      <c r="Q33" s="1"/>
      <c r="R33" s="1"/>
      <c r="S33" s="1"/>
      <c r="T33" s="1"/>
      <c r="U33" s="1"/>
      <c r="V33" s="1"/>
      <c r="W33" s="1"/>
      <c r="X33" s="1"/>
      <c r="Y33" s="1"/>
      <c r="Z33" s="1"/>
      <c r="AA33" s="1"/>
      <c r="AB33" s="1"/>
      <c r="AC33" s="1"/>
      <c r="AD33" s="1"/>
      <c r="AE33" s="1"/>
      <c r="AF33" s="1"/>
      <c r="AG33" s="1"/>
    </row>
    <row r="34" spans="1:33" x14ac:dyDescent="0.25">
      <c r="A34" s="300" t="s">
        <v>537</v>
      </c>
      <c r="B34" s="314"/>
      <c r="C34" s="314"/>
      <c r="D34" s="314"/>
      <c r="E34" s="314">
        <f>E26-E27</f>
        <v>1996</v>
      </c>
      <c r="F34" s="314"/>
      <c r="G34" s="314"/>
      <c r="H34" s="314"/>
      <c r="I34" s="314"/>
      <c r="J34" s="40"/>
      <c r="K34" s="40"/>
      <c r="L34" s="40"/>
      <c r="M34" s="40"/>
      <c r="N34" s="40"/>
      <c r="P34" s="1" t="s">
        <v>534</v>
      </c>
    </row>
    <row r="35" spans="1:33" x14ac:dyDescent="0.25">
      <c r="A35" s="300" t="s">
        <v>538</v>
      </c>
      <c r="B35" s="314"/>
      <c r="C35" s="314"/>
      <c r="D35" s="314"/>
      <c r="E35" s="314"/>
      <c r="F35" s="314">
        <f>(F26-F27)-(E26-E27)</f>
        <v>-4454</v>
      </c>
      <c r="G35" s="314">
        <f>(G26-G27)-(F26-F27)</f>
        <v>-3841</v>
      </c>
      <c r="H35" s="314">
        <f>(H26-H27)-(G26-G27)</f>
        <v>-15846.789922051597</v>
      </c>
      <c r="I35" s="314"/>
      <c r="J35" s="1"/>
      <c r="K35" s="1"/>
      <c r="L35" s="1"/>
      <c r="M35" s="1"/>
      <c r="N35" s="1"/>
      <c r="P35" s="1" t="s">
        <v>536</v>
      </c>
    </row>
    <row r="36" spans="1:33" x14ac:dyDescent="0.25">
      <c r="A36" s="300" t="s">
        <v>539</v>
      </c>
      <c r="B36" s="314"/>
      <c r="C36" s="314"/>
      <c r="D36" s="314"/>
      <c r="E36" s="314"/>
      <c r="F36" s="314"/>
      <c r="G36" s="314"/>
      <c r="H36" s="314"/>
      <c r="I36" s="314">
        <v>0</v>
      </c>
      <c r="J36" s="1"/>
      <c r="K36" s="1"/>
      <c r="L36" s="1"/>
      <c r="M36" s="1"/>
      <c r="N36" s="1"/>
      <c r="P36" s="1" t="s">
        <v>535</v>
      </c>
    </row>
    <row r="37" spans="1:33" x14ac:dyDescent="0.25">
      <c r="A37" s="338"/>
      <c r="B37" s="306"/>
      <c r="C37" s="306"/>
      <c r="D37" s="306"/>
      <c r="E37" s="306"/>
      <c r="F37" s="306"/>
      <c r="G37" s="306"/>
      <c r="H37" s="306"/>
      <c r="I37" s="306"/>
      <c r="J37" s="307"/>
      <c r="K37" s="307"/>
      <c r="L37" s="307"/>
      <c r="M37" s="307"/>
      <c r="N37" s="307"/>
    </row>
    <row r="38" spans="1:33" x14ac:dyDescent="0.25">
      <c r="A38" s="196" t="s">
        <v>170</v>
      </c>
      <c r="B38" s="171"/>
      <c r="C38" s="171"/>
      <c r="D38" s="171"/>
      <c r="E38" s="171"/>
      <c r="F38" s="171"/>
      <c r="G38" s="171"/>
      <c r="H38" s="171"/>
      <c r="I38" s="171"/>
      <c r="J38" s="664">
        <f>SUM(E34:$I$35)</f>
        <v>-22145.789922051597</v>
      </c>
      <c r="K38" s="664">
        <f>SUM(F34:$I$35)</f>
        <v>-24141.789922051597</v>
      </c>
      <c r="L38" s="664">
        <f>SUM(G34:$I$35)</f>
        <v>-19687.789922051597</v>
      </c>
      <c r="M38" s="664">
        <f>SUM(H34:$I$35)</f>
        <v>-15846.789922051597</v>
      </c>
      <c r="N38" s="664">
        <f>SUM(I34:$I$35)</f>
        <v>0</v>
      </c>
      <c r="P38" s="1" t="s">
        <v>540</v>
      </c>
    </row>
    <row r="39" spans="1:33" ht="14.45" customHeight="1" x14ac:dyDescent="0.25">
      <c r="A39" s="349" t="s">
        <v>532</v>
      </c>
      <c r="B39" s="662"/>
      <c r="C39" s="662"/>
      <c r="D39" s="662"/>
      <c r="E39" s="96"/>
      <c r="F39" s="96"/>
      <c r="G39" s="96"/>
      <c r="H39" s="96"/>
      <c r="I39" s="96"/>
      <c r="J39" s="96"/>
      <c r="K39" s="96"/>
      <c r="L39" s="96"/>
      <c r="M39" s="96"/>
      <c r="N39" s="96"/>
      <c r="Q39" s="95"/>
      <c r="R39" s="95"/>
      <c r="S39" s="95"/>
      <c r="T39" s="95"/>
      <c r="U39" s="95"/>
      <c r="V39" s="95"/>
      <c r="W39" s="95"/>
      <c r="X39" s="95"/>
      <c r="Y39" s="95"/>
      <c r="Z39" s="95"/>
      <c r="AA39" s="95"/>
      <c r="AB39" s="95"/>
      <c r="AC39" s="95"/>
      <c r="AD39" s="95"/>
      <c r="AE39" s="95"/>
      <c r="AF39" s="95"/>
      <c r="AG39" s="95"/>
    </row>
    <row r="40" spans="1:33" ht="14.45" customHeight="1" x14ac:dyDescent="0.25">
      <c r="A40" s="311" t="s">
        <v>558</v>
      </c>
      <c r="B40" s="663"/>
      <c r="C40" s="663"/>
      <c r="D40" s="663"/>
      <c r="E40" s="98"/>
      <c r="F40" s="98"/>
      <c r="G40" s="98"/>
      <c r="H40" s="98"/>
      <c r="I40" s="98"/>
      <c r="J40" s="98"/>
      <c r="K40" s="98"/>
      <c r="L40" s="98"/>
      <c r="M40" s="98"/>
      <c r="N40" s="98"/>
      <c r="Q40" s="97"/>
      <c r="R40" s="97"/>
      <c r="S40" s="97"/>
      <c r="T40" s="97"/>
      <c r="U40" s="97"/>
      <c r="V40" s="97"/>
      <c r="W40" s="97"/>
      <c r="X40" s="97"/>
      <c r="Y40" s="97"/>
      <c r="Z40" s="97"/>
      <c r="AA40" s="97"/>
      <c r="AB40" s="97"/>
      <c r="AC40" s="97"/>
      <c r="AD40" s="97"/>
      <c r="AE40" s="97"/>
      <c r="AF40" s="97"/>
      <c r="AG40" s="97"/>
    </row>
    <row r="41" spans="1:33" ht="14.45" customHeight="1" x14ac:dyDescent="0.25">
      <c r="A41" s="660"/>
      <c r="B41" s="661"/>
      <c r="C41" s="661"/>
      <c r="D41" s="665"/>
      <c r="E41" s="44"/>
      <c r="F41" s="44"/>
      <c r="G41" s="44"/>
      <c r="H41" s="44"/>
      <c r="I41" s="44"/>
      <c r="J41" s="44"/>
      <c r="K41" s="44"/>
      <c r="L41" s="44"/>
      <c r="M41" s="44"/>
      <c r="N41" s="44"/>
      <c r="Q41" s="1"/>
      <c r="R41" s="1"/>
      <c r="S41" s="1"/>
      <c r="T41" s="1"/>
      <c r="U41" s="1"/>
      <c r="V41" s="1"/>
      <c r="W41" s="1"/>
      <c r="X41" s="1"/>
      <c r="Y41" s="1"/>
      <c r="Z41" s="1"/>
      <c r="AA41" s="1"/>
      <c r="AB41" s="1"/>
      <c r="AC41" s="1"/>
      <c r="AD41" s="1"/>
      <c r="AE41" s="1"/>
      <c r="AF41" s="1"/>
      <c r="AG41" s="1"/>
    </row>
    <row r="42" spans="1:33" x14ac:dyDescent="0.25">
      <c r="A42" s="304" t="s">
        <v>192</v>
      </c>
      <c r="B42" s="314"/>
      <c r="C42" s="314">
        <f>-((I26-I27)-(H26-H27))/(1+C22)^4</f>
        <v>8557.0828193385369</v>
      </c>
      <c r="D42" s="1"/>
      <c r="E42" s="1"/>
      <c r="F42" s="1"/>
      <c r="G42" s="1"/>
      <c r="H42" s="1"/>
      <c r="I42" s="1"/>
      <c r="J42" s="1"/>
      <c r="K42" s="1"/>
      <c r="L42" s="1"/>
      <c r="M42" s="1"/>
      <c r="N42" s="1"/>
    </row>
    <row r="43" spans="1:33" x14ac:dyDescent="0.25">
      <c r="A43" s="304" t="s">
        <v>193</v>
      </c>
      <c r="B43" s="314"/>
      <c r="C43" s="314">
        <v>0</v>
      </c>
      <c r="D43" s="1"/>
      <c r="E43" s="1"/>
      <c r="F43" s="1"/>
      <c r="G43" s="1"/>
      <c r="H43" s="1"/>
      <c r="I43" s="1"/>
      <c r="J43" s="1"/>
      <c r="K43" s="1"/>
      <c r="L43" s="1"/>
      <c r="M43" s="1"/>
      <c r="N43" s="1"/>
    </row>
    <row r="44" spans="1:33" x14ac:dyDescent="0.25">
      <c r="A44" s="304" t="s">
        <v>194</v>
      </c>
      <c r="B44" s="314"/>
      <c r="C44" s="314">
        <f>SUM(C42:C43)</f>
        <v>8557.0828193385369</v>
      </c>
      <c r="D44" s="1"/>
      <c r="E44" s="1"/>
      <c r="F44" s="1"/>
      <c r="G44" s="1"/>
      <c r="H44" s="1"/>
      <c r="I44" s="1"/>
      <c r="J44" s="1"/>
      <c r="K44" s="1"/>
      <c r="L44" s="1"/>
      <c r="M44" s="1"/>
      <c r="N44" s="1"/>
    </row>
    <row r="45" spans="1:33" x14ac:dyDescent="0.25">
      <c r="A45" s="340" t="s">
        <v>6</v>
      </c>
      <c r="B45" s="314"/>
      <c r="C45" s="314">
        <v>4</v>
      </c>
      <c r="D45" s="1"/>
      <c r="E45" s="1"/>
      <c r="F45" s="1"/>
      <c r="G45" s="1"/>
      <c r="H45" s="1"/>
      <c r="I45" s="1"/>
      <c r="J45" s="1"/>
      <c r="K45" s="1"/>
      <c r="L45" s="1"/>
      <c r="M45" s="1"/>
      <c r="N45" s="1"/>
    </row>
    <row r="46" spans="1:33" x14ac:dyDescent="0.25">
      <c r="A46" s="340" t="s">
        <v>7</v>
      </c>
      <c r="B46" s="314"/>
      <c r="C46" s="323">
        <f>1+C23</f>
        <v>1.0611999999999999</v>
      </c>
      <c r="D46" s="307"/>
      <c r="E46" s="307"/>
      <c r="F46" s="307"/>
      <c r="G46" s="307"/>
      <c r="H46" s="307"/>
      <c r="I46" s="307"/>
      <c r="J46" s="307"/>
      <c r="K46" s="307"/>
      <c r="L46" s="307"/>
      <c r="M46" s="307"/>
      <c r="N46" s="307"/>
    </row>
    <row r="47" spans="1:33" x14ac:dyDescent="0.25">
      <c r="A47" s="341" t="s">
        <v>596</v>
      </c>
      <c r="B47" s="325"/>
      <c r="C47" s="325"/>
      <c r="D47" s="325"/>
      <c r="E47" s="325"/>
      <c r="F47" s="325"/>
      <c r="G47" s="325"/>
      <c r="H47" s="325"/>
      <c r="I47" s="325"/>
      <c r="J47" s="325"/>
      <c r="K47" s="314">
        <v>0</v>
      </c>
      <c r="L47" s="314">
        <v>1</v>
      </c>
      <c r="M47" s="314">
        <v>2</v>
      </c>
      <c r="N47" s="314">
        <v>3</v>
      </c>
      <c r="O47" s="1"/>
      <c r="Q47" s="1"/>
      <c r="R47" s="1"/>
      <c r="S47" s="1"/>
      <c r="T47" s="1"/>
      <c r="U47" s="1"/>
      <c r="V47" s="1"/>
      <c r="W47" s="1"/>
      <c r="X47" s="1"/>
      <c r="Y47" s="1"/>
      <c r="Z47" s="1"/>
      <c r="AA47" s="1"/>
      <c r="AB47" s="1"/>
      <c r="AC47" s="1"/>
      <c r="AD47" s="1"/>
      <c r="AE47" s="1"/>
      <c r="AF47" s="1"/>
      <c r="AG47" s="1"/>
    </row>
    <row r="48" spans="1:33" x14ac:dyDescent="0.25">
      <c r="A48" s="341" t="s">
        <v>520</v>
      </c>
      <c r="B48" s="325"/>
      <c r="C48" s="325"/>
      <c r="D48" s="325"/>
      <c r="E48" s="325"/>
      <c r="F48" s="325"/>
      <c r="G48" s="325"/>
      <c r="H48" s="325"/>
      <c r="I48" s="325"/>
      <c r="J48" s="343"/>
      <c r="K48" s="342">
        <f>$C46^K47</f>
        <v>1</v>
      </c>
      <c r="L48" s="342">
        <f>$C46^L47</f>
        <v>1.0611999999999999</v>
      </c>
      <c r="M48" s="342">
        <f t="shared" ref="M48:N48" si="3">$C46^M47</f>
        <v>1.1261454399999999</v>
      </c>
      <c r="N48" s="342">
        <f t="shared" si="3"/>
        <v>1.1950655409279998</v>
      </c>
    </row>
    <row r="49" spans="1:16" x14ac:dyDescent="0.25">
      <c r="A49" s="304" t="s">
        <v>195</v>
      </c>
      <c r="B49" s="314"/>
      <c r="C49" s="314"/>
      <c r="D49" s="314"/>
      <c r="E49" s="314"/>
      <c r="F49" s="314"/>
      <c r="G49" s="314"/>
      <c r="H49" s="314"/>
      <c r="I49" s="314"/>
      <c r="J49" s="344">
        <v>0</v>
      </c>
      <c r="K49" s="345">
        <f>($C$44/$C$45)*K48</f>
        <v>2139.2707048346342</v>
      </c>
      <c r="L49" s="314">
        <f t="shared" ref="L49:N49" si="4">($C$44/$C$45)*L48</f>
        <v>2270.1940719705135</v>
      </c>
      <c r="M49" s="314">
        <f t="shared" si="4"/>
        <v>2409.1299491751092</v>
      </c>
      <c r="N49" s="314">
        <f t="shared" si="4"/>
        <v>2556.5687020646255</v>
      </c>
      <c r="P49" s="1" t="s">
        <v>541</v>
      </c>
    </row>
    <row r="50" spans="1:16" ht="18.75" x14ac:dyDescent="0.3">
      <c r="A50" s="139" t="s">
        <v>169</v>
      </c>
      <c r="B50" s="314"/>
      <c r="C50" s="314"/>
      <c r="D50" s="325"/>
      <c r="E50" s="325"/>
      <c r="F50" s="325"/>
      <c r="G50" s="325"/>
      <c r="H50" s="325"/>
      <c r="I50" s="325"/>
      <c r="J50" s="316">
        <f>J38+J49</f>
        <v>-22145.789922051597</v>
      </c>
      <c r="K50" s="316">
        <f>K38+K49</f>
        <v>-22002.519217216963</v>
      </c>
      <c r="L50" s="316">
        <f>L38+L49</f>
        <v>-17417.595850081085</v>
      </c>
      <c r="M50" s="316">
        <f>M38+M49</f>
        <v>-13437.659972876489</v>
      </c>
      <c r="N50" s="316">
        <f>N38+N49</f>
        <v>2556.5687020646255</v>
      </c>
    </row>
  </sheetData>
  <mergeCells count="1">
    <mergeCell ref="A13:N13"/>
  </mergeCells>
  <dataValidations count="1">
    <dataValidation type="list" allowBlank="1" showInputMessage="1" showErrorMessage="1" sqref="B10" xr:uid="{2AEE3E5C-A277-456D-AE65-5B99AEE89890}">
      <formula1>"Use latest AMP forecast,Use DPP model values"</formula1>
    </dataValidation>
  </dataValidations>
  <pageMargins left="0.70866141732283472" right="0.70866141732283472" top="0.74803149606299213" bottom="0.74803149606299213" header="0.31496062992125984" footer="0.31496062992125984"/>
  <pageSetup paperSize="9" scale="3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F873-C847-4607-8609-746D0ED2BD81}">
  <sheetPr codeName="Sheet22">
    <tabColor theme="0" tint="-0.34998626667073579"/>
    <pageSetUpPr fitToPage="1"/>
  </sheetPr>
  <dimension ref="A1:J58"/>
  <sheetViews>
    <sheetView showGridLines="0" view="pageBreakPreview" zoomScaleNormal="100" zoomScaleSheetLayoutView="100" workbookViewId="0"/>
  </sheetViews>
  <sheetFormatPr defaultColWidth="9" defaultRowHeight="15" customHeight="1" x14ac:dyDescent="0.25"/>
  <cols>
    <col min="1" max="1" width="60.140625" customWidth="1"/>
    <col min="2" max="2" width="20.85546875" bestFit="1" customWidth="1"/>
    <col min="3" max="9" width="11.42578125" customWidth="1"/>
    <col min="10" max="10" width="2.85546875" customWidth="1"/>
    <col min="11" max="16384" width="9" style="1"/>
  </cols>
  <sheetData>
    <row r="1" spans="1:9" ht="26.25" x14ac:dyDescent="0.4">
      <c r="A1" s="234" t="s">
        <v>200</v>
      </c>
      <c r="B1" s="283"/>
      <c r="I1" s="289" t="str">
        <f>B4</f>
        <v>Vector Lines</v>
      </c>
    </row>
    <row r="2" spans="1:9" x14ac:dyDescent="0.25">
      <c r="A2" s="346"/>
      <c r="B2" s="346"/>
      <c r="C2" s="293"/>
      <c r="D2" s="293"/>
      <c r="E2" s="293"/>
      <c r="F2" s="293"/>
      <c r="G2" s="293"/>
      <c r="H2" s="293"/>
      <c r="I2" s="293"/>
    </row>
    <row r="3" spans="1:9" x14ac:dyDescent="0.25">
      <c r="A3" s="347" t="s">
        <v>208</v>
      </c>
      <c r="B3" s="347" t="s">
        <v>27</v>
      </c>
      <c r="C3" s="1"/>
      <c r="D3" s="1"/>
      <c r="E3" s="1"/>
      <c r="F3" s="1"/>
      <c r="G3" s="1"/>
      <c r="H3" s="1"/>
      <c r="I3" s="1"/>
    </row>
    <row r="4" spans="1:9" x14ac:dyDescent="0.25">
      <c r="A4" s="304" t="s">
        <v>28</v>
      </c>
      <c r="B4" s="270" t="str">
        <f>'EDB select'!$B$5</f>
        <v>Vector Lines</v>
      </c>
      <c r="C4" s="1"/>
      <c r="D4" s="1"/>
      <c r="E4" s="1"/>
      <c r="F4" s="1"/>
      <c r="G4" s="1"/>
      <c r="H4" s="1"/>
      <c r="I4" s="1"/>
    </row>
    <row r="5" spans="1:9" x14ac:dyDescent="0.25">
      <c r="A5" s="304" t="s">
        <v>209</v>
      </c>
      <c r="B5" s="270">
        <f>Outputs!C5</f>
        <v>15</v>
      </c>
      <c r="C5" s="1"/>
      <c r="D5" s="1"/>
      <c r="E5" s="1"/>
      <c r="F5" s="1"/>
      <c r="G5" s="1"/>
      <c r="H5" s="1"/>
      <c r="I5" s="1"/>
    </row>
    <row r="6" spans="1:9" x14ac:dyDescent="0.25">
      <c r="A6" s="304" t="s">
        <v>210</v>
      </c>
      <c r="B6" s="270">
        <f>VLOOKUP($B$4,Inputs!$A$15:$B$30,2)</f>
        <v>15</v>
      </c>
      <c r="C6" s="1"/>
      <c r="D6" s="1"/>
      <c r="E6" s="1"/>
      <c r="F6" s="1"/>
      <c r="G6" s="1"/>
      <c r="H6" s="1"/>
      <c r="I6" s="1"/>
    </row>
    <row r="7" spans="1:9" x14ac:dyDescent="0.25">
      <c r="A7" s="306"/>
      <c r="B7" s="306"/>
      <c r="C7" s="1"/>
      <c r="D7" s="1"/>
      <c r="E7" s="1"/>
      <c r="F7" s="1"/>
      <c r="G7" s="1"/>
      <c r="H7" s="1"/>
      <c r="I7" s="1"/>
    </row>
    <row r="8" spans="1:9" x14ac:dyDescent="0.25">
      <c r="A8" s="334" t="s">
        <v>29</v>
      </c>
      <c r="B8" s="270"/>
      <c r="C8" s="1"/>
      <c r="D8" s="1"/>
      <c r="E8" s="1"/>
      <c r="F8" s="1"/>
      <c r="G8" s="1"/>
      <c r="H8" s="1"/>
      <c r="I8" s="1"/>
    </row>
    <row r="9" spans="1:9" x14ac:dyDescent="0.25">
      <c r="A9" s="304" t="s">
        <v>214</v>
      </c>
      <c r="B9" s="288" t="s">
        <v>179</v>
      </c>
      <c r="C9" s="1"/>
      <c r="D9" s="1"/>
      <c r="E9" s="1"/>
      <c r="F9" s="1"/>
      <c r="G9" s="1"/>
      <c r="H9" s="1"/>
      <c r="I9" s="1"/>
    </row>
    <row r="10" spans="1:9" ht="30" customHeight="1" x14ac:dyDescent="0.25">
      <c r="A10" s="141"/>
      <c r="B10" s="140"/>
      <c r="C10" s="1"/>
      <c r="D10" s="1"/>
      <c r="E10" s="1"/>
      <c r="F10" s="1"/>
      <c r="G10" s="1"/>
      <c r="H10" s="1"/>
      <c r="I10" s="1"/>
    </row>
    <row r="11" spans="1:9" ht="30" customHeight="1" x14ac:dyDescent="0.35">
      <c r="A11" s="299" t="s">
        <v>12</v>
      </c>
      <c r="B11" s="194"/>
      <c r="C11" s="92"/>
      <c r="D11" s="92"/>
      <c r="E11" s="92"/>
      <c r="F11" s="92"/>
      <c r="G11" s="92"/>
      <c r="H11" s="92"/>
      <c r="I11" s="92"/>
    </row>
    <row r="12" spans="1:9" ht="23.25" x14ac:dyDescent="0.35">
      <c r="A12" s="333"/>
      <c r="B12" s="31"/>
      <c r="C12" s="31"/>
      <c r="D12" s="31"/>
      <c r="E12" s="31">
        <v>2021</v>
      </c>
      <c r="F12" s="31">
        <v>2022</v>
      </c>
      <c r="G12" s="31">
        <v>2023</v>
      </c>
      <c r="H12" s="31">
        <v>2024</v>
      </c>
      <c r="I12" s="31">
        <v>2025</v>
      </c>
    </row>
    <row r="13" spans="1:9" x14ac:dyDescent="0.25">
      <c r="A13" s="300" t="s">
        <v>272</v>
      </c>
      <c r="B13" s="270"/>
      <c r="C13" s="302"/>
      <c r="D13" s="302"/>
      <c r="E13" s="314">
        <f>INDEX(Inputs!$B$13:$H$30,MATCH($B$5,Inputs!$B$13:$B$30,0),MATCH(E12,Inputs!$B$4:$H$4,0))</f>
        <v>211119.9718515854</v>
      </c>
      <c r="F13" s="314">
        <f>INDEX(Inputs!$B$13:$H$30,MATCH($B$5,Inputs!$B$13:$B$30,0),MATCH(F12,Inputs!$B$4:$H$4,0))</f>
        <v>209600.00629559506</v>
      </c>
      <c r="G13" s="314">
        <f>INDEX(Inputs!$B$13:$H$30,MATCH($B$5,Inputs!$B$13:$B$30,0),MATCH(G12,Inputs!$B$4:$H$4,0))</f>
        <v>213423.98232804175</v>
      </c>
      <c r="H13" s="314">
        <f>INDEX(Inputs!$B$13:$H$30,MATCH($B$5,Inputs!$B$13:$B$30,0),MATCH(H12,Inputs!$B$4:$H$4,0))</f>
        <v>209518.18392710513</v>
      </c>
      <c r="I13" s="314">
        <f>INDEX(Inputs!$B$13:$H$30,MATCH($B$5,Inputs!$B$13:$B$30,0),MATCH(I12,Inputs!$B$4:$H$4,0))</f>
        <v>197131.64960191568</v>
      </c>
    </row>
    <row r="14" spans="1:9" x14ac:dyDescent="0.25">
      <c r="A14" s="304" t="s">
        <v>15</v>
      </c>
      <c r="B14" s="270"/>
      <c r="C14" s="302"/>
      <c r="D14" s="302"/>
      <c r="E14" s="314">
        <f>INDEX(Inputs!$B$32:$H$48,MATCH($B$5,Inputs!$B$32:$B$48,0),MATCH(E12,Inputs!$B$4:$H$4,0))</f>
        <v>215221.23517623401</v>
      </c>
      <c r="F14" s="314">
        <f>INDEX(Inputs!$B$32:$H$48,MATCH($B$5,Inputs!$B$32:$B$48,0),MATCH(F12,Inputs!$B$4:$H$4,0))</f>
        <v>171903</v>
      </c>
      <c r="G14" s="314">
        <f>INDEX(Inputs!$B$32:$H$48,MATCH($B$5,Inputs!$B$32:$B$48,0),MATCH(G12,Inputs!$B$4:$H$4,0))</f>
        <v>169286.63359466099</v>
      </c>
      <c r="H14" s="314">
        <f>INDEX(Inputs!$B$32:$H$48,MATCH($B$5,Inputs!$B$32:$B$48,0),MATCH(H12,Inputs!$B$4:$H$4,0))</f>
        <v>0</v>
      </c>
      <c r="I14" s="314">
        <f>INDEX(Inputs!$B$32:$H$48,MATCH($B$5,Inputs!$B$32:$B$48,0),MATCH(I12,Inputs!$B$4:$H$4,0))</f>
        <v>0</v>
      </c>
    </row>
    <row r="15" spans="1:9" x14ac:dyDescent="0.25">
      <c r="A15" s="300" t="s">
        <v>504</v>
      </c>
      <c r="B15" s="270"/>
      <c r="C15" s="302"/>
      <c r="D15" s="302"/>
      <c r="E15" s="314">
        <f>INDEX(Inputs!$B$50:$H$66,MATCH($B$5,Inputs!$B$50:$B$66,0),MATCH(E12,Inputs!$B$4:$H$4,0))</f>
        <v>0</v>
      </c>
      <c r="F15" s="314">
        <f>INDEX(Inputs!$B$50:$H$66,MATCH($B$5,Inputs!$B$50:$B$66,0),MATCH(F12,Inputs!$B$4:$H$4,0))</f>
        <v>0</v>
      </c>
      <c r="G15" s="314">
        <f>INDEX(Inputs!$B$50:$H$66,MATCH($B$5,Inputs!$B$50:$B$66,0),MATCH(G12,Inputs!$B$4:$H$4,0))</f>
        <v>0</v>
      </c>
      <c r="H15" s="314">
        <f>INDEX(Inputs!$B$50:$H$66,MATCH($B$5,Inputs!$B$50:$B$66,0),MATCH(H12,Inputs!$B$4:$H$4,0))</f>
        <v>308324</v>
      </c>
      <c r="I15" s="314">
        <f>INDEX(Inputs!$B$50:$H$66,MATCH($B$5,Inputs!$B$50:$B$66,0),MATCH(I12,Inputs!$B$4:$H$4,0))</f>
        <v>382111</v>
      </c>
    </row>
    <row r="16" spans="1:9" x14ac:dyDescent="0.25">
      <c r="A16" s="300" t="s">
        <v>277</v>
      </c>
      <c r="B16" s="270"/>
      <c r="C16" s="302"/>
      <c r="D16" s="302"/>
      <c r="E16" s="314">
        <f>INDEX(Inputs!$B$90:$H$105,MATCH($B$5,Inputs!$B$90:$B$105,0),MATCH(E12,Inputs!$B$4:$H$4,0))</f>
        <v>129198</v>
      </c>
      <c r="F16" s="314">
        <f>INDEX(Inputs!$B$90:$H$105,MATCH($B$5,Inputs!$B$90:$B$105,0),MATCH(F12,Inputs!$B$4:$H$4,0))</f>
        <v>134295</v>
      </c>
      <c r="G16" s="314">
        <f>INDEX(Inputs!$B$90:$H$105,MATCH($B$5,Inputs!$B$90:$B$105,0),MATCH(G12,Inputs!$B$4:$H$4,0))</f>
        <v>139643</v>
      </c>
      <c r="H16" s="314">
        <f>INDEX(Inputs!$B$90:$H$105,MATCH($B$5,Inputs!$B$90:$B$105,0),MATCH(H12,Inputs!$B$4:$H$4,0))</f>
        <v>144816</v>
      </c>
      <c r="I16" s="314">
        <f>INDEX(Inputs!$B$90:$H$105,MATCH($B$5,Inputs!$B$90:$B$105,0),MATCH(I12,Inputs!$B$4:$H$4,0))</f>
        <v>149858</v>
      </c>
    </row>
    <row r="17" spans="1:9" x14ac:dyDescent="0.25">
      <c r="A17" s="304" t="s">
        <v>167</v>
      </c>
      <c r="B17" s="270"/>
      <c r="C17" s="302"/>
      <c r="D17" s="302"/>
      <c r="E17" s="314">
        <f>INDEX(Inputs!$B$108:$H$123,MATCH($B$5,Inputs!$B$108:$B$123,0),MATCH(E12,Inputs!$B$4:$H$4,0))</f>
        <v>127202</v>
      </c>
      <c r="F17" s="314">
        <f>INDEX(Inputs!$B$108:$H$123,MATCH($B$5,Inputs!$B$108:$B$123,0),MATCH(F12,Inputs!$B$4:$H$4,0))</f>
        <v>136753</v>
      </c>
      <c r="G17" s="314">
        <f>INDEX(Inputs!$B$108:$H$123,MATCH($B$5,Inputs!$B$108:$B$123,0),MATCH(G12,Inputs!$B$4:$H$4,0))</f>
        <v>145942</v>
      </c>
      <c r="H17" s="314">
        <f>INDEX(Inputs!$B$108:$H$123,MATCH($B$5,Inputs!$B$108:$B$123,0),MATCH(H12,Inputs!$B$4:$H$4,0))</f>
        <v>0</v>
      </c>
      <c r="I17" s="314">
        <f>INDEX(Inputs!$B$108:$H$123,MATCH($B$5,Inputs!$B$108:$B$123,0),MATCH(I12,Inputs!$B$4:$H$4,0))</f>
        <v>0</v>
      </c>
    </row>
    <row r="18" spans="1:9" x14ac:dyDescent="0.25">
      <c r="A18" s="300" t="s">
        <v>278</v>
      </c>
      <c r="B18" s="270"/>
      <c r="C18" s="302"/>
      <c r="D18" s="302"/>
      <c r="E18" s="314">
        <f>INDEX(Inputs!$B$126:$H$141,MATCH($B$5,Inputs!$B$126:$B$141,0),MATCH(E12,Inputs!$B$4:$H$4,0))</f>
        <v>0</v>
      </c>
      <c r="F18" s="314">
        <f>INDEX(Inputs!$B$126:$H$141,MATCH($B$5,Inputs!$B$126:$B$141,0),MATCH(F12,Inputs!$B$4:$H$4,0))</f>
        <v>0</v>
      </c>
      <c r="G18" s="314">
        <f>INDEX(Inputs!$B$126:$H$141,MATCH($B$5,Inputs!$B$126:$B$141,0),MATCH(G12,Inputs!$B$4:$H$4,0))</f>
        <v>0</v>
      </c>
      <c r="H18" s="314">
        <f>INDEX(Inputs!$B$126:$H$141,MATCH($B$5,Inputs!$B$126:$B$141,0),MATCH(H12,Inputs!$B$4:$H$4,0))</f>
        <v>166961.7899220516</v>
      </c>
      <c r="I18" s="314">
        <f>INDEX(Inputs!$B$126:$H$141,MATCH($B$5,Inputs!$B$126:$B$141,0),MATCH(I12,Inputs!$B$4:$H$4,0))</f>
        <v>183376.33187877576</v>
      </c>
    </row>
    <row r="19" spans="1:9" x14ac:dyDescent="0.25">
      <c r="A19" s="304"/>
      <c r="B19" s="270"/>
      <c r="C19" s="302"/>
      <c r="D19" s="302"/>
      <c r="E19" s="302"/>
      <c r="F19" s="302"/>
      <c r="G19" s="302"/>
      <c r="H19" s="302"/>
      <c r="I19" s="302"/>
    </row>
    <row r="20" spans="1:9" x14ac:dyDescent="0.25">
      <c r="A20" s="300" t="s">
        <v>279</v>
      </c>
      <c r="B20" s="302"/>
      <c r="C20" s="314">
        <f>VLOOKUP(B5,Inputs!$B$164:$C$179,2,)</f>
        <v>2955995.9234370939</v>
      </c>
      <c r="D20" s="40"/>
      <c r="E20" s="40"/>
      <c r="F20" s="40"/>
      <c r="G20" s="40"/>
      <c r="H20" s="40"/>
      <c r="I20" s="40"/>
    </row>
    <row r="21" spans="1:9" x14ac:dyDescent="0.25">
      <c r="A21" s="300" t="s">
        <v>267</v>
      </c>
      <c r="B21" s="302"/>
      <c r="C21" s="332">
        <f>Inputs!C6</f>
        <v>7.3700000000000002E-2</v>
      </c>
      <c r="D21" s="307"/>
      <c r="E21" s="307"/>
      <c r="F21" s="307"/>
      <c r="G21" s="307"/>
      <c r="H21" s="307"/>
      <c r="I21" s="307"/>
    </row>
    <row r="22" spans="1:9" x14ac:dyDescent="0.25">
      <c r="A22" s="304"/>
      <c r="B22" s="302"/>
      <c r="C22" s="332"/>
      <c r="D22" s="332"/>
      <c r="E22" s="334">
        <v>2026</v>
      </c>
      <c r="F22" s="334">
        <v>2027</v>
      </c>
      <c r="G22" s="334">
        <v>2028</v>
      </c>
      <c r="H22" s="334">
        <v>2029</v>
      </c>
      <c r="I22" s="334">
        <v>2030</v>
      </c>
    </row>
    <row r="23" spans="1:9" x14ac:dyDescent="0.25">
      <c r="A23" s="300" t="s">
        <v>280</v>
      </c>
      <c r="B23" s="302"/>
      <c r="C23" s="314"/>
      <c r="D23" s="314"/>
      <c r="E23" s="314">
        <f>'Capex incentives'!J67</f>
        <v>0</v>
      </c>
      <c r="F23" s="314">
        <f>'Capex incentives'!K67</f>
        <v>-12882.302200506792</v>
      </c>
      <c r="G23" s="314">
        <f>'Capex incentives'!L67</f>
        <v>-13670.699095177806</v>
      </c>
      <c r="H23" s="314">
        <f>'Capex incentives'!M67</f>
        <v>-14507.345879802688</v>
      </c>
      <c r="I23" s="314">
        <f>'Capex incentives'!N67</f>
        <v>-15395.195447646613</v>
      </c>
    </row>
    <row r="24" spans="1:9" x14ac:dyDescent="0.25">
      <c r="A24" s="304" t="s">
        <v>169</v>
      </c>
      <c r="B24" s="302"/>
      <c r="C24" s="314"/>
      <c r="D24" s="314"/>
      <c r="E24" s="314">
        <f>'Opex incentives'!J50</f>
        <v>-22145.789922051597</v>
      </c>
      <c r="F24" s="314">
        <f>'Opex incentives'!K50</f>
        <v>-22002.519217216963</v>
      </c>
      <c r="G24" s="314">
        <f>'Opex incentives'!L50</f>
        <v>-17417.595850081085</v>
      </c>
      <c r="H24" s="314">
        <f>'Opex incentives'!M50</f>
        <v>-13437.659972876489</v>
      </c>
      <c r="I24" s="314">
        <f>'Opex incentives'!N50</f>
        <v>2556.5687020646255</v>
      </c>
    </row>
    <row r="25" spans="1:9" ht="30" customHeight="1" x14ac:dyDescent="0.25">
      <c r="A25" s="40"/>
      <c r="B25" s="40"/>
      <c r="C25" s="306"/>
      <c r="D25" s="306"/>
      <c r="E25" s="306"/>
      <c r="F25" s="306"/>
      <c r="G25" s="306"/>
      <c r="H25" s="306"/>
      <c r="I25" s="306"/>
    </row>
    <row r="26" spans="1:9" ht="23.25" x14ac:dyDescent="0.35">
      <c r="A26" s="333"/>
      <c r="B26" s="307"/>
      <c r="C26" s="334" t="s">
        <v>185</v>
      </c>
      <c r="D26" s="334" t="s">
        <v>186</v>
      </c>
      <c r="E26" s="334">
        <v>2021</v>
      </c>
      <c r="F26" s="334">
        <v>2022</v>
      </c>
      <c r="G26" s="334">
        <v>2023</v>
      </c>
      <c r="H26" s="334">
        <v>2024</v>
      </c>
      <c r="I26" s="334">
        <v>2025</v>
      </c>
    </row>
    <row r="27" spans="1:9" x14ac:dyDescent="0.25">
      <c r="A27" s="300" t="s">
        <v>272</v>
      </c>
      <c r="B27" s="270"/>
      <c r="C27" s="335">
        <f>SUM(E27:I27)</f>
        <v>1040793.7940042431</v>
      </c>
      <c r="D27" s="336"/>
      <c r="E27" s="314">
        <f>E13</f>
        <v>211119.9718515854</v>
      </c>
      <c r="F27" s="314">
        <f>F13</f>
        <v>209600.00629559506</v>
      </c>
      <c r="G27" s="314">
        <f>G13</f>
        <v>213423.98232804175</v>
      </c>
      <c r="H27" s="314">
        <f>H13</f>
        <v>209518.18392710513</v>
      </c>
      <c r="I27" s="314">
        <f>I13</f>
        <v>197131.64960191568</v>
      </c>
    </row>
    <row r="28" spans="1:9" x14ac:dyDescent="0.25">
      <c r="A28" s="304" t="s">
        <v>163</v>
      </c>
      <c r="B28" s="270"/>
      <c r="C28" s="335">
        <f>SUM(E28:I28)</f>
        <v>1246845.8687708951</v>
      </c>
      <c r="D28" s="336"/>
      <c r="E28" s="314">
        <f>IF(E14=0,IF($B$9="Use DPP model values",E13,E15),E14)</f>
        <v>215221.23517623401</v>
      </c>
      <c r="F28" s="314">
        <f>IF(F14=0,IF($B$9="Use DPP model values",F13,F15),F14)</f>
        <v>171903</v>
      </c>
      <c r="G28" s="314">
        <f>IF(G14=0,IF($B$9="Use DPP model values",G13,G15),G14)</f>
        <v>169286.63359466099</v>
      </c>
      <c r="H28" s="314">
        <f>IF(H14=0,IF($B$9="Use DPP model values",H13,H15),H14)</f>
        <v>308324</v>
      </c>
      <c r="I28" s="314">
        <f>IF(I14=0,IF($B$9="Use DPP model values",I13,I15),I14)</f>
        <v>382111</v>
      </c>
    </row>
    <row r="29" spans="1:9" x14ac:dyDescent="0.25">
      <c r="A29" s="300" t="s">
        <v>277</v>
      </c>
      <c r="B29" s="270"/>
      <c r="C29" s="335">
        <f>SUM(E29:I29)</f>
        <v>697810</v>
      </c>
      <c r="D29" s="336"/>
      <c r="E29" s="314">
        <f>E16</f>
        <v>129198</v>
      </c>
      <c r="F29" s="314">
        <f>F16</f>
        <v>134295</v>
      </c>
      <c r="G29" s="314">
        <f>G16</f>
        <v>139643</v>
      </c>
      <c r="H29" s="314">
        <f>H16</f>
        <v>144816</v>
      </c>
      <c r="I29" s="314">
        <f>I16</f>
        <v>149858</v>
      </c>
    </row>
    <row r="30" spans="1:9" x14ac:dyDescent="0.25">
      <c r="A30" s="304" t="s">
        <v>168</v>
      </c>
      <c r="B30" s="270"/>
      <c r="C30" s="335">
        <f>SUM(E30:I30)</f>
        <v>760235.12180082733</v>
      </c>
      <c r="D30" s="336"/>
      <c r="E30" s="314">
        <f>IF(E17=0,IF($B$9="Use DPP model values",E16,E18),E17)</f>
        <v>127202</v>
      </c>
      <c r="F30" s="314">
        <f>IF(F17=0,IF($B$9="Use DPP model values",F16,F18),F17)</f>
        <v>136753</v>
      </c>
      <c r="G30" s="314">
        <f>IF(G17=0,IF($B$9="Use DPP model values",G16,G18),G17)</f>
        <v>145942</v>
      </c>
      <c r="H30" s="314">
        <f>IF(H17=0,IF($B$9="Use DPP model values",H16,H18),H17)</f>
        <v>166961.7899220516</v>
      </c>
      <c r="I30" s="314">
        <f>IF(I17=0,IF($B$9="Use DPP model values",I16,I18),I17)</f>
        <v>183376.33187877576</v>
      </c>
    </row>
    <row r="31" spans="1:9" x14ac:dyDescent="0.25">
      <c r="A31" s="196"/>
      <c r="B31" s="140"/>
      <c r="C31" s="197"/>
      <c r="D31" s="198"/>
      <c r="E31" s="171"/>
      <c r="F31" s="171"/>
      <c r="G31" s="171"/>
      <c r="H31" s="171"/>
      <c r="I31" s="171"/>
    </row>
    <row r="32" spans="1:9" ht="30" customHeight="1" x14ac:dyDescent="0.35">
      <c r="A32" s="299" t="s">
        <v>71</v>
      </c>
      <c r="B32" s="194"/>
      <c r="C32" s="92"/>
      <c r="D32" s="92"/>
      <c r="E32" s="92"/>
      <c r="F32" s="92"/>
      <c r="G32" s="92"/>
      <c r="H32" s="92"/>
      <c r="I32" s="92"/>
    </row>
    <row r="33" spans="1:10" ht="14.45" customHeight="1" x14ac:dyDescent="0.25">
      <c r="A33" s="311" t="s">
        <v>543</v>
      </c>
      <c r="B33" s="97"/>
      <c r="C33" s="97"/>
      <c r="D33" s="97"/>
      <c r="E33" s="97"/>
      <c r="F33" s="97"/>
      <c r="G33" s="97"/>
      <c r="H33" s="97"/>
      <c r="I33" s="97"/>
    </row>
    <row r="34" spans="1:10" ht="14.45" customHeight="1" x14ac:dyDescent="0.25">
      <c r="A34" s="348"/>
      <c r="B34" s="79"/>
      <c r="C34" s="1"/>
      <c r="D34" s="1"/>
      <c r="E34" s="1"/>
      <c r="F34" s="1"/>
      <c r="G34" s="1"/>
      <c r="H34" s="1"/>
      <c r="I34" s="1"/>
    </row>
    <row r="35" spans="1:10" s="120" customFormat="1" x14ac:dyDescent="0.25">
      <c r="A35" s="349" t="s">
        <v>544</v>
      </c>
      <c r="B35" s="350"/>
      <c r="C35" s="195"/>
      <c r="D35" s="195"/>
      <c r="E35" s="195"/>
      <c r="F35" s="195"/>
      <c r="G35" s="195"/>
      <c r="H35" s="195"/>
      <c r="I35" s="195"/>
      <c r="J35" s="351"/>
    </row>
    <row r="36" spans="1:10" s="120" customFormat="1" x14ac:dyDescent="0.25">
      <c r="A36" s="352"/>
      <c r="B36" s="353"/>
      <c r="C36" s="31" t="s">
        <v>185</v>
      </c>
      <c r="D36" s="31" t="s">
        <v>186</v>
      </c>
      <c r="E36" s="31">
        <v>2021</v>
      </c>
      <c r="F36" s="31">
        <v>2022</v>
      </c>
      <c r="G36" s="31">
        <v>2023</v>
      </c>
      <c r="H36" s="31">
        <v>2024</v>
      </c>
      <c r="I36" s="31">
        <v>2025</v>
      </c>
      <c r="J36" s="351"/>
    </row>
    <row r="37" spans="1:10" x14ac:dyDescent="0.25">
      <c r="A37" s="304" t="s">
        <v>181</v>
      </c>
      <c r="B37" s="270"/>
      <c r="C37" s="314">
        <f>C28-C27</f>
        <v>206052.07476665196</v>
      </c>
      <c r="D37" s="336"/>
      <c r="E37" s="314">
        <f>E28-E27</f>
        <v>4101.2633246486075</v>
      </c>
      <c r="F37" s="314">
        <f>F28-F27</f>
        <v>-37697.006295595056</v>
      </c>
      <c r="G37" s="314">
        <f>G28-G27</f>
        <v>-44137.348733380757</v>
      </c>
      <c r="H37" s="314">
        <f>H28-H27</f>
        <v>98805.816072894871</v>
      </c>
      <c r="I37" s="314">
        <f>I28-I27</f>
        <v>184979.35039808432</v>
      </c>
    </row>
    <row r="38" spans="1:10" x14ac:dyDescent="0.25">
      <c r="A38" s="304" t="s">
        <v>182</v>
      </c>
      <c r="B38" s="270"/>
      <c r="C38" s="354">
        <f>C37/C27</f>
        <v>0.19797588720615675</v>
      </c>
      <c r="D38" s="336"/>
      <c r="E38" s="354">
        <f>E37/E27</f>
        <v>1.9426221444988363E-2</v>
      </c>
      <c r="F38" s="354">
        <f>F37/F27</f>
        <v>-0.17985212387079635</v>
      </c>
      <c r="G38" s="354">
        <f>G37/G27</f>
        <v>-0.20680594679158301</v>
      </c>
      <c r="H38" s="354">
        <f>H37/H27</f>
        <v>0.47158587489127468</v>
      </c>
      <c r="I38" s="354">
        <f>I37/I27</f>
        <v>0.93835439804632337</v>
      </c>
    </row>
    <row r="39" spans="1:10" x14ac:dyDescent="0.25">
      <c r="A39" s="304"/>
      <c r="B39" s="270"/>
      <c r="C39" s="354"/>
      <c r="D39" s="336"/>
      <c r="E39" s="354"/>
      <c r="F39" s="354"/>
      <c r="G39" s="354"/>
      <c r="H39" s="354"/>
      <c r="I39" s="354"/>
    </row>
    <row r="40" spans="1:10" x14ac:dyDescent="0.25">
      <c r="A40" s="304" t="s">
        <v>183</v>
      </c>
      <c r="B40" s="270"/>
      <c r="C40" s="314">
        <f>C30-C29</f>
        <v>62425.121800827328</v>
      </c>
      <c r="D40" s="336"/>
      <c r="E40" s="314">
        <f>E30-E29</f>
        <v>-1996</v>
      </c>
      <c r="F40" s="314">
        <f>F30-F29</f>
        <v>2458</v>
      </c>
      <c r="G40" s="314">
        <f>G30-G29</f>
        <v>6299</v>
      </c>
      <c r="H40" s="314">
        <f>H30-H29</f>
        <v>22145.789922051597</v>
      </c>
      <c r="I40" s="314">
        <f>I30-I29</f>
        <v>33518.33187877576</v>
      </c>
    </row>
    <row r="41" spans="1:10" x14ac:dyDescent="0.25">
      <c r="A41" s="304" t="s">
        <v>184</v>
      </c>
      <c r="B41" s="270"/>
      <c r="C41" s="354">
        <f>C40/C29</f>
        <v>8.9458623122092448E-2</v>
      </c>
      <c r="D41" s="336"/>
      <c r="E41" s="354">
        <f>E40/E29</f>
        <v>-1.5449155559683587E-2</v>
      </c>
      <c r="F41" s="354">
        <f>F40/F29</f>
        <v>1.8302989686883354E-2</v>
      </c>
      <c r="G41" s="354">
        <f>G40/G29</f>
        <v>4.5107882242575711E-2</v>
      </c>
      <c r="H41" s="354">
        <f>H40/H29</f>
        <v>0.15292364049588164</v>
      </c>
      <c r="I41" s="354">
        <f>I40/I29</f>
        <v>0.22366728422090085</v>
      </c>
    </row>
    <row r="42" spans="1:10" ht="30" customHeight="1" x14ac:dyDescent="0.25">
      <c r="A42" s="310"/>
      <c r="B42" s="40"/>
      <c r="C42" s="40"/>
      <c r="D42" s="40"/>
      <c r="E42" s="40"/>
      <c r="F42" s="40"/>
      <c r="G42" s="40"/>
      <c r="H42" s="40"/>
      <c r="I42" s="40"/>
    </row>
    <row r="43" spans="1:10" s="120" customFormat="1" x14ac:dyDescent="0.25">
      <c r="A43" s="349" t="s">
        <v>545</v>
      </c>
      <c r="B43" s="350"/>
      <c r="C43" s="195"/>
      <c r="D43" s="195"/>
      <c r="E43" s="195"/>
      <c r="F43" s="195"/>
      <c r="G43" s="195"/>
      <c r="H43" s="195"/>
      <c r="I43" s="195"/>
      <c r="J43" s="351"/>
    </row>
    <row r="44" spans="1:10" s="120" customFormat="1" x14ac:dyDescent="0.25">
      <c r="A44" s="352"/>
      <c r="B44" s="353"/>
      <c r="C44" s="31" t="s">
        <v>185</v>
      </c>
      <c r="D44" s="31" t="s">
        <v>186</v>
      </c>
      <c r="E44" s="31">
        <v>2026</v>
      </c>
      <c r="F44" s="31">
        <v>2027</v>
      </c>
      <c r="G44" s="31">
        <v>2028</v>
      </c>
      <c r="H44" s="31">
        <v>2029</v>
      </c>
      <c r="I44" s="31">
        <v>2030</v>
      </c>
      <c r="J44" s="351"/>
    </row>
    <row r="45" spans="1:10" x14ac:dyDescent="0.25">
      <c r="A45" s="300" t="s">
        <v>281</v>
      </c>
      <c r="B45" s="271"/>
      <c r="C45" s="335"/>
      <c r="D45" s="336"/>
      <c r="E45" s="325">
        <v>0.5</v>
      </c>
      <c r="F45" s="325">
        <v>1.5</v>
      </c>
      <c r="G45" s="325">
        <v>2.5</v>
      </c>
      <c r="H45" s="325">
        <v>3.5</v>
      </c>
      <c r="I45" s="325">
        <v>4.5</v>
      </c>
    </row>
    <row r="46" spans="1:10" x14ac:dyDescent="0.25">
      <c r="A46" s="300" t="s">
        <v>282</v>
      </c>
      <c r="B46" s="271"/>
      <c r="C46" s="335">
        <f>C20</f>
        <v>2955995.9234370939</v>
      </c>
      <c r="D46" s="40"/>
      <c r="E46" s="40"/>
      <c r="F46" s="40"/>
      <c r="G46" s="40"/>
      <c r="H46" s="40"/>
      <c r="I46" s="40"/>
    </row>
    <row r="47" spans="1:10" x14ac:dyDescent="0.25">
      <c r="A47" s="304"/>
      <c r="B47" s="271"/>
      <c r="C47" s="335"/>
      <c r="D47" s="307"/>
      <c r="E47" s="307"/>
      <c r="F47" s="307"/>
      <c r="G47" s="307"/>
      <c r="H47" s="307"/>
      <c r="I47" s="307"/>
    </row>
    <row r="48" spans="1:10" x14ac:dyDescent="0.25">
      <c r="A48" s="304" t="s">
        <v>205</v>
      </c>
      <c r="B48" s="271"/>
      <c r="C48" s="335">
        <f>SUM(E48:I48)</f>
        <v>-56455.542623133901</v>
      </c>
      <c r="D48" s="336"/>
      <c r="E48" s="314">
        <f>E23</f>
        <v>0</v>
      </c>
      <c r="F48" s="314">
        <f t="shared" ref="F48:I48" si="0">F23</f>
        <v>-12882.302200506792</v>
      </c>
      <c r="G48" s="314">
        <f t="shared" si="0"/>
        <v>-13670.699095177806</v>
      </c>
      <c r="H48" s="314">
        <f t="shared" si="0"/>
        <v>-14507.345879802688</v>
      </c>
      <c r="I48" s="314">
        <f t="shared" si="0"/>
        <v>-15395.195447646613</v>
      </c>
    </row>
    <row r="49" spans="1:9" x14ac:dyDescent="0.25">
      <c r="A49" s="300" t="s">
        <v>280</v>
      </c>
      <c r="B49" s="271"/>
      <c r="C49" s="335">
        <f>SUM(E49:I49)</f>
        <v>-45513.234222809697</v>
      </c>
      <c r="D49" s="336"/>
      <c r="E49" s="314">
        <f>E48/(1+$C$21)^E45</f>
        <v>0</v>
      </c>
      <c r="F49" s="314">
        <f>F48/(1+$C$21)^F45</f>
        <v>-11578.946657545866</v>
      </c>
      <c r="G49" s="314">
        <f t="shared" ref="G49:I49" si="1">G48/(1+$C$21)^G45</f>
        <v>-11444.144726634695</v>
      </c>
      <c r="H49" s="314">
        <f t="shared" si="1"/>
        <v>-11310.912157869736</v>
      </c>
      <c r="I49" s="314">
        <f t="shared" si="1"/>
        <v>-11179.230680759396</v>
      </c>
    </row>
    <row r="50" spans="1:9" x14ac:dyDescent="0.25">
      <c r="A50" s="300" t="s">
        <v>283</v>
      </c>
      <c r="B50" s="271"/>
      <c r="C50" s="355">
        <f>C49/C46</f>
        <v>-1.5396920497065177E-2</v>
      </c>
      <c r="D50" s="40"/>
      <c r="E50" s="40"/>
      <c r="F50" s="40"/>
      <c r="G50" s="40"/>
      <c r="H50" s="40"/>
      <c r="I50" s="40"/>
    </row>
    <row r="51" spans="1:9" x14ac:dyDescent="0.25">
      <c r="A51" s="40"/>
      <c r="B51" s="40"/>
      <c r="C51" s="40"/>
      <c r="D51" s="1"/>
      <c r="E51" s="1"/>
      <c r="F51" s="1"/>
      <c r="G51" s="1"/>
      <c r="H51" s="1"/>
      <c r="I51" s="1"/>
    </row>
    <row r="52" spans="1:9" x14ac:dyDescent="0.25">
      <c r="A52" s="307"/>
      <c r="B52" s="307"/>
      <c r="C52" s="307"/>
      <c r="D52" s="307"/>
      <c r="E52" s="307"/>
      <c r="F52" s="307"/>
      <c r="G52" s="307"/>
      <c r="H52" s="307"/>
      <c r="I52" s="307"/>
    </row>
    <row r="53" spans="1:9" x14ac:dyDescent="0.25">
      <c r="A53" s="304" t="s">
        <v>203</v>
      </c>
      <c r="B53" s="271"/>
      <c r="C53" s="335">
        <f>SUM(E53:I53)</f>
        <v>-72446.996260161497</v>
      </c>
      <c r="D53" s="336"/>
      <c r="E53" s="314">
        <f>E24</f>
        <v>-22145.789922051597</v>
      </c>
      <c r="F53" s="314">
        <f t="shared" ref="F53:H53" si="2">F24</f>
        <v>-22002.519217216963</v>
      </c>
      <c r="G53" s="314">
        <f t="shared" si="2"/>
        <v>-17417.595850081085</v>
      </c>
      <c r="H53" s="314">
        <f t="shared" si="2"/>
        <v>-13437.659972876489</v>
      </c>
      <c r="I53" s="314">
        <f>I24</f>
        <v>2556.5687020646255</v>
      </c>
    </row>
    <row r="54" spans="1:9" x14ac:dyDescent="0.25">
      <c r="A54" s="300" t="s">
        <v>284</v>
      </c>
      <c r="B54" s="271"/>
      <c r="C54" s="335">
        <f>SUM(E54:I54)</f>
        <v>-64349.897641344905</v>
      </c>
      <c r="D54" s="336"/>
      <c r="E54" s="314">
        <f>E53/(1+$C$21)^E45</f>
        <v>-21372.223111200907</v>
      </c>
      <c r="F54" s="314">
        <f>F53/(1+$C$21)^F45</f>
        <v>-19776.433775770336</v>
      </c>
      <c r="G54" s="314">
        <f>G53/(1+$C$21)^G45</f>
        <v>-14580.782322147017</v>
      </c>
      <c r="H54" s="314">
        <f>H53/(1+$C$21)^H45</f>
        <v>-10476.912373898362</v>
      </c>
      <c r="I54" s="314">
        <f>I53/(1+$C$21)^I45</f>
        <v>1856.4539416717209</v>
      </c>
    </row>
    <row r="55" spans="1:9" x14ac:dyDescent="0.25">
      <c r="A55" s="300" t="s">
        <v>285</v>
      </c>
      <c r="B55" s="271"/>
      <c r="C55" s="355">
        <f>C54/C46</f>
        <v>-2.1769278208787872E-2</v>
      </c>
      <c r="D55" s="40"/>
      <c r="E55" s="40"/>
      <c r="F55" s="40"/>
      <c r="G55" s="40"/>
      <c r="H55" s="40"/>
      <c r="I55" s="40"/>
    </row>
    <row r="56" spans="1:9" x14ac:dyDescent="0.25">
      <c r="A56" s="338"/>
      <c r="B56" s="271"/>
      <c r="C56" s="271"/>
      <c r="D56" s="1"/>
      <c r="E56" s="1"/>
      <c r="F56" s="1"/>
      <c r="G56" s="1"/>
      <c r="H56" s="1"/>
      <c r="I56" s="1"/>
    </row>
    <row r="57" spans="1:9" x14ac:dyDescent="0.25">
      <c r="A57" s="300" t="s">
        <v>286</v>
      </c>
      <c r="B57" s="271"/>
      <c r="C57" s="335">
        <f>C49+C54</f>
        <v>-109863.13186415459</v>
      </c>
      <c r="D57" s="1"/>
      <c r="E57" s="1"/>
      <c r="F57" s="1"/>
      <c r="G57" s="1"/>
      <c r="H57" s="1"/>
      <c r="I57" s="1"/>
    </row>
    <row r="58" spans="1:9" x14ac:dyDescent="0.25">
      <c r="A58" s="300" t="s">
        <v>287</v>
      </c>
      <c r="B58" s="271"/>
      <c r="C58" s="355">
        <f>C57/C46</f>
        <v>-3.7166198705853047E-2</v>
      </c>
      <c r="D58" s="1"/>
      <c r="E58" s="1"/>
      <c r="F58" s="1"/>
      <c r="G58" s="1"/>
      <c r="H58" s="1"/>
      <c r="I58" s="1"/>
    </row>
  </sheetData>
  <dataValidations count="1">
    <dataValidation type="list" allowBlank="1" showInputMessage="1" showErrorMessage="1" sqref="B9" xr:uid="{650C87FB-ADEC-4806-984B-A01AD48EBC58}">
      <formula1>"Use latest AMP forecast,Use DPP model values"</formula1>
    </dataValidation>
  </dataValidations>
  <pageMargins left="0.70866141732283472" right="0.70866141732283472" top="0.74803149606299213" bottom="0.74803149606299213" header="0.31496062992125984" footer="0.31496062992125984"/>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639B9F"/>
    <pageSetUpPr fitToPage="1"/>
  </sheetPr>
  <dimension ref="A1:AZ158"/>
  <sheetViews>
    <sheetView showGridLines="0" view="pageBreakPreview" zoomScaleNormal="100" zoomScaleSheetLayoutView="100" workbookViewId="0"/>
  </sheetViews>
  <sheetFormatPr defaultColWidth="9" defaultRowHeight="15" customHeight="1" x14ac:dyDescent="0.25"/>
  <cols>
    <col min="1" max="1" width="60.5703125" customWidth="1"/>
    <col min="2" max="18" width="13.5703125" customWidth="1"/>
    <col min="19" max="19" width="3.85546875" style="1" customWidth="1"/>
    <col min="20" max="20" width="14.140625" style="1" customWidth="1"/>
    <col min="21" max="16384" width="9" style="1"/>
  </cols>
  <sheetData>
    <row r="1" spans="1:52" ht="26.25" x14ac:dyDescent="0.25">
      <c r="A1" s="356" t="s">
        <v>172</v>
      </c>
    </row>
    <row r="2" spans="1:52" x14ac:dyDescent="0.25">
      <c r="A2" s="357"/>
      <c r="B2" s="243"/>
      <c r="C2" s="243"/>
      <c r="J2" s="259"/>
    </row>
    <row r="3" spans="1:52" x14ac:dyDescent="0.25">
      <c r="A3" s="358" t="s">
        <v>208</v>
      </c>
      <c r="B3" s="330"/>
      <c r="C3" s="330" t="s">
        <v>27</v>
      </c>
      <c r="D3" s="1"/>
      <c r="E3" s="1"/>
      <c r="F3" s="1"/>
      <c r="G3" s="1"/>
      <c r="H3" s="1"/>
      <c r="I3" s="1"/>
      <c r="J3" s="1"/>
      <c r="K3" s="1"/>
      <c r="L3" s="1"/>
      <c r="M3" s="1"/>
      <c r="N3" s="1"/>
      <c r="O3" s="1"/>
      <c r="P3" s="1"/>
      <c r="Q3" s="1"/>
      <c r="R3" s="1"/>
    </row>
    <row r="4" spans="1:52" x14ac:dyDescent="0.25">
      <c r="A4" s="359" t="s">
        <v>28</v>
      </c>
      <c r="B4" s="302"/>
      <c r="C4" s="360" t="str">
        <f>'Capex incentives'!B5</f>
        <v>Vector Lines</v>
      </c>
      <c r="D4" s="1"/>
      <c r="E4" s="1"/>
      <c r="F4" s="1"/>
      <c r="G4" s="1"/>
      <c r="H4" s="1"/>
      <c r="I4" s="1"/>
      <c r="J4" s="1"/>
      <c r="K4" s="1"/>
      <c r="L4" s="1"/>
      <c r="M4" s="1"/>
      <c r="N4" s="1"/>
      <c r="O4" s="1"/>
      <c r="P4" s="1"/>
      <c r="Q4" s="1"/>
      <c r="R4" s="1"/>
    </row>
    <row r="5" spans="1:52" x14ac:dyDescent="0.25">
      <c r="A5" s="304" t="s">
        <v>211</v>
      </c>
      <c r="B5" s="302"/>
      <c r="C5" s="360">
        <f>'Capex incentives'!B7</f>
        <v>15</v>
      </c>
      <c r="D5" s="1"/>
      <c r="E5" s="1"/>
      <c r="F5" s="1"/>
      <c r="G5" s="1"/>
      <c r="H5" s="1"/>
      <c r="I5" s="1"/>
      <c r="J5" s="1"/>
      <c r="K5" s="1"/>
      <c r="L5" s="1"/>
      <c r="M5" s="1"/>
      <c r="N5" s="1"/>
      <c r="O5" s="1"/>
      <c r="P5" s="1"/>
      <c r="Q5" s="1"/>
      <c r="R5" s="1"/>
    </row>
    <row r="6" spans="1:52" x14ac:dyDescent="0.25">
      <c r="A6" s="196"/>
      <c r="B6" s="170"/>
      <c r="C6" s="666"/>
      <c r="D6" s="1"/>
      <c r="E6" s="1"/>
      <c r="F6" s="1"/>
      <c r="G6" s="1"/>
      <c r="H6" s="1"/>
      <c r="I6" s="1"/>
      <c r="J6" s="1"/>
      <c r="K6" s="1"/>
      <c r="L6" s="1"/>
      <c r="M6" s="1"/>
      <c r="N6" s="1"/>
      <c r="O6" s="1"/>
      <c r="P6" s="1"/>
      <c r="Q6" s="1"/>
      <c r="R6" s="1"/>
    </row>
    <row r="7" spans="1:52" s="38" customFormat="1" ht="26.25" x14ac:dyDescent="0.25">
      <c r="A7" s="374" t="s">
        <v>546</v>
      </c>
      <c r="B7" s="113"/>
      <c r="C7" s="113"/>
      <c r="D7" s="113"/>
      <c r="E7" s="113"/>
      <c r="F7" s="113"/>
      <c r="G7" s="113"/>
      <c r="H7" s="113"/>
      <c r="I7" s="113"/>
      <c r="J7" s="113"/>
      <c r="K7" s="113"/>
      <c r="L7" s="113"/>
      <c r="M7" s="113"/>
      <c r="N7" s="113"/>
      <c r="O7" s="113"/>
      <c r="P7" s="113"/>
      <c r="Q7" s="113"/>
      <c r="R7" s="113"/>
    </row>
    <row r="8" spans="1:52" s="200" customFormat="1" ht="32.25" customHeight="1" x14ac:dyDescent="0.25">
      <c r="A8" s="213"/>
      <c r="B8" s="199" t="s">
        <v>171</v>
      </c>
      <c r="C8" s="213" t="s">
        <v>16</v>
      </c>
      <c r="D8" s="213" t="s">
        <v>17</v>
      </c>
      <c r="E8" s="213" t="s">
        <v>237</v>
      </c>
      <c r="F8" s="213" t="s">
        <v>18</v>
      </c>
      <c r="G8" s="213" t="s">
        <v>499</v>
      </c>
      <c r="H8" s="213" t="s">
        <v>19</v>
      </c>
      <c r="I8" s="213" t="s">
        <v>20</v>
      </c>
      <c r="J8" s="213" t="s">
        <v>21</v>
      </c>
      <c r="K8" s="213" t="s">
        <v>268</v>
      </c>
      <c r="L8" s="213" t="s">
        <v>22</v>
      </c>
      <c r="M8" s="213" t="s">
        <v>269</v>
      </c>
      <c r="N8" s="213" t="s">
        <v>23</v>
      </c>
      <c r="O8" s="213" t="s">
        <v>24</v>
      </c>
      <c r="P8" s="213" t="s">
        <v>25</v>
      </c>
      <c r="Q8" s="213" t="s">
        <v>26</v>
      </c>
      <c r="R8" s="213" t="s">
        <v>270</v>
      </c>
      <c r="S8" s="199"/>
    </row>
    <row r="9" spans="1:52" x14ac:dyDescent="0.25">
      <c r="A9" s="361" t="s">
        <v>209</v>
      </c>
      <c r="B9" s="362">
        <f>C5</f>
        <v>15</v>
      </c>
      <c r="C9" s="363">
        <v>1</v>
      </c>
      <c r="D9" s="360">
        <v>2</v>
      </c>
      <c r="E9" s="360">
        <v>3</v>
      </c>
      <c r="F9" s="360">
        <v>4</v>
      </c>
      <c r="G9" s="360">
        <v>5</v>
      </c>
      <c r="H9" s="360">
        <v>6</v>
      </c>
      <c r="I9" s="360">
        <v>7</v>
      </c>
      <c r="J9" s="360">
        <v>8</v>
      </c>
      <c r="K9" s="360">
        <v>9</v>
      </c>
      <c r="L9" s="360">
        <v>10</v>
      </c>
      <c r="M9" s="360">
        <v>11</v>
      </c>
      <c r="N9" s="360">
        <v>12</v>
      </c>
      <c r="O9" s="360">
        <v>13</v>
      </c>
      <c r="P9" s="360">
        <v>14</v>
      </c>
      <c r="Q9" s="360">
        <v>15</v>
      </c>
      <c r="R9" s="360">
        <v>16</v>
      </c>
      <c r="S9" s="86"/>
    </row>
    <row r="10" spans="1:52" x14ac:dyDescent="0.25">
      <c r="A10" s="364"/>
      <c r="B10" s="343" t="str">
        <f>""</f>
        <v/>
      </c>
      <c r="C10" s="325" t="str">
        <f t="dataTable" ref="C10:R48" dt2D="0" dtr="1" r1="C5"/>
        <v/>
      </c>
      <c r="D10" s="325" t="str">
        <v/>
      </c>
      <c r="E10" s="325" t="str">
        <v/>
      </c>
      <c r="F10" s="325" t="str">
        <v/>
      </c>
      <c r="G10" s="325" t="str">
        <v/>
      </c>
      <c r="H10" s="325" t="str">
        <v/>
      </c>
      <c r="I10" s="325" t="str">
        <v/>
      </c>
      <c r="J10" s="325" t="str">
        <v/>
      </c>
      <c r="K10" s="325" t="str">
        <v/>
      </c>
      <c r="L10" s="325" t="str">
        <v/>
      </c>
      <c r="M10" s="325" t="str">
        <v/>
      </c>
      <c r="N10" s="325" t="str">
        <v/>
      </c>
      <c r="O10" s="325" t="str">
        <v/>
      </c>
      <c r="P10" s="325" t="str">
        <v/>
      </c>
      <c r="Q10" s="325" t="str">
        <v/>
      </c>
      <c r="R10" s="325" t="str">
        <v/>
      </c>
      <c r="S10" s="88"/>
    </row>
    <row r="11" spans="1:52" x14ac:dyDescent="0.25">
      <c r="A11" s="304" t="s">
        <v>2</v>
      </c>
      <c r="B11" s="368">
        <f>'Capex incentives'!$C30</f>
        <v>1801373.7352488665</v>
      </c>
      <c r="C11" s="366">
        <v>197663.65837135512</v>
      </c>
      <c r="D11" s="325">
        <v>413481.06259204808</v>
      </c>
      <c r="E11" s="325">
        <v>154129.87085083392</v>
      </c>
      <c r="F11" s="325">
        <v>56804.61895783151</v>
      </c>
      <c r="G11" s="325">
        <v>111354.27249703996</v>
      </c>
      <c r="H11" s="325">
        <v>110815.2507206091</v>
      </c>
      <c r="I11" s="325">
        <v>25496.677575106482</v>
      </c>
      <c r="J11" s="325">
        <v>122587.85652703058</v>
      </c>
      <c r="K11" s="325">
        <v>734520.46631361987</v>
      </c>
      <c r="L11" s="325">
        <v>119468.4454341872</v>
      </c>
      <c r="M11" s="325">
        <v>1194440.785436576</v>
      </c>
      <c r="N11" s="325">
        <v>160845.65359569533</v>
      </c>
      <c r="O11" s="325">
        <v>176169.62200077286</v>
      </c>
      <c r="P11" s="325">
        <v>463516.48731981998</v>
      </c>
      <c r="Q11" s="325">
        <v>1801373.7352488665</v>
      </c>
      <c r="R11" s="325">
        <v>425770.18742272648</v>
      </c>
      <c r="S11" s="88"/>
      <c r="AK11" s="367"/>
      <c r="AL11" s="367"/>
      <c r="AM11" s="367"/>
      <c r="AN11" s="367"/>
      <c r="AO11" s="367"/>
      <c r="AP11" s="367"/>
      <c r="AQ11" s="367"/>
      <c r="AR11" s="367"/>
      <c r="AS11" s="367"/>
      <c r="AT11" s="367"/>
      <c r="AU11" s="367"/>
      <c r="AV11" s="367"/>
      <c r="AW11" s="367"/>
      <c r="AX11" s="367"/>
      <c r="AY11" s="367"/>
      <c r="AZ11" s="367"/>
    </row>
    <row r="12" spans="1:52" x14ac:dyDescent="0.25">
      <c r="A12" s="304" t="s">
        <v>3</v>
      </c>
      <c r="B12" s="365">
        <f>'Capex incentives'!$C31</f>
        <v>1802466.6869793849</v>
      </c>
      <c r="C12" s="369">
        <v>198830.60311099468</v>
      </c>
      <c r="D12" s="325">
        <v>420893.39654057659</v>
      </c>
      <c r="E12" s="325">
        <v>151806.87861564409</v>
      </c>
      <c r="F12" s="325">
        <v>56785.989971828581</v>
      </c>
      <c r="G12" s="325">
        <v>113024.3048313636</v>
      </c>
      <c r="H12" s="325">
        <v>110618.38611765596</v>
      </c>
      <c r="I12" s="325">
        <v>25370.671698514416</v>
      </c>
      <c r="J12" s="325">
        <v>123178.3014533862</v>
      </c>
      <c r="K12" s="325">
        <v>742301.82468916825</v>
      </c>
      <c r="L12" s="325">
        <v>119442.01403131741</v>
      </c>
      <c r="M12" s="325">
        <v>1199784.2924280546</v>
      </c>
      <c r="N12" s="325">
        <v>161496.77553137433</v>
      </c>
      <c r="O12" s="325">
        <v>178021.0333377551</v>
      </c>
      <c r="P12" s="325">
        <v>464712.51964482368</v>
      </c>
      <c r="Q12" s="325">
        <v>1802466.6869793849</v>
      </c>
      <c r="R12" s="325">
        <v>426085.66252170783</v>
      </c>
      <c r="S12" s="88"/>
      <c r="AK12" s="367"/>
      <c r="AL12" s="367"/>
      <c r="AM12" s="367"/>
      <c r="AN12" s="367"/>
      <c r="AO12" s="367"/>
      <c r="AP12" s="367"/>
      <c r="AQ12" s="367"/>
      <c r="AR12" s="367"/>
      <c r="AS12" s="367"/>
      <c r="AT12" s="367"/>
      <c r="AU12" s="367"/>
      <c r="AV12" s="367"/>
      <c r="AW12" s="367"/>
      <c r="AX12" s="367"/>
      <c r="AY12" s="367"/>
      <c r="AZ12" s="367"/>
    </row>
    <row r="13" spans="1:52" x14ac:dyDescent="0.25">
      <c r="A13" s="304"/>
      <c r="B13" s="343" t="str">
        <f>""</f>
        <v/>
      </c>
      <c r="C13" s="325" t="str">
        <v/>
      </c>
      <c r="D13" s="325" t="str">
        <v/>
      </c>
      <c r="E13" s="325" t="str">
        <v/>
      </c>
      <c r="F13" s="325" t="str">
        <v/>
      </c>
      <c r="G13" s="325" t="str">
        <v/>
      </c>
      <c r="H13" s="325" t="str">
        <v/>
      </c>
      <c r="I13" s="325" t="str">
        <v/>
      </c>
      <c r="J13" s="325" t="str">
        <v/>
      </c>
      <c r="K13" s="325" t="str">
        <v/>
      </c>
      <c r="L13" s="325" t="str">
        <v/>
      </c>
      <c r="M13" s="325" t="str">
        <v/>
      </c>
      <c r="N13" s="325" t="str">
        <v/>
      </c>
      <c r="O13" s="325" t="str">
        <v/>
      </c>
      <c r="P13" s="325" t="str">
        <v/>
      </c>
      <c r="Q13" s="325" t="str">
        <v/>
      </c>
      <c r="R13" s="325" t="str">
        <v/>
      </c>
      <c r="S13" s="88"/>
      <c r="AK13" s="367"/>
      <c r="AL13" s="367"/>
      <c r="AM13" s="367"/>
      <c r="AN13" s="367"/>
      <c r="AO13" s="367"/>
      <c r="AP13" s="367"/>
      <c r="AQ13" s="367"/>
      <c r="AR13" s="367"/>
      <c r="AS13" s="367"/>
      <c r="AT13" s="367"/>
      <c r="AU13" s="367"/>
      <c r="AV13" s="367"/>
      <c r="AW13" s="367"/>
      <c r="AX13" s="367"/>
      <c r="AY13" s="367"/>
      <c r="AZ13" s="367"/>
    </row>
    <row r="14" spans="1:52" x14ac:dyDescent="0.25">
      <c r="A14" s="300" t="s">
        <v>288</v>
      </c>
      <c r="B14" s="368">
        <f>'Capex incentives'!$K$69</f>
        <v>373.48433654615098</v>
      </c>
      <c r="C14" s="369">
        <v>398.76928660297796</v>
      </c>
      <c r="D14" s="325">
        <v>2532.9486652733331</v>
      </c>
      <c r="E14" s="325">
        <v>-793.81475826955705</v>
      </c>
      <c r="F14" s="325">
        <v>-6.3659119461124902</v>
      </c>
      <c r="G14" s="325">
        <v>570.684780470276</v>
      </c>
      <c r="H14" s="325">
        <v>-67.27272904220743</v>
      </c>
      <c r="I14" s="325">
        <v>-43.058828588508206</v>
      </c>
      <c r="J14" s="325">
        <v>201.76731087875069</v>
      </c>
      <c r="K14" s="325">
        <v>2659.0519866244722</v>
      </c>
      <c r="L14" s="325">
        <v>-9.0321600571774017</v>
      </c>
      <c r="M14" s="325">
        <v>1825.9874684452664</v>
      </c>
      <c r="N14" s="325">
        <v>222.50190687046816</v>
      </c>
      <c r="O14" s="325">
        <v>632.66575783624182</v>
      </c>
      <c r="P14" s="325">
        <v>408.70911945937132</v>
      </c>
      <c r="Q14" s="325">
        <v>373.48433654615098</v>
      </c>
      <c r="R14" s="325">
        <v>107.80440228956624</v>
      </c>
      <c r="S14" s="88"/>
      <c r="AK14" s="367"/>
      <c r="AL14" s="367"/>
      <c r="AM14" s="367"/>
      <c r="AN14" s="367"/>
      <c r="AO14" s="367"/>
      <c r="AP14" s="367"/>
      <c r="AQ14" s="367"/>
      <c r="AR14" s="367"/>
      <c r="AS14" s="367"/>
      <c r="AT14" s="367"/>
      <c r="AU14" s="367"/>
      <c r="AV14" s="367"/>
      <c r="AW14" s="367"/>
      <c r="AX14" s="367"/>
      <c r="AY14" s="367"/>
      <c r="AZ14" s="367"/>
    </row>
    <row r="15" spans="1:52" x14ac:dyDescent="0.25">
      <c r="A15" s="300" t="s">
        <v>289</v>
      </c>
      <c r="B15" s="368">
        <f>'Capex incentives'!$L$69</f>
        <v>396.34157794277536</v>
      </c>
      <c r="C15" s="369">
        <v>423.17396694308013</v>
      </c>
      <c r="D15" s="325">
        <v>2687.9651235880606</v>
      </c>
      <c r="E15" s="325">
        <v>-842.39622147565376</v>
      </c>
      <c r="F15" s="325">
        <v>-6.7555057572145731</v>
      </c>
      <c r="G15" s="325">
        <v>605.61068903505679</v>
      </c>
      <c r="H15" s="325">
        <v>-71.389820059590505</v>
      </c>
      <c r="I15" s="325">
        <v>-45.694028898124898</v>
      </c>
      <c r="J15" s="325">
        <v>214.11547030453019</v>
      </c>
      <c r="K15" s="325">
        <v>2821.7859682058893</v>
      </c>
      <c r="L15" s="325">
        <v>-9.5849282526766562</v>
      </c>
      <c r="M15" s="325">
        <v>1937.7379015141164</v>
      </c>
      <c r="N15" s="325">
        <v>236.11902357094075</v>
      </c>
      <c r="O15" s="325">
        <v>671.38490221581969</v>
      </c>
      <c r="P15" s="325">
        <v>433.72211757028475</v>
      </c>
      <c r="Q15" s="325">
        <v>396.34157794277536</v>
      </c>
      <c r="R15" s="325">
        <v>114.40203170968768</v>
      </c>
      <c r="S15" s="88"/>
      <c r="AK15" s="367"/>
      <c r="AL15" s="367"/>
      <c r="AM15" s="367"/>
      <c r="AN15" s="367"/>
      <c r="AO15" s="367"/>
      <c r="AP15" s="367"/>
      <c r="AQ15" s="367"/>
      <c r="AR15" s="367"/>
      <c r="AS15" s="367"/>
      <c r="AT15" s="367"/>
      <c r="AU15" s="367"/>
      <c r="AV15" s="367"/>
      <c r="AW15" s="367"/>
      <c r="AX15" s="367"/>
      <c r="AY15" s="367"/>
      <c r="AZ15" s="367"/>
    </row>
    <row r="16" spans="1:52" x14ac:dyDescent="0.25">
      <c r="A16" s="300" t="s">
        <v>290</v>
      </c>
      <c r="B16" s="368">
        <f>'Capex incentives'!$M$69</f>
        <v>420.59768251287323</v>
      </c>
      <c r="C16" s="369">
        <v>449.07221371999663</v>
      </c>
      <c r="D16" s="325">
        <v>2852.4685891516501</v>
      </c>
      <c r="E16" s="325">
        <v>-893.95087022996381</v>
      </c>
      <c r="F16" s="325">
        <v>-7.1689427095561049</v>
      </c>
      <c r="G16" s="325">
        <v>642.67406320400221</v>
      </c>
      <c r="H16" s="325">
        <v>-75.758877047237448</v>
      </c>
      <c r="I16" s="325">
        <v>-48.490503466690143</v>
      </c>
      <c r="J16" s="325">
        <v>227.21933708716745</v>
      </c>
      <c r="K16" s="325">
        <v>2994.4792694600897</v>
      </c>
      <c r="L16" s="325">
        <v>-10.171525861740468</v>
      </c>
      <c r="M16" s="325">
        <v>2056.3274610867802</v>
      </c>
      <c r="N16" s="325">
        <v>250.56950781348232</v>
      </c>
      <c r="O16" s="325">
        <v>712.47365823142786</v>
      </c>
      <c r="P16" s="325">
        <v>460.26591116558615</v>
      </c>
      <c r="Q16" s="325">
        <v>420.59768251287323</v>
      </c>
      <c r="R16" s="325">
        <v>121.40343605032056</v>
      </c>
      <c r="S16" s="88"/>
      <c r="AK16" s="367"/>
      <c r="AL16" s="367"/>
      <c r="AM16" s="367"/>
      <c r="AN16" s="367"/>
      <c r="AO16" s="367"/>
      <c r="AP16" s="367"/>
      <c r="AQ16" s="367"/>
      <c r="AR16" s="367"/>
      <c r="AS16" s="367"/>
      <c r="AT16" s="367"/>
      <c r="AU16" s="367"/>
      <c r="AV16" s="367"/>
      <c r="AW16" s="367"/>
      <c r="AX16" s="367"/>
      <c r="AY16" s="367"/>
      <c r="AZ16" s="367"/>
    </row>
    <row r="17" spans="1:52" x14ac:dyDescent="0.25">
      <c r="A17" s="300" t="s">
        <v>291</v>
      </c>
      <c r="B17" s="365">
        <f>'Capex incentives'!$N$69</f>
        <v>446.33826068266103</v>
      </c>
      <c r="C17" s="369">
        <v>476.5554331996604</v>
      </c>
      <c r="D17" s="325">
        <v>3027.039666807731</v>
      </c>
      <c r="E17" s="325">
        <v>-948.66066348803759</v>
      </c>
      <c r="F17" s="325">
        <v>-7.6076820033809387</v>
      </c>
      <c r="G17" s="325">
        <v>682.00571587208719</v>
      </c>
      <c r="H17" s="325">
        <v>-80.395320322528377</v>
      </c>
      <c r="I17" s="325">
        <v>-51.458122278851576</v>
      </c>
      <c r="J17" s="325">
        <v>241.1251605169021</v>
      </c>
      <c r="K17" s="325">
        <v>3177.7414007510474</v>
      </c>
      <c r="L17" s="325">
        <v>-10.794023244478984</v>
      </c>
      <c r="M17" s="325">
        <v>2182.1747017052912</v>
      </c>
      <c r="N17" s="325">
        <v>265.90436169166742</v>
      </c>
      <c r="O17" s="325">
        <v>756.07704611519125</v>
      </c>
      <c r="P17" s="325">
        <v>488.43418492892005</v>
      </c>
      <c r="Q17" s="325">
        <v>446.33826068266103</v>
      </c>
      <c r="R17" s="325">
        <v>128.83332633660018</v>
      </c>
      <c r="S17" s="88"/>
      <c r="AK17" s="367"/>
      <c r="AL17" s="367"/>
      <c r="AM17" s="367"/>
      <c r="AN17" s="367"/>
      <c r="AO17" s="367"/>
      <c r="AP17" s="367"/>
      <c r="AQ17" s="367"/>
      <c r="AR17" s="367"/>
      <c r="AS17" s="367"/>
      <c r="AT17" s="367"/>
      <c r="AU17" s="367"/>
      <c r="AV17" s="367"/>
      <c r="AW17" s="367"/>
      <c r="AX17" s="367"/>
      <c r="AY17" s="367"/>
      <c r="AZ17" s="367"/>
    </row>
    <row r="18" spans="1:52" x14ac:dyDescent="0.25">
      <c r="A18" s="304"/>
      <c r="B18" s="343" t="str">
        <f>""</f>
        <v/>
      </c>
      <c r="C18" s="325" t="str">
        <v/>
      </c>
      <c r="D18" s="325" t="str">
        <v/>
      </c>
      <c r="E18" s="325" t="str">
        <v/>
      </c>
      <c r="F18" s="325" t="str">
        <v/>
      </c>
      <c r="G18" s="325" t="str">
        <v/>
      </c>
      <c r="H18" s="325" t="str">
        <v/>
      </c>
      <c r="I18" s="325" t="str">
        <v/>
      </c>
      <c r="J18" s="325" t="str">
        <v/>
      </c>
      <c r="K18" s="325" t="str">
        <v/>
      </c>
      <c r="L18" s="325" t="str">
        <v/>
      </c>
      <c r="M18" s="325" t="str">
        <v/>
      </c>
      <c r="N18" s="325" t="str">
        <v/>
      </c>
      <c r="O18" s="325" t="str">
        <v/>
      </c>
      <c r="P18" s="325" t="str">
        <v/>
      </c>
      <c r="Q18" s="325" t="str">
        <v/>
      </c>
      <c r="R18" s="325" t="str">
        <v/>
      </c>
      <c r="S18" s="88"/>
      <c r="AK18" s="367"/>
      <c r="AL18" s="367"/>
      <c r="AM18" s="367"/>
      <c r="AN18" s="367"/>
      <c r="AO18" s="367"/>
      <c r="AP18" s="367"/>
      <c r="AQ18" s="367"/>
      <c r="AR18" s="367"/>
      <c r="AS18" s="367"/>
      <c r="AT18" s="367"/>
      <c r="AU18" s="367"/>
      <c r="AV18" s="367"/>
      <c r="AW18" s="367"/>
      <c r="AX18" s="367"/>
      <c r="AY18" s="367"/>
      <c r="AZ18" s="367"/>
    </row>
    <row r="19" spans="1:52" x14ac:dyDescent="0.25">
      <c r="A19" s="300" t="s">
        <v>292</v>
      </c>
      <c r="B19" s="368">
        <f>'Capex incentives'!$K$70</f>
        <v>-13255.786537052943</v>
      </c>
      <c r="C19" s="369">
        <v>-1798.7829482878401</v>
      </c>
      <c r="D19" s="325">
        <v>-4359.1069277605875</v>
      </c>
      <c r="E19" s="325">
        <v>1243.796905424497</v>
      </c>
      <c r="F19" s="325">
        <v>-95.026664604676341</v>
      </c>
      <c r="G19" s="325">
        <v>-1693.762251656228</v>
      </c>
      <c r="H19" s="325">
        <v>-47.364530564616416</v>
      </c>
      <c r="I19" s="325">
        <v>-53.386901008519906</v>
      </c>
      <c r="J19" s="325">
        <v>-1258.2814780283668</v>
      </c>
      <c r="K19" s="325">
        <v>-9298.4099005887783</v>
      </c>
      <c r="L19" s="325">
        <v>12.331842430105144</v>
      </c>
      <c r="M19" s="325">
        <v>-4977.0743252138009</v>
      </c>
      <c r="N19" s="325">
        <v>-1205.2782136816445</v>
      </c>
      <c r="O19" s="325">
        <v>-903.92536925136051</v>
      </c>
      <c r="P19" s="325">
        <v>-4313.1506137557844</v>
      </c>
      <c r="Q19" s="325">
        <v>-13255.786537052943</v>
      </c>
      <c r="R19" s="325">
        <v>-1203.9748983958073</v>
      </c>
      <c r="S19" s="88"/>
      <c r="AK19" s="367"/>
      <c r="AL19" s="367"/>
      <c r="AM19" s="367"/>
      <c r="AN19" s="367"/>
      <c r="AO19" s="367"/>
      <c r="AP19" s="367"/>
      <c r="AQ19" s="367"/>
      <c r="AR19" s="367"/>
      <c r="AS19" s="367"/>
      <c r="AT19" s="367"/>
      <c r="AU19" s="367"/>
      <c r="AV19" s="367"/>
      <c r="AW19" s="367"/>
      <c r="AX19" s="367"/>
      <c r="AY19" s="367"/>
      <c r="AZ19" s="367"/>
    </row>
    <row r="20" spans="1:52" x14ac:dyDescent="0.25">
      <c r="A20" s="300" t="s">
        <v>293</v>
      </c>
      <c r="B20" s="368">
        <f>'Capex incentives'!$L$70</f>
        <v>-14067.04067312058</v>
      </c>
      <c r="C20" s="369">
        <v>-1908.8684647230555</v>
      </c>
      <c r="D20" s="325">
        <v>-4625.8842717395346</v>
      </c>
      <c r="E20" s="325">
        <v>1319.9172760364761</v>
      </c>
      <c r="F20" s="325">
        <v>-100.84229647848252</v>
      </c>
      <c r="G20" s="325">
        <v>-1797.4205014575889</v>
      </c>
      <c r="H20" s="325">
        <v>-50.263239835170928</v>
      </c>
      <c r="I20" s="325">
        <v>-56.654179350241314</v>
      </c>
      <c r="J20" s="325">
        <v>-1335.2883044837026</v>
      </c>
      <c r="K20" s="325">
        <v>-9867.4725865048094</v>
      </c>
      <c r="L20" s="325">
        <v>13.086551186827576</v>
      </c>
      <c r="M20" s="325">
        <v>-5281.6712739168843</v>
      </c>
      <c r="N20" s="325">
        <v>-1279.041240358961</v>
      </c>
      <c r="O20" s="325">
        <v>-959.24560184954362</v>
      </c>
      <c r="P20" s="325">
        <v>-4577.1154313176376</v>
      </c>
      <c r="Q20" s="325">
        <v>-14067.04067312058</v>
      </c>
      <c r="R20" s="325">
        <v>-1277.6581621776304</v>
      </c>
      <c r="S20" s="88"/>
      <c r="AK20" s="367"/>
      <c r="AL20" s="367"/>
      <c r="AM20" s="367"/>
      <c r="AN20" s="367"/>
      <c r="AO20" s="367"/>
      <c r="AP20" s="367"/>
      <c r="AQ20" s="367"/>
      <c r="AR20" s="367"/>
      <c r="AS20" s="367"/>
      <c r="AT20" s="367"/>
      <c r="AU20" s="367"/>
      <c r="AV20" s="367"/>
      <c r="AW20" s="367"/>
      <c r="AX20" s="367"/>
      <c r="AY20" s="367"/>
      <c r="AZ20" s="367"/>
    </row>
    <row r="21" spans="1:52" x14ac:dyDescent="0.25">
      <c r="A21" s="300" t="s">
        <v>294</v>
      </c>
      <c r="B21" s="368">
        <f>'Capex incentives'!$M$70</f>
        <v>-14927.94356231556</v>
      </c>
      <c r="C21" s="369">
        <v>-2025.6912147641065</v>
      </c>
      <c r="D21" s="325">
        <v>-4908.9883891699938</v>
      </c>
      <c r="E21" s="325">
        <v>1400.6962133299085</v>
      </c>
      <c r="F21" s="325">
        <v>-107.01384502296565</v>
      </c>
      <c r="G21" s="325">
        <v>-1907.4226361467934</v>
      </c>
      <c r="H21" s="325">
        <v>-53.339350113083391</v>
      </c>
      <c r="I21" s="325">
        <v>-60.121415126476087</v>
      </c>
      <c r="J21" s="325">
        <v>-1417.0079487181051</v>
      </c>
      <c r="K21" s="325">
        <v>-10471.361908798905</v>
      </c>
      <c r="L21" s="325">
        <v>13.887448119461425</v>
      </c>
      <c r="M21" s="325">
        <v>-5604.9095558805975</v>
      </c>
      <c r="N21" s="325">
        <v>-1357.3185642689293</v>
      </c>
      <c r="O21" s="325">
        <v>-1017.9514326827357</v>
      </c>
      <c r="P21" s="325">
        <v>-4857.2348957142767</v>
      </c>
      <c r="Q21" s="325">
        <v>-14927.94356231556</v>
      </c>
      <c r="R21" s="325">
        <v>-1355.8508417029013</v>
      </c>
      <c r="S21" s="88"/>
      <c r="AK21" s="367"/>
      <c r="AL21" s="367"/>
      <c r="AM21" s="367"/>
      <c r="AN21" s="367"/>
      <c r="AO21" s="367"/>
      <c r="AP21" s="367"/>
      <c r="AQ21" s="367"/>
      <c r="AR21" s="367"/>
      <c r="AS21" s="367"/>
      <c r="AT21" s="367"/>
      <c r="AU21" s="367"/>
      <c r="AV21" s="367"/>
      <c r="AW21" s="367"/>
      <c r="AX21" s="367"/>
      <c r="AY21" s="367"/>
      <c r="AZ21" s="367"/>
    </row>
    <row r="22" spans="1:52" x14ac:dyDescent="0.25">
      <c r="A22" s="300" t="s">
        <v>295</v>
      </c>
      <c r="B22" s="365">
        <f>'Capex incentives'!$N$70</f>
        <v>-15841.533708329272</v>
      </c>
      <c r="C22" s="369">
        <v>-2149.6635171076696</v>
      </c>
      <c r="D22" s="325">
        <v>-5209.4184785871976</v>
      </c>
      <c r="E22" s="325">
        <v>1486.4188215856987</v>
      </c>
      <c r="F22" s="325">
        <v>-113.56309233837115</v>
      </c>
      <c r="G22" s="325">
        <v>-2024.156901478977</v>
      </c>
      <c r="H22" s="325">
        <v>-56.603718340004093</v>
      </c>
      <c r="I22" s="325">
        <v>-63.800845732216423</v>
      </c>
      <c r="J22" s="325">
        <v>-1503.7288351796531</v>
      </c>
      <c r="K22" s="325">
        <v>-11112.209257617396</v>
      </c>
      <c r="L22" s="325">
        <v>14.737359944372463</v>
      </c>
      <c r="M22" s="325">
        <v>-5947.9300207004899</v>
      </c>
      <c r="N22" s="325">
        <v>-1440.3864604021878</v>
      </c>
      <c r="O22" s="325">
        <v>-1080.2500603629192</v>
      </c>
      <c r="P22" s="325">
        <v>-5154.4976713319911</v>
      </c>
      <c r="Q22" s="325">
        <v>-15841.533708329272</v>
      </c>
      <c r="R22" s="325">
        <v>-1438.8289132151187</v>
      </c>
      <c r="S22" s="88"/>
      <c r="AK22" s="367"/>
      <c r="AL22" s="367"/>
      <c r="AM22" s="367"/>
      <c r="AN22" s="367"/>
      <c r="AO22" s="367"/>
      <c r="AP22" s="367"/>
      <c r="AQ22" s="367"/>
      <c r="AR22" s="367"/>
      <c r="AS22" s="367"/>
      <c r="AT22" s="367"/>
      <c r="AU22" s="367"/>
      <c r="AV22" s="367"/>
      <c r="AW22" s="367"/>
      <c r="AX22" s="367"/>
      <c r="AY22" s="367"/>
      <c r="AZ22" s="367"/>
    </row>
    <row r="23" spans="1:52" x14ac:dyDescent="0.25">
      <c r="A23" s="304"/>
      <c r="B23" s="343" t="str">
        <f>""</f>
        <v/>
      </c>
      <c r="C23" s="325" t="str">
        <v/>
      </c>
      <c r="D23" s="325" t="str">
        <v/>
      </c>
      <c r="E23" s="325" t="str">
        <v/>
      </c>
      <c r="F23" s="325" t="str">
        <v/>
      </c>
      <c r="G23" s="325" t="str">
        <v/>
      </c>
      <c r="H23" s="325" t="str">
        <v/>
      </c>
      <c r="I23" s="325" t="str">
        <v/>
      </c>
      <c r="J23" s="325" t="str">
        <v/>
      </c>
      <c r="K23" s="325" t="str">
        <v/>
      </c>
      <c r="L23" s="325" t="str">
        <v/>
      </c>
      <c r="M23" s="325" t="str">
        <v/>
      </c>
      <c r="N23" s="325" t="str">
        <v/>
      </c>
      <c r="O23" s="325" t="str">
        <v/>
      </c>
      <c r="P23" s="325" t="str">
        <v/>
      </c>
      <c r="Q23" s="325" t="str">
        <v/>
      </c>
      <c r="R23" s="325" t="str">
        <v/>
      </c>
      <c r="S23" s="88"/>
      <c r="AK23" s="367"/>
      <c r="AL23" s="367"/>
      <c r="AM23" s="367"/>
      <c r="AN23" s="367"/>
      <c r="AO23" s="367"/>
      <c r="AP23" s="367"/>
      <c r="AQ23" s="367"/>
      <c r="AR23" s="367"/>
      <c r="AS23" s="367"/>
      <c r="AT23" s="367"/>
      <c r="AU23" s="367"/>
      <c r="AV23" s="367"/>
      <c r="AW23" s="367"/>
      <c r="AX23" s="367"/>
      <c r="AY23" s="367"/>
      <c r="AZ23" s="367"/>
    </row>
    <row r="24" spans="1:52" x14ac:dyDescent="0.25">
      <c r="A24" s="300" t="s">
        <v>296</v>
      </c>
      <c r="B24" s="368">
        <f>'Capex incentives'!$J$67</f>
        <v>0</v>
      </c>
      <c r="C24" s="369">
        <v>0</v>
      </c>
      <c r="D24" s="325">
        <v>0</v>
      </c>
      <c r="E24" s="325">
        <v>0</v>
      </c>
      <c r="F24" s="325">
        <v>0</v>
      </c>
      <c r="G24" s="325">
        <v>0</v>
      </c>
      <c r="H24" s="325">
        <v>0</v>
      </c>
      <c r="I24" s="325">
        <v>0</v>
      </c>
      <c r="J24" s="325">
        <v>0</v>
      </c>
      <c r="K24" s="325">
        <v>0</v>
      </c>
      <c r="L24" s="325">
        <v>0</v>
      </c>
      <c r="M24" s="325">
        <v>0</v>
      </c>
      <c r="N24" s="325">
        <v>0</v>
      </c>
      <c r="O24" s="325">
        <v>0</v>
      </c>
      <c r="P24" s="325">
        <v>0</v>
      </c>
      <c r="Q24" s="325">
        <v>0</v>
      </c>
      <c r="R24" s="325">
        <v>0</v>
      </c>
      <c r="S24" s="88"/>
      <c r="AK24" s="367"/>
      <c r="AL24" s="367"/>
      <c r="AM24" s="367"/>
      <c r="AN24" s="367"/>
      <c r="AO24" s="367"/>
      <c r="AP24" s="367"/>
      <c r="AQ24" s="367"/>
      <c r="AR24" s="367"/>
      <c r="AS24" s="367"/>
      <c r="AT24" s="367"/>
      <c r="AU24" s="367"/>
      <c r="AV24" s="367"/>
      <c r="AW24" s="367"/>
      <c r="AX24" s="367"/>
      <c r="AY24" s="367"/>
      <c r="AZ24" s="367"/>
    </row>
    <row r="25" spans="1:52" x14ac:dyDescent="0.25">
      <c r="A25" s="300" t="s">
        <v>297</v>
      </c>
      <c r="B25" s="368">
        <f>'Capex incentives'!$K$67</f>
        <v>-12882.302200506792</v>
      </c>
      <c r="C25" s="369">
        <v>-1400.013661684862</v>
      </c>
      <c r="D25" s="325">
        <v>-1826.158262487254</v>
      </c>
      <c r="E25" s="325">
        <v>449.98214715494004</v>
      </c>
      <c r="F25" s="325">
        <v>-101.39257655078883</v>
      </c>
      <c r="G25" s="325">
        <v>-1123.0774711859522</v>
      </c>
      <c r="H25" s="325">
        <v>-114.63725960682383</v>
      </c>
      <c r="I25" s="325">
        <v>-96.445729597028119</v>
      </c>
      <c r="J25" s="325">
        <v>-1056.514167149616</v>
      </c>
      <c r="K25" s="325">
        <v>-6639.3579139643061</v>
      </c>
      <c r="L25" s="325">
        <v>3.2996823729277427</v>
      </c>
      <c r="M25" s="325">
        <v>-3151.0868567685343</v>
      </c>
      <c r="N25" s="325">
        <v>-982.77630681117648</v>
      </c>
      <c r="O25" s="325">
        <v>-271.25961141511868</v>
      </c>
      <c r="P25" s="325">
        <v>-3904.4414942964136</v>
      </c>
      <c r="Q25" s="325">
        <v>-12882.302200506792</v>
      </c>
      <c r="R25" s="325">
        <v>-1096.170496106241</v>
      </c>
      <c r="S25" s="88"/>
      <c r="AK25" s="367"/>
      <c r="AL25" s="367"/>
      <c r="AM25" s="367"/>
      <c r="AN25" s="367"/>
      <c r="AO25" s="367"/>
      <c r="AP25" s="367"/>
      <c r="AQ25" s="367"/>
      <c r="AR25" s="367"/>
      <c r="AS25" s="367"/>
      <c r="AT25" s="367"/>
      <c r="AU25" s="367"/>
      <c r="AV25" s="367"/>
      <c r="AW25" s="367"/>
      <c r="AX25" s="367"/>
      <c r="AY25" s="367"/>
      <c r="AZ25" s="367"/>
    </row>
    <row r="26" spans="1:52" x14ac:dyDescent="0.25">
      <c r="A26" s="300" t="s">
        <v>298</v>
      </c>
      <c r="B26" s="368">
        <f>'Capex incentives'!$L$67</f>
        <v>-13670.699095177806</v>
      </c>
      <c r="C26" s="369">
        <v>-1485.6944977799753</v>
      </c>
      <c r="D26" s="325">
        <v>-1937.9191481514736</v>
      </c>
      <c r="E26" s="325">
        <v>477.52105456082228</v>
      </c>
      <c r="F26" s="325">
        <v>-107.59780223569709</v>
      </c>
      <c r="G26" s="325">
        <v>-1191.8098124225323</v>
      </c>
      <c r="H26" s="325">
        <v>-121.65305989476143</v>
      </c>
      <c r="I26" s="325">
        <v>-102.34820824836622</v>
      </c>
      <c r="J26" s="325">
        <v>-1121.1728341791725</v>
      </c>
      <c r="K26" s="325">
        <v>-7045.6866182989206</v>
      </c>
      <c r="L26" s="325">
        <v>3.5016229341509195</v>
      </c>
      <c r="M26" s="325">
        <v>-3343.9333724027679</v>
      </c>
      <c r="N26" s="325">
        <v>-1042.9222167880203</v>
      </c>
      <c r="O26" s="325">
        <v>-287.86069963372387</v>
      </c>
      <c r="P26" s="325">
        <v>-4143.3933137473532</v>
      </c>
      <c r="Q26" s="325">
        <v>-13670.699095177806</v>
      </c>
      <c r="R26" s="325">
        <v>-1163.2561304679427</v>
      </c>
      <c r="S26" s="88"/>
      <c r="AK26" s="367"/>
      <c r="AL26" s="367"/>
      <c r="AM26" s="367"/>
      <c r="AN26" s="367"/>
      <c r="AO26" s="367"/>
      <c r="AP26" s="367"/>
      <c r="AQ26" s="367"/>
      <c r="AR26" s="367"/>
      <c r="AS26" s="367"/>
      <c r="AT26" s="367"/>
      <c r="AU26" s="367"/>
      <c r="AV26" s="367"/>
      <c r="AW26" s="367"/>
      <c r="AX26" s="367"/>
      <c r="AY26" s="367"/>
      <c r="AZ26" s="367"/>
    </row>
    <row r="27" spans="1:52" x14ac:dyDescent="0.25">
      <c r="A27" s="300" t="s">
        <v>299</v>
      </c>
      <c r="B27" s="368">
        <f>'Capex incentives'!$M$67</f>
        <v>-14507.345879802688</v>
      </c>
      <c r="C27" s="369">
        <v>-1576.6190010441098</v>
      </c>
      <c r="D27" s="325">
        <v>-2056.5198000183436</v>
      </c>
      <c r="E27" s="325">
        <v>506.74534309994459</v>
      </c>
      <c r="F27" s="325">
        <v>-114.18278773252175</v>
      </c>
      <c r="G27" s="325">
        <v>-1264.7485729427913</v>
      </c>
      <c r="H27" s="325">
        <v>-129.09822716032082</v>
      </c>
      <c r="I27" s="325">
        <v>-108.61191859316624</v>
      </c>
      <c r="J27" s="325">
        <v>-1189.7886116309378</v>
      </c>
      <c r="K27" s="325">
        <v>-7476.8826393388144</v>
      </c>
      <c r="L27" s="325">
        <v>3.7159222577209561</v>
      </c>
      <c r="M27" s="325">
        <v>-3548.5820947938173</v>
      </c>
      <c r="N27" s="325">
        <v>-1106.7490564554471</v>
      </c>
      <c r="O27" s="325">
        <v>-305.47777445130777</v>
      </c>
      <c r="P27" s="325">
        <v>-4396.968984548691</v>
      </c>
      <c r="Q27" s="325">
        <v>-14507.345879802688</v>
      </c>
      <c r="R27" s="325">
        <v>-1234.4474056525808</v>
      </c>
      <c r="S27" s="88"/>
      <c r="AK27" s="367"/>
      <c r="AL27" s="367"/>
      <c r="AM27" s="367"/>
      <c r="AN27" s="367"/>
      <c r="AO27" s="367"/>
      <c r="AP27" s="367"/>
      <c r="AQ27" s="367"/>
      <c r="AR27" s="367"/>
      <c r="AS27" s="367"/>
      <c r="AT27" s="367"/>
      <c r="AU27" s="367"/>
      <c r="AV27" s="367"/>
      <c r="AW27" s="367"/>
      <c r="AX27" s="367"/>
      <c r="AY27" s="367"/>
      <c r="AZ27" s="367"/>
    </row>
    <row r="28" spans="1:52" x14ac:dyDescent="0.25">
      <c r="A28" s="300" t="s">
        <v>300</v>
      </c>
      <c r="B28" s="365">
        <f>'Capex incentives'!$N$67</f>
        <v>-15395.195447646613</v>
      </c>
      <c r="C28" s="369">
        <v>-1673.1080839080093</v>
      </c>
      <c r="D28" s="325">
        <v>-2182.3788117794666</v>
      </c>
      <c r="E28" s="325">
        <v>537.75815809766118</v>
      </c>
      <c r="F28" s="325">
        <v>-121.17077434175208</v>
      </c>
      <c r="G28" s="325">
        <v>-1342.1511856068901</v>
      </c>
      <c r="H28" s="325">
        <v>-136.99903866253246</v>
      </c>
      <c r="I28" s="325">
        <v>-115.25896801106801</v>
      </c>
      <c r="J28" s="325">
        <v>-1262.603674662751</v>
      </c>
      <c r="K28" s="325">
        <v>-7934.4678568663503</v>
      </c>
      <c r="L28" s="325">
        <v>3.9433366998934782</v>
      </c>
      <c r="M28" s="325">
        <v>-3765.7553189951986</v>
      </c>
      <c r="N28" s="325">
        <v>-1174.4820987105204</v>
      </c>
      <c r="O28" s="325">
        <v>-324.17301424772779</v>
      </c>
      <c r="P28" s="325">
        <v>-4666.0634864030708</v>
      </c>
      <c r="Q28" s="325">
        <v>-15395.195447646613</v>
      </c>
      <c r="R28" s="325">
        <v>-1309.9955868785187</v>
      </c>
      <c r="S28" s="88"/>
      <c r="AK28" s="367"/>
      <c r="AL28" s="367"/>
      <c r="AM28" s="367"/>
      <c r="AN28" s="367"/>
      <c r="AO28" s="367"/>
      <c r="AP28" s="367"/>
      <c r="AQ28" s="367"/>
      <c r="AR28" s="367"/>
      <c r="AS28" s="367"/>
      <c r="AT28" s="367"/>
      <c r="AU28" s="367"/>
      <c r="AV28" s="367"/>
      <c r="AW28" s="367"/>
      <c r="AX28" s="367"/>
      <c r="AY28" s="367"/>
      <c r="AZ28" s="367"/>
    </row>
    <row r="29" spans="1:52" x14ac:dyDescent="0.25">
      <c r="A29" s="304"/>
      <c r="B29" s="343" t="str">
        <f>""</f>
        <v/>
      </c>
      <c r="C29" s="325" t="str">
        <v/>
      </c>
      <c r="D29" s="325" t="str">
        <v/>
      </c>
      <c r="E29" s="325" t="str">
        <v/>
      </c>
      <c r="F29" s="325" t="str">
        <v/>
      </c>
      <c r="G29" s="325" t="str">
        <v/>
      </c>
      <c r="H29" s="325" t="str">
        <v/>
      </c>
      <c r="I29" s="325" t="str">
        <v/>
      </c>
      <c r="J29" s="325" t="str">
        <v/>
      </c>
      <c r="K29" s="325" t="str">
        <v/>
      </c>
      <c r="L29" s="325" t="str">
        <v/>
      </c>
      <c r="M29" s="325" t="str">
        <v/>
      </c>
      <c r="N29" s="325" t="str">
        <v/>
      </c>
      <c r="O29" s="325" t="str">
        <v/>
      </c>
      <c r="P29" s="325" t="str">
        <v/>
      </c>
      <c r="Q29" s="325" t="str">
        <v/>
      </c>
      <c r="R29" s="325" t="str">
        <v/>
      </c>
      <c r="S29" s="88"/>
      <c r="AK29" s="367"/>
      <c r="AL29" s="367"/>
      <c r="AM29" s="367"/>
      <c r="AN29" s="367"/>
      <c r="AO29" s="367"/>
      <c r="AP29" s="367"/>
      <c r="AQ29" s="367"/>
      <c r="AR29" s="367"/>
      <c r="AS29" s="367"/>
      <c r="AT29" s="367"/>
      <c r="AU29" s="367"/>
      <c r="AV29" s="367"/>
      <c r="AW29" s="367"/>
      <c r="AX29" s="367"/>
      <c r="AY29" s="367"/>
      <c r="AZ29" s="367"/>
    </row>
    <row r="30" spans="1:52" x14ac:dyDescent="0.25">
      <c r="A30" s="300" t="s">
        <v>301</v>
      </c>
      <c r="B30" s="368">
        <f>'Opex incentives'!$J$50</f>
        <v>-22145.789922051597</v>
      </c>
      <c r="C30" s="369">
        <v>-7856.0626310946573</v>
      </c>
      <c r="D30" s="325">
        <v>-2306.0381582414993</v>
      </c>
      <c r="E30" s="325">
        <v>-3056</v>
      </c>
      <c r="F30" s="325">
        <v>-588.9627010378963</v>
      </c>
      <c r="G30" s="325">
        <v>-3300</v>
      </c>
      <c r="H30" s="325">
        <v>-1347.5442250000015</v>
      </c>
      <c r="I30" s="325">
        <v>233.01436414999989</v>
      </c>
      <c r="J30" s="325">
        <v>-2612.3811225852805</v>
      </c>
      <c r="K30" s="325">
        <v>-6864.3619838478917</v>
      </c>
      <c r="L30" s="325">
        <v>186.3753827989276</v>
      </c>
      <c r="M30" s="325">
        <v>79</v>
      </c>
      <c r="N30" s="325">
        <v>-1280.8579404999982</v>
      </c>
      <c r="O30" s="325">
        <v>-5502</v>
      </c>
      <c r="P30" s="325">
        <v>-5176.7430852100297</v>
      </c>
      <c r="Q30" s="325">
        <v>-22145.789922051597</v>
      </c>
      <c r="R30" s="325">
        <v>-976.61482639102906</v>
      </c>
      <c r="S30" s="88"/>
      <c r="AK30" s="367"/>
      <c r="AL30" s="367"/>
      <c r="AM30" s="367"/>
      <c r="AN30" s="367"/>
      <c r="AO30" s="367"/>
      <c r="AP30" s="367"/>
      <c r="AQ30" s="367"/>
      <c r="AR30" s="367"/>
      <c r="AS30" s="367"/>
      <c r="AT30" s="367"/>
      <c r="AU30" s="367"/>
      <c r="AV30" s="367"/>
      <c r="AW30" s="367"/>
      <c r="AX30" s="367"/>
      <c r="AY30" s="367"/>
      <c r="AZ30" s="367"/>
    </row>
    <row r="31" spans="1:52" x14ac:dyDescent="0.25">
      <c r="A31" s="300" t="s">
        <v>302</v>
      </c>
      <c r="B31" s="368">
        <f>'Opex incentives'!$K$50</f>
        <v>-22002.519217216963</v>
      </c>
      <c r="C31" s="369">
        <v>-5346.3634481503796</v>
      </c>
      <c r="D31" s="325">
        <v>-935.08618934689639</v>
      </c>
      <c r="E31" s="325">
        <v>-2047.1530334794295</v>
      </c>
      <c r="F31" s="325">
        <v>-929.52216177164121</v>
      </c>
      <c r="G31" s="325">
        <v>-2875.823645138993</v>
      </c>
      <c r="H31" s="325">
        <v>-206.20841638778768</v>
      </c>
      <c r="I31" s="325">
        <v>8.6608466089627356</v>
      </c>
      <c r="J31" s="325">
        <v>-2273.2718606172252</v>
      </c>
      <c r="K31" s="325">
        <v>-4732.8262700004243</v>
      </c>
      <c r="L31" s="325">
        <v>89.275466786821909</v>
      </c>
      <c r="M31" s="325">
        <v>-8232.5678177108257</v>
      </c>
      <c r="N31" s="325">
        <v>-1432.6958707837507</v>
      </c>
      <c r="O31" s="325">
        <v>-2801.3296552873244</v>
      </c>
      <c r="P31" s="325">
        <v>-5511.2093102894951</v>
      </c>
      <c r="Q31" s="325">
        <v>-22002.519217216963</v>
      </c>
      <c r="R31" s="325">
        <v>-663.50839988175505</v>
      </c>
      <c r="S31" s="88"/>
      <c r="AK31" s="367"/>
      <c r="AL31" s="367"/>
      <c r="AM31" s="367"/>
      <c r="AN31" s="367"/>
      <c r="AO31" s="367"/>
      <c r="AP31" s="367"/>
      <c r="AQ31" s="367"/>
      <c r="AR31" s="367"/>
      <c r="AS31" s="367"/>
      <c r="AT31" s="367"/>
      <c r="AU31" s="367"/>
      <c r="AV31" s="367"/>
      <c r="AW31" s="367"/>
      <c r="AX31" s="367"/>
      <c r="AY31" s="367"/>
      <c r="AZ31" s="367"/>
    </row>
    <row r="32" spans="1:52" x14ac:dyDescent="0.25">
      <c r="A32" s="300" t="s">
        <v>303</v>
      </c>
      <c r="B32" s="368">
        <f>'Opex incentives'!$L$50</f>
        <v>-17417.595850081085</v>
      </c>
      <c r="C32" s="369">
        <v>-3528.5715987832682</v>
      </c>
      <c r="D32" s="325">
        <v>-8324.8173688505431</v>
      </c>
      <c r="E32" s="325">
        <v>-1737.5879991283705</v>
      </c>
      <c r="F32" s="325">
        <v>-661.61474215425835</v>
      </c>
      <c r="G32" s="325">
        <v>-1542.7659090175002</v>
      </c>
      <c r="H32" s="325">
        <v>-212.96696631100076</v>
      </c>
      <c r="I32" s="325">
        <v>215.10801133545127</v>
      </c>
      <c r="J32" s="325">
        <v>-2107.5294715417754</v>
      </c>
      <c r="K32" s="325">
        <v>-7851.5037513824818</v>
      </c>
      <c r="L32" s="325">
        <v>-304.76973068442754</v>
      </c>
      <c r="M32" s="325">
        <v>5516.6435436038746</v>
      </c>
      <c r="N32" s="325">
        <v>-196.80465424018536</v>
      </c>
      <c r="O32" s="325">
        <v>-1968.9062429015407</v>
      </c>
      <c r="P32" s="325">
        <v>-3954.7636539647801</v>
      </c>
      <c r="Q32" s="325">
        <v>-17417.595850081085</v>
      </c>
      <c r="R32" s="325">
        <v>211.63177715771928</v>
      </c>
      <c r="S32" s="88"/>
      <c r="AK32" s="367"/>
      <c r="AL32" s="367"/>
      <c r="AM32" s="367"/>
      <c r="AN32" s="367"/>
      <c r="AO32" s="367"/>
      <c r="AP32" s="367"/>
      <c r="AQ32" s="367"/>
      <c r="AR32" s="367"/>
      <c r="AS32" s="367"/>
      <c r="AT32" s="367"/>
      <c r="AU32" s="367"/>
      <c r="AV32" s="367"/>
      <c r="AW32" s="367"/>
      <c r="AX32" s="367"/>
      <c r="AY32" s="367"/>
      <c r="AZ32" s="367"/>
    </row>
    <row r="33" spans="1:52" x14ac:dyDescent="0.25">
      <c r="A33" s="300" t="s">
        <v>304</v>
      </c>
      <c r="B33" s="368">
        <f>'Opex incentives'!$M$50</f>
        <v>-13437.659972876489</v>
      </c>
      <c r="C33" s="369">
        <v>-1368.8409693787157</v>
      </c>
      <c r="D33" s="325">
        <v>-4926.3418565398169</v>
      </c>
      <c r="E33" s="325">
        <v>-273.35678467502692</v>
      </c>
      <c r="F33" s="325">
        <v>-333.60614735935712</v>
      </c>
      <c r="G33" s="325">
        <v>-1019.5282690093713</v>
      </c>
      <c r="H33" s="325">
        <v>182.42879942507295</v>
      </c>
      <c r="I33" s="325">
        <v>212.64374254320089</v>
      </c>
      <c r="J33" s="325">
        <v>-1440.8319278591071</v>
      </c>
      <c r="K33" s="325">
        <v>-2823.2838864506325</v>
      </c>
      <c r="L33" s="325">
        <v>697.52938003347833</v>
      </c>
      <c r="M33" s="325">
        <v>13724.696549217915</v>
      </c>
      <c r="N33" s="325">
        <v>-873.25294380804462</v>
      </c>
      <c r="O33" s="325">
        <v>1759.1165967853424</v>
      </c>
      <c r="P33" s="325">
        <v>814.7833502238185</v>
      </c>
      <c r="Q33" s="325">
        <v>-13437.659972876489</v>
      </c>
      <c r="R33" s="325">
        <v>97.33937842272212</v>
      </c>
      <c r="S33" s="88"/>
      <c r="AK33" s="367"/>
      <c r="AL33" s="367"/>
      <c r="AM33" s="367"/>
      <c r="AN33" s="367"/>
      <c r="AO33" s="367"/>
      <c r="AP33" s="367"/>
      <c r="AQ33" s="367"/>
      <c r="AR33" s="367"/>
      <c r="AS33" s="367"/>
      <c r="AT33" s="367"/>
      <c r="AU33" s="367"/>
      <c r="AV33" s="367"/>
      <c r="AW33" s="367"/>
      <c r="AX33" s="367"/>
      <c r="AY33" s="367"/>
      <c r="AZ33" s="367"/>
    </row>
    <row r="34" spans="1:52" x14ac:dyDescent="0.25">
      <c r="A34" s="300" t="s">
        <v>305</v>
      </c>
      <c r="B34" s="365">
        <f>'Opex incentives'!$N$50</f>
        <v>2556.5687020646255</v>
      </c>
      <c r="C34" s="369">
        <v>2358.3082942582796</v>
      </c>
      <c r="D34" s="325">
        <v>1278.4237153658248</v>
      </c>
      <c r="E34" s="325">
        <v>850.70378010286129</v>
      </c>
      <c r="F34" s="325">
        <v>122.14089341104751</v>
      </c>
      <c r="G34" s="325">
        <v>618.97884883925531</v>
      </c>
      <c r="H34" s="325">
        <v>845.01916462787938</v>
      </c>
      <c r="I34" s="325">
        <v>28.25909635086489</v>
      </c>
      <c r="J34" s="325">
        <v>55.103590095644854</v>
      </c>
      <c r="K34" s="325">
        <v>1344.0688368466042</v>
      </c>
      <c r="L34" s="325">
        <v>190.80774391406933</v>
      </c>
      <c r="M34" s="325">
        <v>481.07600246605068</v>
      </c>
      <c r="N34" s="325">
        <v>195.63811930838162</v>
      </c>
      <c r="O34" s="325">
        <v>899.43228311526582</v>
      </c>
      <c r="P34" s="325">
        <v>158.38654741663839</v>
      </c>
      <c r="Q34" s="325">
        <v>2556.5687020646255</v>
      </c>
      <c r="R34" s="325">
        <v>1127.5036290375467</v>
      </c>
      <c r="S34" s="88"/>
      <c r="AK34" s="367"/>
      <c r="AL34" s="367"/>
      <c r="AM34" s="367"/>
      <c r="AN34" s="367"/>
      <c r="AO34" s="367"/>
      <c r="AP34" s="367"/>
      <c r="AQ34" s="367"/>
      <c r="AR34" s="367"/>
      <c r="AS34" s="367"/>
      <c r="AT34" s="367"/>
      <c r="AU34" s="367"/>
      <c r="AV34" s="367"/>
      <c r="AW34" s="367"/>
      <c r="AX34" s="367"/>
      <c r="AY34" s="367"/>
      <c r="AZ34" s="367"/>
    </row>
    <row r="35" spans="1:52" x14ac:dyDescent="0.25">
      <c r="A35" s="304"/>
      <c r="B35" s="343" t="str">
        <f>""</f>
        <v/>
      </c>
      <c r="C35" s="325" t="str">
        <v/>
      </c>
      <c r="D35" s="325" t="str">
        <v/>
      </c>
      <c r="E35" s="325" t="str">
        <v/>
      </c>
      <c r="F35" s="325" t="str">
        <v/>
      </c>
      <c r="G35" s="325" t="str">
        <v/>
      </c>
      <c r="H35" s="325" t="str">
        <v/>
      </c>
      <c r="I35" s="325" t="str">
        <v/>
      </c>
      <c r="J35" s="325" t="str">
        <v/>
      </c>
      <c r="K35" s="325" t="str">
        <v/>
      </c>
      <c r="L35" s="325" t="str">
        <v/>
      </c>
      <c r="M35" s="325" t="str">
        <v/>
      </c>
      <c r="N35" s="325" t="str">
        <v/>
      </c>
      <c r="O35" s="325" t="str">
        <v/>
      </c>
      <c r="P35" s="325" t="str">
        <v/>
      </c>
      <c r="Q35" s="325" t="str">
        <v/>
      </c>
      <c r="R35" s="325" t="str">
        <v/>
      </c>
      <c r="S35" s="88"/>
      <c r="AK35" s="367"/>
      <c r="AL35" s="367"/>
      <c r="AM35" s="367"/>
      <c r="AN35" s="367"/>
      <c r="AO35" s="367"/>
      <c r="AP35" s="367"/>
      <c r="AQ35" s="367"/>
      <c r="AR35" s="367"/>
      <c r="AS35" s="367"/>
      <c r="AT35" s="367"/>
      <c r="AU35" s="367"/>
      <c r="AV35" s="367"/>
      <c r="AW35" s="367"/>
      <c r="AX35" s="367"/>
      <c r="AY35" s="367"/>
      <c r="AZ35" s="367"/>
    </row>
    <row r="36" spans="1:52" x14ac:dyDescent="0.25">
      <c r="A36" s="300" t="s">
        <v>306</v>
      </c>
      <c r="B36" s="368">
        <f>B24+B30</f>
        <v>-22145.789922051597</v>
      </c>
      <c r="C36" s="369">
        <v>-7856.0626310946573</v>
      </c>
      <c r="D36" s="325">
        <v>-2306.0381582414993</v>
      </c>
      <c r="E36" s="325">
        <v>-3056</v>
      </c>
      <c r="F36" s="325">
        <v>-588.9627010378963</v>
      </c>
      <c r="G36" s="325">
        <v>-3300</v>
      </c>
      <c r="H36" s="325">
        <v>-1347.5442250000015</v>
      </c>
      <c r="I36" s="325">
        <v>233.01436414999989</v>
      </c>
      <c r="J36" s="325">
        <v>-2612.3811225852805</v>
      </c>
      <c r="K36" s="325">
        <v>-6864.3619838478917</v>
      </c>
      <c r="L36" s="325">
        <v>186.3753827989276</v>
      </c>
      <c r="M36" s="325">
        <v>79</v>
      </c>
      <c r="N36" s="325">
        <v>-1280.8579404999982</v>
      </c>
      <c r="O36" s="325">
        <v>-5502</v>
      </c>
      <c r="P36" s="325">
        <v>-5176.7430852100297</v>
      </c>
      <c r="Q36" s="325">
        <v>-22145.789922051597</v>
      </c>
      <c r="R36" s="325">
        <v>-976.61482639102906</v>
      </c>
      <c r="S36" s="88"/>
      <c r="AK36" s="367"/>
      <c r="AL36" s="367"/>
      <c r="AM36" s="367"/>
      <c r="AN36" s="367"/>
      <c r="AO36" s="367"/>
      <c r="AP36" s="367"/>
      <c r="AQ36" s="367"/>
      <c r="AR36" s="367"/>
      <c r="AS36" s="367"/>
      <c r="AT36" s="367"/>
      <c r="AU36" s="367"/>
      <c r="AV36" s="367"/>
      <c r="AW36" s="367"/>
      <c r="AX36" s="367"/>
      <c r="AY36" s="367"/>
      <c r="AZ36" s="367"/>
    </row>
    <row r="37" spans="1:52" x14ac:dyDescent="0.25">
      <c r="A37" s="300" t="s">
        <v>307</v>
      </c>
      <c r="B37" s="368">
        <f>B25+B31</f>
        <v>-34884.821417723753</v>
      </c>
      <c r="C37" s="369">
        <v>-6746.3771098352418</v>
      </c>
      <c r="D37" s="325">
        <v>-2761.2444518341504</v>
      </c>
      <c r="E37" s="325">
        <v>-1597.1708863244894</v>
      </c>
      <c r="F37" s="325">
        <v>-1030.9147383224301</v>
      </c>
      <c r="G37" s="325">
        <v>-3998.9011163249452</v>
      </c>
      <c r="H37" s="325">
        <v>-320.8456759946115</v>
      </c>
      <c r="I37" s="325">
        <v>-87.784882988065391</v>
      </c>
      <c r="J37" s="325">
        <v>-3329.7860277668415</v>
      </c>
      <c r="K37" s="325">
        <v>-11372.184183964731</v>
      </c>
      <c r="L37" s="325">
        <v>92.575149159749657</v>
      </c>
      <c r="M37" s="325">
        <v>-11383.65467447936</v>
      </c>
      <c r="N37" s="325">
        <v>-2415.4721775949274</v>
      </c>
      <c r="O37" s="325">
        <v>-3072.5892667024432</v>
      </c>
      <c r="P37" s="325">
        <v>-9415.6508045859082</v>
      </c>
      <c r="Q37" s="325">
        <v>-34884.821417723753</v>
      </c>
      <c r="R37" s="325">
        <v>-1759.6788959879959</v>
      </c>
      <c r="S37" s="88"/>
      <c r="AK37" s="367"/>
      <c r="AL37" s="367"/>
      <c r="AM37" s="367"/>
      <c r="AN37" s="367"/>
      <c r="AO37" s="367"/>
      <c r="AP37" s="367"/>
      <c r="AQ37" s="367"/>
      <c r="AR37" s="367"/>
      <c r="AS37" s="367"/>
      <c r="AT37" s="367"/>
      <c r="AU37" s="367"/>
      <c r="AV37" s="367"/>
      <c r="AW37" s="367"/>
      <c r="AX37" s="367"/>
      <c r="AY37" s="367"/>
      <c r="AZ37" s="367"/>
    </row>
    <row r="38" spans="1:52" x14ac:dyDescent="0.25">
      <c r="A38" s="300" t="s">
        <v>308</v>
      </c>
      <c r="B38" s="368">
        <f>B26+B32</f>
        <v>-31088.294945258891</v>
      </c>
      <c r="C38" s="369">
        <v>-5014.266096563244</v>
      </c>
      <c r="D38" s="325">
        <v>-10262.736517002017</v>
      </c>
      <c r="E38" s="325">
        <v>-1260.0669445675483</v>
      </c>
      <c r="F38" s="325">
        <v>-769.21254438995538</v>
      </c>
      <c r="G38" s="325">
        <v>-2734.5757214400328</v>
      </c>
      <c r="H38" s="325">
        <v>-334.6200262057622</v>
      </c>
      <c r="I38" s="325">
        <v>112.75980308708505</v>
      </c>
      <c r="J38" s="325">
        <v>-3228.7023057209481</v>
      </c>
      <c r="K38" s="325">
        <v>-14897.190369681402</v>
      </c>
      <c r="L38" s="325">
        <v>-301.26810775027661</v>
      </c>
      <c r="M38" s="325">
        <v>2172.7101712011067</v>
      </c>
      <c r="N38" s="325">
        <v>-1239.7268710282056</v>
      </c>
      <c r="O38" s="325">
        <v>-2256.7669425352647</v>
      </c>
      <c r="P38" s="325">
        <v>-8098.1569677121333</v>
      </c>
      <c r="Q38" s="325">
        <v>-31088.294945258891</v>
      </c>
      <c r="R38" s="325">
        <v>-951.62435331022346</v>
      </c>
      <c r="S38" s="88"/>
      <c r="AK38" s="367"/>
      <c r="AL38" s="367"/>
      <c r="AM38" s="367"/>
      <c r="AN38" s="367"/>
      <c r="AO38" s="367"/>
      <c r="AP38" s="367"/>
      <c r="AQ38" s="367"/>
      <c r="AR38" s="367"/>
      <c r="AS38" s="367"/>
      <c r="AT38" s="367"/>
      <c r="AU38" s="367"/>
      <c r="AV38" s="367"/>
      <c r="AW38" s="367"/>
      <c r="AX38" s="367"/>
      <c r="AY38" s="367"/>
      <c r="AZ38" s="367"/>
    </row>
    <row r="39" spans="1:52" x14ac:dyDescent="0.25">
      <c r="A39" s="300" t="s">
        <v>309</v>
      </c>
      <c r="B39" s="368">
        <f>B27+B33</f>
        <v>-27945.005852679176</v>
      </c>
      <c r="C39" s="369">
        <v>-2945.4599704228258</v>
      </c>
      <c r="D39" s="325">
        <v>-6982.8616565581606</v>
      </c>
      <c r="E39" s="325">
        <v>233.38855842491768</v>
      </c>
      <c r="F39" s="325">
        <v>-447.7889350918789</v>
      </c>
      <c r="G39" s="325">
        <v>-2284.2768419521626</v>
      </c>
      <c r="H39" s="325">
        <v>53.330572264752135</v>
      </c>
      <c r="I39" s="325">
        <v>104.03182395003465</v>
      </c>
      <c r="J39" s="325">
        <v>-2630.6205394900448</v>
      </c>
      <c r="K39" s="325">
        <v>-10300.166525789447</v>
      </c>
      <c r="L39" s="325">
        <v>701.24530229119932</v>
      </c>
      <c r="M39" s="325">
        <v>10176.114454424098</v>
      </c>
      <c r="N39" s="325">
        <v>-1980.0020002634917</v>
      </c>
      <c r="O39" s="325">
        <v>1453.6388223340346</v>
      </c>
      <c r="P39" s="325">
        <v>-3582.1856343248724</v>
      </c>
      <c r="Q39" s="325">
        <v>-27945.005852679176</v>
      </c>
      <c r="R39" s="325">
        <v>-1137.1080272298586</v>
      </c>
      <c r="S39" s="88"/>
      <c r="AK39" s="367"/>
      <c r="AL39" s="367"/>
      <c r="AM39" s="367"/>
      <c r="AN39" s="367"/>
      <c r="AO39" s="367"/>
      <c r="AP39" s="367"/>
      <c r="AQ39" s="367"/>
      <c r="AR39" s="367"/>
      <c r="AS39" s="367"/>
      <c r="AT39" s="367"/>
      <c r="AU39" s="367"/>
      <c r="AV39" s="367"/>
      <c r="AW39" s="367"/>
      <c r="AX39" s="367"/>
      <c r="AY39" s="367"/>
      <c r="AZ39" s="367"/>
    </row>
    <row r="40" spans="1:52" x14ac:dyDescent="0.25">
      <c r="A40" s="300" t="s">
        <v>310</v>
      </c>
      <c r="B40" s="365">
        <f>B28+B34</f>
        <v>-12838.626745581987</v>
      </c>
      <c r="C40" s="369">
        <v>685.20021035027025</v>
      </c>
      <c r="D40" s="325">
        <v>-903.95509641364174</v>
      </c>
      <c r="E40" s="325">
        <v>1388.4619382005226</v>
      </c>
      <c r="F40" s="325">
        <v>0.97011906929543557</v>
      </c>
      <c r="G40" s="325">
        <v>-723.17233676763476</v>
      </c>
      <c r="H40" s="325">
        <v>708.02012596534689</v>
      </c>
      <c r="I40" s="325">
        <v>-86.999871660203112</v>
      </c>
      <c r="J40" s="325">
        <v>-1207.5000845671061</v>
      </c>
      <c r="K40" s="325">
        <v>-6590.3990200197459</v>
      </c>
      <c r="L40" s="325">
        <v>194.75108061396281</v>
      </c>
      <c r="M40" s="325">
        <v>-3284.6793165291479</v>
      </c>
      <c r="N40" s="325">
        <v>-978.84397940213876</v>
      </c>
      <c r="O40" s="325">
        <v>575.25926886753803</v>
      </c>
      <c r="P40" s="325">
        <v>-4507.6769389864321</v>
      </c>
      <c r="Q40" s="325">
        <v>-12838.626745581987</v>
      </c>
      <c r="R40" s="325">
        <v>-182.49195784097196</v>
      </c>
      <c r="S40" s="88"/>
      <c r="AK40" s="367"/>
      <c r="AL40" s="367"/>
      <c r="AM40" s="367"/>
      <c r="AN40" s="367"/>
      <c r="AO40" s="367"/>
      <c r="AP40" s="367"/>
      <c r="AQ40" s="367"/>
      <c r="AR40" s="367"/>
      <c r="AS40" s="367"/>
      <c r="AT40" s="367"/>
      <c r="AU40" s="367"/>
      <c r="AV40" s="367"/>
      <c r="AW40" s="367"/>
      <c r="AX40" s="367"/>
      <c r="AY40" s="367"/>
      <c r="AZ40" s="367"/>
    </row>
    <row r="41" spans="1:52" x14ac:dyDescent="0.25">
      <c r="A41" s="304"/>
      <c r="B41" s="343" t="str">
        <f>""</f>
        <v/>
      </c>
      <c r="C41" s="325" t="str">
        <v/>
      </c>
      <c r="D41" s="325" t="str">
        <v/>
      </c>
      <c r="E41" s="325" t="str">
        <v/>
      </c>
      <c r="F41" s="325" t="str">
        <v/>
      </c>
      <c r="G41" s="325" t="str">
        <v/>
      </c>
      <c r="H41" s="325" t="str">
        <v/>
      </c>
      <c r="I41" s="325" t="str">
        <v/>
      </c>
      <c r="J41" s="325" t="str">
        <v/>
      </c>
      <c r="K41" s="325" t="str">
        <v/>
      </c>
      <c r="L41" s="325" t="str">
        <v/>
      </c>
      <c r="M41" s="325" t="str">
        <v/>
      </c>
      <c r="N41" s="325" t="str">
        <v/>
      </c>
      <c r="O41" s="325" t="str">
        <v/>
      </c>
      <c r="P41" s="325" t="str">
        <v/>
      </c>
      <c r="Q41" s="325" t="str">
        <v/>
      </c>
      <c r="R41" s="325" t="str">
        <v/>
      </c>
      <c r="S41" s="88"/>
      <c r="AK41" s="367"/>
      <c r="AL41" s="367"/>
      <c r="AM41" s="367"/>
      <c r="AN41" s="367"/>
      <c r="AO41" s="367"/>
      <c r="AP41" s="367"/>
      <c r="AQ41" s="367"/>
      <c r="AR41" s="367"/>
      <c r="AS41" s="367"/>
      <c r="AT41" s="367"/>
      <c r="AU41" s="367"/>
      <c r="AV41" s="367"/>
      <c r="AW41" s="367"/>
      <c r="AX41" s="367"/>
      <c r="AY41" s="367"/>
      <c r="AZ41" s="367"/>
    </row>
    <row r="42" spans="1:52" x14ac:dyDescent="0.25">
      <c r="A42" s="304" t="s">
        <v>173</v>
      </c>
      <c r="B42" s="368">
        <f>'General analysis'!C48</f>
        <v>-56455.542623133901</v>
      </c>
      <c r="C42" s="369">
        <v>-6135.4352444169563</v>
      </c>
      <c r="D42" s="325">
        <v>-8002.9760224365382</v>
      </c>
      <c r="E42" s="325">
        <v>1972.0067029133681</v>
      </c>
      <c r="F42" s="325">
        <v>-444.34394086075969</v>
      </c>
      <c r="G42" s="325">
        <v>-4921.7870421581665</v>
      </c>
      <c r="H42" s="325">
        <v>-502.38758532443853</v>
      </c>
      <c r="I42" s="325">
        <v>-422.66482444962861</v>
      </c>
      <c r="J42" s="325">
        <v>-4630.0792876224768</v>
      </c>
      <c r="K42" s="325">
        <v>-29096.395028468392</v>
      </c>
      <c r="L42" s="325">
        <v>14.460564264693097</v>
      </c>
      <c r="M42" s="325">
        <v>-13809.357642960316</v>
      </c>
      <c r="N42" s="325">
        <v>-4306.9296787651638</v>
      </c>
      <c r="O42" s="325">
        <v>-1188.771099747878</v>
      </c>
      <c r="P42" s="325">
        <v>-17110.867278995531</v>
      </c>
      <c r="Q42" s="325">
        <v>-56455.542623133901</v>
      </c>
      <c r="R42" s="325">
        <v>-4803.8696191052823</v>
      </c>
      <c r="S42" s="88"/>
      <c r="AK42" s="367"/>
      <c r="AL42" s="367"/>
      <c r="AM42" s="367"/>
      <c r="AN42" s="367"/>
      <c r="AO42" s="367"/>
      <c r="AP42" s="367"/>
      <c r="AQ42" s="367"/>
      <c r="AR42" s="367"/>
      <c r="AS42" s="367"/>
      <c r="AT42" s="367"/>
      <c r="AU42" s="367"/>
      <c r="AV42" s="367"/>
      <c r="AW42" s="367"/>
      <c r="AX42" s="367"/>
      <c r="AY42" s="367"/>
      <c r="AZ42" s="367"/>
    </row>
    <row r="43" spans="1:52" x14ac:dyDescent="0.25">
      <c r="A43" s="304" t="s">
        <v>174</v>
      </c>
      <c r="B43" s="368">
        <f>'General analysis'!C53</f>
        <v>-72446.996260161497</v>
      </c>
      <c r="C43" s="369">
        <v>-15741.530353148737</v>
      </c>
      <c r="D43" s="325">
        <v>-15213.85985761293</v>
      </c>
      <c r="E43" s="325">
        <v>-6263.3940371799663</v>
      </c>
      <c r="F43" s="325">
        <v>-2391.5648589121051</v>
      </c>
      <c r="G43" s="325">
        <v>-8119.13897432661</v>
      </c>
      <c r="H43" s="325">
        <v>-739.27164364583734</v>
      </c>
      <c r="I43" s="325">
        <v>697.68606098847965</v>
      </c>
      <c r="J43" s="325">
        <v>-8378.9107925077442</v>
      </c>
      <c r="K43" s="325">
        <v>-20927.907054834828</v>
      </c>
      <c r="L43" s="325">
        <v>859.21824284886952</v>
      </c>
      <c r="M43" s="325">
        <v>11568.848277577015</v>
      </c>
      <c r="N43" s="325">
        <v>-3587.9732900235972</v>
      </c>
      <c r="O43" s="325">
        <v>-7613.6870182882576</v>
      </c>
      <c r="P43" s="325">
        <v>-13669.546151823846</v>
      </c>
      <c r="Q43" s="325">
        <v>-72446.996260161497</v>
      </c>
      <c r="R43" s="325">
        <v>-203.64844165479599</v>
      </c>
      <c r="S43" s="88"/>
      <c r="AK43" s="367"/>
      <c r="AL43" s="367"/>
      <c r="AM43" s="367"/>
      <c r="AN43" s="367"/>
      <c r="AO43" s="367"/>
      <c r="AP43" s="367"/>
      <c r="AQ43" s="367"/>
      <c r="AR43" s="367"/>
      <c r="AS43" s="367"/>
      <c r="AT43" s="367"/>
      <c r="AU43" s="367"/>
      <c r="AV43" s="367"/>
      <c r="AW43" s="367"/>
      <c r="AX43" s="367"/>
      <c r="AY43" s="367"/>
      <c r="AZ43" s="367"/>
    </row>
    <row r="44" spans="1:52" x14ac:dyDescent="0.25">
      <c r="A44" s="304" t="s">
        <v>175</v>
      </c>
      <c r="B44" s="365">
        <f>B42+B43</f>
        <v>-128902.5388832954</v>
      </c>
      <c r="C44" s="369">
        <v>-21876.965597565693</v>
      </c>
      <c r="D44" s="325">
        <v>-23216.835880049468</v>
      </c>
      <c r="E44" s="325">
        <v>-4291.3873342665984</v>
      </c>
      <c r="F44" s="325">
        <v>-2835.9087997728648</v>
      </c>
      <c r="G44" s="325">
        <v>-13040.926016484776</v>
      </c>
      <c r="H44" s="325">
        <v>-1241.6592289702758</v>
      </c>
      <c r="I44" s="325">
        <v>275.02123653885104</v>
      </c>
      <c r="J44" s="325">
        <v>-13008.990080130221</v>
      </c>
      <c r="K44" s="325">
        <v>-50024.302083303221</v>
      </c>
      <c r="L44" s="325">
        <v>873.67880711356258</v>
      </c>
      <c r="M44" s="325">
        <v>-2240.509365383301</v>
      </c>
      <c r="N44" s="325">
        <v>-7894.9029687887614</v>
      </c>
      <c r="O44" s="325">
        <v>-8802.4581180361347</v>
      </c>
      <c r="P44" s="325">
        <v>-30780.413430819375</v>
      </c>
      <c r="Q44" s="325">
        <v>-128902.5388832954</v>
      </c>
      <c r="R44" s="325">
        <v>-5007.5180607600778</v>
      </c>
      <c r="S44" s="88"/>
      <c r="AK44" s="367"/>
      <c r="AL44" s="367"/>
      <c r="AM44" s="367"/>
      <c r="AN44" s="367"/>
      <c r="AO44" s="367"/>
      <c r="AP44" s="367"/>
      <c r="AQ44" s="367"/>
      <c r="AR44" s="367"/>
      <c r="AS44" s="367"/>
      <c r="AT44" s="367"/>
      <c r="AU44" s="367"/>
      <c r="AV44" s="367"/>
      <c r="AW44" s="367"/>
      <c r="AX44" s="367"/>
      <c r="AY44" s="367"/>
      <c r="AZ44" s="367"/>
    </row>
    <row r="45" spans="1:52" x14ac:dyDescent="0.25">
      <c r="A45" s="304"/>
      <c r="B45" s="343" t="str">
        <f>""</f>
        <v/>
      </c>
      <c r="C45" s="325" t="str">
        <v/>
      </c>
      <c r="D45" s="325" t="str">
        <v/>
      </c>
      <c r="E45" s="325" t="str">
        <v/>
      </c>
      <c r="F45" s="325" t="str">
        <v/>
      </c>
      <c r="G45" s="325" t="str">
        <v/>
      </c>
      <c r="H45" s="325" t="str">
        <v/>
      </c>
      <c r="I45" s="325" t="str">
        <v/>
      </c>
      <c r="J45" s="325" t="str">
        <v/>
      </c>
      <c r="K45" s="325" t="str">
        <v/>
      </c>
      <c r="L45" s="325" t="str">
        <v/>
      </c>
      <c r="M45" s="325" t="str">
        <v/>
      </c>
      <c r="N45" s="325" t="str">
        <v/>
      </c>
      <c r="O45" s="325" t="str">
        <v/>
      </c>
      <c r="P45" s="325" t="str">
        <v/>
      </c>
      <c r="Q45" s="325" t="str">
        <v/>
      </c>
      <c r="R45" s="325" t="str">
        <v/>
      </c>
      <c r="S45" s="88"/>
      <c r="AK45" s="367"/>
      <c r="AL45" s="367"/>
      <c r="AM45" s="367"/>
      <c r="AN45" s="367"/>
      <c r="AO45" s="367"/>
      <c r="AP45" s="367"/>
      <c r="AQ45" s="367"/>
      <c r="AR45" s="367"/>
      <c r="AS45" s="367"/>
      <c r="AT45" s="367"/>
      <c r="AU45" s="367"/>
      <c r="AV45" s="367"/>
      <c r="AW45" s="367"/>
      <c r="AX45" s="367"/>
      <c r="AY45" s="367"/>
      <c r="AZ45" s="367"/>
    </row>
    <row r="46" spans="1:52" x14ac:dyDescent="0.25">
      <c r="A46" s="304" t="s">
        <v>176</v>
      </c>
      <c r="B46" s="372">
        <f>'General analysis'!C50</f>
        <v>-1.5396920497065177E-2</v>
      </c>
      <c r="C46" s="371">
        <v>-1.5482252394361146E-2</v>
      </c>
      <c r="D46" s="332">
        <v>-9.5980885000233745E-3</v>
      </c>
      <c r="E46" s="332">
        <v>6.4333069957961467E-3</v>
      </c>
      <c r="F46" s="332">
        <v>-4.0296753844483932E-3</v>
      </c>
      <c r="G46" s="332">
        <v>-2.0935143375741615E-2</v>
      </c>
      <c r="H46" s="332">
        <v>-2.555589197906198E-3</v>
      </c>
      <c r="I46" s="332">
        <v>-9.7267484904362683E-3</v>
      </c>
      <c r="J46" s="332">
        <v>-1.9445976238994085E-2</v>
      </c>
      <c r="K46" s="332">
        <v>-1.9252747642285094E-2</v>
      </c>
      <c r="L46" s="332">
        <v>5.8536394351937759E-5</v>
      </c>
      <c r="M46" s="332">
        <v>-5.2806461141778676E-3</v>
      </c>
      <c r="N46" s="332">
        <v>-1.4548968885111117E-2</v>
      </c>
      <c r="O46" s="332">
        <v>-3.2290198566240296E-3</v>
      </c>
      <c r="P46" s="332">
        <v>-1.8122382873310139E-2</v>
      </c>
      <c r="Q46" s="332">
        <v>-1.5396920497065177E-2</v>
      </c>
      <c r="R46" s="332">
        <v>-6.1365999076762618E-3</v>
      </c>
      <c r="S46" s="90"/>
      <c r="AK46" s="367"/>
      <c r="AL46" s="367"/>
      <c r="AM46" s="367"/>
      <c r="AN46" s="367"/>
      <c r="AO46" s="367"/>
      <c r="AP46" s="367"/>
      <c r="AQ46" s="367"/>
      <c r="AR46" s="367"/>
      <c r="AS46" s="367"/>
      <c r="AT46" s="367"/>
      <c r="AU46" s="367"/>
      <c r="AV46" s="367"/>
      <c r="AW46" s="367"/>
      <c r="AX46" s="367"/>
      <c r="AY46" s="367"/>
      <c r="AZ46" s="367"/>
    </row>
    <row r="47" spans="1:52" x14ac:dyDescent="0.25">
      <c r="A47" s="304" t="s">
        <v>177</v>
      </c>
      <c r="B47" s="372">
        <f>'General analysis'!C55</f>
        <v>-2.1769278208787872E-2</v>
      </c>
      <c r="C47" s="371">
        <v>-4.599901610642318E-2</v>
      </c>
      <c r="D47" s="332">
        <v>-1.9261406536071786E-2</v>
      </c>
      <c r="E47" s="332">
        <v>-2.3629396739322274E-2</v>
      </c>
      <c r="F47" s="332">
        <v>-2.395095716708261E-2</v>
      </c>
      <c r="G47" s="332">
        <v>-3.9078296197217026E-2</v>
      </c>
      <c r="H47" s="332">
        <v>-5.7309787977167913E-3</v>
      </c>
      <c r="I47" s="332">
        <v>1.7100142086618111E-2</v>
      </c>
      <c r="J47" s="332">
        <v>-3.8614263546629259E-2</v>
      </c>
      <c r="K47" s="332">
        <v>-1.5329164499904908E-2</v>
      </c>
      <c r="L47" s="332">
        <v>3.4514539404418734E-3</v>
      </c>
      <c r="M47" s="332">
        <v>3.9581963553859999E-3</v>
      </c>
      <c r="N47" s="332">
        <v>-1.3523391885972709E-2</v>
      </c>
      <c r="O47" s="332">
        <v>-2.5105757266479865E-2</v>
      </c>
      <c r="P47" s="332">
        <v>-1.6434872771867115E-2</v>
      </c>
      <c r="Q47" s="332">
        <v>-2.1769278208787872E-2</v>
      </c>
      <c r="R47" s="332">
        <v>-7.4012116000825409E-4</v>
      </c>
      <c r="S47" s="90"/>
      <c r="AK47" s="367"/>
      <c r="AL47" s="367"/>
      <c r="AM47" s="367"/>
      <c r="AN47" s="367"/>
      <c r="AO47" s="367"/>
      <c r="AP47" s="367"/>
      <c r="AQ47" s="367"/>
      <c r="AR47" s="367"/>
      <c r="AS47" s="367"/>
      <c r="AT47" s="367"/>
      <c r="AU47" s="367"/>
      <c r="AV47" s="367"/>
      <c r="AW47" s="367"/>
      <c r="AX47" s="367"/>
      <c r="AY47" s="367"/>
      <c r="AZ47" s="367"/>
    </row>
    <row r="48" spans="1:52" x14ac:dyDescent="0.25">
      <c r="A48" s="304" t="s">
        <v>178</v>
      </c>
      <c r="B48" s="370">
        <f>'General analysis'!C58</f>
        <v>-3.7166198705853047E-2</v>
      </c>
      <c r="C48" s="371">
        <v>-6.1481268500784322E-2</v>
      </c>
      <c r="D48" s="332">
        <v>-2.885949503609516E-2</v>
      </c>
      <c r="E48" s="332">
        <v>-1.7196089743526127E-2</v>
      </c>
      <c r="F48" s="332">
        <v>-2.7980632551531003E-2</v>
      </c>
      <c r="G48" s="332">
        <v>-6.0013439572958634E-2</v>
      </c>
      <c r="H48" s="332">
        <v>-8.2865679956229902E-3</v>
      </c>
      <c r="I48" s="332">
        <v>7.3733935961818433E-3</v>
      </c>
      <c r="J48" s="332">
        <v>-5.8060239785623344E-2</v>
      </c>
      <c r="K48" s="332">
        <v>-3.4581912142190002E-2</v>
      </c>
      <c r="L48" s="332">
        <v>3.5099903347938113E-3</v>
      </c>
      <c r="M48" s="332">
        <v>-1.3224497587918679E-3</v>
      </c>
      <c r="N48" s="332">
        <v>-2.8072360771083823E-2</v>
      </c>
      <c r="O48" s="332">
        <v>-2.8334777123103894E-2</v>
      </c>
      <c r="P48" s="332">
        <v>-3.4557255645177254E-2</v>
      </c>
      <c r="Q48" s="332">
        <v>-3.7166198705853047E-2</v>
      </c>
      <c r="R48" s="332">
        <v>-6.8767210676845148E-3</v>
      </c>
      <c r="S48" s="90"/>
      <c r="AK48" s="367"/>
      <c r="AL48" s="367"/>
      <c r="AM48" s="367"/>
      <c r="AN48" s="367"/>
      <c r="AO48" s="367"/>
      <c r="AP48" s="367"/>
      <c r="AQ48" s="367"/>
      <c r="AR48" s="367"/>
      <c r="AS48" s="367"/>
      <c r="AT48" s="367"/>
      <c r="AU48" s="367"/>
      <c r="AV48" s="367"/>
      <c r="AW48" s="367"/>
      <c r="AX48" s="367"/>
      <c r="AY48" s="367"/>
      <c r="AZ48" s="367"/>
    </row>
    <row r="49" spans="1:19" ht="30" customHeight="1" x14ac:dyDescent="0.25">
      <c r="A49" s="40"/>
      <c r="B49" s="373"/>
      <c r="C49" s="373"/>
      <c r="D49" s="40"/>
      <c r="E49" s="40"/>
      <c r="F49" s="40"/>
      <c r="G49" s="40"/>
      <c r="H49" s="40"/>
      <c r="I49" s="40"/>
      <c r="J49" s="40"/>
      <c r="K49" s="40"/>
      <c r="L49" s="40"/>
      <c r="M49" s="40"/>
      <c r="N49" s="40"/>
      <c r="O49" s="40"/>
      <c r="P49" s="40"/>
      <c r="Q49" s="40"/>
      <c r="R49" s="40"/>
    </row>
    <row r="50" spans="1:19" s="38" customFormat="1" ht="26.25" x14ac:dyDescent="0.25">
      <c r="A50" s="374" t="s">
        <v>180</v>
      </c>
      <c r="B50" s="113"/>
      <c r="C50" s="113"/>
      <c r="D50" s="113"/>
      <c r="E50" s="113"/>
      <c r="F50" s="113"/>
      <c r="G50" s="113"/>
      <c r="H50" s="113"/>
      <c r="I50" s="113"/>
      <c r="J50" s="113"/>
      <c r="K50" s="113"/>
      <c r="L50" s="113"/>
      <c r="M50" s="113"/>
      <c r="N50" s="113"/>
      <c r="O50" s="113"/>
      <c r="P50" s="113"/>
      <c r="Q50" s="113"/>
      <c r="R50" s="113"/>
    </row>
    <row r="51" spans="1:19" x14ac:dyDescent="0.25">
      <c r="A51" s="307"/>
      <c r="B51" s="307"/>
      <c r="C51" s="307"/>
      <c r="D51" s="307"/>
      <c r="E51" s="307"/>
      <c r="F51" s="307"/>
      <c r="G51" s="307"/>
      <c r="H51" s="307"/>
      <c r="I51" s="307"/>
      <c r="J51" s="307"/>
      <c r="K51" s="307"/>
      <c r="L51" s="307"/>
      <c r="M51" s="307"/>
      <c r="N51" s="307"/>
      <c r="O51" s="307"/>
      <c r="P51" s="307"/>
      <c r="Q51" s="307"/>
      <c r="R51" s="307"/>
    </row>
    <row r="52" spans="1:19" x14ac:dyDescent="0.25">
      <c r="A52" s="334"/>
      <c r="B52" s="112" t="s">
        <v>171</v>
      </c>
      <c r="C52" s="334" t="s">
        <v>16</v>
      </c>
      <c r="D52" s="334" t="s">
        <v>17</v>
      </c>
      <c r="E52" s="334" t="s">
        <v>237</v>
      </c>
      <c r="F52" s="334" t="s">
        <v>18</v>
      </c>
      <c r="G52" s="334" t="s">
        <v>499</v>
      </c>
      <c r="H52" s="334" t="s">
        <v>19</v>
      </c>
      <c r="I52" s="334" t="s">
        <v>20</v>
      </c>
      <c r="J52" s="334" t="s">
        <v>21</v>
      </c>
      <c r="K52" s="334" t="s">
        <v>268</v>
      </c>
      <c r="L52" s="334" t="s">
        <v>22</v>
      </c>
      <c r="M52" s="334" t="s">
        <v>269</v>
      </c>
      <c r="N52" s="334" t="s">
        <v>23</v>
      </c>
      <c r="O52" s="334" t="s">
        <v>24</v>
      </c>
      <c r="P52" s="334" t="s">
        <v>25</v>
      </c>
      <c r="Q52" s="334" t="s">
        <v>26</v>
      </c>
      <c r="R52" s="334" t="s">
        <v>270</v>
      </c>
      <c r="S52" s="44"/>
    </row>
    <row r="53" spans="1:19" x14ac:dyDescent="0.25">
      <c r="A53" s="375" t="s">
        <v>209</v>
      </c>
      <c r="B53" s="377">
        <f>C5</f>
        <v>15</v>
      </c>
      <c r="C53" s="378">
        <v>1</v>
      </c>
      <c r="D53" s="376">
        <v>2</v>
      </c>
      <c r="E53" s="376">
        <v>3</v>
      </c>
      <c r="F53" s="376">
        <v>4</v>
      </c>
      <c r="G53" s="376">
        <v>5</v>
      </c>
      <c r="H53" s="376">
        <v>6</v>
      </c>
      <c r="I53" s="376">
        <v>7</v>
      </c>
      <c r="J53" s="376">
        <v>8</v>
      </c>
      <c r="K53" s="376">
        <v>9</v>
      </c>
      <c r="L53" s="376">
        <v>10</v>
      </c>
      <c r="M53" s="376">
        <v>11</v>
      </c>
      <c r="N53" s="376">
        <v>12</v>
      </c>
      <c r="O53" s="376">
        <v>13</v>
      </c>
      <c r="P53" s="376">
        <v>14</v>
      </c>
      <c r="Q53" s="376">
        <v>15</v>
      </c>
      <c r="R53" s="376">
        <v>16</v>
      </c>
      <c r="S53" s="87"/>
    </row>
    <row r="54" spans="1:19" x14ac:dyDescent="0.25">
      <c r="A54" s="364"/>
      <c r="B54" s="325" t="str">
        <f>""</f>
        <v/>
      </c>
      <c r="C54" s="325" t="str">
        <f t="dataTable" ref="C54:R69" dt2D="0" dtr="1" r1="C5" ca="1"/>
        <v/>
      </c>
      <c r="D54" s="325" t="str">
        <v/>
      </c>
      <c r="E54" s="325" t="str">
        <v/>
      </c>
      <c r="F54" s="325" t="str">
        <v/>
      </c>
      <c r="G54" s="325" t="str">
        <v/>
      </c>
      <c r="H54" s="325" t="str">
        <v/>
      </c>
      <c r="I54" s="325" t="str">
        <v/>
      </c>
      <c r="J54" s="325" t="str">
        <v/>
      </c>
      <c r="K54" s="325" t="str">
        <v/>
      </c>
      <c r="L54" s="325" t="str">
        <v/>
      </c>
      <c r="M54" s="325" t="str">
        <v/>
      </c>
      <c r="N54" s="325" t="str">
        <v/>
      </c>
      <c r="O54" s="325" t="str">
        <v/>
      </c>
      <c r="P54" s="325" t="str">
        <v/>
      </c>
      <c r="Q54" s="325" t="str">
        <v/>
      </c>
      <c r="R54" s="325" t="str">
        <v/>
      </c>
      <c r="S54" s="88"/>
    </row>
    <row r="55" spans="1:19" x14ac:dyDescent="0.25">
      <c r="A55" s="306" t="s">
        <v>187</v>
      </c>
      <c r="B55" s="343" t="str">
        <f>""</f>
        <v/>
      </c>
      <c r="C55" s="325" t="str">
        <v/>
      </c>
      <c r="D55" s="325" t="str">
        <v/>
      </c>
      <c r="E55" s="325" t="str">
        <v/>
      </c>
      <c r="F55" s="325" t="str">
        <v/>
      </c>
      <c r="G55" s="325" t="str">
        <v/>
      </c>
      <c r="H55" s="325" t="str">
        <v/>
      </c>
      <c r="I55" s="325" t="str">
        <v/>
      </c>
      <c r="J55" s="325" t="str">
        <v/>
      </c>
      <c r="K55" s="325" t="str">
        <v/>
      </c>
      <c r="L55" s="325" t="str">
        <v/>
      </c>
      <c r="M55" s="325" t="str">
        <v/>
      </c>
      <c r="N55" s="325" t="str">
        <v/>
      </c>
      <c r="O55" s="325" t="str">
        <v/>
      </c>
      <c r="P55" s="325" t="str">
        <v/>
      </c>
      <c r="Q55" s="325" t="str">
        <v/>
      </c>
      <c r="R55" s="325" t="str">
        <v/>
      </c>
      <c r="S55" s="88"/>
    </row>
    <row r="56" spans="1:19" x14ac:dyDescent="0.25">
      <c r="A56" s="364" t="s">
        <v>311</v>
      </c>
      <c r="B56" s="381">
        <f>'General analysis'!$E$38</f>
        <v>1.9426221444988363E-2</v>
      </c>
      <c r="C56" s="380">
        <v>-0.10947989819850916</v>
      </c>
      <c r="D56" s="354">
        <v>0.28229192911732592</v>
      </c>
      <c r="E56" s="354">
        <v>-0.14123378175172419</v>
      </c>
      <c r="F56" s="354">
        <v>-0.11255710639344564</v>
      </c>
      <c r="G56" s="354">
        <v>0.13407260983310648</v>
      </c>
      <c r="H56" s="354">
        <v>-0.14035044620342749</v>
      </c>
      <c r="I56" s="354">
        <v>-0.53128066953709696</v>
      </c>
      <c r="J56" s="354">
        <v>-0.21612153037778029</v>
      </c>
      <c r="K56" s="354">
        <v>-0.26306159852151551</v>
      </c>
      <c r="L56" s="354">
        <v>-0.11181404286820491</v>
      </c>
      <c r="M56" s="354">
        <v>4.9099129405879363E-2</v>
      </c>
      <c r="N56" s="354">
        <v>0.14459692131745405</v>
      </c>
      <c r="O56" s="354">
        <v>1.0330463003300026</v>
      </c>
      <c r="P56" s="354">
        <v>-0.22560425719739333</v>
      </c>
      <c r="Q56" s="354">
        <v>1.9426221444988363E-2</v>
      </c>
      <c r="R56" s="354">
        <v>-0.1442615564797145</v>
      </c>
      <c r="S56" s="89"/>
    </row>
    <row r="57" spans="1:19" x14ac:dyDescent="0.25">
      <c r="A57" s="364" t="s">
        <v>312</v>
      </c>
      <c r="B57" s="381">
        <f>'General analysis'!$F$38</f>
        <v>-0.17985212387079635</v>
      </c>
      <c r="C57" s="380">
        <v>9.2771409326220189E-2</v>
      </c>
      <c r="D57" s="354">
        <v>0.21738788973533338</v>
      </c>
      <c r="E57" s="354">
        <v>-0.35345403847456947</v>
      </c>
      <c r="F57" s="354">
        <v>0.21052777671580797</v>
      </c>
      <c r="G57" s="354">
        <v>-4.9947119105849577E-2</v>
      </c>
      <c r="H57" s="354">
        <v>-1.8847154829339196E-2</v>
      </c>
      <c r="I57" s="354">
        <v>-7.856523104817003E-3</v>
      </c>
      <c r="J57" s="354">
        <v>-0.14316896598928869</v>
      </c>
      <c r="K57" s="354">
        <v>0.52255248236593321</v>
      </c>
      <c r="L57" s="354">
        <v>0.24951018883942808</v>
      </c>
      <c r="M57" s="354">
        <v>-5.8643244552372534E-2</v>
      </c>
      <c r="N57" s="354">
        <v>0.16498569166328175</v>
      </c>
      <c r="O57" s="354">
        <v>-0.38981858789603802</v>
      </c>
      <c r="P57" s="354">
        <v>-1.7666441195848651E-2</v>
      </c>
      <c r="Q57" s="354">
        <v>-0.17985212387079635</v>
      </c>
      <c r="R57" s="354">
        <v>0.17097730287860102</v>
      </c>
      <c r="S57" s="89"/>
    </row>
    <row r="58" spans="1:19" x14ac:dyDescent="0.25">
      <c r="A58" s="364" t="s">
        <v>313</v>
      </c>
      <c r="B58" s="381">
        <f>'General analysis'!$G$38</f>
        <v>-0.20680594679158301</v>
      </c>
      <c r="C58" s="380">
        <v>0.26581043196616067</v>
      </c>
      <c r="D58" s="354">
        <v>0.17557193540494251</v>
      </c>
      <c r="E58" s="354">
        <v>-0.32296467222665964</v>
      </c>
      <c r="F58" s="354">
        <v>-0.18780102628563855</v>
      </c>
      <c r="G58" s="354">
        <v>0.79000505888812445</v>
      </c>
      <c r="H58" s="354">
        <v>1.8226912776612408E-2</v>
      </c>
      <c r="I58" s="354">
        <v>-1.1612725538575295E-2</v>
      </c>
      <c r="J58" s="354">
        <v>0.53311675975468609</v>
      </c>
      <c r="K58" s="354">
        <v>0.18517818425052462</v>
      </c>
      <c r="L58" s="354">
        <v>-6.016613966819076E-2</v>
      </c>
      <c r="M58" s="354">
        <v>0.18256410658873501</v>
      </c>
      <c r="N58" s="354">
        <v>-0.56316527317688958</v>
      </c>
      <c r="O58" s="354">
        <v>-0.40651602715539614</v>
      </c>
      <c r="P58" s="354">
        <v>8.1027884437958303E-2</v>
      </c>
      <c r="Q58" s="354">
        <v>-0.20680594679158301</v>
      </c>
      <c r="R58" s="354">
        <v>-2.725523997541136E-2</v>
      </c>
      <c r="S58" s="89"/>
    </row>
    <row r="59" spans="1:19" x14ac:dyDescent="0.25">
      <c r="A59" s="364" t="s">
        <v>314</v>
      </c>
      <c r="B59" s="381">
        <f>'General analysis'!$H$38</f>
        <v>0.47158587489127468</v>
      </c>
      <c r="C59" s="380">
        <v>0.40184777454577814</v>
      </c>
      <c r="D59" s="354">
        <v>5.4098564630126106E-2</v>
      </c>
      <c r="E59" s="354">
        <v>-8.8591149113976531E-2</v>
      </c>
      <c r="F59" s="354">
        <v>-4.5907758795250983E-2</v>
      </c>
      <c r="G59" s="354">
        <v>0.61851348150977858</v>
      </c>
      <c r="H59" s="354">
        <v>-9.0591543436768767E-3</v>
      </c>
      <c r="I59" s="354">
        <v>0.1930105184552833</v>
      </c>
      <c r="J59" s="354">
        <v>0.76460347647457061</v>
      </c>
      <c r="K59" s="354">
        <v>0.51634004701284542</v>
      </c>
      <c r="L59" s="354">
        <v>-9.431239824568112E-2</v>
      </c>
      <c r="M59" s="354">
        <v>4.0901236153874842E-3</v>
      </c>
      <c r="N59" s="354">
        <v>0.17071180842949454</v>
      </c>
      <c r="O59" s="354">
        <v>0.22459767785592408</v>
      </c>
      <c r="P59" s="354">
        <v>0.61134883725974787</v>
      </c>
      <c r="Q59" s="354">
        <v>0.47158587489127468</v>
      </c>
      <c r="R59" s="354">
        <v>0.16671948037611084</v>
      </c>
      <c r="S59" s="89"/>
    </row>
    <row r="60" spans="1:19" x14ac:dyDescent="0.25">
      <c r="A60" s="364" t="s">
        <v>315</v>
      </c>
      <c r="B60" s="381">
        <f>'General analysis'!$I$38</f>
        <v>0.93835439804632337</v>
      </c>
      <c r="C60" s="380">
        <v>1.2108035277983422</v>
      </c>
      <c r="D60" s="354">
        <v>0.20060778581320204</v>
      </c>
      <c r="E60" s="354">
        <v>-6.1017052818825086E-2</v>
      </c>
      <c r="F60" s="354">
        <v>0.44251024303912079</v>
      </c>
      <c r="G60" s="354">
        <v>1.093041827291539</v>
      </c>
      <c r="H60" s="354">
        <v>0.25474769988356766</v>
      </c>
      <c r="I60" s="354">
        <v>0.92533618179776334</v>
      </c>
      <c r="J60" s="354">
        <v>1.2394973063064794</v>
      </c>
      <c r="K60" s="354">
        <v>0.76818192154520681</v>
      </c>
      <c r="L60" s="354">
        <v>9.2544609978355244E-2</v>
      </c>
      <c r="M60" s="354">
        <v>0.14638243427297867</v>
      </c>
      <c r="N60" s="354">
        <v>1.2335377468759252</v>
      </c>
      <c r="O60" s="354">
        <v>0.36161013507263007</v>
      </c>
      <c r="P60" s="354">
        <v>0.93493288354693427</v>
      </c>
      <c r="Q60" s="354">
        <v>0.93835439804632337</v>
      </c>
      <c r="R60" s="354">
        <v>0.30971188522499588</v>
      </c>
      <c r="S60" s="89"/>
    </row>
    <row r="61" spans="1:19" x14ac:dyDescent="0.25">
      <c r="A61" s="364" t="s">
        <v>188</v>
      </c>
      <c r="B61" s="379">
        <f>'General analysis'!$C$38</f>
        <v>0.19797588720615675</v>
      </c>
      <c r="C61" s="380">
        <v>0.3451627175091046</v>
      </c>
      <c r="D61" s="354">
        <v>0.17733475769183091</v>
      </c>
      <c r="E61" s="354">
        <v>-0.20100107749149004</v>
      </c>
      <c r="F61" s="354">
        <v>5.7979261998860665E-2</v>
      </c>
      <c r="G61" s="354">
        <v>0.51160655127508337</v>
      </c>
      <c r="H61" s="354">
        <v>2.3820719741607075E-2</v>
      </c>
      <c r="I61" s="354">
        <v>0.1164661400422233</v>
      </c>
      <c r="J61" s="354">
        <v>0.37982198946941342</v>
      </c>
      <c r="K61" s="354">
        <v>0.35152698839087554</v>
      </c>
      <c r="L61" s="354">
        <v>-1.9914558991755197E-3</v>
      </c>
      <c r="M61" s="354">
        <v>6.6355209401505341E-2</v>
      </c>
      <c r="N61" s="354">
        <v>0.21875273170546458</v>
      </c>
      <c r="O61" s="354">
        <v>0.15322502773459476</v>
      </c>
      <c r="P61" s="354">
        <v>0.27045338874792918</v>
      </c>
      <c r="Q61" s="354">
        <v>0.19797588720615675</v>
      </c>
      <c r="R61" s="354">
        <v>8.9850397292259701E-2</v>
      </c>
      <c r="S61" s="89"/>
    </row>
    <row r="62" spans="1:19" x14ac:dyDescent="0.25">
      <c r="A62" s="364"/>
      <c r="B62" s="354" t="str">
        <f>""</f>
        <v/>
      </c>
      <c r="C62" s="354" t="str">
        <v/>
      </c>
      <c r="D62" s="354" t="str">
        <v/>
      </c>
      <c r="E62" s="354" t="str">
        <v/>
      </c>
      <c r="F62" s="354" t="str">
        <v/>
      </c>
      <c r="G62" s="354" t="str">
        <v/>
      </c>
      <c r="H62" s="354" t="str">
        <v/>
      </c>
      <c r="I62" s="354" t="str">
        <v/>
      </c>
      <c r="J62" s="354" t="str">
        <v/>
      </c>
      <c r="K62" s="354" t="str">
        <v/>
      </c>
      <c r="L62" s="354" t="str">
        <v/>
      </c>
      <c r="M62" s="354" t="str">
        <v/>
      </c>
      <c r="N62" s="354" t="str">
        <v/>
      </c>
      <c r="O62" s="354" t="str">
        <v/>
      </c>
      <c r="P62" s="354" t="str">
        <v/>
      </c>
      <c r="Q62" s="354" t="str">
        <v/>
      </c>
      <c r="R62" s="354" t="str">
        <v/>
      </c>
      <c r="S62" s="89"/>
    </row>
    <row r="63" spans="1:19" x14ac:dyDescent="0.25">
      <c r="A63" s="306" t="s">
        <v>56</v>
      </c>
      <c r="B63" s="382" t="str">
        <f>""</f>
        <v/>
      </c>
      <c r="C63" s="354" t="str">
        <v/>
      </c>
      <c r="D63" s="354" t="str">
        <v/>
      </c>
      <c r="E63" s="354" t="str">
        <v/>
      </c>
      <c r="F63" s="354" t="str">
        <v/>
      </c>
      <c r="G63" s="354" t="str">
        <v/>
      </c>
      <c r="H63" s="354" t="str">
        <v/>
      </c>
      <c r="I63" s="354" t="str">
        <v/>
      </c>
      <c r="J63" s="354" t="str">
        <v/>
      </c>
      <c r="K63" s="354" t="str">
        <v/>
      </c>
      <c r="L63" s="354" t="str">
        <v/>
      </c>
      <c r="M63" s="354" t="str">
        <v/>
      </c>
      <c r="N63" s="354" t="str">
        <v/>
      </c>
      <c r="O63" s="354" t="str">
        <v/>
      </c>
      <c r="P63" s="354" t="str">
        <v/>
      </c>
      <c r="Q63" s="354" t="str">
        <v/>
      </c>
      <c r="R63" s="354" t="str">
        <v/>
      </c>
      <c r="S63" s="89"/>
    </row>
    <row r="64" spans="1:19" x14ac:dyDescent="0.25">
      <c r="A64" s="364" t="s">
        <v>311</v>
      </c>
      <c r="B64" s="381">
        <f>'General analysis'!$E$41</f>
        <v>-1.5449155559683587E-2</v>
      </c>
      <c r="C64" s="380">
        <v>2.7616896606729537E-2</v>
      </c>
      <c r="D64" s="354">
        <v>6.5548083828425299E-3</v>
      </c>
      <c r="E64" s="354">
        <v>2.3448602558029372E-2</v>
      </c>
      <c r="F64" s="354">
        <v>-8.5463894596343778E-2</v>
      </c>
      <c r="G64" s="354">
        <v>-8.8294887005649324E-3</v>
      </c>
      <c r="H64" s="354">
        <v>4.3520302826332909E-2</v>
      </c>
      <c r="I64" s="354">
        <v>-0.10997782705099779</v>
      </c>
      <c r="J64" s="354">
        <v>2.6252127945524596E-2</v>
      </c>
      <c r="K64" s="354">
        <v>1.569443353851652E-2</v>
      </c>
      <c r="L64" s="354">
        <v>-2.8021940796845356E-2</v>
      </c>
      <c r="M64" s="354">
        <v>-8.743848886213125E-2</v>
      </c>
      <c r="N64" s="354">
        <v>-2.1153238526514104E-2</v>
      </c>
      <c r="O64" s="354">
        <v>0.11915399257167231</v>
      </c>
      <c r="P64" s="354">
        <v>-1.1137344685316353E-2</v>
      </c>
      <c r="Q64" s="354">
        <v>-1.5449155559683587E-2</v>
      </c>
      <c r="R64" s="354">
        <v>-1.8518743482303625E-2</v>
      </c>
      <c r="S64" s="89"/>
    </row>
    <row r="65" spans="1:19" x14ac:dyDescent="0.25">
      <c r="A65" s="364" t="s">
        <v>312</v>
      </c>
      <c r="B65" s="381">
        <f>'General analysis'!$F$41</f>
        <v>1.8302989686883354E-2</v>
      </c>
      <c r="C65" s="380">
        <v>0.11159982809542113</v>
      </c>
      <c r="D65" s="354">
        <v>-0.13393492342831467</v>
      </c>
      <c r="E65" s="354">
        <v>4.3115331597488128E-2</v>
      </c>
      <c r="F65" s="354">
        <v>-3.4103820677938629E-2</v>
      </c>
      <c r="G65" s="354">
        <v>0.11076777655476058</v>
      </c>
      <c r="H65" s="354">
        <v>3.74659297693671E-2</v>
      </c>
      <c r="I65" s="354">
        <v>-1.8494623655913978E-2</v>
      </c>
      <c r="J65" s="354">
        <v>3.9600221846103692E-2</v>
      </c>
      <c r="K65" s="354">
        <v>-3.2797884718749906E-2</v>
      </c>
      <c r="L65" s="354">
        <v>-7.0085952944502872E-2</v>
      </c>
      <c r="M65" s="354">
        <v>5.0895986388324467E-2</v>
      </c>
      <c r="N65" s="354">
        <v>5.9471458535310599E-2</v>
      </c>
      <c r="O65" s="354">
        <v>0.16246281193430931</v>
      </c>
      <c r="P65" s="354">
        <v>2.5011208523374625E-2</v>
      </c>
      <c r="Q65" s="354">
        <v>1.8302989686883354E-2</v>
      </c>
      <c r="R65" s="354">
        <v>5.3110870422822185E-3</v>
      </c>
      <c r="S65" s="89"/>
    </row>
    <row r="66" spans="1:19" x14ac:dyDescent="0.25">
      <c r="A66" s="364" t="s">
        <v>313</v>
      </c>
      <c r="B66" s="381">
        <f>'General analysis'!$G$41</f>
        <v>4.5107882242575711E-2</v>
      </c>
      <c r="C66" s="380">
        <v>0.20673949301844377</v>
      </c>
      <c r="D66" s="354">
        <v>-7.342214373464373E-2</v>
      </c>
      <c r="E66" s="354">
        <v>0.14708939708939708</v>
      </c>
      <c r="F66" s="354">
        <v>2.5756119297527569E-2</v>
      </c>
      <c r="G66" s="354">
        <v>0.15157539876752699</v>
      </c>
      <c r="H66" s="354">
        <v>6.9583326025037917E-2</v>
      </c>
      <c r="I66" s="354">
        <v>-1.9599666388657216E-2</v>
      </c>
      <c r="J66" s="354">
        <v>9.4241411946290404E-2</v>
      </c>
      <c r="K66" s="354">
        <v>4.0250426038346138E-2</v>
      </c>
      <c r="L66" s="354">
        <v>3.4164574593329861E-2</v>
      </c>
      <c r="M66" s="354">
        <v>0.13443488841560347</v>
      </c>
      <c r="N66" s="354">
        <v>1.4208849134419521E-2</v>
      </c>
      <c r="O66" s="354">
        <v>0.36997721826270541</v>
      </c>
      <c r="P66" s="354">
        <v>0.13101031818543082</v>
      </c>
      <c r="Q66" s="354">
        <v>4.5107882242575711E-2</v>
      </c>
      <c r="R66" s="354">
        <v>3.1588875951979532E-4</v>
      </c>
      <c r="S66" s="89"/>
    </row>
    <row r="67" spans="1:19" x14ac:dyDescent="0.25">
      <c r="A67" s="364" t="s">
        <v>314</v>
      </c>
      <c r="B67" s="381">
        <f>'General analysis'!$H$41</f>
        <v>0.15292364049588164</v>
      </c>
      <c r="C67" s="380">
        <v>0.3699215506426678</v>
      </c>
      <c r="D67" s="354">
        <v>4.5933355076119418E-2</v>
      </c>
      <c r="E67" s="354">
        <v>0.2197612541349058</v>
      </c>
      <c r="F67" s="354">
        <v>0.10545367371984181</v>
      </c>
      <c r="G67" s="354">
        <v>0.28698147665014351</v>
      </c>
      <c r="H67" s="354">
        <v>0.12430073102112364</v>
      </c>
      <c r="I67" s="354">
        <v>-9.4223357925596399E-2</v>
      </c>
      <c r="J67" s="354">
        <v>0.2132100205451333</v>
      </c>
      <c r="K67" s="354">
        <v>9.6246502762542693E-2</v>
      </c>
      <c r="L67" s="354">
        <v>-1.8716551431815939E-2</v>
      </c>
      <c r="M67" s="354">
        <v>-6.5240730035510779E-4</v>
      </c>
      <c r="N67" s="354">
        <v>7.9497141292204462E-2</v>
      </c>
      <c r="O67" s="354">
        <v>0.30820076181940398</v>
      </c>
      <c r="P67" s="354">
        <v>0.11262113486511834</v>
      </c>
      <c r="Q67" s="354">
        <v>0.15292364049588164</v>
      </c>
      <c r="R67" s="354">
        <v>2.6088978639499629E-2</v>
      </c>
      <c r="S67" s="89"/>
    </row>
    <row r="68" spans="1:19" x14ac:dyDescent="0.25">
      <c r="A68" s="364" t="s">
        <v>315</v>
      </c>
      <c r="B68" s="381">
        <f>'General analysis'!$I$41</f>
        <v>0.22366728422090085</v>
      </c>
      <c r="C68" s="380">
        <v>0.84097635140373972</v>
      </c>
      <c r="D68" s="354">
        <v>0.16403827688602668</v>
      </c>
      <c r="E68" s="354">
        <v>0.47737022820852826</v>
      </c>
      <c r="F68" s="354">
        <v>0.19810128037347705</v>
      </c>
      <c r="G68" s="354">
        <v>0.51371933492298671</v>
      </c>
      <c r="H68" s="354">
        <v>0.45917588346371718</v>
      </c>
      <c r="I68" s="354">
        <v>-4.2164120249508739E-2</v>
      </c>
      <c r="J68" s="354">
        <v>0.22661503043303322</v>
      </c>
      <c r="K68" s="354">
        <v>0.17441858573303268</v>
      </c>
      <c r="L68" s="354">
        <v>6.4929201602625025E-2</v>
      </c>
      <c r="M68" s="354">
        <v>1.6289399639594068E-2</v>
      </c>
      <c r="N68" s="354">
        <v>0.13047413303815122</v>
      </c>
      <c r="O68" s="354">
        <v>0.51798757222282787</v>
      </c>
      <c r="P68" s="354">
        <v>0.12439568762897035</v>
      </c>
      <c r="Q68" s="354">
        <v>0.22366728422090085</v>
      </c>
      <c r="R68" s="354">
        <v>0.15565665617316701</v>
      </c>
      <c r="S68" s="89"/>
    </row>
    <row r="69" spans="1:19" x14ac:dyDescent="0.25">
      <c r="A69" s="364" t="s">
        <v>188</v>
      </c>
      <c r="B69" s="379">
        <f>'General analysis'!$C$41</f>
        <v>8.9458623122092448E-2</v>
      </c>
      <c r="C69" s="380">
        <v>0.3223331006207481</v>
      </c>
      <c r="D69" s="354">
        <v>-1.5129647719365332E-3</v>
      </c>
      <c r="E69" s="354">
        <v>0.188904118528186</v>
      </c>
      <c r="F69" s="354">
        <v>4.5438327824206641E-2</v>
      </c>
      <c r="G69" s="354">
        <v>0.21721632336179905</v>
      </c>
      <c r="H69" s="354">
        <v>0.15180766616723884</v>
      </c>
      <c r="I69" s="354">
        <v>-5.6545686077442411E-2</v>
      </c>
      <c r="J69" s="354">
        <v>0.1235080805985308</v>
      </c>
      <c r="K69" s="354">
        <v>6.1847933415936945E-2</v>
      </c>
      <c r="L69" s="354">
        <v>-2.2697371798985977E-3</v>
      </c>
      <c r="M69" s="354">
        <v>2.109162261354413E-2</v>
      </c>
      <c r="N69" s="354">
        <v>5.4116268748965336E-2</v>
      </c>
      <c r="O69" s="354">
        <v>0.30100463933671573</v>
      </c>
      <c r="P69" s="354">
        <v>7.8539647356463488E-2</v>
      </c>
      <c r="Q69" s="354">
        <v>8.9458623122092448E-2</v>
      </c>
      <c r="R69" s="354">
        <v>3.60141526566468E-2</v>
      </c>
      <c r="S69" s="89"/>
    </row>
    <row r="70" spans="1:19" x14ac:dyDescent="0.25">
      <c r="A70" s="235"/>
      <c r="B70" s="235" t="str">
        <f>""</f>
        <v/>
      </c>
      <c r="C70" s="235"/>
      <c r="D70" s="235"/>
      <c r="E70" s="235"/>
      <c r="F70" s="235"/>
      <c r="G70" s="235"/>
      <c r="H70" s="235"/>
      <c r="I70" s="235"/>
      <c r="J70" s="235"/>
      <c r="K70" s="235"/>
      <c r="L70" s="235"/>
      <c r="M70" s="235"/>
      <c r="N70" s="235"/>
      <c r="O70" s="235"/>
      <c r="P70" s="235"/>
      <c r="Q70" s="235"/>
      <c r="R70" s="235"/>
    </row>
    <row r="120" spans="2:18" ht="15" customHeight="1" x14ac:dyDescent="0.25">
      <c r="B120" s="383"/>
      <c r="C120" s="383"/>
      <c r="D120" s="383"/>
      <c r="E120" s="383"/>
      <c r="F120" s="383"/>
      <c r="G120" s="383"/>
      <c r="H120" s="383"/>
      <c r="I120" s="383"/>
      <c r="J120" s="383"/>
      <c r="K120" s="383"/>
      <c r="L120" s="383"/>
      <c r="M120" s="383"/>
      <c r="N120" s="383"/>
      <c r="O120" s="383"/>
      <c r="P120" s="383"/>
      <c r="Q120" s="383"/>
      <c r="R120" s="383"/>
    </row>
    <row r="121" spans="2:18" ht="15" customHeight="1" x14ac:dyDescent="0.25">
      <c r="B121" s="383"/>
      <c r="C121" s="383"/>
      <c r="D121" s="383"/>
      <c r="E121" s="383"/>
      <c r="F121" s="383"/>
      <c r="G121" s="383"/>
      <c r="H121" s="383"/>
      <c r="I121" s="383"/>
      <c r="J121" s="383"/>
      <c r="K121" s="383"/>
      <c r="L121" s="383"/>
      <c r="M121" s="383"/>
      <c r="N121" s="383"/>
      <c r="O121" s="383"/>
      <c r="P121" s="383"/>
      <c r="Q121" s="383"/>
      <c r="R121" s="383"/>
    </row>
    <row r="122" spans="2:18" ht="15" customHeight="1" x14ac:dyDescent="0.25">
      <c r="B122" s="383"/>
      <c r="C122" s="383"/>
      <c r="D122" s="383"/>
      <c r="E122" s="383"/>
      <c r="F122" s="383"/>
      <c r="G122" s="383"/>
      <c r="H122" s="383"/>
      <c r="I122" s="383"/>
      <c r="J122" s="383"/>
      <c r="K122" s="383"/>
      <c r="L122" s="383"/>
      <c r="M122" s="383"/>
      <c r="N122" s="383"/>
      <c r="O122" s="383"/>
      <c r="P122" s="383"/>
      <c r="Q122" s="383"/>
      <c r="R122" s="383"/>
    </row>
    <row r="123" spans="2:18" ht="15" customHeight="1" x14ac:dyDescent="0.25">
      <c r="B123" s="383"/>
      <c r="C123" s="383"/>
      <c r="D123" s="383"/>
      <c r="E123" s="383"/>
      <c r="F123" s="383"/>
      <c r="G123" s="383"/>
      <c r="H123" s="383"/>
      <c r="I123" s="383"/>
      <c r="J123" s="383"/>
      <c r="K123" s="383"/>
      <c r="L123" s="383"/>
      <c r="M123" s="383"/>
      <c r="N123" s="383"/>
      <c r="O123" s="383"/>
      <c r="P123" s="383"/>
      <c r="Q123" s="383"/>
      <c r="R123" s="383"/>
    </row>
    <row r="124" spans="2:18" ht="15" customHeight="1" x14ac:dyDescent="0.25">
      <c r="B124" s="383"/>
      <c r="C124" s="383"/>
      <c r="D124" s="383"/>
      <c r="E124" s="383"/>
      <c r="F124" s="383"/>
      <c r="G124" s="383"/>
      <c r="H124" s="383"/>
      <c r="I124" s="383"/>
      <c r="J124" s="383"/>
      <c r="K124" s="383"/>
      <c r="L124" s="383"/>
      <c r="M124" s="383"/>
      <c r="N124" s="383"/>
      <c r="O124" s="383"/>
      <c r="P124" s="383"/>
      <c r="Q124" s="383"/>
      <c r="R124" s="383"/>
    </row>
    <row r="125" spans="2:18" ht="15" customHeight="1" x14ac:dyDescent="0.25">
      <c r="B125" s="383"/>
      <c r="C125" s="383"/>
      <c r="D125" s="383"/>
      <c r="E125" s="383"/>
      <c r="F125" s="383"/>
      <c r="G125" s="383"/>
      <c r="H125" s="383"/>
      <c r="I125" s="383"/>
      <c r="J125" s="383"/>
      <c r="K125" s="383"/>
      <c r="L125" s="383"/>
      <c r="M125" s="383"/>
      <c r="N125" s="383"/>
      <c r="O125" s="383"/>
      <c r="P125" s="383"/>
      <c r="Q125" s="383"/>
      <c r="R125" s="383"/>
    </row>
    <row r="126" spans="2:18" ht="15" customHeight="1" x14ac:dyDescent="0.25">
      <c r="B126" s="383"/>
      <c r="C126" s="383"/>
      <c r="D126" s="383"/>
      <c r="E126" s="383"/>
      <c r="F126" s="383"/>
      <c r="G126" s="383"/>
      <c r="H126" s="383"/>
      <c r="I126" s="383"/>
      <c r="J126" s="383"/>
      <c r="K126" s="383"/>
      <c r="L126" s="383"/>
      <c r="M126" s="383"/>
      <c r="N126" s="383"/>
      <c r="O126" s="383"/>
      <c r="P126" s="383"/>
      <c r="Q126" s="383"/>
      <c r="R126" s="383"/>
    </row>
    <row r="127" spans="2:18" ht="15" customHeight="1" x14ac:dyDescent="0.25">
      <c r="B127" s="383"/>
      <c r="C127" s="383"/>
      <c r="D127" s="383"/>
      <c r="E127" s="383"/>
      <c r="F127" s="383"/>
      <c r="G127" s="383"/>
      <c r="H127" s="383"/>
      <c r="I127" s="383"/>
      <c r="J127" s="383"/>
      <c r="K127" s="383"/>
      <c r="L127" s="383"/>
      <c r="M127" s="383"/>
      <c r="N127" s="383"/>
      <c r="O127" s="383"/>
      <c r="P127" s="383"/>
      <c r="Q127" s="383"/>
      <c r="R127" s="383"/>
    </row>
    <row r="128" spans="2:18" ht="15" customHeight="1" x14ac:dyDescent="0.25">
      <c r="B128" s="383"/>
      <c r="C128" s="383"/>
      <c r="D128" s="383"/>
      <c r="E128" s="383"/>
      <c r="F128" s="383"/>
      <c r="G128" s="383"/>
      <c r="H128" s="383"/>
      <c r="I128" s="383"/>
      <c r="J128" s="383"/>
      <c r="K128" s="383"/>
      <c r="L128" s="383"/>
      <c r="M128" s="383"/>
      <c r="N128" s="383"/>
      <c r="O128" s="383"/>
      <c r="P128" s="383"/>
      <c r="Q128" s="383"/>
      <c r="R128" s="383"/>
    </row>
    <row r="129" spans="2:18" ht="15" customHeight="1" x14ac:dyDescent="0.25">
      <c r="B129" s="383"/>
      <c r="C129" s="383"/>
      <c r="D129" s="383"/>
      <c r="E129" s="383"/>
      <c r="F129" s="383"/>
      <c r="G129" s="383"/>
      <c r="H129" s="383"/>
      <c r="I129" s="383"/>
      <c r="J129" s="383"/>
      <c r="K129" s="383"/>
      <c r="L129" s="383"/>
      <c r="M129" s="383"/>
      <c r="N129" s="383"/>
      <c r="O129" s="383"/>
      <c r="P129" s="383"/>
      <c r="Q129" s="383"/>
      <c r="R129" s="383"/>
    </row>
    <row r="130" spans="2:18" ht="15" customHeight="1" x14ac:dyDescent="0.25">
      <c r="B130" s="383"/>
      <c r="C130" s="383"/>
      <c r="D130" s="383"/>
      <c r="E130" s="383"/>
      <c r="F130" s="383"/>
      <c r="G130" s="383"/>
      <c r="H130" s="383"/>
      <c r="I130" s="383"/>
      <c r="J130" s="383"/>
      <c r="K130" s="383"/>
      <c r="L130" s="383"/>
      <c r="M130" s="383"/>
      <c r="N130" s="383"/>
      <c r="O130" s="383"/>
      <c r="P130" s="383"/>
      <c r="Q130" s="383"/>
      <c r="R130" s="383"/>
    </row>
    <row r="131" spans="2:18" ht="15" customHeight="1" x14ac:dyDescent="0.25">
      <c r="B131" s="383"/>
      <c r="C131" s="383"/>
      <c r="D131" s="383"/>
      <c r="E131" s="383"/>
      <c r="F131" s="383"/>
      <c r="G131" s="383"/>
      <c r="H131" s="383"/>
      <c r="I131" s="383"/>
      <c r="J131" s="383"/>
      <c r="K131" s="383"/>
      <c r="L131" s="383"/>
      <c r="M131" s="383"/>
      <c r="N131" s="383"/>
      <c r="O131" s="383"/>
      <c r="P131" s="383"/>
      <c r="Q131" s="383"/>
      <c r="R131" s="383"/>
    </row>
    <row r="132" spans="2:18" ht="15" customHeight="1" x14ac:dyDescent="0.25">
      <c r="B132" s="383"/>
      <c r="C132" s="383"/>
      <c r="D132" s="383"/>
      <c r="E132" s="383"/>
      <c r="F132" s="383"/>
      <c r="G132" s="383"/>
      <c r="H132" s="383"/>
      <c r="I132" s="383"/>
      <c r="J132" s="383"/>
      <c r="K132" s="383"/>
      <c r="L132" s="383"/>
      <c r="M132" s="383"/>
      <c r="N132" s="383"/>
      <c r="O132" s="383"/>
      <c r="P132" s="383"/>
      <c r="Q132" s="383"/>
      <c r="R132" s="383"/>
    </row>
    <row r="133" spans="2:18" ht="15" customHeight="1" x14ac:dyDescent="0.25">
      <c r="B133" s="383"/>
      <c r="C133" s="383"/>
      <c r="D133" s="383"/>
      <c r="E133" s="383"/>
      <c r="F133" s="383"/>
      <c r="G133" s="383"/>
      <c r="H133" s="383"/>
      <c r="I133" s="383"/>
      <c r="J133" s="383"/>
      <c r="K133" s="383"/>
      <c r="L133" s="383"/>
      <c r="M133" s="383"/>
      <c r="N133" s="383"/>
      <c r="O133" s="383"/>
      <c r="P133" s="383"/>
      <c r="Q133" s="383"/>
      <c r="R133" s="383"/>
    </row>
    <row r="134" spans="2:18" ht="15" customHeight="1" x14ac:dyDescent="0.25">
      <c r="B134" s="383"/>
      <c r="C134" s="383"/>
      <c r="D134" s="383"/>
      <c r="E134" s="383"/>
      <c r="F134" s="383"/>
      <c r="G134" s="383"/>
      <c r="H134" s="383"/>
      <c r="I134" s="383"/>
      <c r="J134" s="383"/>
      <c r="K134" s="383"/>
      <c r="L134" s="383"/>
      <c r="M134" s="383"/>
      <c r="N134" s="383"/>
      <c r="O134" s="383"/>
      <c r="P134" s="383"/>
      <c r="Q134" s="383"/>
      <c r="R134" s="383"/>
    </row>
    <row r="135" spans="2:18" ht="15" customHeight="1" x14ac:dyDescent="0.25">
      <c r="B135" s="383"/>
      <c r="C135" s="383"/>
      <c r="D135" s="383"/>
      <c r="E135" s="383"/>
      <c r="F135" s="383"/>
      <c r="G135" s="383"/>
      <c r="H135" s="383"/>
      <c r="I135" s="383"/>
      <c r="J135" s="383"/>
      <c r="K135" s="383"/>
      <c r="L135" s="383"/>
      <c r="M135" s="383"/>
      <c r="N135" s="383"/>
      <c r="O135" s="383"/>
      <c r="P135" s="383"/>
      <c r="Q135" s="383"/>
      <c r="R135" s="383"/>
    </row>
    <row r="136" spans="2:18" ht="15" customHeight="1" x14ac:dyDescent="0.25">
      <c r="B136" s="383"/>
      <c r="C136" s="383"/>
      <c r="D136" s="383"/>
      <c r="E136" s="383"/>
      <c r="F136" s="383"/>
      <c r="G136" s="383"/>
      <c r="H136" s="383"/>
      <c r="I136" s="383"/>
      <c r="J136" s="383"/>
      <c r="K136" s="383"/>
      <c r="L136" s="383"/>
      <c r="M136" s="383"/>
      <c r="N136" s="383"/>
      <c r="O136" s="383"/>
      <c r="P136" s="383"/>
      <c r="Q136" s="383"/>
      <c r="R136" s="383"/>
    </row>
    <row r="137" spans="2:18" ht="15" customHeight="1" x14ac:dyDescent="0.25">
      <c r="B137" s="383"/>
      <c r="C137" s="383"/>
      <c r="D137" s="383"/>
      <c r="E137" s="383"/>
      <c r="F137" s="383"/>
      <c r="G137" s="383"/>
      <c r="H137" s="383"/>
      <c r="I137" s="383"/>
      <c r="J137" s="383"/>
      <c r="K137" s="383"/>
      <c r="L137" s="383"/>
      <c r="M137" s="383"/>
      <c r="N137" s="383"/>
      <c r="O137" s="383"/>
      <c r="P137" s="383"/>
      <c r="Q137" s="383"/>
      <c r="R137" s="383"/>
    </row>
    <row r="138" spans="2:18" ht="15" customHeight="1" x14ac:dyDescent="0.25">
      <c r="B138" s="383"/>
      <c r="C138" s="383"/>
      <c r="D138" s="383"/>
      <c r="E138" s="383"/>
      <c r="F138" s="383"/>
      <c r="G138" s="383"/>
      <c r="H138" s="383"/>
      <c r="I138" s="383"/>
      <c r="J138" s="383"/>
      <c r="K138" s="383"/>
      <c r="L138" s="383"/>
      <c r="M138" s="383"/>
      <c r="N138" s="383"/>
      <c r="O138" s="383"/>
      <c r="P138" s="383"/>
      <c r="Q138" s="383"/>
      <c r="R138" s="383"/>
    </row>
    <row r="139" spans="2:18" ht="15" customHeight="1" x14ac:dyDescent="0.25">
      <c r="B139" s="383"/>
      <c r="C139" s="383"/>
      <c r="D139" s="383"/>
      <c r="E139" s="383"/>
      <c r="F139" s="383"/>
      <c r="G139" s="383"/>
      <c r="H139" s="383"/>
      <c r="I139" s="383"/>
      <c r="J139" s="383"/>
      <c r="K139" s="383"/>
      <c r="L139" s="383"/>
      <c r="M139" s="383"/>
      <c r="N139" s="383"/>
      <c r="O139" s="383"/>
      <c r="P139" s="383"/>
      <c r="Q139" s="383"/>
      <c r="R139" s="383"/>
    </row>
    <row r="140" spans="2:18" ht="15" customHeight="1" x14ac:dyDescent="0.25">
      <c r="B140" s="383"/>
      <c r="C140" s="383"/>
      <c r="D140" s="383"/>
      <c r="E140" s="383"/>
      <c r="F140" s="383"/>
      <c r="G140" s="383"/>
      <c r="H140" s="383"/>
      <c r="I140" s="383"/>
      <c r="J140" s="383"/>
      <c r="K140" s="383"/>
      <c r="L140" s="383"/>
      <c r="M140" s="383"/>
      <c r="N140" s="383"/>
      <c r="O140" s="383"/>
      <c r="P140" s="383"/>
      <c r="Q140" s="383"/>
      <c r="R140" s="383"/>
    </row>
    <row r="141" spans="2:18" ht="15" customHeight="1" x14ac:dyDescent="0.25">
      <c r="B141" s="383"/>
      <c r="C141" s="383"/>
      <c r="D141" s="383"/>
      <c r="E141" s="383"/>
      <c r="F141" s="383"/>
      <c r="G141" s="383"/>
      <c r="H141" s="383"/>
      <c r="I141" s="383"/>
      <c r="J141" s="383"/>
      <c r="K141" s="383"/>
      <c r="L141" s="383"/>
      <c r="M141" s="383"/>
      <c r="N141" s="383"/>
      <c r="O141" s="383"/>
      <c r="P141" s="383"/>
      <c r="Q141" s="383"/>
      <c r="R141" s="383"/>
    </row>
    <row r="142" spans="2:18" ht="15" customHeight="1" x14ac:dyDescent="0.25">
      <c r="B142" s="383"/>
      <c r="C142" s="383"/>
      <c r="D142" s="383"/>
      <c r="E142" s="383"/>
      <c r="F142" s="383"/>
      <c r="G142" s="383"/>
      <c r="H142" s="383"/>
      <c r="I142" s="383"/>
      <c r="J142" s="383"/>
      <c r="K142" s="383"/>
      <c r="L142" s="383"/>
      <c r="M142" s="383"/>
      <c r="N142" s="383"/>
      <c r="O142" s="383"/>
      <c r="P142" s="383"/>
      <c r="Q142" s="383"/>
      <c r="R142" s="383"/>
    </row>
    <row r="143" spans="2:18" ht="15" customHeight="1" x14ac:dyDescent="0.25">
      <c r="B143" s="383"/>
      <c r="C143" s="383"/>
      <c r="D143" s="383"/>
      <c r="E143" s="383"/>
      <c r="F143" s="383"/>
      <c r="G143" s="383"/>
      <c r="H143" s="383"/>
      <c r="I143" s="383"/>
      <c r="J143" s="383"/>
      <c r="K143" s="383"/>
      <c r="L143" s="383"/>
      <c r="M143" s="383"/>
      <c r="N143" s="383"/>
      <c r="O143" s="383"/>
      <c r="P143" s="383"/>
      <c r="Q143" s="383"/>
      <c r="R143" s="383"/>
    </row>
    <row r="144" spans="2:18" ht="15" customHeight="1" x14ac:dyDescent="0.25">
      <c r="B144" s="383"/>
      <c r="C144" s="383"/>
      <c r="D144" s="383"/>
      <c r="E144" s="383"/>
      <c r="F144" s="383"/>
      <c r="G144" s="383"/>
      <c r="H144" s="383"/>
      <c r="I144" s="383"/>
      <c r="J144" s="383"/>
      <c r="K144" s="383"/>
      <c r="L144" s="383"/>
      <c r="M144" s="383"/>
      <c r="N144" s="383"/>
      <c r="O144" s="383"/>
      <c r="P144" s="383"/>
      <c r="Q144" s="383"/>
      <c r="R144" s="383"/>
    </row>
    <row r="145" spans="2:18" ht="15" customHeight="1" x14ac:dyDescent="0.25">
      <c r="B145" s="383"/>
      <c r="C145" s="383"/>
      <c r="D145" s="383"/>
      <c r="E145" s="383"/>
      <c r="F145" s="383"/>
      <c r="G145" s="383"/>
      <c r="H145" s="383"/>
      <c r="I145" s="383"/>
      <c r="J145" s="383"/>
      <c r="K145" s="383"/>
      <c r="L145" s="383"/>
      <c r="M145" s="383"/>
      <c r="N145" s="383"/>
      <c r="O145" s="383"/>
      <c r="P145" s="383"/>
      <c r="Q145" s="383"/>
      <c r="R145" s="383"/>
    </row>
    <row r="146" spans="2:18" ht="15" customHeight="1" x14ac:dyDescent="0.25">
      <c r="B146" s="383"/>
      <c r="C146" s="383"/>
      <c r="D146" s="383"/>
      <c r="E146" s="383"/>
      <c r="F146" s="383"/>
      <c r="G146" s="383"/>
      <c r="H146" s="383"/>
      <c r="I146" s="383"/>
      <c r="J146" s="383"/>
      <c r="K146" s="383"/>
      <c r="L146" s="383"/>
      <c r="M146" s="383"/>
      <c r="N146" s="383"/>
      <c r="O146" s="383"/>
      <c r="P146" s="383"/>
      <c r="Q146" s="383"/>
      <c r="R146" s="383"/>
    </row>
    <row r="147" spans="2:18" ht="15" customHeight="1" x14ac:dyDescent="0.25">
      <c r="B147" s="383"/>
      <c r="C147" s="383"/>
      <c r="D147" s="383"/>
      <c r="E147" s="383"/>
      <c r="F147" s="383"/>
      <c r="G147" s="383"/>
      <c r="H147" s="383"/>
      <c r="I147" s="383"/>
      <c r="J147" s="383"/>
      <c r="K147" s="383"/>
      <c r="L147" s="383"/>
      <c r="M147" s="383"/>
      <c r="N147" s="383"/>
      <c r="O147" s="383"/>
      <c r="P147" s="383"/>
      <c r="Q147" s="383"/>
      <c r="R147" s="383"/>
    </row>
    <row r="148" spans="2:18" ht="15" customHeight="1" x14ac:dyDescent="0.25">
      <c r="B148" s="383"/>
      <c r="C148" s="383"/>
      <c r="D148" s="383"/>
      <c r="E148" s="383"/>
      <c r="F148" s="383"/>
      <c r="G148" s="383"/>
      <c r="H148" s="383"/>
      <c r="I148" s="383"/>
      <c r="J148" s="383"/>
      <c r="K148" s="383"/>
      <c r="L148" s="383"/>
      <c r="M148" s="383"/>
      <c r="N148" s="383"/>
      <c r="O148" s="383"/>
      <c r="P148" s="383"/>
      <c r="Q148" s="383"/>
      <c r="R148" s="383"/>
    </row>
    <row r="149" spans="2:18" ht="15" customHeight="1" x14ac:dyDescent="0.25">
      <c r="B149" s="383"/>
      <c r="C149" s="383"/>
      <c r="D149" s="383"/>
      <c r="E149" s="383"/>
      <c r="F149" s="383"/>
      <c r="G149" s="383"/>
      <c r="H149" s="383"/>
      <c r="I149" s="383"/>
      <c r="J149" s="383"/>
      <c r="K149" s="383"/>
      <c r="L149" s="383"/>
      <c r="M149" s="383"/>
      <c r="N149" s="383"/>
      <c r="O149" s="383"/>
      <c r="P149" s="383"/>
      <c r="Q149" s="383"/>
      <c r="R149" s="383"/>
    </row>
    <row r="150" spans="2:18" ht="15" customHeight="1" x14ac:dyDescent="0.25">
      <c r="B150" s="383"/>
      <c r="C150" s="383"/>
      <c r="D150" s="383"/>
      <c r="E150" s="383"/>
      <c r="F150" s="383"/>
      <c r="G150" s="383"/>
      <c r="H150" s="383"/>
      <c r="I150" s="383"/>
      <c r="J150" s="383"/>
      <c r="K150" s="383"/>
      <c r="L150" s="383"/>
      <c r="M150" s="383"/>
      <c r="N150" s="383"/>
      <c r="O150" s="383"/>
      <c r="P150" s="383"/>
      <c r="Q150" s="383"/>
      <c r="R150" s="383"/>
    </row>
    <row r="151" spans="2:18" ht="15" customHeight="1" x14ac:dyDescent="0.25">
      <c r="B151" s="383"/>
      <c r="C151" s="383"/>
      <c r="D151" s="383"/>
      <c r="E151" s="383"/>
      <c r="F151" s="383"/>
      <c r="G151" s="383"/>
      <c r="H151" s="383"/>
      <c r="I151" s="383"/>
      <c r="J151" s="383"/>
      <c r="K151" s="383"/>
      <c r="L151" s="383"/>
      <c r="M151" s="383"/>
      <c r="N151" s="383"/>
      <c r="O151" s="383"/>
      <c r="P151" s="383"/>
      <c r="Q151" s="383"/>
      <c r="R151" s="383"/>
    </row>
    <row r="152" spans="2:18" ht="15" customHeight="1" x14ac:dyDescent="0.25">
      <c r="B152" s="383"/>
      <c r="C152" s="383"/>
      <c r="D152" s="383"/>
      <c r="E152" s="383"/>
      <c r="F152" s="383"/>
      <c r="G152" s="383"/>
      <c r="H152" s="383"/>
      <c r="I152" s="383"/>
      <c r="J152" s="383"/>
      <c r="K152" s="383"/>
      <c r="L152" s="383"/>
      <c r="M152" s="383"/>
      <c r="N152" s="383"/>
      <c r="O152" s="383"/>
      <c r="P152" s="383"/>
      <c r="Q152" s="383"/>
      <c r="R152" s="383"/>
    </row>
    <row r="153" spans="2:18" ht="15" customHeight="1" x14ac:dyDescent="0.25">
      <c r="B153" s="383"/>
      <c r="C153" s="383"/>
      <c r="D153" s="383"/>
      <c r="E153" s="383"/>
      <c r="F153" s="383"/>
      <c r="G153" s="383"/>
      <c r="H153" s="383"/>
      <c r="I153" s="383"/>
      <c r="J153" s="383"/>
      <c r="K153" s="383"/>
      <c r="L153" s="383"/>
      <c r="M153" s="383"/>
      <c r="N153" s="383"/>
      <c r="O153" s="383"/>
      <c r="P153" s="383"/>
      <c r="Q153" s="383"/>
      <c r="R153" s="383"/>
    </row>
    <row r="154" spans="2:18" ht="15" customHeight="1" x14ac:dyDescent="0.25">
      <c r="B154" s="383"/>
      <c r="C154" s="383"/>
      <c r="D154" s="383"/>
      <c r="E154" s="383"/>
      <c r="F154" s="383"/>
      <c r="G154" s="383"/>
      <c r="H154" s="383"/>
      <c r="I154" s="383"/>
      <c r="J154" s="383"/>
      <c r="K154" s="383"/>
      <c r="L154" s="383"/>
      <c r="M154" s="383"/>
      <c r="N154" s="383"/>
      <c r="O154" s="383"/>
      <c r="P154" s="383"/>
      <c r="Q154" s="383"/>
      <c r="R154" s="383"/>
    </row>
    <row r="155" spans="2:18" ht="15" customHeight="1" x14ac:dyDescent="0.25">
      <c r="B155" s="383"/>
      <c r="C155" s="383"/>
      <c r="D155" s="383"/>
      <c r="E155" s="383"/>
      <c r="F155" s="383"/>
      <c r="G155" s="383"/>
      <c r="H155" s="383"/>
      <c r="I155" s="383"/>
      <c r="J155" s="383"/>
      <c r="K155" s="383"/>
      <c r="L155" s="383"/>
      <c r="M155" s="383"/>
      <c r="N155" s="383"/>
      <c r="O155" s="383"/>
      <c r="P155" s="383"/>
      <c r="Q155" s="383"/>
      <c r="R155" s="383"/>
    </row>
    <row r="156" spans="2:18" ht="15" customHeight="1" x14ac:dyDescent="0.25">
      <c r="B156" s="383"/>
      <c r="C156" s="383"/>
      <c r="D156" s="383"/>
      <c r="E156" s="383"/>
      <c r="F156" s="383"/>
      <c r="G156" s="383"/>
      <c r="H156" s="383"/>
      <c r="I156" s="383"/>
      <c r="J156" s="383"/>
      <c r="K156" s="383"/>
      <c r="L156" s="383"/>
      <c r="M156" s="383"/>
      <c r="N156" s="383"/>
      <c r="O156" s="383"/>
      <c r="P156" s="383"/>
      <c r="Q156" s="383"/>
      <c r="R156" s="383"/>
    </row>
    <row r="157" spans="2:18" ht="15" customHeight="1" x14ac:dyDescent="0.25">
      <c r="B157" s="383"/>
      <c r="C157" s="383"/>
      <c r="D157" s="383"/>
      <c r="E157" s="383"/>
      <c r="F157" s="383"/>
      <c r="G157" s="383"/>
      <c r="H157" s="383"/>
      <c r="I157" s="383"/>
      <c r="J157" s="383"/>
      <c r="K157" s="383"/>
      <c r="L157" s="383"/>
      <c r="M157" s="383"/>
      <c r="N157" s="383"/>
      <c r="O157" s="383"/>
      <c r="P157" s="383"/>
      <c r="Q157" s="383"/>
      <c r="R157" s="383"/>
    </row>
    <row r="158" spans="2:18" ht="15.6" customHeight="1" x14ac:dyDescent="0.25"/>
  </sheetData>
  <pageMargins left="0.70866141732283472" right="0.70866141732283472" top="0.74803149606299213" bottom="0.74803149606299213" header="0.31496062992125984" footer="0.31496062992125984"/>
  <pageSetup paperSize="9" scale="44"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AE2BE-1C67-4DF9-9FA4-DA689BFFD4A4}">
  <sheetPr codeName="Sheet20">
    <tabColor theme="0" tint="-0.34998626667073579"/>
    <pageSetUpPr fitToPage="1"/>
  </sheetPr>
  <dimension ref="A1:L185"/>
  <sheetViews>
    <sheetView showGridLines="0" view="pageBreakPreview" zoomScaleNormal="100" zoomScaleSheetLayoutView="100" workbookViewId="0"/>
  </sheetViews>
  <sheetFormatPr defaultColWidth="9.140625" defaultRowHeight="15" customHeight="1" x14ac:dyDescent="0.25"/>
  <cols>
    <col min="1" max="1" width="60.140625" customWidth="1"/>
    <col min="3" max="10" width="11" customWidth="1"/>
    <col min="11" max="11" width="2.85546875" customWidth="1"/>
  </cols>
  <sheetData>
    <row r="1" spans="1:12" ht="26.25" x14ac:dyDescent="0.25">
      <c r="A1" s="384" t="s">
        <v>575</v>
      </c>
      <c r="B1" s="385"/>
      <c r="C1" s="385"/>
      <c r="D1" s="44"/>
      <c r="E1" s="44"/>
      <c r="F1" s="44"/>
      <c r="G1" s="44"/>
      <c r="H1" s="44"/>
      <c r="I1" s="386"/>
      <c r="J1" s="385"/>
    </row>
    <row r="2" spans="1:12" ht="23.25" x14ac:dyDescent="0.25">
      <c r="A2" s="387"/>
      <c r="B2" s="386"/>
      <c r="C2" s="386"/>
      <c r="D2" s="386"/>
      <c r="E2" s="386"/>
      <c r="F2" s="386"/>
      <c r="G2" s="386"/>
      <c r="H2" s="386"/>
      <c r="I2" s="386"/>
      <c r="J2" s="385"/>
    </row>
    <row r="3" spans="1:12" ht="23.25" x14ac:dyDescent="0.35">
      <c r="A3" s="299" t="s">
        <v>255</v>
      </c>
      <c r="B3" s="299"/>
      <c r="C3" s="299"/>
      <c r="D3" s="299"/>
      <c r="E3" s="299"/>
      <c r="F3" s="299"/>
      <c r="G3" s="299"/>
      <c r="H3" s="299"/>
      <c r="I3" s="299"/>
      <c r="J3" s="299"/>
    </row>
    <row r="4" spans="1:12" ht="46.5" customHeight="1" x14ac:dyDescent="0.25">
      <c r="A4" s="108" t="str">
        <f>Inputs!A13</f>
        <v>Capex allowance</v>
      </c>
      <c r="B4" s="108"/>
      <c r="C4" s="108"/>
      <c r="D4" s="108"/>
      <c r="E4" s="108"/>
      <c r="F4" s="108"/>
      <c r="G4" s="108"/>
      <c r="H4" s="108"/>
      <c r="I4" s="108" t="s">
        <v>245</v>
      </c>
      <c r="J4" s="108" t="s">
        <v>246</v>
      </c>
      <c r="L4" s="237"/>
    </row>
    <row r="5" spans="1:12" s="1" customFormat="1" ht="23.25" customHeight="1" x14ac:dyDescent="0.25">
      <c r="A5" s="388"/>
      <c r="B5" s="388"/>
      <c r="C5" s="388"/>
      <c r="D5" s="388">
        <v>2021</v>
      </c>
      <c r="E5" s="388">
        <v>2022</v>
      </c>
      <c r="F5" s="388">
        <v>2023</v>
      </c>
      <c r="G5" s="388">
        <v>2024</v>
      </c>
      <c r="H5" s="146">
        <v>2025</v>
      </c>
      <c r="I5" s="146"/>
      <c r="J5" s="388"/>
    </row>
    <row r="6" spans="1:12" x14ac:dyDescent="0.25">
      <c r="A6" s="389" t="str">
        <f>Inputs!A15</f>
        <v>Alpine Energy</v>
      </c>
      <c r="B6" s="389">
        <f>Inputs!B15</f>
        <v>1</v>
      </c>
      <c r="C6" s="389"/>
      <c r="D6" s="390">
        <f>Inputs!D15</f>
        <v>16663.0849870743</v>
      </c>
      <c r="E6" s="390">
        <f>Inputs!E15</f>
        <v>16978.399454502294</v>
      </c>
      <c r="F6" s="390">
        <f>Inputs!F15</f>
        <v>15377.140956497071</v>
      </c>
      <c r="G6" s="390">
        <f>Inputs!G15</f>
        <v>14672.777154184731</v>
      </c>
      <c r="H6" s="202">
        <f>Inputs!H15</f>
        <v>14150.711147161515</v>
      </c>
      <c r="I6" s="393">
        <f>SUM($D6:$H6)/SUM($D$24:$H$24)</f>
        <v>2.0027505808200452E-2</v>
      </c>
      <c r="J6" s="392">
        <f>SUM($D6:$H6)/(SUM($D$24:$H$24)-SUM($D$7:$H$7))</f>
        <v>2.1940370252351071E-2</v>
      </c>
    </row>
    <row r="7" spans="1:12" x14ac:dyDescent="0.25">
      <c r="A7" s="389" t="str">
        <f>Inputs!A16</f>
        <v>Aurora Energy</v>
      </c>
      <c r="B7" s="389">
        <f>Inputs!B16</f>
        <v>2</v>
      </c>
      <c r="C7" s="389"/>
      <c r="D7" s="390">
        <f>Inputs!D16</f>
        <v>47628</v>
      </c>
      <c r="E7" s="390">
        <f>Inputs!E16</f>
        <v>76398</v>
      </c>
      <c r="F7" s="390">
        <f>Inputs!F16</f>
        <v>65392</v>
      </c>
      <c r="G7" s="390">
        <f>Inputs!G16</f>
        <v>77959</v>
      </c>
      <c r="H7" s="394">
        <f>Inputs!H16</f>
        <v>71489</v>
      </c>
      <c r="I7" s="393">
        <f t="shared" ref="I7:I21" si="0">SUM($D7:$H7)/SUM($D$24:$H$24)</f>
        <v>8.7184692972336747E-2</v>
      </c>
      <c r="J7" s="392"/>
    </row>
    <row r="8" spans="1:12" x14ac:dyDescent="0.25">
      <c r="A8" s="389" t="str">
        <f>Inputs!A17</f>
        <v>EA Networks</v>
      </c>
      <c r="B8" s="389">
        <f>Inputs!B17</f>
        <v>3</v>
      </c>
      <c r="C8" s="389"/>
      <c r="D8" s="390">
        <f>Inputs!D17</f>
        <v>18050.3141257922</v>
      </c>
      <c r="E8" s="390">
        <f>Inputs!E17</f>
        <v>17941.493243003944</v>
      </c>
      <c r="F8" s="390">
        <f>Inputs!F17</f>
        <v>17796.759119063441</v>
      </c>
      <c r="G8" s="390">
        <f>Inputs!G17</f>
        <v>15710.84150223012</v>
      </c>
      <c r="H8" s="202">
        <f>Inputs!H17</f>
        <v>14722.518947443514</v>
      </c>
      <c r="I8" s="396">
        <f t="shared" si="0"/>
        <v>2.166892766340504E-2</v>
      </c>
      <c r="J8" s="392">
        <f t="shared" ref="J8:J21" si="1">SUM($D8:$H8)/(SUM($D$24:$H$24)-SUM($D$7:$H$7))</f>
        <v>2.373856737127257E-2</v>
      </c>
    </row>
    <row r="9" spans="1:12" x14ac:dyDescent="0.25">
      <c r="A9" s="389" t="str">
        <f>Inputs!A18</f>
        <v>Electricity Invercargill</v>
      </c>
      <c r="B9" s="389">
        <f>Inputs!B18</f>
        <v>4</v>
      </c>
      <c r="C9" s="389"/>
      <c r="D9" s="390">
        <f>Inputs!D18</f>
        <v>4655.6235108371211</v>
      </c>
      <c r="E9" s="390">
        <f>Inputs!E18</f>
        <v>5052.9447714077578</v>
      </c>
      <c r="F9" s="390">
        <f>Inputs!F18</f>
        <v>5567.5747524279859</v>
      </c>
      <c r="G9" s="390">
        <f>Inputs!G18</f>
        <v>5578.0770141048597</v>
      </c>
      <c r="H9" s="202">
        <f>Inputs!H18</f>
        <v>5125.7868259029583</v>
      </c>
      <c r="I9" s="396">
        <f t="shared" si="0"/>
        <v>6.6842318874960416E-3</v>
      </c>
      <c r="J9" s="392">
        <f t="shared" si="1"/>
        <v>7.3226553455391094E-3</v>
      </c>
    </row>
    <row r="10" spans="1:12" x14ac:dyDescent="0.25">
      <c r="A10" s="389" t="str">
        <f>Inputs!A19</f>
        <v>Firstlight Network</v>
      </c>
      <c r="B10" s="389">
        <f>Inputs!B19</f>
        <v>5</v>
      </c>
      <c r="C10" s="389"/>
      <c r="D10" s="390">
        <f>Inputs!D19</f>
        <v>9684.9777776781502</v>
      </c>
      <c r="E10" s="390">
        <f>Inputs!E19</f>
        <v>10136.401061103601</v>
      </c>
      <c r="F10" s="390">
        <f>Inputs!F19</f>
        <v>8982.1740783163259</v>
      </c>
      <c r="G10" s="390">
        <f>Inputs!G19</f>
        <v>9383.3630278770361</v>
      </c>
      <c r="H10" s="202">
        <f>Inputs!H19</f>
        <v>10052.315192213098</v>
      </c>
      <c r="I10" s="396">
        <f t="shared" si="0"/>
        <v>1.2411167115961299E-2</v>
      </c>
      <c r="J10" s="392">
        <f t="shared" si="1"/>
        <v>1.3596580842158439E-2</v>
      </c>
    </row>
    <row r="11" spans="1:12" x14ac:dyDescent="0.25">
      <c r="A11" s="389" t="str">
        <f>Inputs!A20</f>
        <v>Horizon Energy</v>
      </c>
      <c r="B11" s="389">
        <f>Inputs!B20</f>
        <v>6</v>
      </c>
      <c r="C11" s="389"/>
      <c r="D11" s="390">
        <f>Inputs!D20</f>
        <v>8322.4692415684531</v>
      </c>
      <c r="E11" s="390">
        <f>Inputs!E20</f>
        <v>6720.079498778955</v>
      </c>
      <c r="F11" s="390">
        <f>Inputs!F20</f>
        <v>8075.3672553967899</v>
      </c>
      <c r="G11" s="390">
        <f>Inputs!G20</f>
        <v>8520.7632766490988</v>
      </c>
      <c r="H11" s="202">
        <f>Inputs!H20</f>
        <v>8567.1005445935371</v>
      </c>
      <c r="I11" s="396">
        <f t="shared" si="0"/>
        <v>1.034429116245764E-2</v>
      </c>
      <c r="J11" s="392">
        <f t="shared" si="1"/>
        <v>1.1332293710258906E-2</v>
      </c>
    </row>
    <row r="12" spans="1:12" x14ac:dyDescent="0.25">
      <c r="A12" s="389" t="str">
        <f>Inputs!A21</f>
        <v>Nelson Electricity</v>
      </c>
      <c r="B12" s="389">
        <f>Inputs!B21</f>
        <v>7</v>
      </c>
      <c r="C12" s="389"/>
      <c r="D12" s="390">
        <f>Inputs!D21</f>
        <v>1627.4748243189306</v>
      </c>
      <c r="E12" s="390">
        <f>Inputs!E21</f>
        <v>1709.8203732676643</v>
      </c>
      <c r="F12" s="390">
        <f>Inputs!F21</f>
        <v>1663.731588304842</v>
      </c>
      <c r="G12" s="390">
        <f>Inputs!G21</f>
        <v>1665.5343513423325</v>
      </c>
      <c r="H12" s="202">
        <f>Inputs!H21</f>
        <v>1671.9158090065555</v>
      </c>
      <c r="I12" s="396">
        <f t="shared" si="0"/>
        <v>2.1453540703843723E-3</v>
      </c>
      <c r="J12" s="392">
        <f t="shared" si="1"/>
        <v>2.3502608401365869E-3</v>
      </c>
    </row>
    <row r="13" spans="1:12" x14ac:dyDescent="0.25">
      <c r="A13" s="389" t="str">
        <f>Inputs!A22</f>
        <v>Network Tasman</v>
      </c>
      <c r="B13" s="389">
        <f>Inputs!B22</f>
        <v>8</v>
      </c>
      <c r="C13" s="389"/>
      <c r="D13" s="390">
        <f>Inputs!D22</f>
        <v>10289.860370686423</v>
      </c>
      <c r="E13" s="390">
        <f>Inputs!E22</f>
        <v>12261.460641572261</v>
      </c>
      <c r="F13" s="390">
        <f>Inputs!F22</f>
        <v>9042.3641329302391</v>
      </c>
      <c r="G13" s="390">
        <f>Inputs!G22</f>
        <v>10071.951141968706</v>
      </c>
      <c r="H13" s="202">
        <f>Inputs!H22</f>
        <v>8471.990542954245</v>
      </c>
      <c r="I13" s="396">
        <f t="shared" si="0"/>
        <v>1.2899593354142631E-2</v>
      </c>
      <c r="J13" s="392">
        <f t="shared" si="1"/>
        <v>1.4131657581583152E-2</v>
      </c>
    </row>
    <row r="14" spans="1:12" x14ac:dyDescent="0.25">
      <c r="A14" s="389" t="str">
        <f>Inputs!A23</f>
        <v>Orion NZ</v>
      </c>
      <c r="B14" s="389">
        <f>Inputs!B23</f>
        <v>9</v>
      </c>
      <c r="C14" s="389"/>
      <c r="D14" s="390">
        <f>Inputs!D23</f>
        <v>72172.38359853992</v>
      </c>
      <c r="E14" s="390">
        <f>Inputs!E23</f>
        <v>63777.111872759626</v>
      </c>
      <c r="F14" s="390">
        <f>Inputs!F23</f>
        <v>89623.654410387855</v>
      </c>
      <c r="G14" s="390">
        <f>Inputs!G23</f>
        <v>79929.574002059759</v>
      </c>
      <c r="H14" s="202">
        <f>Inputs!H23</f>
        <v>84444.365243546883</v>
      </c>
      <c r="I14" s="396">
        <f t="shared" si="0"/>
        <v>0.10032702378231975</v>
      </c>
      <c r="J14" s="392">
        <f t="shared" si="1"/>
        <v>0.10990944499934782</v>
      </c>
    </row>
    <row r="15" spans="1:12" x14ac:dyDescent="0.25">
      <c r="A15" s="389" t="str">
        <f>Inputs!A24</f>
        <v>OtagoNet</v>
      </c>
      <c r="B15" s="389">
        <f>Inputs!B24</f>
        <v>10</v>
      </c>
      <c r="C15" s="389"/>
      <c r="D15" s="390">
        <f>Inputs!D24</f>
        <v>13989.584671125622</v>
      </c>
      <c r="E15" s="390">
        <f>Inputs!E24</f>
        <v>13504.173049339088</v>
      </c>
      <c r="F15" s="390">
        <f>Inputs!F24</f>
        <v>18002.808964582848</v>
      </c>
      <c r="G15" s="390">
        <f>Inputs!G24</f>
        <v>23071.296835907422</v>
      </c>
      <c r="H15" s="202">
        <f>Inputs!H24</f>
        <v>13934.599644582944</v>
      </c>
      <c r="I15" s="396">
        <f t="shared" si="0"/>
        <v>2.1226537689083429E-2</v>
      </c>
      <c r="J15" s="392">
        <f t="shared" si="1"/>
        <v>2.3253923905156588E-2</v>
      </c>
    </row>
    <row r="16" spans="1:12" x14ac:dyDescent="0.25">
      <c r="A16" s="389" t="str">
        <f>Inputs!A25</f>
        <v>Powerco</v>
      </c>
      <c r="B16" s="389">
        <f>Inputs!B25</f>
        <v>11</v>
      </c>
      <c r="C16" s="389"/>
      <c r="D16" s="390">
        <f>Inputs!D25</f>
        <v>175576.69115506724</v>
      </c>
      <c r="E16" s="390">
        <f>Inputs!E25</f>
        <v>211734.9783027441</v>
      </c>
      <c r="F16" s="390">
        <f>Inputs!F25</f>
        <v>216264.75514559916</v>
      </c>
      <c r="G16" s="390">
        <f>Inputs!G25</f>
        <v>241313</v>
      </c>
      <c r="H16" s="202">
        <f>Inputs!H25</f>
        <v>242290</v>
      </c>
      <c r="I16" s="396">
        <f t="shared" si="0"/>
        <v>0.27971352788385401</v>
      </c>
      <c r="J16" s="392">
        <f t="shared" si="1"/>
        <v>0.30642948878088566</v>
      </c>
    </row>
    <row r="17" spans="1:10" x14ac:dyDescent="0.25">
      <c r="A17" s="389" t="str">
        <f>Inputs!A26</f>
        <v>The Lines Company</v>
      </c>
      <c r="B17" s="389">
        <f>Inputs!B26</f>
        <v>12</v>
      </c>
      <c r="C17" s="389"/>
      <c r="D17" s="390">
        <f>Inputs!D26</f>
        <v>18320.860042033932</v>
      </c>
      <c r="E17" s="390">
        <f>Inputs!E26</f>
        <v>16919.227905563937</v>
      </c>
      <c r="F17" s="390">
        <f>Inputs!F26</f>
        <v>15873.676646380469</v>
      </c>
      <c r="G17" s="390">
        <f>Inputs!G26</f>
        <v>16558.302274241945</v>
      </c>
      <c r="H17" s="202">
        <f>Inputs!H26</f>
        <v>15250.2101420237</v>
      </c>
      <c r="I17" s="396">
        <f t="shared" si="0"/>
        <v>2.1334548941779878E-2</v>
      </c>
      <c r="J17" s="392">
        <f t="shared" si="1"/>
        <v>2.3372251514109769E-2</v>
      </c>
    </row>
    <row r="18" spans="1:10" x14ac:dyDescent="0.25">
      <c r="A18" s="389" t="str">
        <f>Inputs!A27</f>
        <v>Top Energy</v>
      </c>
      <c r="B18" s="389">
        <f>Inputs!B27</f>
        <v>13</v>
      </c>
      <c r="C18" s="389"/>
      <c r="D18" s="390">
        <f>Inputs!D27</f>
        <v>14593.153311847902</v>
      </c>
      <c r="E18" s="390">
        <f>Inputs!E27</f>
        <v>15127.253970962542</v>
      </c>
      <c r="F18" s="390">
        <f>Inputs!F27</f>
        <v>16514.785707311417</v>
      </c>
      <c r="G18" s="390">
        <f>Inputs!G27</f>
        <v>16264.117073022302</v>
      </c>
      <c r="H18" s="202">
        <f>Inputs!H27</f>
        <v>16597.07093675133</v>
      </c>
      <c r="I18" s="396">
        <f t="shared" si="0"/>
        <v>2.0350208320394667E-2</v>
      </c>
      <c r="J18" s="392">
        <f t="shared" si="1"/>
        <v>2.2293894683536399E-2</v>
      </c>
    </row>
    <row r="19" spans="1:10" x14ac:dyDescent="0.25">
      <c r="A19" s="389" t="str">
        <f>Inputs!A28</f>
        <v>Unison Networks</v>
      </c>
      <c r="B19" s="389">
        <f>Inputs!B28</f>
        <v>14</v>
      </c>
      <c r="C19" s="389"/>
      <c r="D19" s="390">
        <f>Inputs!D28</f>
        <v>46746.124751395197</v>
      </c>
      <c r="E19" s="390">
        <f>Inputs!E28</f>
        <v>52524.928561752349</v>
      </c>
      <c r="F19" s="390">
        <f>Inputs!F28</f>
        <v>50530.601455491415</v>
      </c>
      <c r="G19" s="390">
        <f>Inputs!G28</f>
        <v>46851.604858224193</v>
      </c>
      <c r="H19" s="202">
        <f>Inputs!H28</f>
        <v>48041.410078531495</v>
      </c>
      <c r="I19" s="396">
        <f t="shared" si="0"/>
        <v>6.2955946156392745E-2</v>
      </c>
      <c r="J19" s="392">
        <f t="shared" si="1"/>
        <v>6.8968986027843682E-2</v>
      </c>
    </row>
    <row r="20" spans="1:10" x14ac:dyDescent="0.25">
      <c r="A20" s="389" t="str">
        <f>Inputs!A29</f>
        <v>Vector Lines</v>
      </c>
      <c r="B20" s="389">
        <f>Inputs!B29</f>
        <v>15</v>
      </c>
      <c r="C20" s="389"/>
      <c r="D20" s="390">
        <f>Inputs!D29</f>
        <v>211119.9718515854</v>
      </c>
      <c r="E20" s="390">
        <f>Inputs!E29</f>
        <v>209600.00629559506</v>
      </c>
      <c r="F20" s="390">
        <f>Inputs!F29</f>
        <v>213423.98232804175</v>
      </c>
      <c r="G20" s="390">
        <f>Inputs!G29</f>
        <v>209518.18392710513</v>
      </c>
      <c r="H20" s="202">
        <f>Inputs!H29</f>
        <v>197131.64960191568</v>
      </c>
      <c r="I20" s="396">
        <f t="shared" si="0"/>
        <v>0.26777926194358076</v>
      </c>
      <c r="J20" s="392">
        <f t="shared" si="1"/>
        <v>0.29335535883543812</v>
      </c>
    </row>
    <row r="21" spans="1:10" x14ac:dyDescent="0.25">
      <c r="A21" s="201" t="str">
        <f>Inputs!A30</f>
        <v>Wellington Electricity</v>
      </c>
      <c r="B21" s="201">
        <f>Inputs!B30</f>
        <v>16</v>
      </c>
      <c r="C21" s="201"/>
      <c r="D21" s="202">
        <f>Inputs!D30</f>
        <v>44485</v>
      </c>
      <c r="E21" s="202">
        <f>Inputs!E30</f>
        <v>36754</v>
      </c>
      <c r="F21" s="202">
        <f>Inputs!F30</f>
        <v>42296</v>
      </c>
      <c r="G21" s="202">
        <f>Inputs!G30</f>
        <v>39859</v>
      </c>
      <c r="H21" s="202">
        <f>Inputs!H30</f>
        <v>42399</v>
      </c>
      <c r="I21" s="396">
        <f t="shared" si="0"/>
        <v>5.294718124821049E-2</v>
      </c>
      <c r="J21" s="395">
        <f t="shared" si="1"/>
        <v>5.8004265310382122E-2</v>
      </c>
    </row>
    <row r="22" spans="1:10" x14ac:dyDescent="0.25">
      <c r="A22" s="108" t="s">
        <v>252</v>
      </c>
      <c r="B22" s="108"/>
      <c r="C22" s="108"/>
      <c r="D22" s="108"/>
      <c r="E22" s="108"/>
      <c r="F22" s="108"/>
      <c r="G22" s="108"/>
      <c r="H22" s="108"/>
      <c r="I22" s="108"/>
      <c r="J22" s="108"/>
    </row>
    <row r="23" spans="1:10" s="1" customFormat="1" ht="23.25" customHeight="1" x14ac:dyDescent="0.25">
      <c r="A23" s="388"/>
      <c r="B23" s="388"/>
      <c r="C23" s="388"/>
      <c r="D23" s="388">
        <v>2021</v>
      </c>
      <c r="E23" s="388">
        <v>2022</v>
      </c>
      <c r="F23" s="388">
        <v>2023</v>
      </c>
      <c r="G23" s="388">
        <v>2024</v>
      </c>
      <c r="H23" s="146">
        <v>2025</v>
      </c>
      <c r="I23" s="388" t="s">
        <v>185</v>
      </c>
      <c r="J23" s="146"/>
    </row>
    <row r="24" spans="1:10" x14ac:dyDescent="0.25">
      <c r="A24" s="397" t="s">
        <v>247</v>
      </c>
      <c r="B24" s="397"/>
      <c r="C24" s="397"/>
      <c r="D24" s="390">
        <f>SUM(D6:D21)</f>
        <v>713925.57421955082</v>
      </c>
      <c r="E24" s="390">
        <f t="shared" ref="E24:H24" si="2">SUM(E6:E21)</f>
        <v>767140.2790023532</v>
      </c>
      <c r="F24" s="390">
        <f t="shared" si="2"/>
        <v>794427.37654073164</v>
      </c>
      <c r="G24" s="390">
        <f t="shared" si="2"/>
        <v>816927.3864389176</v>
      </c>
      <c r="H24" s="394">
        <f t="shared" si="2"/>
        <v>794339.64465662744</v>
      </c>
      <c r="I24" s="398">
        <f>SUM(D24:H24)</f>
        <v>3886760.2608581809</v>
      </c>
      <c r="J24" s="385"/>
    </row>
    <row r="25" spans="1:10" x14ac:dyDescent="0.25">
      <c r="A25" s="397" t="s">
        <v>248</v>
      </c>
      <c r="B25" s="397"/>
      <c r="C25" s="397"/>
      <c r="D25" s="390">
        <f>SUMPRODUCT(D6:D21,$I$6:$I$21)</f>
        <v>124419.58095238237</v>
      </c>
      <c r="E25" s="390">
        <f>SUMPRODUCT(E6:E21,$I$6:$I$21)</f>
        <v>135738.94573793365</v>
      </c>
      <c r="F25" s="390">
        <f t="shared" ref="F25:H25" si="3">SUMPRODUCT(F6:F21,$I$6:$I$21)</f>
        <v>139859.12295807793</v>
      </c>
      <c r="G25" s="390">
        <f t="shared" si="3"/>
        <v>145662.71595987095</v>
      </c>
      <c r="H25" s="394">
        <f t="shared" si="3"/>
        <v>142455.590363283</v>
      </c>
      <c r="I25" s="398">
        <f>SUM(D25:H25)</f>
        <v>688135.95597154787</v>
      </c>
      <c r="J25" s="385"/>
    </row>
    <row r="26" spans="1:10" x14ac:dyDescent="0.25">
      <c r="A26" s="397" t="s">
        <v>249</v>
      </c>
      <c r="B26" s="397"/>
      <c r="C26" s="397"/>
      <c r="D26" s="390">
        <f>SUMPRODUCT(D6:D21,$J$6:$J$21)</f>
        <v>131754.08811571472</v>
      </c>
      <c r="E26" s="390">
        <f t="shared" ref="E26:H26" si="4">SUMPRODUCT(E6:E21,$J$6:$J$21)</f>
        <v>141406.71017507525</v>
      </c>
      <c r="F26" s="390">
        <f t="shared" si="4"/>
        <v>146971.61680173836</v>
      </c>
      <c r="G26" s="390">
        <f t="shared" si="4"/>
        <v>152129.22418295091</v>
      </c>
      <c r="H26" s="391">
        <f t="shared" si="4"/>
        <v>149233.74180802965</v>
      </c>
      <c r="I26" s="398">
        <f>SUM(D26:H26)</f>
        <v>721495.38108350895</v>
      </c>
      <c r="J26" s="385"/>
    </row>
    <row r="27" spans="1:10" x14ac:dyDescent="0.25">
      <c r="A27" s="399"/>
      <c r="B27" s="400"/>
      <c r="C27" s="400"/>
      <c r="D27" s="400"/>
      <c r="E27" s="400"/>
      <c r="F27" s="400"/>
      <c r="G27" s="400"/>
      <c r="H27" s="400"/>
      <c r="I27" s="400"/>
      <c r="J27" s="385"/>
    </row>
    <row r="28" spans="1:10" x14ac:dyDescent="0.25">
      <c r="A28" s="108" t="str">
        <f>Inputs!A32</f>
        <v>Actual assets commissioned</v>
      </c>
      <c r="B28" s="108"/>
      <c r="C28" s="108"/>
      <c r="D28" s="108"/>
      <c r="E28" s="108"/>
      <c r="F28" s="108"/>
      <c r="G28" s="108"/>
      <c r="H28" s="108"/>
      <c r="I28" s="108"/>
      <c r="J28" s="108"/>
    </row>
    <row r="29" spans="1:10" x14ac:dyDescent="0.25">
      <c r="A29" s="204" t="str">
        <f>Inputs!A33</f>
        <v>Alpine Energy</v>
      </c>
      <c r="B29" s="204">
        <f>Inputs!B33</f>
        <v>1</v>
      </c>
      <c r="C29" s="204"/>
      <c r="D29" s="205">
        <f>Inputs!D33</f>
        <v>14838.8121390163</v>
      </c>
      <c r="E29" s="205">
        <f>Inputs!E33</f>
        <v>18553.5095</v>
      </c>
      <c r="F29" s="205">
        <f>Inputs!F33</f>
        <v>19464.545436548098</v>
      </c>
      <c r="G29" s="205">
        <f>Inputs!G33</f>
        <v>0</v>
      </c>
      <c r="H29" s="205">
        <f>Inputs!H33</f>
        <v>0</v>
      </c>
      <c r="I29" s="385"/>
      <c r="J29" s="385"/>
    </row>
    <row r="30" spans="1:10" x14ac:dyDescent="0.25">
      <c r="A30" s="389" t="str">
        <f>Inputs!A34</f>
        <v>Aurora Energy</v>
      </c>
      <c r="B30" s="389">
        <f>Inputs!B34</f>
        <v>2</v>
      </c>
      <c r="C30" s="389"/>
      <c r="D30" s="390">
        <f>Inputs!D34</f>
        <v>61073</v>
      </c>
      <c r="E30" s="390">
        <f>Inputs!E34</f>
        <v>93006</v>
      </c>
      <c r="F30" s="390">
        <f>Inputs!F34</f>
        <v>76873</v>
      </c>
      <c r="G30" s="390">
        <f>Inputs!G34</f>
        <v>0</v>
      </c>
      <c r="H30" s="390">
        <f>Inputs!H34</f>
        <v>0</v>
      </c>
      <c r="I30" s="385"/>
      <c r="J30" s="385"/>
    </row>
    <row r="31" spans="1:10" x14ac:dyDescent="0.25">
      <c r="A31" s="389" t="str">
        <f>Inputs!A35</f>
        <v>EA Networks</v>
      </c>
      <c r="B31" s="389">
        <f>Inputs!B35</f>
        <v>3</v>
      </c>
      <c r="C31" s="389"/>
      <c r="D31" s="390">
        <f>Inputs!D35</f>
        <v>15501</v>
      </c>
      <c r="E31" s="390">
        <f>Inputs!E35</f>
        <v>11600</v>
      </c>
      <c r="F31" s="390">
        <f>Inputs!F35</f>
        <v>12049.0346434783</v>
      </c>
      <c r="G31" s="390">
        <f>Inputs!G35</f>
        <v>0</v>
      </c>
      <c r="H31" s="390">
        <f>Inputs!H35</f>
        <v>0</v>
      </c>
      <c r="I31" s="401"/>
      <c r="J31" s="385"/>
    </row>
    <row r="32" spans="1:10" x14ac:dyDescent="0.25">
      <c r="A32" s="389" t="str">
        <f>Inputs!A36</f>
        <v>Electricity Invercargill</v>
      </c>
      <c r="B32" s="389">
        <f>Inputs!B36</f>
        <v>4</v>
      </c>
      <c r="C32" s="389"/>
      <c r="D32" s="390">
        <f>Inputs!D36</f>
        <v>4131.6000000000004</v>
      </c>
      <c r="E32" s="390">
        <f>Inputs!E36</f>
        <v>6116.73</v>
      </c>
      <c r="F32" s="390">
        <f>Inputs!F36</f>
        <v>4521.9785000000002</v>
      </c>
      <c r="G32" s="390">
        <f>Inputs!G36</f>
        <v>0</v>
      </c>
      <c r="H32" s="390">
        <f>Inputs!H36</f>
        <v>0</v>
      </c>
      <c r="I32" s="401"/>
      <c r="J32" s="385"/>
    </row>
    <row r="33" spans="1:10" x14ac:dyDescent="0.25">
      <c r="A33" s="389" t="str">
        <f>Inputs!A37</f>
        <v>Firstlight Network</v>
      </c>
      <c r="B33" s="389">
        <f>Inputs!B37</f>
        <v>5</v>
      </c>
      <c r="C33" s="389"/>
      <c r="D33" s="390">
        <f>Inputs!D37</f>
        <v>10983.468024507099</v>
      </c>
      <c r="E33" s="390">
        <f>Inputs!E37</f>
        <v>9630.1170299999994</v>
      </c>
      <c r="F33" s="390">
        <f>Inputs!F37</f>
        <v>16078.13704</v>
      </c>
      <c r="G33" s="390">
        <f>Inputs!G37</f>
        <v>0</v>
      </c>
      <c r="H33" s="390">
        <f>Inputs!H37</f>
        <v>0</v>
      </c>
      <c r="I33" s="401"/>
      <c r="J33" s="385"/>
    </row>
    <row r="34" spans="1:10" x14ac:dyDescent="0.25">
      <c r="A34" s="389" t="str">
        <f>Inputs!A38</f>
        <v>Horizon Energy</v>
      </c>
      <c r="B34" s="389">
        <f>Inputs!B38</f>
        <v>6</v>
      </c>
      <c r="C34" s="389"/>
      <c r="D34" s="390">
        <f>Inputs!D38</f>
        <v>7154.40697000002</v>
      </c>
      <c r="E34" s="390">
        <f>Inputs!E38</f>
        <v>6593.4251199999999</v>
      </c>
      <c r="F34" s="390">
        <f>Inputs!F38</f>
        <v>8222.5562700000191</v>
      </c>
      <c r="G34" s="390">
        <f>Inputs!G38</f>
        <v>0</v>
      </c>
      <c r="H34" s="390">
        <f>Inputs!H38</f>
        <v>0</v>
      </c>
      <c r="I34" s="401"/>
      <c r="J34" s="385"/>
    </row>
    <row r="35" spans="1:10" x14ac:dyDescent="0.25">
      <c r="A35" s="389" t="str">
        <f>Inputs!A39</f>
        <v>Nelson Electricity</v>
      </c>
      <c r="B35" s="389">
        <f>Inputs!B39</f>
        <v>7</v>
      </c>
      <c r="C35" s="389"/>
      <c r="D35" s="390">
        <f>Inputs!D39</f>
        <v>762.82890999999995</v>
      </c>
      <c r="E35" s="390">
        <f>Inputs!E39</f>
        <v>1696.3871300000001</v>
      </c>
      <c r="F35" s="390">
        <f>Inputs!F39</f>
        <v>1644.41113</v>
      </c>
      <c r="G35" s="390">
        <f>Inputs!G39</f>
        <v>0</v>
      </c>
      <c r="H35" s="390">
        <f>Inputs!H39</f>
        <v>0</v>
      </c>
      <c r="I35" s="401"/>
      <c r="J35" s="385"/>
    </row>
    <row r="36" spans="1:10" x14ac:dyDescent="0.25">
      <c r="A36" s="389" t="str">
        <f>Inputs!A40</f>
        <v>Network Tasman</v>
      </c>
      <c r="B36" s="389">
        <f>Inputs!B40</f>
        <v>8</v>
      </c>
      <c r="C36" s="389"/>
      <c r="D36" s="390">
        <f>Inputs!D40</f>
        <v>8066</v>
      </c>
      <c r="E36" s="390">
        <f>Inputs!E40</f>
        <v>10506</v>
      </c>
      <c r="F36" s="390">
        <f>Inputs!F40</f>
        <v>13863</v>
      </c>
      <c r="G36" s="390">
        <f>Inputs!G40</f>
        <v>0</v>
      </c>
      <c r="H36" s="390">
        <f>Inputs!H40</f>
        <v>0</v>
      </c>
      <c r="I36" s="401"/>
      <c r="J36" s="385"/>
    </row>
    <row r="37" spans="1:10" x14ac:dyDescent="0.25">
      <c r="A37" s="389" t="str">
        <f>Inputs!A41</f>
        <v>Orion NZ</v>
      </c>
      <c r="B37" s="389">
        <f>Inputs!B41</f>
        <v>9</v>
      </c>
      <c r="C37" s="389"/>
      <c r="D37" s="390">
        <f>Inputs!D41</f>
        <v>53186.601000000002</v>
      </c>
      <c r="E37" s="390">
        <f>Inputs!E41</f>
        <v>97104</v>
      </c>
      <c r="F37" s="390">
        <f>Inputs!F41</f>
        <v>106220</v>
      </c>
      <c r="G37" s="390">
        <f>Inputs!G41</f>
        <v>0</v>
      </c>
      <c r="H37" s="390">
        <f>Inputs!H41</f>
        <v>0</v>
      </c>
      <c r="I37" s="401"/>
      <c r="J37" s="385"/>
    </row>
    <row r="38" spans="1:10" x14ac:dyDescent="0.25">
      <c r="A38" s="389" t="str">
        <f>Inputs!A42</f>
        <v>OtagoNet</v>
      </c>
      <c r="B38" s="389">
        <f>Inputs!B42</f>
        <v>10</v>
      </c>
      <c r="C38" s="389"/>
      <c r="D38" s="390">
        <f>Inputs!D42</f>
        <v>12425.352650999999</v>
      </c>
      <c r="E38" s="390">
        <f>Inputs!E42</f>
        <v>16873.601816999999</v>
      </c>
      <c r="F38" s="390">
        <f>Inputs!F42</f>
        <v>16919.649445999999</v>
      </c>
      <c r="G38" s="390">
        <f>Inputs!G42</f>
        <v>0</v>
      </c>
      <c r="H38" s="390">
        <f>Inputs!H42</f>
        <v>0</v>
      </c>
      <c r="I38" s="401"/>
      <c r="J38" s="385"/>
    </row>
    <row r="39" spans="1:10" x14ac:dyDescent="0.25">
      <c r="A39" s="389" t="str">
        <f>Inputs!A43</f>
        <v>Powerco</v>
      </c>
      <c r="B39" s="389">
        <f>Inputs!B43</f>
        <v>11</v>
      </c>
      <c r="C39" s="389"/>
      <c r="D39" s="390">
        <f>Inputs!D43</f>
        <v>184197.353834746</v>
      </c>
      <c r="E39" s="390">
        <f>Inputs!E43</f>
        <v>199318.15218984499</v>
      </c>
      <c r="F39" s="390">
        <f>Inputs!F43</f>
        <v>255746.93695538701</v>
      </c>
      <c r="G39" s="390">
        <f>Inputs!G43</f>
        <v>0</v>
      </c>
      <c r="H39" s="390">
        <f>Inputs!H43</f>
        <v>0</v>
      </c>
      <c r="I39" s="401"/>
      <c r="J39" s="385"/>
    </row>
    <row r="40" spans="1:10" x14ac:dyDescent="0.25">
      <c r="A40" s="389" t="str">
        <f>Inputs!A44</f>
        <v>The Lines Company</v>
      </c>
      <c r="B40" s="389">
        <f>Inputs!B44</f>
        <v>12</v>
      </c>
      <c r="C40" s="389"/>
      <c r="D40" s="390">
        <f>Inputs!D44</f>
        <v>20970</v>
      </c>
      <c r="E40" s="390">
        <f>Inputs!E44</f>
        <v>19710.658423972101</v>
      </c>
      <c r="F40" s="390">
        <f>Inputs!F44</f>
        <v>6934.1732014999998</v>
      </c>
      <c r="G40" s="390">
        <f>Inputs!G44</f>
        <v>0</v>
      </c>
      <c r="H40" s="390">
        <f>Inputs!H44</f>
        <v>0</v>
      </c>
      <c r="I40" s="401"/>
      <c r="J40" s="385"/>
    </row>
    <row r="41" spans="1:10" x14ac:dyDescent="0.25">
      <c r="A41" s="389" t="str">
        <f>Inputs!A45</f>
        <v>Top Energy</v>
      </c>
      <c r="B41" s="389">
        <f>Inputs!B45</f>
        <v>13</v>
      </c>
      <c r="C41" s="389"/>
      <c r="D41" s="390">
        <f>Inputs!D45</f>
        <v>29668.5563508009</v>
      </c>
      <c r="E41" s="390">
        <f>Inputs!E45</f>
        <v>9230.3691892571896</v>
      </c>
      <c r="F41" s="390">
        <f>Inputs!F45</f>
        <v>9801.2606322524607</v>
      </c>
      <c r="G41" s="390">
        <f>Inputs!G45</f>
        <v>0</v>
      </c>
      <c r="H41" s="390">
        <f>Inputs!H45</f>
        <v>0</v>
      </c>
      <c r="I41" s="401"/>
      <c r="J41" s="385"/>
    </row>
    <row r="42" spans="1:10" x14ac:dyDescent="0.25">
      <c r="A42" s="389" t="str">
        <f>Inputs!A46</f>
        <v>Unison Networks</v>
      </c>
      <c r="B42" s="389">
        <f>Inputs!B46</f>
        <v>14</v>
      </c>
      <c r="C42" s="389"/>
      <c r="D42" s="390">
        <f>Inputs!D46</f>
        <v>36200</v>
      </c>
      <c r="E42" s="390">
        <f>Inputs!E46</f>
        <v>51597</v>
      </c>
      <c r="F42" s="390">
        <f>Inputs!F46</f>
        <v>54624.989190807501</v>
      </c>
      <c r="G42" s="390">
        <f>Inputs!G46</f>
        <v>0</v>
      </c>
      <c r="H42" s="390">
        <f>Inputs!H46</f>
        <v>0</v>
      </c>
      <c r="I42" s="401"/>
      <c r="J42" s="385"/>
    </row>
    <row r="43" spans="1:10" x14ac:dyDescent="0.25">
      <c r="A43" s="389" t="str">
        <f>Inputs!A47</f>
        <v>Vector Lines</v>
      </c>
      <c r="B43" s="389">
        <f>Inputs!B47</f>
        <v>15</v>
      </c>
      <c r="C43" s="389"/>
      <c r="D43" s="390">
        <f>Inputs!D47</f>
        <v>215221.23517623401</v>
      </c>
      <c r="E43" s="390">
        <f>Inputs!E47</f>
        <v>171903</v>
      </c>
      <c r="F43" s="390">
        <f>Inputs!F47</f>
        <v>169286.63359466099</v>
      </c>
      <c r="G43" s="390">
        <f>Inputs!G47</f>
        <v>0</v>
      </c>
      <c r="H43" s="390">
        <f>Inputs!H47</f>
        <v>0</v>
      </c>
      <c r="I43" s="401"/>
      <c r="J43" s="385"/>
    </row>
    <row r="44" spans="1:10" x14ac:dyDescent="0.25">
      <c r="A44" s="201" t="str">
        <f>Inputs!A48</f>
        <v>Wellington Electricity</v>
      </c>
      <c r="B44" s="201">
        <f>Inputs!B48</f>
        <v>16</v>
      </c>
      <c r="C44" s="201"/>
      <c r="D44" s="202">
        <f>Inputs!D48</f>
        <v>38067.524659999901</v>
      </c>
      <c r="E44" s="202">
        <f>Inputs!E48</f>
        <v>43038.099790000102</v>
      </c>
      <c r="F44" s="202">
        <f>Inputs!F48</f>
        <v>41143.212370000001</v>
      </c>
      <c r="G44" s="202">
        <f>Inputs!G48</f>
        <v>0</v>
      </c>
      <c r="H44" s="202">
        <f>Inputs!H48</f>
        <v>0</v>
      </c>
      <c r="I44" s="401"/>
      <c r="J44" s="385"/>
    </row>
    <row r="45" spans="1:10" x14ac:dyDescent="0.25">
      <c r="A45" s="108" t="s">
        <v>252</v>
      </c>
      <c r="B45" s="108"/>
      <c r="C45" s="108"/>
      <c r="D45" s="108"/>
      <c r="E45" s="108"/>
      <c r="F45" s="108"/>
      <c r="G45" s="108"/>
      <c r="H45" s="108"/>
      <c r="I45" s="108"/>
      <c r="J45" s="108"/>
    </row>
    <row r="46" spans="1:10" x14ac:dyDescent="0.25">
      <c r="A46" s="206" t="s">
        <v>247</v>
      </c>
      <c r="B46" s="206"/>
      <c r="C46" s="206"/>
      <c r="D46" s="205">
        <f>SUM(D29:D44)</f>
        <v>712447.73971630423</v>
      </c>
      <c r="E46" s="205">
        <f t="shared" ref="E46:H46" si="5">SUM(E29:E44)</f>
        <v>766477.05019007437</v>
      </c>
      <c r="F46" s="205">
        <f t="shared" si="5"/>
        <v>813393.51841063425</v>
      </c>
      <c r="G46" s="205">
        <f t="shared" si="5"/>
        <v>0</v>
      </c>
      <c r="H46" s="205">
        <f t="shared" si="5"/>
        <v>0</v>
      </c>
      <c r="I46" s="401"/>
      <c r="J46" s="385"/>
    </row>
    <row r="47" spans="1:10" x14ac:dyDescent="0.25">
      <c r="A47" s="397" t="s">
        <v>248</v>
      </c>
      <c r="B47" s="397"/>
      <c r="C47" s="397"/>
      <c r="D47" s="390">
        <f>SUMPRODUCT(D29:D44,$I$6:$I$21)</f>
        <v>126401.12730459416</v>
      </c>
      <c r="E47" s="390">
        <f t="shared" ref="E47:H47" si="6">SUMPRODUCT(E29:E44,$I$6:$I$21)</f>
        <v>127119.22047145017</v>
      </c>
      <c r="F47" s="390">
        <f t="shared" si="6"/>
        <v>141698.24066025473</v>
      </c>
      <c r="G47" s="390">
        <f t="shared" si="6"/>
        <v>0</v>
      </c>
      <c r="H47" s="390">
        <f t="shared" si="6"/>
        <v>0</v>
      </c>
      <c r="I47" s="401"/>
      <c r="J47" s="385"/>
    </row>
    <row r="48" spans="1:10" x14ac:dyDescent="0.25">
      <c r="A48" s="397" t="s">
        <v>249</v>
      </c>
      <c r="B48" s="397"/>
      <c r="C48" s="397"/>
      <c r="D48" s="390">
        <f>SUMPRODUCT(D29:D44,$J$6:$J$21)</f>
        <v>132640.73862318063</v>
      </c>
      <c r="E48" s="390">
        <f t="shared" ref="E48:H48" si="7">SUMPRODUCT(E29:E44,$J$6:$J$21)</f>
        <v>130377.43780216688</v>
      </c>
      <c r="F48" s="390">
        <f t="shared" si="7"/>
        <v>147889.82033722755</v>
      </c>
      <c r="G48" s="390">
        <f t="shared" si="7"/>
        <v>0</v>
      </c>
      <c r="H48" s="390">
        <f t="shared" si="7"/>
        <v>0</v>
      </c>
      <c r="I48" s="401"/>
      <c r="J48" s="385"/>
    </row>
    <row r="49" spans="1:10" x14ac:dyDescent="0.25">
      <c r="A49" s="399"/>
      <c r="B49" s="400"/>
      <c r="C49" s="400"/>
      <c r="D49" s="400"/>
      <c r="E49" s="400"/>
      <c r="F49" s="400"/>
      <c r="G49" s="400"/>
      <c r="H49" s="400"/>
      <c r="I49" s="401"/>
      <c r="J49" s="385"/>
    </row>
    <row r="50" spans="1:10" x14ac:dyDescent="0.25">
      <c r="A50" s="108" t="str">
        <f>Inputs!A50</f>
        <v>Latest forecast capex (2024 AMP)</v>
      </c>
      <c r="B50" s="108"/>
      <c r="C50" s="108"/>
      <c r="D50" s="108"/>
      <c r="E50" s="108"/>
      <c r="F50" s="108"/>
      <c r="G50" s="108"/>
      <c r="H50" s="108"/>
      <c r="I50" s="108"/>
      <c r="J50" s="108"/>
    </row>
    <row r="51" spans="1:10" x14ac:dyDescent="0.25">
      <c r="A51" s="204" t="str">
        <f>Inputs!A51</f>
        <v>Alpine Energy</v>
      </c>
      <c r="B51" s="204">
        <f>Inputs!B51</f>
        <v>1</v>
      </c>
      <c r="C51" s="204"/>
      <c r="D51" s="205">
        <f>Inputs!D51</f>
        <v>0</v>
      </c>
      <c r="E51" s="205">
        <f>Inputs!E51</f>
        <v>0</v>
      </c>
      <c r="F51" s="205">
        <f>Inputs!F51</f>
        <v>0</v>
      </c>
      <c r="G51" s="205">
        <f>Inputs!G51</f>
        <v>20569</v>
      </c>
      <c r="H51" s="205">
        <f>Inputs!H51</f>
        <v>31284.442125000001</v>
      </c>
      <c r="I51" s="385"/>
      <c r="J51" s="385"/>
    </row>
    <row r="52" spans="1:10" x14ac:dyDescent="0.25">
      <c r="A52" s="389" t="str">
        <f>Inputs!A52</f>
        <v>Aurora Energy</v>
      </c>
      <c r="B52" s="389">
        <f>Inputs!B52</f>
        <v>2</v>
      </c>
      <c r="C52" s="389"/>
      <c r="D52" s="390">
        <f>Inputs!D52</f>
        <v>0</v>
      </c>
      <c r="E52" s="390">
        <f>Inputs!E52</f>
        <v>0</v>
      </c>
      <c r="F52" s="390">
        <f>Inputs!F52</f>
        <v>0</v>
      </c>
      <c r="G52" s="390">
        <f>Inputs!G52</f>
        <v>82176.47</v>
      </c>
      <c r="H52" s="390">
        <f>Inputs!H52</f>
        <v>85830.25</v>
      </c>
      <c r="I52" s="385"/>
      <c r="J52" s="385"/>
    </row>
    <row r="53" spans="1:10" x14ac:dyDescent="0.25">
      <c r="A53" s="389" t="str">
        <f>Inputs!A53</f>
        <v>EA Networks</v>
      </c>
      <c r="B53" s="389">
        <f>Inputs!B53</f>
        <v>3</v>
      </c>
      <c r="C53" s="389"/>
      <c r="D53" s="390">
        <f>Inputs!D53</f>
        <v>0</v>
      </c>
      <c r="E53" s="390">
        <f>Inputs!E53</f>
        <v>0</v>
      </c>
      <c r="F53" s="390">
        <f>Inputs!F53</f>
        <v>0</v>
      </c>
      <c r="G53" s="390">
        <f>Inputs!G53</f>
        <v>14319</v>
      </c>
      <c r="H53" s="390">
        <f>Inputs!H53</f>
        <v>13824.1942312012</v>
      </c>
      <c r="I53" s="386"/>
      <c r="J53" s="385"/>
    </row>
    <row r="54" spans="1:10" x14ac:dyDescent="0.25">
      <c r="A54" s="389" t="str">
        <f>Inputs!A54</f>
        <v>Electricity Invercargill</v>
      </c>
      <c r="B54" s="389">
        <f>Inputs!B54</f>
        <v>4</v>
      </c>
      <c r="C54" s="389"/>
      <c r="D54" s="390">
        <f>Inputs!D54</f>
        <v>0</v>
      </c>
      <c r="E54" s="390">
        <f>Inputs!E54</f>
        <v>0</v>
      </c>
      <c r="F54" s="390">
        <f>Inputs!F54</f>
        <v>0</v>
      </c>
      <c r="G54" s="390">
        <f>Inputs!G54</f>
        <v>5322</v>
      </c>
      <c r="H54" s="390">
        <f>Inputs!H54</f>
        <v>7394</v>
      </c>
      <c r="I54" s="386"/>
      <c r="J54" s="385"/>
    </row>
    <row r="55" spans="1:10" x14ac:dyDescent="0.25">
      <c r="A55" s="389" t="str">
        <f>Inputs!A55</f>
        <v>Firstlight Network</v>
      </c>
      <c r="B55" s="389">
        <f>Inputs!B55</f>
        <v>5</v>
      </c>
      <c r="C55" s="389"/>
      <c r="D55" s="390">
        <f>Inputs!D55</f>
        <v>0</v>
      </c>
      <c r="E55" s="390">
        <f>Inputs!E55</f>
        <v>0</v>
      </c>
      <c r="F55" s="390">
        <f>Inputs!F55</f>
        <v>0</v>
      </c>
      <c r="G55" s="390">
        <f>Inputs!G55</f>
        <v>15187.099562519399</v>
      </c>
      <c r="H55" s="390">
        <f>Inputs!H55</f>
        <v>21039.916158420201</v>
      </c>
      <c r="I55" s="386"/>
      <c r="J55" s="385"/>
    </row>
    <row r="56" spans="1:10" x14ac:dyDescent="0.25">
      <c r="A56" s="389" t="str">
        <f>Inputs!A56</f>
        <v>Horizon Energy</v>
      </c>
      <c r="B56" s="389">
        <f>Inputs!B56</f>
        <v>6</v>
      </c>
      <c r="C56" s="389"/>
      <c r="D56" s="390">
        <f>Inputs!D56</f>
        <v>0</v>
      </c>
      <c r="E56" s="390">
        <f>Inputs!E56</f>
        <v>0</v>
      </c>
      <c r="F56" s="390">
        <f>Inputs!F56</f>
        <v>0</v>
      </c>
      <c r="G56" s="390">
        <f>Inputs!G56</f>
        <v>8443.5723670000007</v>
      </c>
      <c r="H56" s="390">
        <f>Inputs!H56</f>
        <v>10749.549703000001</v>
      </c>
      <c r="I56" s="386"/>
      <c r="J56" s="385"/>
    </row>
    <row r="57" spans="1:10" x14ac:dyDescent="0.25">
      <c r="A57" s="389" t="str">
        <f>Inputs!A57</f>
        <v>Nelson Electricity</v>
      </c>
      <c r="B57" s="389">
        <f>Inputs!B57</f>
        <v>7</v>
      </c>
      <c r="C57" s="389"/>
      <c r="D57" s="390">
        <f>Inputs!D57</f>
        <v>0</v>
      </c>
      <c r="E57" s="390">
        <f>Inputs!E57</f>
        <v>0</v>
      </c>
      <c r="F57" s="390">
        <f>Inputs!F57</f>
        <v>0</v>
      </c>
      <c r="G57" s="390">
        <f>Inputs!G57</f>
        <v>1987</v>
      </c>
      <c r="H57" s="390">
        <f>Inputs!H57</f>
        <v>3219</v>
      </c>
      <c r="I57" s="386"/>
      <c r="J57" s="385"/>
    </row>
    <row r="58" spans="1:10" x14ac:dyDescent="0.25">
      <c r="A58" s="389" t="str">
        <f>Inputs!A58</f>
        <v>Network Tasman</v>
      </c>
      <c r="B58" s="389">
        <f>Inputs!B58</f>
        <v>8</v>
      </c>
      <c r="C58" s="389"/>
      <c r="D58" s="390">
        <f>Inputs!D58</f>
        <v>0</v>
      </c>
      <c r="E58" s="390">
        <f>Inputs!E58</f>
        <v>0</v>
      </c>
      <c r="F58" s="390">
        <f>Inputs!F58</f>
        <v>0</v>
      </c>
      <c r="G58" s="390">
        <f>Inputs!G58</f>
        <v>17773</v>
      </c>
      <c r="H58" s="390">
        <f>Inputs!H58</f>
        <v>18973</v>
      </c>
      <c r="I58" s="386"/>
      <c r="J58" s="385"/>
    </row>
    <row r="59" spans="1:10" x14ac:dyDescent="0.25">
      <c r="A59" s="389" t="str">
        <f>Inputs!A59</f>
        <v>Orion NZ</v>
      </c>
      <c r="B59" s="389">
        <f>Inputs!B59</f>
        <v>9</v>
      </c>
      <c r="C59" s="389"/>
      <c r="D59" s="390">
        <f>Inputs!D59</f>
        <v>0</v>
      </c>
      <c r="E59" s="390">
        <f>Inputs!E59</f>
        <v>0</v>
      </c>
      <c r="F59" s="390">
        <f>Inputs!F59</f>
        <v>0</v>
      </c>
      <c r="G59" s="390">
        <f>Inputs!G59</f>
        <v>121200.414</v>
      </c>
      <c r="H59" s="390">
        <f>Inputs!H59</f>
        <v>149313</v>
      </c>
      <c r="I59" s="386"/>
      <c r="J59" s="385"/>
    </row>
    <row r="60" spans="1:10" x14ac:dyDescent="0.25">
      <c r="A60" s="389" t="str">
        <f>Inputs!A60</f>
        <v>OtagoNet</v>
      </c>
      <c r="B60" s="389">
        <f>Inputs!B60</f>
        <v>10</v>
      </c>
      <c r="C60" s="389"/>
      <c r="D60" s="390">
        <f>Inputs!D60</f>
        <v>0</v>
      </c>
      <c r="E60" s="390">
        <f>Inputs!E60</f>
        <v>0</v>
      </c>
      <c r="F60" s="390">
        <f>Inputs!F60</f>
        <v>0</v>
      </c>
      <c r="G60" s="390">
        <f>Inputs!G60</f>
        <v>20895.387500674999</v>
      </c>
      <c r="H60" s="390">
        <f>Inputs!H60</f>
        <v>15224.1717338954</v>
      </c>
      <c r="I60" s="386"/>
      <c r="J60" s="385"/>
    </row>
    <row r="61" spans="1:10" x14ac:dyDescent="0.25">
      <c r="A61" s="389" t="str">
        <f>Inputs!A61</f>
        <v>Powerco</v>
      </c>
      <c r="B61" s="389">
        <f>Inputs!B61</f>
        <v>11</v>
      </c>
      <c r="C61" s="389"/>
      <c r="D61" s="390">
        <f>Inputs!D61</f>
        <v>0</v>
      </c>
      <c r="E61" s="390">
        <f>Inputs!E61</f>
        <v>0</v>
      </c>
      <c r="F61" s="390">
        <f>Inputs!F61</f>
        <v>0</v>
      </c>
      <c r="G61" s="390">
        <f>Inputs!G61</f>
        <v>242300</v>
      </c>
      <c r="H61" s="390">
        <f>Inputs!H61</f>
        <v>277757</v>
      </c>
      <c r="I61" s="386"/>
      <c r="J61" s="385"/>
    </row>
    <row r="62" spans="1:10" x14ac:dyDescent="0.25">
      <c r="A62" s="389" t="str">
        <f>Inputs!A62</f>
        <v>The Lines Company</v>
      </c>
      <c r="B62" s="389">
        <f>Inputs!B62</f>
        <v>12</v>
      </c>
      <c r="C62" s="389"/>
      <c r="D62" s="390">
        <f>Inputs!D62</f>
        <v>0</v>
      </c>
      <c r="E62" s="390">
        <f>Inputs!E62</f>
        <v>0</v>
      </c>
      <c r="F62" s="390">
        <f>Inputs!F62</f>
        <v>0</v>
      </c>
      <c r="G62" s="390">
        <f>Inputs!G62</f>
        <v>19385</v>
      </c>
      <c r="H62" s="390">
        <f>Inputs!H62</f>
        <v>34061.919999999998</v>
      </c>
      <c r="I62" s="386"/>
      <c r="J62" s="385"/>
    </row>
    <row r="63" spans="1:10" x14ac:dyDescent="0.25">
      <c r="A63" s="389" t="str">
        <f>Inputs!A63</f>
        <v>Top Energy</v>
      </c>
      <c r="B63" s="389">
        <f>Inputs!B63</f>
        <v>13</v>
      </c>
      <c r="C63" s="389"/>
      <c r="D63" s="390">
        <f>Inputs!D63</f>
        <v>0</v>
      </c>
      <c r="E63" s="390">
        <f>Inputs!E63</f>
        <v>0</v>
      </c>
      <c r="F63" s="390">
        <f>Inputs!F63</f>
        <v>0</v>
      </c>
      <c r="G63" s="390">
        <f>Inputs!G63</f>
        <v>19917</v>
      </c>
      <c r="H63" s="390">
        <f>Inputs!H63</f>
        <v>22598.74</v>
      </c>
      <c r="I63" s="386"/>
      <c r="J63" s="385"/>
    </row>
    <row r="64" spans="1:10" x14ac:dyDescent="0.25">
      <c r="A64" s="389" t="str">
        <f>Inputs!A64</f>
        <v>Unison Networks</v>
      </c>
      <c r="B64" s="389">
        <f>Inputs!B64</f>
        <v>14</v>
      </c>
      <c r="C64" s="389"/>
      <c r="D64" s="390">
        <f>Inputs!D64</f>
        <v>0</v>
      </c>
      <c r="E64" s="390">
        <f>Inputs!E64</f>
        <v>0</v>
      </c>
      <c r="F64" s="390">
        <f>Inputs!F64</f>
        <v>0</v>
      </c>
      <c r="G64" s="390">
        <f>Inputs!G64</f>
        <v>75494.279012052706</v>
      </c>
      <c r="H64" s="390">
        <f>Inputs!H64</f>
        <v>92956.904132913696</v>
      </c>
      <c r="I64" s="386"/>
      <c r="J64" s="385"/>
    </row>
    <row r="65" spans="1:10" x14ac:dyDescent="0.25">
      <c r="A65" s="389" t="str">
        <f>Inputs!A65</f>
        <v>Vector Lines</v>
      </c>
      <c r="B65" s="389">
        <f>Inputs!B65</f>
        <v>15</v>
      </c>
      <c r="C65" s="389"/>
      <c r="D65" s="390">
        <f>Inputs!D65</f>
        <v>0</v>
      </c>
      <c r="E65" s="390">
        <f>Inputs!E65</f>
        <v>0</v>
      </c>
      <c r="F65" s="390">
        <f>Inputs!F65</f>
        <v>0</v>
      </c>
      <c r="G65" s="390">
        <f>Inputs!G65</f>
        <v>308324</v>
      </c>
      <c r="H65" s="390">
        <f>Inputs!H65</f>
        <v>382111</v>
      </c>
      <c r="I65" s="386"/>
      <c r="J65" s="385"/>
    </row>
    <row r="66" spans="1:10" x14ac:dyDescent="0.25">
      <c r="A66" s="201" t="str">
        <f>Inputs!A66</f>
        <v>Wellington Electricity</v>
      </c>
      <c r="B66" s="201">
        <f>Inputs!B66</f>
        <v>16</v>
      </c>
      <c r="C66" s="201"/>
      <c r="D66" s="202">
        <f>Inputs!D66</f>
        <v>0</v>
      </c>
      <c r="E66" s="202">
        <f>Inputs!E66</f>
        <v>0</v>
      </c>
      <c r="F66" s="202">
        <f>Inputs!F66</f>
        <v>0</v>
      </c>
      <c r="G66" s="202">
        <f>Inputs!G66</f>
        <v>46504.271768311402</v>
      </c>
      <c r="H66" s="202">
        <f>Inputs!H66</f>
        <v>55530.4742216546</v>
      </c>
      <c r="I66" s="386"/>
      <c r="J66" s="385"/>
    </row>
    <row r="67" spans="1:10" x14ac:dyDescent="0.25">
      <c r="A67" s="108" t="s">
        <v>252</v>
      </c>
      <c r="B67" s="108"/>
      <c r="C67" s="108"/>
      <c r="D67" s="108"/>
      <c r="E67" s="108"/>
      <c r="F67" s="108"/>
      <c r="G67" s="108"/>
      <c r="H67" s="108"/>
      <c r="I67" s="108"/>
      <c r="J67" s="108"/>
    </row>
    <row r="68" spans="1:10" x14ac:dyDescent="0.25">
      <c r="A68" s="206" t="s">
        <v>247</v>
      </c>
      <c r="B68" s="206"/>
      <c r="C68" s="206"/>
      <c r="D68" s="205">
        <f>SUM(D51:D66)</f>
        <v>0</v>
      </c>
      <c r="E68" s="205">
        <f t="shared" ref="E68:F68" si="8">SUM(E51:E66)</f>
        <v>0</v>
      </c>
      <c r="F68" s="205">
        <f t="shared" si="8"/>
        <v>0</v>
      </c>
      <c r="G68" s="205">
        <f>SUM(G51:G66)</f>
        <v>1019797.4942105585</v>
      </c>
      <c r="H68" s="205">
        <f>SUM(H51:H66)</f>
        <v>1221867.5623060851</v>
      </c>
      <c r="I68" s="386"/>
      <c r="J68" s="385"/>
    </row>
    <row r="69" spans="1:10" x14ac:dyDescent="0.25">
      <c r="A69" s="402" t="s">
        <v>248</v>
      </c>
      <c r="B69" s="397"/>
      <c r="C69" s="397"/>
      <c r="D69" s="390">
        <f>SUMPRODUCT(D51:D66,$I$6:$I$21)</f>
        <v>0</v>
      </c>
      <c r="E69" s="390">
        <f t="shared" ref="E69:H69" si="9">SUMPRODUCT(E51:E66,$I$6:$I$21)</f>
        <v>0</v>
      </c>
      <c r="F69" s="390">
        <f t="shared" si="9"/>
        <v>0</v>
      </c>
      <c r="G69" s="390">
        <f>SUMPRODUCT(G51:G66,$I$6:$I$21)</f>
        <v>179406.23033865212</v>
      </c>
      <c r="H69" s="390">
        <f t="shared" si="9"/>
        <v>214378.62226573486</v>
      </c>
      <c r="I69" s="386"/>
      <c r="J69" s="385"/>
    </row>
    <row r="70" spans="1:10" x14ac:dyDescent="0.25">
      <c r="A70" s="397" t="s">
        <v>249</v>
      </c>
      <c r="B70" s="397"/>
      <c r="C70" s="397"/>
      <c r="D70" s="390">
        <f>SUMPRODUCT(D51:D66,$J$6:$J$21)</f>
        <v>0</v>
      </c>
      <c r="E70" s="390">
        <f>SUMPRODUCT(E51:E66,$J$6:$J$21)</f>
        <v>0</v>
      </c>
      <c r="F70" s="390">
        <f t="shared" ref="F70:H70" si="10">SUMPRODUCT(F51:F66,$J$6:$J$21)</f>
        <v>0</v>
      </c>
      <c r="G70" s="390">
        <f t="shared" si="10"/>
        <v>188692.82614575152</v>
      </c>
      <c r="H70" s="390">
        <f t="shared" si="10"/>
        <v>226656.51712770402</v>
      </c>
      <c r="I70" s="386"/>
      <c r="J70" s="385"/>
    </row>
    <row r="71" spans="1:10" x14ac:dyDescent="0.25">
      <c r="A71" s="399"/>
      <c r="B71" s="403"/>
      <c r="C71" s="400"/>
      <c r="D71" s="404"/>
      <c r="E71" s="404"/>
      <c r="F71" s="405"/>
      <c r="G71" s="404"/>
      <c r="H71" s="404"/>
      <c r="I71" s="386"/>
      <c r="J71" s="385"/>
    </row>
    <row r="72" spans="1:10" x14ac:dyDescent="0.25">
      <c r="A72" s="108" t="s">
        <v>250</v>
      </c>
      <c r="B72" s="108"/>
      <c r="C72" s="108"/>
      <c r="D72" s="108"/>
      <c r="E72" s="108"/>
      <c r="F72" s="108"/>
      <c r="G72" s="108"/>
      <c r="H72" s="108"/>
      <c r="I72" s="108"/>
      <c r="J72" s="108"/>
    </row>
    <row r="73" spans="1:10" x14ac:dyDescent="0.25">
      <c r="A73" s="206" t="s">
        <v>247</v>
      </c>
      <c r="B73" s="206"/>
      <c r="C73" s="206"/>
      <c r="D73" s="205">
        <f>D46+D68</f>
        <v>712447.73971630423</v>
      </c>
      <c r="E73" s="205">
        <f t="shared" ref="D73:H75" si="11">E46+E68</f>
        <v>766477.05019007437</v>
      </c>
      <c r="F73" s="205">
        <f t="shared" si="11"/>
        <v>813393.51841063425</v>
      </c>
      <c r="G73" s="205">
        <f t="shared" si="11"/>
        <v>1019797.4942105585</v>
      </c>
      <c r="H73" s="407">
        <f t="shared" si="11"/>
        <v>1221867.5623060851</v>
      </c>
      <c r="I73" s="406">
        <f>SUM(D73:H73)</f>
        <v>4533983.3648336567</v>
      </c>
      <c r="J73" s="385"/>
    </row>
    <row r="74" spans="1:10" x14ac:dyDescent="0.25">
      <c r="A74" s="397" t="s">
        <v>248</v>
      </c>
      <c r="B74" s="397"/>
      <c r="C74" s="397"/>
      <c r="D74" s="390">
        <f>D47+D69</f>
        <v>126401.12730459416</v>
      </c>
      <c r="E74" s="390">
        <f t="shared" si="11"/>
        <v>127119.22047145017</v>
      </c>
      <c r="F74" s="390">
        <f t="shared" si="11"/>
        <v>141698.24066025473</v>
      </c>
      <c r="G74" s="390">
        <f>G47+G69</f>
        <v>179406.23033865212</v>
      </c>
      <c r="H74" s="394">
        <f t="shared" si="11"/>
        <v>214378.62226573486</v>
      </c>
      <c r="I74" s="398">
        <f t="shared" ref="I74:I75" si="12">SUM(D74:H74)</f>
        <v>789003.44104068598</v>
      </c>
      <c r="J74" s="385"/>
    </row>
    <row r="75" spans="1:10" x14ac:dyDescent="0.25">
      <c r="A75" s="397" t="s">
        <v>249</v>
      </c>
      <c r="B75" s="397"/>
      <c r="C75" s="397"/>
      <c r="D75" s="390">
        <f t="shared" si="11"/>
        <v>132640.73862318063</v>
      </c>
      <c r="E75" s="390">
        <f t="shared" si="11"/>
        <v>130377.43780216688</v>
      </c>
      <c r="F75" s="390">
        <f t="shared" si="11"/>
        <v>147889.82033722755</v>
      </c>
      <c r="G75" s="390">
        <f t="shared" si="11"/>
        <v>188692.82614575152</v>
      </c>
      <c r="H75" s="391">
        <f t="shared" si="11"/>
        <v>226656.51712770402</v>
      </c>
      <c r="I75" s="398">
        <f t="shared" si="12"/>
        <v>826257.34003603051</v>
      </c>
      <c r="J75" s="385"/>
    </row>
    <row r="76" spans="1:10" x14ac:dyDescent="0.25">
      <c r="A76" s="403"/>
      <c r="B76" s="403"/>
      <c r="C76" s="403"/>
      <c r="D76" s="403"/>
      <c r="E76" s="403"/>
      <c r="F76" s="403"/>
      <c r="G76" s="403"/>
      <c r="H76" s="403"/>
      <c r="I76" s="403"/>
      <c r="J76" s="385"/>
    </row>
    <row r="77" spans="1:10" x14ac:dyDescent="0.25">
      <c r="A77" s="108" t="s">
        <v>181</v>
      </c>
      <c r="B77" s="108"/>
      <c r="C77" s="108"/>
      <c r="D77" s="108"/>
      <c r="E77" s="108"/>
      <c r="F77" s="108"/>
      <c r="G77" s="108"/>
      <c r="H77" s="108"/>
      <c r="I77" s="108"/>
      <c r="J77" s="108"/>
    </row>
    <row r="78" spans="1:10" x14ac:dyDescent="0.25">
      <c r="A78" s="206" t="str">
        <f>A73</f>
        <v>Aggregate</v>
      </c>
      <c r="B78" s="84"/>
      <c r="C78" s="207"/>
      <c r="D78" s="207">
        <f>D73-D24</f>
        <v>-1477.8345032465877</v>
      </c>
      <c r="E78" s="207">
        <f t="shared" ref="D78:I80" si="13">E73-E24</f>
        <v>-663.22881227883045</v>
      </c>
      <c r="F78" s="207">
        <f t="shared" si="13"/>
        <v>18966.141869902611</v>
      </c>
      <c r="G78" s="207">
        <f t="shared" si="13"/>
        <v>202870.10777164088</v>
      </c>
      <c r="H78" s="207">
        <f t="shared" si="13"/>
        <v>427527.9176494577</v>
      </c>
      <c r="I78" s="207">
        <f t="shared" si="13"/>
        <v>647223.10397547577</v>
      </c>
      <c r="J78" s="1"/>
    </row>
    <row r="79" spans="1:10" x14ac:dyDescent="0.25">
      <c r="A79" s="397" t="str">
        <f>A74</f>
        <v>Aggregate (weighted)</v>
      </c>
      <c r="B79" s="270"/>
      <c r="C79" s="314"/>
      <c r="D79" s="314">
        <f>D74-D25</f>
        <v>1981.5463522117934</v>
      </c>
      <c r="E79" s="314">
        <f t="shared" si="13"/>
        <v>-8619.7252664834814</v>
      </c>
      <c r="F79" s="314">
        <f t="shared" si="13"/>
        <v>1839.1177021767944</v>
      </c>
      <c r="G79" s="314">
        <f t="shared" si="13"/>
        <v>33743.514378781168</v>
      </c>
      <c r="H79" s="314">
        <f t="shared" si="13"/>
        <v>71923.031902451854</v>
      </c>
      <c r="I79" s="314">
        <f t="shared" si="13"/>
        <v>100867.48506913811</v>
      </c>
      <c r="J79" s="1"/>
    </row>
    <row r="80" spans="1:10" x14ac:dyDescent="0.25">
      <c r="A80" s="397" t="str">
        <f>A75</f>
        <v>Aggregate (weighted) (excluding Aurora)</v>
      </c>
      <c r="B80" s="302"/>
      <c r="C80" s="302"/>
      <c r="D80" s="314">
        <f t="shared" si="13"/>
        <v>886.65050746590714</v>
      </c>
      <c r="E80" s="314">
        <f t="shared" si="13"/>
        <v>-11029.272372908366</v>
      </c>
      <c r="F80" s="314">
        <f t="shared" si="13"/>
        <v>918.20353548918501</v>
      </c>
      <c r="G80" s="314">
        <f t="shared" si="13"/>
        <v>36563.601962800603</v>
      </c>
      <c r="H80" s="314">
        <f t="shared" si="13"/>
        <v>77422.775319674372</v>
      </c>
      <c r="I80" s="314">
        <f t="shared" si="13"/>
        <v>104761.95895252156</v>
      </c>
      <c r="J80" s="1"/>
    </row>
    <row r="81" spans="1:10" x14ac:dyDescent="0.25">
      <c r="A81" s="403"/>
      <c r="B81" s="403"/>
      <c r="C81" s="403"/>
      <c r="D81" s="403"/>
      <c r="E81" s="403"/>
      <c r="F81" s="403"/>
      <c r="G81" s="403"/>
      <c r="H81" s="403"/>
      <c r="I81" s="403"/>
      <c r="J81" s="385"/>
    </row>
    <row r="82" spans="1:10" x14ac:dyDescent="0.25">
      <c r="A82" s="108" t="s">
        <v>182</v>
      </c>
      <c r="B82" s="108"/>
      <c r="C82" s="108"/>
      <c r="D82" s="108"/>
      <c r="E82" s="108"/>
      <c r="F82" s="108"/>
      <c r="G82" s="108"/>
      <c r="H82" s="108"/>
      <c r="I82" s="108"/>
      <c r="J82" s="108"/>
    </row>
    <row r="83" spans="1:10" x14ac:dyDescent="0.25">
      <c r="A83" s="206" t="str">
        <f>A78</f>
        <v>Aggregate</v>
      </c>
      <c r="B83" s="206"/>
      <c r="C83" s="206"/>
      <c r="D83" s="208">
        <f t="shared" ref="D83:I85" si="14">D78/D24</f>
        <v>-2.0700119965055557E-3</v>
      </c>
      <c r="E83" s="208">
        <f t="shared" si="14"/>
        <v>-8.6454698108322898E-4</v>
      </c>
      <c r="F83" s="208">
        <f t="shared" si="14"/>
        <v>2.387397820111526E-2</v>
      </c>
      <c r="G83" s="208">
        <f t="shared" si="14"/>
        <v>0.24833309684472141</v>
      </c>
      <c r="H83" s="208">
        <f t="shared" si="14"/>
        <v>0.53821802867999491</v>
      </c>
      <c r="I83" s="208">
        <f t="shared" si="14"/>
        <v>0.16651994477080806</v>
      </c>
      <c r="J83" s="385"/>
    </row>
    <row r="84" spans="1:10" x14ac:dyDescent="0.25">
      <c r="A84" s="397" t="str">
        <f>A79</f>
        <v>Aggregate (weighted)</v>
      </c>
      <c r="B84" s="397"/>
      <c r="C84" s="397"/>
      <c r="D84" s="332">
        <f t="shared" si="14"/>
        <v>1.5926322344472187E-2</v>
      </c>
      <c r="E84" s="332">
        <f t="shared" si="14"/>
        <v>-6.3502226421629046E-2</v>
      </c>
      <c r="F84" s="332">
        <f t="shared" si="14"/>
        <v>1.314978718069082E-2</v>
      </c>
      <c r="G84" s="332">
        <f t="shared" si="14"/>
        <v>0.23165512297654306</v>
      </c>
      <c r="H84" s="332">
        <f t="shared" si="14"/>
        <v>0.50488037513331274</v>
      </c>
      <c r="I84" s="332">
        <f t="shared" si="14"/>
        <v>0.14658075078598079</v>
      </c>
      <c r="J84" s="385"/>
    </row>
    <row r="85" spans="1:10" x14ac:dyDescent="0.25">
      <c r="A85" s="397" t="str">
        <f>A80</f>
        <v>Aggregate (weighted) (excluding Aurora)</v>
      </c>
      <c r="B85" s="397"/>
      <c r="C85" s="397"/>
      <c r="D85" s="332">
        <f t="shared" si="14"/>
        <v>6.7295863084505959E-3</v>
      </c>
      <c r="E85" s="332">
        <f t="shared" si="14"/>
        <v>-7.7996810471391745E-2</v>
      </c>
      <c r="F85" s="332">
        <f t="shared" si="14"/>
        <v>6.2474888381191477E-3</v>
      </c>
      <c r="G85" s="332">
        <f t="shared" si="14"/>
        <v>0.24034568084583893</v>
      </c>
      <c r="H85" s="332">
        <f t="shared" si="14"/>
        <v>0.51880207774505172</v>
      </c>
      <c r="I85" s="332">
        <f t="shared" si="14"/>
        <v>0.1452011498607168</v>
      </c>
      <c r="J85" s="385"/>
    </row>
    <row r="86" spans="1:10" x14ac:dyDescent="0.25">
      <c r="A86" s="403"/>
      <c r="B86" s="400"/>
      <c r="C86" s="400"/>
      <c r="D86" s="400"/>
      <c r="E86" s="400"/>
      <c r="F86" s="400"/>
      <c r="G86" s="400"/>
      <c r="H86" s="400"/>
      <c r="I86" s="400"/>
      <c r="J86" s="385"/>
    </row>
    <row r="87" spans="1:10" ht="23.25" x14ac:dyDescent="0.35">
      <c r="A87" s="299" t="s">
        <v>256</v>
      </c>
      <c r="B87" s="299"/>
      <c r="C87" s="299"/>
      <c r="D87" s="299"/>
      <c r="E87" s="299"/>
      <c r="F87" s="299"/>
      <c r="G87" s="299"/>
      <c r="H87" s="299"/>
      <c r="I87" s="299"/>
      <c r="J87" s="299"/>
    </row>
    <row r="88" spans="1:10" x14ac:dyDescent="0.25">
      <c r="A88" s="108" t="str">
        <f>Inputs!A88</f>
        <v>Opex allowance</v>
      </c>
      <c r="B88" s="108"/>
      <c r="C88" s="108"/>
      <c r="D88" s="108"/>
      <c r="E88" s="108"/>
      <c r="F88" s="108"/>
      <c r="G88" s="108"/>
      <c r="H88" s="108"/>
      <c r="I88" s="108"/>
      <c r="J88" s="108"/>
    </row>
    <row r="89" spans="1:10" s="1" customFormat="1" ht="45.75" customHeight="1" x14ac:dyDescent="0.25">
      <c r="A89" s="388"/>
      <c r="B89" s="388"/>
      <c r="C89" s="388"/>
      <c r="D89" s="388">
        <v>2021</v>
      </c>
      <c r="E89" s="388">
        <v>2022</v>
      </c>
      <c r="F89" s="388">
        <v>2023</v>
      </c>
      <c r="G89" s="388">
        <v>2024</v>
      </c>
      <c r="H89" s="146">
        <v>2025</v>
      </c>
      <c r="I89" s="146" t="s">
        <v>245</v>
      </c>
      <c r="J89" s="388" t="s">
        <v>246</v>
      </c>
    </row>
    <row r="90" spans="1:10" x14ac:dyDescent="0.25">
      <c r="A90" s="389" t="str">
        <f>Inputs!A90</f>
        <v>Alpine Energy</v>
      </c>
      <c r="B90" s="389">
        <f>Inputs!B90</f>
        <v>1</v>
      </c>
      <c r="C90" s="389"/>
      <c r="D90" s="390">
        <f>Inputs!D90</f>
        <v>19420.272954529883</v>
      </c>
      <c r="E90" s="390">
        <f>Inputs!E90</f>
        <v>20012.120279799667</v>
      </c>
      <c r="F90" s="390">
        <f>Inputs!F90</f>
        <v>20629.432088719677</v>
      </c>
      <c r="G90" s="390">
        <f>Inputs!G90</f>
        <v>21237.104508905344</v>
      </c>
      <c r="H90" s="202">
        <f>Inputs!H90</f>
        <v>21815.917390452156</v>
      </c>
      <c r="I90" s="393">
        <f t="shared" ref="I90:I105" si="15">SUM($D90:$H90)/SUM($D$109:$H$109)</f>
        <v>3.6401337316569082E-2</v>
      </c>
      <c r="J90" s="392">
        <f>SUM($D90:$H90)/(SUM($D$109:$H$109)-SUM($D$91:$H$91))</f>
        <v>3.9930927198007497E-2</v>
      </c>
    </row>
    <row r="91" spans="1:10" x14ac:dyDescent="0.25">
      <c r="A91" s="389" t="str">
        <f>Inputs!A91</f>
        <v>Aurora Energy</v>
      </c>
      <c r="B91" s="389">
        <f>Inputs!B91</f>
        <v>2</v>
      </c>
      <c r="C91" s="389"/>
      <c r="D91" s="390">
        <f>Inputs!D91</f>
        <v>45951</v>
      </c>
      <c r="E91" s="390">
        <f>Inputs!E91</f>
        <v>53414</v>
      </c>
      <c r="F91" s="390">
        <f>Inputs!F91</f>
        <v>52096</v>
      </c>
      <c r="G91" s="390">
        <f>Inputs!G91</f>
        <v>50204</v>
      </c>
      <c r="H91" s="394">
        <f>Inputs!H91</f>
        <v>48726</v>
      </c>
      <c r="I91" s="393">
        <f t="shared" si="15"/>
        <v>8.8392384778246222E-2</v>
      </c>
      <c r="J91" s="392"/>
    </row>
    <row r="92" spans="1:10" x14ac:dyDescent="0.25">
      <c r="A92" s="389" t="str">
        <f>Inputs!A92</f>
        <v>EA Networks</v>
      </c>
      <c r="B92" s="389">
        <f>Inputs!B92</f>
        <v>3</v>
      </c>
      <c r="C92" s="389"/>
      <c r="D92" s="390">
        <f>Inputs!D92</f>
        <v>12666</v>
      </c>
      <c r="E92" s="390">
        <f>Inputs!E92</f>
        <v>13058</v>
      </c>
      <c r="F92" s="390">
        <f>Inputs!F92</f>
        <v>13468</v>
      </c>
      <c r="G92" s="390">
        <f>Inputs!G92</f>
        <v>13906</v>
      </c>
      <c r="H92" s="202">
        <f>Inputs!H92</f>
        <v>14329</v>
      </c>
      <c r="I92" s="396">
        <f t="shared" si="15"/>
        <v>2.3802905569460596E-2</v>
      </c>
      <c r="J92" s="392">
        <f t="shared" ref="J92:J105" si="16">SUM($D92:$H92)/(SUM($D$109:$H$109)-SUM($D$91:$H$91))</f>
        <v>2.6110911286837377E-2</v>
      </c>
    </row>
    <row r="93" spans="1:10" x14ac:dyDescent="0.25">
      <c r="A93" s="389" t="str">
        <f>Inputs!A93</f>
        <v>Electricity Invercargill</v>
      </c>
      <c r="B93" s="389">
        <f>Inputs!B93</f>
        <v>4</v>
      </c>
      <c r="C93" s="389"/>
      <c r="D93" s="390">
        <f>Inputs!D93</f>
        <v>5180.7118078829417</v>
      </c>
      <c r="E93" s="390">
        <f>Inputs!E93</f>
        <v>5310.5866354806431</v>
      </c>
      <c r="F93" s="390">
        <f>Inputs!F93</f>
        <v>5445.680405811705</v>
      </c>
      <c r="G93" s="390">
        <f>Inputs!G93</f>
        <v>5585.0372989621037</v>
      </c>
      <c r="H93" s="202">
        <f>Inputs!H93</f>
        <v>5715.7104429980354</v>
      </c>
      <c r="I93" s="396">
        <f t="shared" si="15"/>
        <v>9.6153919642811107E-3</v>
      </c>
      <c r="J93" s="392">
        <f t="shared" si="16"/>
        <v>1.0547731067321231E-2</v>
      </c>
    </row>
    <row r="94" spans="1:10" x14ac:dyDescent="0.25">
      <c r="A94" s="389" t="str">
        <f>Inputs!A94</f>
        <v>Firstlight Network</v>
      </c>
      <c r="B94" s="389">
        <f>Inputs!B94</f>
        <v>5</v>
      </c>
      <c r="C94" s="389"/>
      <c r="D94" s="390">
        <f>Inputs!D94</f>
        <v>10620</v>
      </c>
      <c r="E94" s="390">
        <f>Inputs!E94</f>
        <v>10902</v>
      </c>
      <c r="F94" s="390">
        <f>Inputs!F94</f>
        <v>11197</v>
      </c>
      <c r="G94" s="390">
        <f>Inputs!G94</f>
        <v>11499</v>
      </c>
      <c r="H94" s="202">
        <f>Inputs!H94</f>
        <v>11783.558278263976</v>
      </c>
      <c r="I94" s="396">
        <f t="shared" si="15"/>
        <v>1.9769525611997595E-2</v>
      </c>
      <c r="J94" s="392">
        <f t="shared" si="16"/>
        <v>2.1686441931695079E-2</v>
      </c>
    </row>
    <row r="95" spans="1:10" x14ac:dyDescent="0.25">
      <c r="A95" s="389" t="str">
        <f>Inputs!A95</f>
        <v>Horizon Energy</v>
      </c>
      <c r="B95" s="389">
        <f>Inputs!B95</f>
        <v>6</v>
      </c>
      <c r="C95" s="389"/>
      <c r="D95" s="390">
        <f>Inputs!D95</f>
        <v>9978</v>
      </c>
      <c r="E95" s="390">
        <f>Inputs!E95</f>
        <v>10255</v>
      </c>
      <c r="F95" s="390">
        <f>Inputs!F95</f>
        <v>10544</v>
      </c>
      <c r="G95" s="390">
        <f>Inputs!G95</f>
        <v>10841</v>
      </c>
      <c r="H95" s="202">
        <f>Inputs!H95</f>
        <v>11121</v>
      </c>
      <c r="I95" s="396">
        <f t="shared" si="15"/>
        <v>1.8617785706434846E-2</v>
      </c>
      <c r="J95" s="392">
        <f t="shared" si="16"/>
        <v>2.0423025647834197E-2</v>
      </c>
    </row>
    <row r="96" spans="1:10" x14ac:dyDescent="0.25">
      <c r="A96" s="389" t="str">
        <f>Inputs!A96</f>
        <v>Nelson Electricity</v>
      </c>
      <c r="B96" s="389">
        <f>Inputs!B96</f>
        <v>7</v>
      </c>
      <c r="C96" s="389"/>
      <c r="D96" s="390">
        <f>Inputs!D96</f>
        <v>2255</v>
      </c>
      <c r="E96" s="390">
        <f>Inputs!E96</f>
        <v>2325</v>
      </c>
      <c r="F96" s="390">
        <f>Inputs!F96</f>
        <v>2398</v>
      </c>
      <c r="G96" s="390">
        <f>Inputs!G96</f>
        <v>2473</v>
      </c>
      <c r="H96" s="202">
        <f>Inputs!H96</f>
        <v>2545</v>
      </c>
      <c r="I96" s="396">
        <f t="shared" si="15"/>
        <v>4.2347969687402572E-3</v>
      </c>
      <c r="J96" s="392">
        <f t="shared" si="16"/>
        <v>4.6454164028786864E-3</v>
      </c>
    </row>
    <row r="97" spans="1:10" x14ac:dyDescent="0.25">
      <c r="A97" s="389" t="str">
        <f>Inputs!A97</f>
        <v>Network Tasman</v>
      </c>
      <c r="B97" s="389">
        <f>Inputs!B97</f>
        <v>8</v>
      </c>
      <c r="C97" s="389"/>
      <c r="D97" s="390">
        <f>Inputs!D97</f>
        <v>11161</v>
      </c>
      <c r="E97" s="390">
        <f>Inputs!E97</f>
        <v>11513.079497756995</v>
      </c>
      <c r="F97" s="390">
        <f>Inputs!F97</f>
        <v>11880.376540380918</v>
      </c>
      <c r="G97" s="390">
        <f>Inputs!G97</f>
        <v>12252.618877414719</v>
      </c>
      <c r="H97" s="202">
        <f>Inputs!H97</f>
        <v>12609.498185049688</v>
      </c>
      <c r="I97" s="396">
        <f t="shared" si="15"/>
        <v>2.097508533339151E-2</v>
      </c>
      <c r="J97" s="392">
        <f t="shared" si="16"/>
        <v>2.3008896572555729E-2</v>
      </c>
    </row>
    <row r="98" spans="1:10" x14ac:dyDescent="0.25">
      <c r="A98" s="389" t="str">
        <f>Inputs!A98</f>
        <v>Orion NZ</v>
      </c>
      <c r="B98" s="389">
        <f>Inputs!B98</f>
        <v>9</v>
      </c>
      <c r="C98" s="389"/>
      <c r="D98" s="390">
        <f>Inputs!D98</f>
        <v>64153.54839840129</v>
      </c>
      <c r="E98" s="390">
        <f>Inputs!E98</f>
        <v>66487.65442505297</v>
      </c>
      <c r="F98" s="390">
        <f>Inputs!F98</f>
        <v>68931.505534761251</v>
      </c>
      <c r="G98" s="390">
        <f>Inputs!G98</f>
        <v>71320.638016152108</v>
      </c>
      <c r="H98" s="202">
        <f>Inputs!H98</f>
        <v>73634.73385941294</v>
      </c>
      <c r="I98" s="396">
        <f t="shared" si="15"/>
        <v>0.1216244139563116</v>
      </c>
      <c r="J98" s="392">
        <f t="shared" si="16"/>
        <v>0.13341750543266992</v>
      </c>
    </row>
    <row r="99" spans="1:10" x14ac:dyDescent="0.25">
      <c r="A99" s="389" t="str">
        <f>Inputs!A99</f>
        <v>OtagoNet</v>
      </c>
      <c r="B99" s="389">
        <f>Inputs!B99</f>
        <v>10</v>
      </c>
      <c r="C99" s="389"/>
      <c r="D99" s="390">
        <f>Inputs!D99</f>
        <v>9162.9239113704207</v>
      </c>
      <c r="E99" s="390">
        <f>Inputs!E99</f>
        <v>9425.276484157599</v>
      </c>
      <c r="F99" s="390">
        <f>Inputs!F99</f>
        <v>9698.6497569249568</v>
      </c>
      <c r="G99" s="390">
        <f>Inputs!G99</f>
        <v>9957.7843427989283</v>
      </c>
      <c r="H99" s="202">
        <f>Inputs!H99</f>
        <v>10201.98054950084</v>
      </c>
      <c r="I99" s="396">
        <f t="shared" si="15"/>
        <v>1.7102499044451908E-2</v>
      </c>
      <c r="J99" s="392">
        <f t="shared" si="16"/>
        <v>1.876081195338811E-2</v>
      </c>
    </row>
    <row r="100" spans="1:10" x14ac:dyDescent="0.25">
      <c r="A100" s="389" t="str">
        <f>Inputs!A100</f>
        <v>Powerco</v>
      </c>
      <c r="B100" s="389">
        <f>Inputs!B100</f>
        <v>11</v>
      </c>
      <c r="C100" s="389"/>
      <c r="D100" s="390">
        <f>Inputs!D100</f>
        <v>99660</v>
      </c>
      <c r="E100" s="390">
        <f>Inputs!E100</f>
        <v>98445</v>
      </c>
      <c r="F100" s="390">
        <f>Inputs!F100</f>
        <v>98132</v>
      </c>
      <c r="G100" s="390">
        <f>Inputs!G100</f>
        <v>121090</v>
      </c>
      <c r="H100" s="202">
        <f>Inputs!H100</f>
        <v>126524</v>
      </c>
      <c r="I100" s="396">
        <f t="shared" si="15"/>
        <v>0.19198887681280072</v>
      </c>
      <c r="J100" s="392">
        <f t="shared" si="16"/>
        <v>0.21060473125391602</v>
      </c>
    </row>
    <row r="101" spans="1:10" x14ac:dyDescent="0.25">
      <c r="A101" s="389" t="str">
        <f>Inputs!A101</f>
        <v>The Lines Company</v>
      </c>
      <c r="B101" s="389">
        <f>Inputs!B101</f>
        <v>12</v>
      </c>
      <c r="C101" s="389"/>
      <c r="D101" s="390">
        <f>Inputs!D101</f>
        <v>14917</v>
      </c>
      <c r="E101" s="390">
        <f>Inputs!E101</f>
        <v>15307</v>
      </c>
      <c r="F101" s="390">
        <f>Inputs!F101</f>
        <v>15712</v>
      </c>
      <c r="G101" s="390">
        <f>Inputs!G101</f>
        <v>16112</v>
      </c>
      <c r="H101" s="202">
        <f>Inputs!H101</f>
        <v>16487</v>
      </c>
      <c r="I101" s="396">
        <f t="shared" si="15"/>
        <v>2.7724223069357793E-2</v>
      </c>
      <c r="J101" s="392">
        <f t="shared" si="16"/>
        <v>3.041245225075672E-2</v>
      </c>
    </row>
    <row r="102" spans="1:10" x14ac:dyDescent="0.25">
      <c r="A102" s="389" t="str">
        <f>Inputs!A102</f>
        <v>Top Energy</v>
      </c>
      <c r="B102" s="389">
        <f>Inputs!B102</f>
        <v>13</v>
      </c>
      <c r="C102" s="389"/>
      <c r="D102" s="390">
        <f>Inputs!D102</f>
        <v>16349</v>
      </c>
      <c r="E102" s="390">
        <f>Inputs!E102</f>
        <v>16831</v>
      </c>
      <c r="F102" s="390">
        <f>Inputs!F102</f>
        <v>17335</v>
      </c>
      <c r="G102" s="390">
        <f>Inputs!G102</f>
        <v>17852</v>
      </c>
      <c r="H102" s="202">
        <f>Inputs!H102</f>
        <v>18346</v>
      </c>
      <c r="I102" s="396">
        <f t="shared" si="15"/>
        <v>3.0611199529040838E-2</v>
      </c>
      <c r="J102" s="392">
        <f t="shared" si="16"/>
        <v>3.3579359164956614E-2</v>
      </c>
    </row>
    <row r="103" spans="1:10" x14ac:dyDescent="0.25">
      <c r="A103" s="389" t="str">
        <f>Inputs!A103</f>
        <v>Unison Networks</v>
      </c>
      <c r="B103" s="389">
        <f>Inputs!B103</f>
        <v>14</v>
      </c>
      <c r="C103" s="389"/>
      <c r="D103" s="390">
        <f>Inputs!D103</f>
        <v>41931</v>
      </c>
      <c r="E103" s="390">
        <f>Inputs!E103</f>
        <v>43234</v>
      </c>
      <c r="F103" s="390">
        <f>Inputs!F103</f>
        <v>44594</v>
      </c>
      <c r="G103" s="390">
        <f>Inputs!G103</f>
        <v>45966</v>
      </c>
      <c r="H103" s="202">
        <f>Inputs!H103</f>
        <v>47279</v>
      </c>
      <c r="I103" s="396">
        <f t="shared" si="15"/>
        <v>7.8724296700312793E-2</v>
      </c>
      <c r="J103" s="392">
        <f t="shared" si="16"/>
        <v>8.6357655844244624E-2</v>
      </c>
    </row>
    <row r="104" spans="1:10" x14ac:dyDescent="0.25">
      <c r="A104" s="389" t="str">
        <f>Inputs!A104</f>
        <v>Vector Lines</v>
      </c>
      <c r="B104" s="389">
        <f>Inputs!B104</f>
        <v>15</v>
      </c>
      <c r="C104" s="389"/>
      <c r="D104" s="390">
        <f>Inputs!D104</f>
        <v>129198</v>
      </c>
      <c r="E104" s="390">
        <f>Inputs!E104</f>
        <v>134295</v>
      </c>
      <c r="F104" s="390">
        <f>Inputs!F104</f>
        <v>139643</v>
      </c>
      <c r="G104" s="390">
        <f>Inputs!G104</f>
        <v>144816</v>
      </c>
      <c r="H104" s="202">
        <f>Inputs!H104</f>
        <v>149858</v>
      </c>
      <c r="I104" s="396">
        <f t="shared" si="15"/>
        <v>0.24633908575830599</v>
      </c>
      <c r="J104" s="392">
        <f t="shared" si="16"/>
        <v>0.27022490997772391</v>
      </c>
    </row>
    <row r="105" spans="1:10" x14ac:dyDescent="0.25">
      <c r="A105" s="389" t="str">
        <f>Inputs!A105</f>
        <v>Wellington Electricity</v>
      </c>
      <c r="B105" s="389">
        <f>Inputs!B105</f>
        <v>16</v>
      </c>
      <c r="C105" s="389"/>
      <c r="D105" s="390">
        <f>Inputs!D105</f>
        <v>34039</v>
      </c>
      <c r="E105" s="390">
        <f>Inputs!E105</f>
        <v>35217</v>
      </c>
      <c r="F105" s="390">
        <f>Inputs!F105</f>
        <v>36324</v>
      </c>
      <c r="G105" s="390">
        <f>Inputs!G105</f>
        <v>37434</v>
      </c>
      <c r="H105" s="390">
        <f>Inputs!H105</f>
        <v>38496</v>
      </c>
      <c r="I105" s="393">
        <f t="shared" si="15"/>
        <v>6.4076191880297104E-2</v>
      </c>
      <c r="J105" s="392">
        <f t="shared" si="16"/>
        <v>7.0289224015214272E-2</v>
      </c>
    </row>
    <row r="106" spans="1:10" x14ac:dyDescent="0.25">
      <c r="A106" s="201"/>
      <c r="B106" s="201"/>
      <c r="C106" s="201"/>
      <c r="D106" s="202"/>
      <c r="E106" s="202"/>
      <c r="F106" s="202"/>
      <c r="G106" s="202"/>
      <c r="H106" s="202"/>
      <c r="I106" s="203"/>
      <c r="J106" s="203"/>
    </row>
    <row r="107" spans="1:10" x14ac:dyDescent="0.25">
      <c r="A107" s="108" t="s">
        <v>252</v>
      </c>
      <c r="B107" s="108"/>
      <c r="C107" s="108"/>
      <c r="D107" s="108"/>
      <c r="E107" s="108"/>
      <c r="F107" s="108"/>
      <c r="G107" s="108"/>
      <c r="H107" s="108"/>
      <c r="I107" s="108"/>
      <c r="J107" s="108"/>
    </row>
    <row r="108" spans="1:10" s="1" customFormat="1" x14ac:dyDescent="0.25">
      <c r="A108" s="388"/>
      <c r="B108" s="388"/>
      <c r="C108" s="388"/>
      <c r="D108" s="388">
        <v>2021</v>
      </c>
      <c r="E108" s="388">
        <v>2022</v>
      </c>
      <c r="F108" s="388">
        <v>2023</v>
      </c>
      <c r="G108" s="388">
        <v>2024</v>
      </c>
      <c r="H108" s="146">
        <v>2025</v>
      </c>
      <c r="I108" s="388" t="s">
        <v>185</v>
      </c>
      <c r="J108" s="146"/>
    </row>
    <row r="109" spans="1:10" x14ac:dyDescent="0.25">
      <c r="A109" s="397" t="s">
        <v>247</v>
      </c>
      <c r="B109" s="397"/>
      <c r="C109" s="397"/>
      <c r="D109" s="390">
        <f>SUM(D90:D105)</f>
        <v>526642.45707218454</v>
      </c>
      <c r="E109" s="390">
        <f t="shared" ref="E109:H109" si="17">SUM(E90:E105)</f>
        <v>546031.7173222478</v>
      </c>
      <c r="F109" s="390">
        <f t="shared" si="17"/>
        <v>558028.6443265985</v>
      </c>
      <c r="G109" s="390">
        <f t="shared" si="17"/>
        <v>592546.18304423324</v>
      </c>
      <c r="H109" s="394">
        <f t="shared" si="17"/>
        <v>609472.39870567759</v>
      </c>
      <c r="I109" s="398">
        <f>SUM(D109:H109)</f>
        <v>2832721.4004709418</v>
      </c>
      <c r="J109" s="385"/>
    </row>
    <row r="110" spans="1:10" x14ac:dyDescent="0.25">
      <c r="A110" s="397" t="s">
        <v>248</v>
      </c>
      <c r="B110" s="397"/>
      <c r="C110" s="397"/>
      <c r="D110" s="390">
        <f>SUMPRODUCT(D90:D105,$I$90:$I$105)</f>
        <v>71074.895585078673</v>
      </c>
      <c r="E110" s="390">
        <f t="shared" ref="E110:H110" si="18">SUMPRODUCT(E90:E105,$I$90:$I$105)</f>
        <v>73299.426544140195</v>
      </c>
      <c r="F110" s="390">
        <f t="shared" si="18"/>
        <v>74999.57028451447</v>
      </c>
      <c r="G110" s="390">
        <f t="shared" si="18"/>
        <v>81068.894327556103</v>
      </c>
      <c r="H110" s="394">
        <f t="shared" si="18"/>
        <v>83757.142666558357</v>
      </c>
      <c r="I110" s="398">
        <f>SUM(D110:H110)</f>
        <v>384199.92940784781</v>
      </c>
      <c r="J110" s="385"/>
    </row>
    <row r="111" spans="1:10" x14ac:dyDescent="0.25">
      <c r="A111" s="397" t="s">
        <v>249</v>
      </c>
      <c r="B111" s="397"/>
      <c r="C111" s="397"/>
      <c r="D111" s="390">
        <f>SUMPRODUCT(D90:D105,$J$90:$J$105)</f>
        <v>73510.988711773913</v>
      </c>
      <c r="E111" s="390">
        <f t="shared" ref="E111:H111" si="19">SUMPRODUCT(E90:E105,$J$90:$J$105)</f>
        <v>75227.580988244546</v>
      </c>
      <c r="F111" s="390">
        <f t="shared" si="19"/>
        <v>77220.373581437278</v>
      </c>
      <c r="G111" s="390">
        <f t="shared" si="19"/>
        <v>84061.65302108413</v>
      </c>
      <c r="H111" s="391">
        <f t="shared" si="19"/>
        <v>87153.87410023647</v>
      </c>
      <c r="I111" s="398">
        <f>SUM(D111:H111)</f>
        <v>397174.47040277632</v>
      </c>
      <c r="J111" s="385"/>
    </row>
    <row r="112" spans="1:10" x14ac:dyDescent="0.25">
      <c r="A112" s="399"/>
      <c r="B112" s="400"/>
      <c r="C112" s="400"/>
      <c r="D112" s="400"/>
      <c r="E112" s="400"/>
      <c r="F112" s="400"/>
      <c r="G112" s="400"/>
      <c r="H112" s="400"/>
      <c r="I112" s="400"/>
      <c r="J112" s="385"/>
    </row>
    <row r="113" spans="1:10" x14ac:dyDescent="0.25">
      <c r="A113" s="108" t="str">
        <f>Inputs!A107</f>
        <v>Actual opex</v>
      </c>
      <c r="B113" s="108"/>
      <c r="C113" s="108"/>
      <c r="D113" s="108"/>
      <c r="E113" s="108"/>
      <c r="F113" s="108"/>
      <c r="G113" s="108"/>
      <c r="H113" s="108"/>
      <c r="I113" s="108"/>
      <c r="J113" s="108"/>
    </row>
    <row r="114" spans="1:10" x14ac:dyDescent="0.25">
      <c r="A114" s="204" t="str">
        <f>Inputs!A108</f>
        <v>Alpine Energy</v>
      </c>
      <c r="B114" s="204">
        <f>Inputs!B108</f>
        <v>1</v>
      </c>
      <c r="C114" s="204"/>
      <c r="D114" s="205">
        <f>Inputs!D108</f>
        <v>19956.6006247896</v>
      </c>
      <c r="E114" s="205">
        <f>Inputs!E108</f>
        <v>22245.4694628502</v>
      </c>
      <c r="F114" s="205">
        <f>Inputs!F108</f>
        <v>24894.350419999999</v>
      </c>
      <c r="G114" s="205">
        <f>Inputs!G108</f>
        <v>0</v>
      </c>
      <c r="H114" s="205">
        <f>Inputs!H108</f>
        <v>0</v>
      </c>
      <c r="I114" s="385"/>
      <c r="J114" s="385"/>
    </row>
    <row r="115" spans="1:10" x14ac:dyDescent="0.25">
      <c r="A115" s="389" t="str">
        <f>Inputs!A109</f>
        <v>Aurora Energy</v>
      </c>
      <c r="B115" s="389">
        <f>Inputs!B109</f>
        <v>2</v>
      </c>
      <c r="C115" s="389"/>
      <c r="D115" s="390">
        <f>Inputs!D109</f>
        <v>46252.2</v>
      </c>
      <c r="E115" s="390">
        <f>Inputs!E109</f>
        <v>46260</v>
      </c>
      <c r="F115" s="390">
        <f>Inputs!F109</f>
        <v>48271</v>
      </c>
      <c r="G115" s="390">
        <f>Inputs!G109</f>
        <v>0</v>
      </c>
      <c r="H115" s="390">
        <f>Inputs!H109</f>
        <v>0</v>
      </c>
      <c r="I115" s="385"/>
      <c r="J115" s="385"/>
    </row>
    <row r="116" spans="1:10" x14ac:dyDescent="0.25">
      <c r="A116" s="389" t="str">
        <f>Inputs!A110</f>
        <v>EA Networks</v>
      </c>
      <c r="B116" s="389">
        <f>Inputs!B110</f>
        <v>3</v>
      </c>
      <c r="C116" s="389"/>
      <c r="D116" s="390">
        <f>Inputs!D110</f>
        <v>12963</v>
      </c>
      <c r="E116" s="390">
        <f>Inputs!E110</f>
        <v>13621</v>
      </c>
      <c r="F116" s="390">
        <f>Inputs!F110</f>
        <v>15449</v>
      </c>
      <c r="G116" s="390">
        <f>Inputs!G110</f>
        <v>0</v>
      </c>
      <c r="H116" s="390">
        <f>Inputs!H110</f>
        <v>0</v>
      </c>
      <c r="I116" s="386"/>
      <c r="J116" s="385"/>
    </row>
    <row r="117" spans="1:10" x14ac:dyDescent="0.25">
      <c r="A117" s="389" t="str">
        <f>Inputs!A111</f>
        <v>Electricity Invercargill</v>
      </c>
      <c r="B117" s="389">
        <f>Inputs!B111</f>
        <v>4</v>
      </c>
      <c r="C117" s="389"/>
      <c r="D117" s="390">
        <f>Inputs!D111</f>
        <v>4737.9480000000003</v>
      </c>
      <c r="E117" s="390">
        <f>Inputs!E111</f>
        <v>5129.4753411695538</v>
      </c>
      <c r="F117" s="390">
        <f>Inputs!F111</f>
        <v>5585.94</v>
      </c>
      <c r="G117" s="390">
        <f>Inputs!G111</f>
        <v>0</v>
      </c>
      <c r="H117" s="390">
        <f>Inputs!H111</f>
        <v>0</v>
      </c>
      <c r="I117" s="386"/>
      <c r="J117" s="385"/>
    </row>
    <row r="118" spans="1:10" x14ac:dyDescent="0.25">
      <c r="A118" s="389" t="str">
        <f>Inputs!A112</f>
        <v>Firstlight Network</v>
      </c>
      <c r="B118" s="389">
        <f>Inputs!B112</f>
        <v>5</v>
      </c>
      <c r="C118" s="389"/>
      <c r="D118" s="390">
        <f>Inputs!D112</f>
        <v>10526.23083</v>
      </c>
      <c r="E118" s="390">
        <f>Inputs!E112</f>
        <v>12109.5903</v>
      </c>
      <c r="F118" s="390">
        <f>Inputs!F112</f>
        <v>12894.18974</v>
      </c>
      <c r="G118" s="390">
        <f>Inputs!G112</f>
        <v>0</v>
      </c>
      <c r="H118" s="390">
        <f>Inputs!H112</f>
        <v>0</v>
      </c>
      <c r="I118" s="386"/>
      <c r="J118" s="385"/>
    </row>
    <row r="119" spans="1:10" x14ac:dyDescent="0.25">
      <c r="A119" s="389" t="str">
        <f>Inputs!A113</f>
        <v>Horizon Energy</v>
      </c>
      <c r="B119" s="389">
        <f>Inputs!B113</f>
        <v>6</v>
      </c>
      <c r="C119" s="389"/>
      <c r="D119" s="390">
        <f>Inputs!D113</f>
        <v>10412.24558160115</v>
      </c>
      <c r="E119" s="390">
        <f>Inputs!E113</f>
        <v>10639.21310978486</v>
      </c>
      <c r="F119" s="390">
        <f>Inputs!F113</f>
        <v>11277.686589608</v>
      </c>
      <c r="G119" s="390">
        <f>Inputs!G113</f>
        <v>0</v>
      </c>
      <c r="H119" s="390">
        <f>Inputs!H113</f>
        <v>0</v>
      </c>
      <c r="I119" s="386"/>
      <c r="J119" s="385"/>
    </row>
    <row r="120" spans="1:10" x14ac:dyDescent="0.25">
      <c r="A120" s="389" t="str">
        <f>Inputs!A114</f>
        <v>Nelson Electricity</v>
      </c>
      <c r="B120" s="389">
        <f>Inputs!B114</f>
        <v>7</v>
      </c>
      <c r="C120" s="389"/>
      <c r="D120" s="390">
        <f>Inputs!D114</f>
        <v>2007</v>
      </c>
      <c r="E120" s="390">
        <f>Inputs!E114</f>
        <v>2282</v>
      </c>
      <c r="F120" s="390">
        <f>Inputs!F114</f>
        <v>2351</v>
      </c>
      <c r="G120" s="390">
        <f>Inputs!G114</f>
        <v>0</v>
      </c>
      <c r="H120" s="390">
        <f>Inputs!H114</f>
        <v>0</v>
      </c>
      <c r="I120" s="386"/>
      <c r="J120" s="385"/>
    </row>
    <row r="121" spans="1:10" x14ac:dyDescent="0.25">
      <c r="A121" s="389" t="str">
        <f>Inputs!A115</f>
        <v>Network Tasman</v>
      </c>
      <c r="B121" s="389">
        <f>Inputs!B115</f>
        <v>8</v>
      </c>
      <c r="C121" s="389"/>
      <c r="D121" s="390">
        <f>Inputs!D115</f>
        <v>11454</v>
      </c>
      <c r="E121" s="390">
        <f>Inputs!E115</f>
        <v>11969</v>
      </c>
      <c r="F121" s="390">
        <f>Inputs!F115</f>
        <v>13000</v>
      </c>
      <c r="G121" s="390">
        <f>Inputs!G115</f>
        <v>0</v>
      </c>
      <c r="H121" s="390">
        <f>Inputs!H115</f>
        <v>0</v>
      </c>
      <c r="I121" s="386"/>
      <c r="J121" s="385"/>
    </row>
    <row r="122" spans="1:10" x14ac:dyDescent="0.25">
      <c r="A122" s="389" t="str">
        <f>Inputs!A116</f>
        <v>Orion NZ</v>
      </c>
      <c r="B122" s="389">
        <f>Inputs!B116</f>
        <v>9</v>
      </c>
      <c r="C122" s="389"/>
      <c r="D122" s="390">
        <f>Inputs!D116</f>
        <v>65160.402000000002</v>
      </c>
      <c r="E122" s="390">
        <f>Inputs!E116</f>
        <v>64307</v>
      </c>
      <c r="F122" s="390">
        <f>Inputs!F116</f>
        <v>71706.028000000006</v>
      </c>
      <c r="G122" s="390">
        <f>Inputs!G116</f>
        <v>0</v>
      </c>
      <c r="H122" s="390">
        <f>Inputs!H116</f>
        <v>0</v>
      </c>
      <c r="I122" s="386"/>
      <c r="J122" s="385"/>
    </row>
    <row r="123" spans="1:10" x14ac:dyDescent="0.25">
      <c r="A123" s="389" t="str">
        <f>Inputs!A117</f>
        <v>OtagoNet</v>
      </c>
      <c r="B123" s="389">
        <f>Inputs!B117</f>
        <v>10</v>
      </c>
      <c r="C123" s="389"/>
      <c r="D123" s="390">
        <f>Inputs!D117</f>
        <v>8906.1610000000001</v>
      </c>
      <c r="E123" s="390">
        <f>Inputs!E117</f>
        <v>8764.6970000000001</v>
      </c>
      <c r="F123" s="390">
        <f>Inputs!F117</f>
        <v>10030</v>
      </c>
      <c r="G123" s="390">
        <f>Inputs!G117</f>
        <v>0</v>
      </c>
      <c r="H123" s="390">
        <f>Inputs!H117</f>
        <v>0</v>
      </c>
      <c r="I123" s="386"/>
      <c r="J123" s="385"/>
    </row>
    <row r="124" spans="1:10" x14ac:dyDescent="0.25">
      <c r="A124" s="389" t="str">
        <f>Inputs!A118</f>
        <v>Powerco</v>
      </c>
      <c r="B124" s="389">
        <f>Inputs!B118</f>
        <v>11</v>
      </c>
      <c r="C124" s="389"/>
      <c r="D124" s="390">
        <f>Inputs!D118</f>
        <v>90945.8802</v>
      </c>
      <c r="E124" s="390">
        <f>Inputs!E118</f>
        <v>103455.4553799986</v>
      </c>
      <c r="F124" s="390">
        <f>Inputs!F118</f>
        <v>111324.36447</v>
      </c>
      <c r="G124" s="390">
        <f>Inputs!G118</f>
        <v>0</v>
      </c>
      <c r="H124" s="390">
        <f>Inputs!H118</f>
        <v>0</v>
      </c>
      <c r="I124" s="386"/>
      <c r="J124" s="385"/>
    </row>
    <row r="125" spans="1:10" x14ac:dyDescent="0.25">
      <c r="A125" s="389" t="str">
        <f>Inputs!A119</f>
        <v>The Lines Company</v>
      </c>
      <c r="B125" s="389">
        <f>Inputs!B119</f>
        <v>12</v>
      </c>
      <c r="C125" s="389"/>
      <c r="D125" s="390">
        <f>Inputs!D119</f>
        <v>14601.457140899989</v>
      </c>
      <c r="E125" s="390">
        <f>Inputs!E119</f>
        <v>16217.329615799999</v>
      </c>
      <c r="F125" s="390">
        <f>Inputs!F119</f>
        <v>15935.2494376</v>
      </c>
      <c r="G125" s="390">
        <f>Inputs!G119</f>
        <v>0</v>
      </c>
      <c r="H125" s="390">
        <f>Inputs!H119</f>
        <v>0</v>
      </c>
      <c r="I125" s="386"/>
      <c r="J125" s="385"/>
    </row>
    <row r="126" spans="1:10" x14ac:dyDescent="0.25">
      <c r="A126" s="389" t="str">
        <f>Inputs!A120</f>
        <v>Top Energy</v>
      </c>
      <c r="B126" s="389">
        <f>Inputs!B120</f>
        <v>13</v>
      </c>
      <c r="C126" s="389"/>
      <c r="D126" s="390">
        <f>Inputs!D120</f>
        <v>18297.048624554271</v>
      </c>
      <c r="E126" s="390">
        <f>Inputs!E120</f>
        <v>19565.41158766636</v>
      </c>
      <c r="F126" s="390">
        <f>Inputs!F120</f>
        <v>23748.555078583999</v>
      </c>
      <c r="G126" s="390">
        <f>Inputs!G120</f>
        <v>0</v>
      </c>
      <c r="H126" s="390">
        <f>Inputs!H120</f>
        <v>0</v>
      </c>
      <c r="I126" s="386"/>
      <c r="J126" s="385"/>
    </row>
    <row r="127" spans="1:10" x14ac:dyDescent="0.25">
      <c r="A127" s="389" t="str">
        <f>Inputs!A121</f>
        <v>Unison Networks</v>
      </c>
      <c r="B127" s="389">
        <f>Inputs!B121</f>
        <v>14</v>
      </c>
      <c r="C127" s="389"/>
      <c r="D127" s="390">
        <f>Inputs!D121</f>
        <v>41464</v>
      </c>
      <c r="E127" s="390">
        <f>Inputs!E121</f>
        <v>44315.334589299579</v>
      </c>
      <c r="F127" s="390">
        <f>Inputs!F121</f>
        <v>50436.274129161102</v>
      </c>
      <c r="G127" s="390">
        <f>Inputs!G121</f>
        <v>0</v>
      </c>
      <c r="H127" s="390">
        <f>Inputs!H121</f>
        <v>0</v>
      </c>
      <c r="I127" s="386"/>
      <c r="J127" s="385"/>
    </row>
    <row r="128" spans="1:10" x14ac:dyDescent="0.25">
      <c r="A128" s="389" t="str">
        <f>Inputs!A122</f>
        <v>Vector Lines</v>
      </c>
      <c r="B128" s="389">
        <f>Inputs!B122</f>
        <v>15</v>
      </c>
      <c r="C128" s="389"/>
      <c r="D128" s="390">
        <f>Inputs!D122</f>
        <v>127202</v>
      </c>
      <c r="E128" s="390">
        <f>Inputs!E122</f>
        <v>136753</v>
      </c>
      <c r="F128" s="390">
        <f>Inputs!F122</f>
        <v>145942</v>
      </c>
      <c r="G128" s="390">
        <f>Inputs!G122</f>
        <v>0</v>
      </c>
      <c r="H128" s="390">
        <f>Inputs!H122</f>
        <v>0</v>
      </c>
      <c r="I128" s="386"/>
      <c r="J128" s="385"/>
    </row>
    <row r="129" spans="1:10" x14ac:dyDescent="0.25">
      <c r="A129" s="389" t="str">
        <f>Inputs!A123</f>
        <v>Wellington Electricity</v>
      </c>
      <c r="B129" s="389">
        <f>Inputs!B123</f>
        <v>16</v>
      </c>
      <c r="C129" s="389"/>
      <c r="D129" s="390">
        <f>Inputs!D123</f>
        <v>33408.640490605867</v>
      </c>
      <c r="E129" s="390">
        <f>Inputs!E123</f>
        <v>35404.040552368053</v>
      </c>
      <c r="F129" s="390">
        <f>Inputs!F123</f>
        <v>36335.474343300797</v>
      </c>
      <c r="G129" s="390">
        <f>Inputs!G123</f>
        <v>0</v>
      </c>
      <c r="H129" s="390">
        <f>Inputs!H123</f>
        <v>0</v>
      </c>
      <c r="I129" s="386"/>
      <c r="J129" s="385"/>
    </row>
    <row r="130" spans="1:10" x14ac:dyDescent="0.25">
      <c r="A130" s="201"/>
      <c r="B130" s="201"/>
      <c r="C130" s="201"/>
      <c r="D130" s="202"/>
      <c r="E130" s="202"/>
      <c r="F130" s="202"/>
      <c r="G130" s="202"/>
      <c r="H130" s="202"/>
      <c r="I130" s="386"/>
      <c r="J130" s="385"/>
    </row>
    <row r="131" spans="1:10" x14ac:dyDescent="0.25">
      <c r="A131" s="108" t="s">
        <v>252</v>
      </c>
      <c r="B131" s="108"/>
      <c r="C131" s="108"/>
      <c r="D131" s="108"/>
      <c r="E131" s="108"/>
      <c r="F131" s="108"/>
      <c r="G131" s="108"/>
      <c r="H131" s="108"/>
      <c r="I131" s="108"/>
      <c r="J131" s="108"/>
    </row>
    <row r="132" spans="1:10" x14ac:dyDescent="0.25">
      <c r="A132" s="206" t="s">
        <v>247</v>
      </c>
      <c r="B132" s="206"/>
      <c r="C132" s="206"/>
      <c r="D132" s="205">
        <f>SUM(D114:D129)</f>
        <v>518294.81449245079</v>
      </c>
      <c r="E132" s="205">
        <f>SUM(E114:E129)</f>
        <v>553038.01693893725</v>
      </c>
      <c r="F132" s="205">
        <f>SUM(F114:F129)</f>
        <v>599181.11220825394</v>
      </c>
      <c r="G132" s="205">
        <f>SUM(G114:G129)</f>
        <v>0</v>
      </c>
      <c r="H132" s="205">
        <f>SUM(H114:H129)</f>
        <v>0</v>
      </c>
      <c r="I132" s="386"/>
      <c r="J132" s="385"/>
    </row>
    <row r="133" spans="1:10" x14ac:dyDescent="0.25">
      <c r="A133" s="397" t="s">
        <v>248</v>
      </c>
      <c r="B133" s="397"/>
      <c r="C133" s="397"/>
      <c r="D133" s="390">
        <f>SUMPRODUCT(D114:D129,$I$90:$I$105)</f>
        <v>69062.269365622109</v>
      </c>
      <c r="E133" s="390">
        <f>SUMPRODUCT(E114:E129,$I$90:$I$105)</f>
        <v>74297.420208463082</v>
      </c>
      <c r="F133" s="390">
        <f>SUMPRODUCT(F114:F129,$I$90:$I$105)</f>
        <v>80026.491678265476</v>
      </c>
      <c r="G133" s="390">
        <f>SUMPRODUCT(G114:G129,$I$90:$I$105)</f>
        <v>0</v>
      </c>
      <c r="H133" s="390">
        <f>SUMPRODUCT(H114:H129,$I$90:$I$105)</f>
        <v>0</v>
      </c>
      <c r="I133" s="386"/>
      <c r="J133" s="385"/>
    </row>
    <row r="134" spans="1:10" x14ac:dyDescent="0.25">
      <c r="A134" s="397" t="s">
        <v>249</v>
      </c>
      <c r="B134" s="397"/>
      <c r="C134" s="397"/>
      <c r="D134" s="390">
        <f>SUMPRODUCT(D114:D129,$J$90:$J$105)</f>
        <v>71274.006514937253</v>
      </c>
      <c r="E134" s="390">
        <f>SUMPRODUCT(E114:E129,$J$90:$J$105)</f>
        <v>77016.017984385544</v>
      </c>
      <c r="F134" s="390">
        <f>SUMPRODUCT(F114:F129,$J$90:$J$105)</f>
        <v>83105.605534247064</v>
      </c>
      <c r="G134" s="390">
        <f>SUMPRODUCT(G114:G129,$J$90:$J$105)</f>
        <v>0</v>
      </c>
      <c r="H134" s="390">
        <f>SUMPRODUCT(H114:H129,$J$90:$J$105)</f>
        <v>0</v>
      </c>
      <c r="I134" s="386"/>
      <c r="J134" s="385"/>
    </row>
    <row r="135" spans="1:10" x14ac:dyDescent="0.25">
      <c r="A135" s="399"/>
      <c r="B135" s="400"/>
      <c r="C135" s="400"/>
      <c r="D135" s="400"/>
      <c r="E135" s="400"/>
      <c r="F135" s="400"/>
      <c r="G135" s="400"/>
      <c r="H135" s="400"/>
      <c r="I135" s="386"/>
      <c r="J135" s="385"/>
    </row>
    <row r="136" spans="1:10" x14ac:dyDescent="0.25">
      <c r="A136" s="108" t="str">
        <f>Inputs!A125</f>
        <v>Revised forecast opex (DPP4 AMP forecasts)</v>
      </c>
      <c r="B136" s="108"/>
      <c r="C136" s="108"/>
      <c r="D136" s="108"/>
      <c r="E136" s="108"/>
      <c r="F136" s="108"/>
      <c r="G136" s="108"/>
      <c r="H136" s="108"/>
      <c r="I136" s="108"/>
      <c r="J136" s="108"/>
    </row>
    <row r="137" spans="1:10" x14ac:dyDescent="0.25">
      <c r="A137" s="204" t="str">
        <f>Inputs!A126</f>
        <v>Alpine Energy</v>
      </c>
      <c r="B137" s="204">
        <f>Inputs!B126</f>
        <v>1</v>
      </c>
      <c r="C137" s="204"/>
      <c r="D137" s="205">
        <f>Inputs!D126</f>
        <v>0</v>
      </c>
      <c r="E137" s="205">
        <f>Inputs!E126</f>
        <v>0</v>
      </c>
      <c r="F137" s="205">
        <f>Inputs!F126</f>
        <v>0</v>
      </c>
      <c r="G137" s="205">
        <f>Inputs!G126</f>
        <v>29093.167140000001</v>
      </c>
      <c r="H137" s="205">
        <f>Inputs!H126</f>
        <v>40162.588000000003</v>
      </c>
      <c r="I137" s="385"/>
      <c r="J137" s="385"/>
    </row>
    <row r="138" spans="1:10" x14ac:dyDescent="0.25">
      <c r="A138" s="389" t="str">
        <f>Inputs!A127</f>
        <v>Aurora Energy</v>
      </c>
      <c r="B138" s="389">
        <f>Inputs!B127</f>
        <v>2</v>
      </c>
      <c r="C138" s="389"/>
      <c r="D138" s="390">
        <f>Inputs!D127</f>
        <v>0</v>
      </c>
      <c r="E138" s="390">
        <f>Inputs!E127</f>
        <v>0</v>
      </c>
      <c r="F138" s="390">
        <f>Inputs!F127</f>
        <v>0</v>
      </c>
      <c r="G138" s="390">
        <f>Inputs!G127</f>
        <v>52510.038158241499</v>
      </c>
      <c r="H138" s="390">
        <f>Inputs!H127</f>
        <v>56718.929079548536</v>
      </c>
      <c r="I138" s="385"/>
      <c r="J138" s="385"/>
    </row>
    <row r="139" spans="1:10" x14ac:dyDescent="0.25">
      <c r="A139" s="389" t="str">
        <f>Inputs!A128</f>
        <v>EA Networks</v>
      </c>
      <c r="B139" s="389">
        <f>Inputs!B128</f>
        <v>3</v>
      </c>
      <c r="C139" s="389"/>
      <c r="D139" s="390">
        <f>Inputs!D128</f>
        <v>0</v>
      </c>
      <c r="E139" s="390">
        <f>Inputs!E128</f>
        <v>0</v>
      </c>
      <c r="F139" s="390">
        <f>Inputs!F128</f>
        <v>0</v>
      </c>
      <c r="G139" s="390">
        <f>Inputs!G128</f>
        <v>16962</v>
      </c>
      <c r="H139" s="390">
        <f>Inputs!H128</f>
        <v>21169.238000000001</v>
      </c>
      <c r="I139" s="386"/>
      <c r="J139" s="385"/>
    </row>
    <row r="140" spans="1:10" x14ac:dyDescent="0.25">
      <c r="A140" s="389" t="str">
        <f>Inputs!A129</f>
        <v>Electricity Invercargill</v>
      </c>
      <c r="B140" s="389">
        <f>Inputs!B129</f>
        <v>4</v>
      </c>
      <c r="C140" s="389"/>
      <c r="D140" s="390">
        <f>Inputs!D129</f>
        <v>0</v>
      </c>
      <c r="E140" s="390">
        <f>Inputs!E129</f>
        <v>0</v>
      </c>
      <c r="F140" s="390">
        <f>Inputs!F129</f>
        <v>0</v>
      </c>
      <c r="G140" s="390">
        <f>Inputs!G129</f>
        <v>6174</v>
      </c>
      <c r="H140" s="390">
        <f>Inputs!H129</f>
        <v>6848</v>
      </c>
      <c r="I140" s="386"/>
      <c r="J140" s="385"/>
    </row>
    <row r="141" spans="1:10" x14ac:dyDescent="0.25">
      <c r="A141" s="389" t="str">
        <f>Inputs!A130</f>
        <v>Firstlight Network</v>
      </c>
      <c r="B141" s="389">
        <f>Inputs!B130</f>
        <v>5</v>
      </c>
      <c r="C141" s="389"/>
      <c r="D141" s="390">
        <f>Inputs!D130</f>
        <v>0</v>
      </c>
      <c r="E141" s="390">
        <f>Inputs!E130</f>
        <v>0</v>
      </c>
      <c r="F141" s="390">
        <f>Inputs!F130</f>
        <v>0</v>
      </c>
      <c r="G141" s="390">
        <f>Inputs!G130</f>
        <v>14799</v>
      </c>
      <c r="H141" s="390">
        <f>Inputs!H130</f>
        <v>17837</v>
      </c>
      <c r="I141" s="386"/>
      <c r="J141" s="385"/>
    </row>
    <row r="142" spans="1:10" x14ac:dyDescent="0.25">
      <c r="A142" s="389" t="str">
        <f>Inputs!A131</f>
        <v>Horizon Energy</v>
      </c>
      <c r="B142" s="389">
        <f>Inputs!B131</f>
        <v>6</v>
      </c>
      <c r="C142" s="389"/>
      <c r="D142" s="390">
        <f>Inputs!D131</f>
        <v>0</v>
      </c>
      <c r="E142" s="390">
        <f>Inputs!E131</f>
        <v>0</v>
      </c>
      <c r="F142" s="390">
        <f>Inputs!F131</f>
        <v>0</v>
      </c>
      <c r="G142" s="390">
        <f>Inputs!G131</f>
        <v>12188.544225000001</v>
      </c>
      <c r="H142" s="390">
        <f>Inputs!H131</f>
        <v>16227.494999999999</v>
      </c>
      <c r="I142" s="386"/>
      <c r="J142" s="385"/>
    </row>
    <row r="143" spans="1:10" x14ac:dyDescent="0.25">
      <c r="A143" s="389" t="str">
        <f>Inputs!A132</f>
        <v>Nelson Electricity</v>
      </c>
      <c r="B143" s="389">
        <f>Inputs!B132</f>
        <v>7</v>
      </c>
      <c r="C143" s="389"/>
      <c r="D143" s="390">
        <f>Inputs!D132</f>
        <v>0</v>
      </c>
      <c r="E143" s="390">
        <f>Inputs!E132</f>
        <v>0</v>
      </c>
      <c r="F143" s="390">
        <f>Inputs!F132</f>
        <v>0</v>
      </c>
      <c r="G143" s="390">
        <f>Inputs!G132</f>
        <v>2239.9856358500001</v>
      </c>
      <c r="H143" s="390">
        <f>Inputs!H132</f>
        <v>2437.6923139650003</v>
      </c>
      <c r="I143" s="386"/>
      <c r="J143" s="385"/>
    </row>
    <row r="144" spans="1:10" x14ac:dyDescent="0.25">
      <c r="A144" s="389" t="str">
        <f>Inputs!A133</f>
        <v>Network Tasman</v>
      </c>
      <c r="B144" s="389">
        <f>Inputs!B133</f>
        <v>8</v>
      </c>
      <c r="C144" s="389"/>
      <c r="D144" s="390">
        <f>Inputs!D133</f>
        <v>0</v>
      </c>
      <c r="E144" s="390">
        <f>Inputs!E133</f>
        <v>0</v>
      </c>
      <c r="F144" s="390">
        <f>Inputs!F133</f>
        <v>0</v>
      </c>
      <c r="G144" s="390">
        <f>Inputs!G133</f>
        <v>14865</v>
      </c>
      <c r="H144" s="390">
        <f>Inputs!H133</f>
        <v>15467</v>
      </c>
      <c r="I144" s="386"/>
      <c r="J144" s="385"/>
    </row>
    <row r="145" spans="1:10" x14ac:dyDescent="0.25">
      <c r="A145" s="389" t="str">
        <f>Inputs!A134</f>
        <v>Orion NZ</v>
      </c>
      <c r="B145" s="389">
        <f>Inputs!B134</f>
        <v>9</v>
      </c>
      <c r="C145" s="389"/>
      <c r="D145" s="390">
        <f>Inputs!D134</f>
        <v>0</v>
      </c>
      <c r="E145" s="390">
        <f>Inputs!E134</f>
        <v>0</v>
      </c>
      <c r="F145" s="390">
        <f>Inputs!F134</f>
        <v>0</v>
      </c>
      <c r="G145" s="390">
        <f>Inputs!G134</f>
        <v>78185</v>
      </c>
      <c r="H145" s="390">
        <f>Inputs!H134</f>
        <v>86478</v>
      </c>
      <c r="I145" s="386"/>
      <c r="J145" s="385"/>
    </row>
    <row r="146" spans="1:10" x14ac:dyDescent="0.25">
      <c r="A146" s="389" t="str">
        <f>Inputs!A135</f>
        <v>OtagoNet</v>
      </c>
      <c r="B146" s="389">
        <f>Inputs!B135</f>
        <v>10</v>
      </c>
      <c r="C146" s="389"/>
      <c r="D146" s="390">
        <f>Inputs!D135</f>
        <v>0</v>
      </c>
      <c r="E146" s="390">
        <f>Inputs!E135</f>
        <v>0</v>
      </c>
      <c r="F146" s="390">
        <f>Inputs!F135</f>
        <v>0</v>
      </c>
      <c r="G146" s="390">
        <f>Inputs!G135</f>
        <v>9771.4089600000007</v>
      </c>
      <c r="H146" s="390">
        <f>Inputs!H135</f>
        <v>10864.38700134544</v>
      </c>
      <c r="I146" s="386"/>
      <c r="J146" s="385"/>
    </row>
    <row r="147" spans="1:10" x14ac:dyDescent="0.25">
      <c r="A147" s="389" t="str">
        <f>Inputs!A136</f>
        <v>Powerco</v>
      </c>
      <c r="B147" s="389">
        <f>Inputs!B136</f>
        <v>11</v>
      </c>
      <c r="C147" s="389"/>
      <c r="D147" s="390">
        <f>Inputs!D136</f>
        <v>0</v>
      </c>
      <c r="E147" s="390">
        <f>Inputs!E136</f>
        <v>0</v>
      </c>
      <c r="F147" s="390">
        <f>Inputs!F136</f>
        <v>0</v>
      </c>
      <c r="G147" s="390">
        <f>Inputs!G136</f>
        <v>121011</v>
      </c>
      <c r="H147" s="390">
        <f>Inputs!H136</f>
        <v>128585</v>
      </c>
      <c r="I147" s="386"/>
      <c r="J147" s="385"/>
    </row>
    <row r="148" spans="1:10" x14ac:dyDescent="0.25">
      <c r="A148" s="389" t="str">
        <f>Inputs!A137</f>
        <v>The Lines Company</v>
      </c>
      <c r="B148" s="389">
        <f>Inputs!B137</f>
        <v>12</v>
      </c>
      <c r="C148" s="389"/>
      <c r="D148" s="390">
        <f>Inputs!D137</f>
        <v>0</v>
      </c>
      <c r="E148" s="390">
        <f>Inputs!E137</f>
        <v>0</v>
      </c>
      <c r="F148" s="390">
        <f>Inputs!F137</f>
        <v>0</v>
      </c>
      <c r="G148" s="390">
        <f>Inputs!G137</f>
        <v>17392.857940499998</v>
      </c>
      <c r="H148" s="390">
        <f>Inputs!H137</f>
        <v>18638.127031399999</v>
      </c>
      <c r="I148" s="386"/>
      <c r="J148" s="385"/>
    </row>
    <row r="149" spans="1:10" x14ac:dyDescent="0.25">
      <c r="A149" s="389" t="str">
        <f>Inputs!A138</f>
        <v>Top Energy</v>
      </c>
      <c r="B149" s="389">
        <f>Inputs!B138</f>
        <v>13</v>
      </c>
      <c r="C149" s="389"/>
      <c r="D149" s="390">
        <f>Inputs!D138</f>
        <v>0</v>
      </c>
      <c r="E149" s="390">
        <f>Inputs!E138</f>
        <v>0</v>
      </c>
      <c r="F149" s="390">
        <f>Inputs!F138</f>
        <v>0</v>
      </c>
      <c r="G149" s="390">
        <f>Inputs!G138</f>
        <v>23354</v>
      </c>
      <c r="H149" s="390">
        <f>Inputs!H138</f>
        <v>27849</v>
      </c>
      <c r="I149" s="386"/>
      <c r="J149" s="385"/>
    </row>
    <row r="150" spans="1:10" x14ac:dyDescent="0.25">
      <c r="A150" s="389" t="str">
        <f>Inputs!A139</f>
        <v>Unison Networks</v>
      </c>
      <c r="B150" s="389">
        <f>Inputs!B139</f>
        <v>14</v>
      </c>
      <c r="C150" s="389"/>
      <c r="D150" s="390">
        <f>Inputs!D139</f>
        <v>0</v>
      </c>
      <c r="E150" s="390">
        <f>Inputs!E139</f>
        <v>0</v>
      </c>
      <c r="F150" s="390">
        <f>Inputs!F139</f>
        <v>0</v>
      </c>
      <c r="G150" s="390">
        <f>Inputs!G139</f>
        <v>51142.74308521003</v>
      </c>
      <c r="H150" s="390">
        <f>Inputs!H139</f>
        <v>53160.303715410089</v>
      </c>
      <c r="I150" s="386"/>
      <c r="J150" s="385"/>
    </row>
    <row r="151" spans="1:10" x14ac:dyDescent="0.25">
      <c r="A151" s="389" t="str">
        <f>Inputs!A140</f>
        <v>Vector Lines</v>
      </c>
      <c r="B151" s="389">
        <f>Inputs!B140</f>
        <v>15</v>
      </c>
      <c r="C151" s="389"/>
      <c r="D151" s="390">
        <f>Inputs!D140</f>
        <v>0</v>
      </c>
      <c r="E151" s="390">
        <f>Inputs!E140</f>
        <v>0</v>
      </c>
      <c r="F151" s="390">
        <f>Inputs!F140</f>
        <v>0</v>
      </c>
      <c r="G151" s="390">
        <f>Inputs!G140</f>
        <v>166961.7899220516</v>
      </c>
      <c r="H151" s="390">
        <f>Inputs!H140</f>
        <v>183376.33187877576</v>
      </c>
      <c r="I151" s="386"/>
      <c r="J151" s="385"/>
    </row>
    <row r="152" spans="1:10" x14ac:dyDescent="0.25">
      <c r="A152" s="389" t="str">
        <f>Inputs!A141</f>
        <v>Wellington Electricity</v>
      </c>
      <c r="B152" s="389">
        <f>Inputs!B141</f>
        <v>16</v>
      </c>
      <c r="C152" s="389"/>
      <c r="D152" s="390">
        <f>Inputs!D141</f>
        <v>0</v>
      </c>
      <c r="E152" s="390">
        <f>Inputs!E141</f>
        <v>0</v>
      </c>
      <c r="F152" s="390">
        <f>Inputs!F141</f>
        <v>0</v>
      </c>
      <c r="G152" s="390">
        <f>Inputs!G141</f>
        <v>38410.614826391029</v>
      </c>
      <c r="H152" s="390">
        <f>Inputs!H141</f>
        <v>44488.158636042237</v>
      </c>
      <c r="I152" s="386"/>
      <c r="J152" s="385"/>
    </row>
    <row r="153" spans="1:10" x14ac:dyDescent="0.25">
      <c r="A153" s="201"/>
      <c r="B153" s="201"/>
      <c r="C153" s="201"/>
      <c r="D153" s="202"/>
      <c r="E153" s="202"/>
      <c r="F153" s="202"/>
      <c r="G153" s="202"/>
      <c r="H153" s="202"/>
      <c r="I153" s="386"/>
      <c r="J153" s="385"/>
    </row>
    <row r="154" spans="1:10" x14ac:dyDescent="0.25">
      <c r="A154" s="108" t="s">
        <v>252</v>
      </c>
      <c r="B154" s="108"/>
      <c r="C154" s="108"/>
      <c r="D154" s="108"/>
      <c r="E154" s="108"/>
      <c r="F154" s="108"/>
      <c r="G154" s="108"/>
      <c r="H154" s="108"/>
      <c r="I154" s="108"/>
      <c r="J154" s="108"/>
    </row>
    <row r="155" spans="1:10" x14ac:dyDescent="0.25">
      <c r="A155" s="206" t="s">
        <v>247</v>
      </c>
      <c r="B155" s="206"/>
      <c r="C155" s="206"/>
      <c r="D155" s="205">
        <f>SUM(D137:D152)</f>
        <v>0</v>
      </c>
      <c r="E155" s="205">
        <f t="shared" ref="E155:F155" si="20">SUM(E137:E152)</f>
        <v>0</v>
      </c>
      <c r="F155" s="205">
        <f t="shared" si="20"/>
        <v>0</v>
      </c>
      <c r="G155" s="205">
        <f>SUM(G137:G152)</f>
        <v>655061.14989324415</v>
      </c>
      <c r="H155" s="205">
        <f>SUM(H137:H152)</f>
        <v>730307.25065648707</v>
      </c>
      <c r="I155" s="385"/>
      <c r="J155" s="385"/>
    </row>
    <row r="156" spans="1:10" x14ac:dyDescent="0.25">
      <c r="A156" s="397" t="s">
        <v>248</v>
      </c>
      <c r="B156" s="397"/>
      <c r="C156" s="397"/>
      <c r="D156" s="390">
        <f>SUMPRODUCT(D137:D152,$I$90:$I$105)</f>
        <v>0</v>
      </c>
      <c r="E156" s="390">
        <f>SUMPRODUCT(E137:E152,$I$90:$I$105)</f>
        <v>0</v>
      </c>
      <c r="F156" s="390">
        <f>SUMPRODUCT(F137:F152,$I$90:$I$105)</f>
        <v>0</v>
      </c>
      <c r="G156" s="390">
        <f>SUMPRODUCT(G137:G152,$I$90:$I$105)</f>
        <v>88727.182253637991</v>
      </c>
      <c r="H156" s="390">
        <f>SUMPRODUCT(H137:H152,$I$90:$I$105)</f>
        <v>97002.872830402586</v>
      </c>
      <c r="I156" s="385"/>
      <c r="J156" s="385"/>
    </row>
    <row r="157" spans="1:10" x14ac:dyDescent="0.25">
      <c r="A157" s="397" t="s">
        <v>249</v>
      </c>
      <c r="B157" s="397"/>
      <c r="C157" s="397"/>
      <c r="D157" s="390">
        <f>SUMPRODUCT(D137:D152,$J$90:$J$105)</f>
        <v>0</v>
      </c>
      <c r="E157" s="390">
        <f t="shared" ref="E157:H157" si="21">SUMPRODUCT(E137:E152,$J$90:$J$105)</f>
        <v>0</v>
      </c>
      <c r="F157" s="390">
        <f t="shared" si="21"/>
        <v>0</v>
      </c>
      <c r="G157" s="390">
        <f>SUMPRODUCT(G137:G152,$J$90:$J$105)</f>
        <v>92238.912172294629</v>
      </c>
      <c r="H157" s="390">
        <f t="shared" si="21"/>
        <v>100908.93262735209</v>
      </c>
      <c r="I157" s="386"/>
      <c r="J157" s="385"/>
    </row>
    <row r="158" spans="1:10" x14ac:dyDescent="0.25">
      <c r="A158" s="399"/>
      <c r="B158" s="403"/>
      <c r="C158" s="400"/>
      <c r="D158" s="400"/>
      <c r="E158" s="400"/>
      <c r="F158" s="400"/>
      <c r="G158" s="400"/>
      <c r="H158" s="400"/>
      <c r="I158" s="386"/>
      <c r="J158" s="386"/>
    </row>
    <row r="159" spans="1:10" x14ac:dyDescent="0.25">
      <c r="A159" s="108" t="s">
        <v>251</v>
      </c>
      <c r="B159" s="108"/>
      <c r="C159" s="108"/>
      <c r="D159" s="108"/>
      <c r="E159" s="108"/>
      <c r="F159" s="108"/>
      <c r="G159" s="108"/>
      <c r="H159" s="108"/>
      <c r="I159" s="108"/>
      <c r="J159" s="108"/>
    </row>
    <row r="160" spans="1:10" x14ac:dyDescent="0.25">
      <c r="A160" s="206" t="s">
        <v>247</v>
      </c>
      <c r="B160" s="206"/>
      <c r="C160" s="206"/>
      <c r="D160" s="205">
        <f t="shared" ref="D160:H162" si="22">D132+D155</f>
        <v>518294.81449245079</v>
      </c>
      <c r="E160" s="205">
        <f t="shared" si="22"/>
        <v>553038.01693893725</v>
      </c>
      <c r="F160" s="205">
        <f t="shared" si="22"/>
        <v>599181.11220825394</v>
      </c>
      <c r="G160" s="205">
        <f t="shared" si="22"/>
        <v>655061.14989324415</v>
      </c>
      <c r="H160" s="407">
        <f t="shared" si="22"/>
        <v>730307.25065648707</v>
      </c>
      <c r="I160" s="406">
        <f>SUM(D160:H160)</f>
        <v>3055882.3441893728</v>
      </c>
      <c r="J160" s="385"/>
    </row>
    <row r="161" spans="1:10" x14ac:dyDescent="0.25">
      <c r="A161" s="397" t="s">
        <v>248</v>
      </c>
      <c r="B161" s="397"/>
      <c r="C161" s="397"/>
      <c r="D161" s="390">
        <f t="shared" si="22"/>
        <v>69062.269365622109</v>
      </c>
      <c r="E161" s="390">
        <f t="shared" si="22"/>
        <v>74297.420208463082</v>
      </c>
      <c r="F161" s="390">
        <f t="shared" si="22"/>
        <v>80026.491678265476</v>
      </c>
      <c r="G161" s="390">
        <f t="shared" si="22"/>
        <v>88727.182253637991</v>
      </c>
      <c r="H161" s="394">
        <f t="shared" si="22"/>
        <v>97002.872830402586</v>
      </c>
      <c r="I161" s="398">
        <f t="shared" ref="I161:I162" si="23">SUM(D161:H161)</f>
        <v>409116.23633639119</v>
      </c>
      <c r="J161" s="385"/>
    </row>
    <row r="162" spans="1:10" x14ac:dyDescent="0.25">
      <c r="A162" s="397" t="s">
        <v>249</v>
      </c>
      <c r="B162" s="397"/>
      <c r="C162" s="397"/>
      <c r="D162" s="390">
        <f t="shared" si="22"/>
        <v>71274.006514937253</v>
      </c>
      <c r="E162" s="390">
        <f t="shared" si="22"/>
        <v>77016.017984385544</v>
      </c>
      <c r="F162" s="390">
        <f t="shared" si="22"/>
        <v>83105.605534247064</v>
      </c>
      <c r="G162" s="390">
        <f t="shared" si="22"/>
        <v>92238.912172294629</v>
      </c>
      <c r="H162" s="391">
        <f t="shared" si="22"/>
        <v>100908.93262735209</v>
      </c>
      <c r="I162" s="398">
        <f t="shared" si="23"/>
        <v>424543.47483321658</v>
      </c>
      <c r="J162" s="385"/>
    </row>
    <row r="163" spans="1:10" x14ac:dyDescent="0.25">
      <c r="A163" s="403"/>
      <c r="B163" s="400"/>
      <c r="C163" s="400"/>
      <c r="D163" s="400"/>
      <c r="E163" s="400"/>
      <c r="F163" s="400"/>
      <c r="G163" s="400"/>
      <c r="H163" s="400"/>
      <c r="I163" s="400"/>
      <c r="J163" s="385"/>
    </row>
    <row r="164" spans="1:10" x14ac:dyDescent="0.25">
      <c r="A164" s="108" t="s">
        <v>253</v>
      </c>
      <c r="B164" s="108"/>
      <c r="C164" s="108"/>
      <c r="D164" s="108"/>
      <c r="E164" s="108"/>
      <c r="F164" s="108"/>
      <c r="G164" s="108"/>
      <c r="H164" s="108"/>
      <c r="I164" s="108"/>
      <c r="J164" s="108"/>
    </row>
    <row r="165" spans="1:10" x14ac:dyDescent="0.25">
      <c r="A165" s="206" t="str">
        <f>A160</f>
        <v>Aggregate</v>
      </c>
      <c r="B165" s="84"/>
      <c r="C165" s="207"/>
      <c r="D165" s="207">
        <f t="shared" ref="D165:I167" si="24">D160-D109</f>
        <v>-8347.6425797337433</v>
      </c>
      <c r="E165" s="207">
        <f t="shared" si="24"/>
        <v>7006.2996166894445</v>
      </c>
      <c r="F165" s="207">
        <f t="shared" si="24"/>
        <v>41152.467881655437</v>
      </c>
      <c r="G165" s="207">
        <f t="shared" si="24"/>
        <v>62514.966849010903</v>
      </c>
      <c r="H165" s="207">
        <f t="shared" si="24"/>
        <v>120834.85195080948</v>
      </c>
      <c r="I165" s="207">
        <f t="shared" si="24"/>
        <v>223160.94371843105</v>
      </c>
      <c r="J165" s="1"/>
    </row>
    <row r="166" spans="1:10" x14ac:dyDescent="0.25">
      <c r="A166" s="397" t="str">
        <f>A161</f>
        <v>Aggregate (weighted)</v>
      </c>
      <c r="B166" s="270"/>
      <c r="C166" s="314"/>
      <c r="D166" s="314">
        <f t="shared" si="24"/>
        <v>-2012.6262194565643</v>
      </c>
      <c r="E166" s="314">
        <f t="shared" si="24"/>
        <v>997.99366432288662</v>
      </c>
      <c r="F166" s="314">
        <f t="shared" si="24"/>
        <v>5026.9213937510067</v>
      </c>
      <c r="G166" s="314">
        <f t="shared" si="24"/>
        <v>7658.2879260818881</v>
      </c>
      <c r="H166" s="314">
        <f t="shared" si="24"/>
        <v>13245.73016384423</v>
      </c>
      <c r="I166" s="314">
        <f t="shared" si="24"/>
        <v>24916.306928543374</v>
      </c>
      <c r="J166" s="1"/>
    </row>
    <row r="167" spans="1:10" x14ac:dyDescent="0.25">
      <c r="A167" s="397" t="str">
        <f>A162</f>
        <v>Aggregate (weighted) (excluding Aurora)</v>
      </c>
      <c r="B167" s="302"/>
      <c r="C167" s="302"/>
      <c r="D167" s="314">
        <f t="shared" si="24"/>
        <v>-2236.9821968366596</v>
      </c>
      <c r="E167" s="314">
        <f t="shared" si="24"/>
        <v>1788.4369961409975</v>
      </c>
      <c r="F167" s="314">
        <f t="shared" si="24"/>
        <v>5885.2319528097869</v>
      </c>
      <c r="G167" s="314">
        <f t="shared" si="24"/>
        <v>8177.2591512104991</v>
      </c>
      <c r="H167" s="314">
        <f t="shared" si="24"/>
        <v>13755.058527115616</v>
      </c>
      <c r="I167" s="314">
        <f t="shared" si="24"/>
        <v>27369.004430440255</v>
      </c>
      <c r="J167" s="1"/>
    </row>
    <row r="168" spans="1:10" x14ac:dyDescent="0.25">
      <c r="A168" s="403"/>
      <c r="B168" s="403"/>
      <c r="C168" s="403"/>
      <c r="D168" s="403"/>
      <c r="E168" s="403"/>
      <c r="F168" s="403"/>
      <c r="G168" s="403"/>
      <c r="H168" s="403"/>
      <c r="I168" s="403"/>
      <c r="J168" s="385"/>
    </row>
    <row r="169" spans="1:10" x14ac:dyDescent="0.25">
      <c r="A169" s="108" t="s">
        <v>254</v>
      </c>
      <c r="B169" s="108"/>
      <c r="C169" s="108"/>
      <c r="D169" s="108"/>
      <c r="E169" s="108"/>
      <c r="F169" s="108"/>
      <c r="G169" s="108"/>
      <c r="H169" s="108"/>
      <c r="I169" s="108"/>
      <c r="J169" s="108"/>
    </row>
    <row r="170" spans="1:10" x14ac:dyDescent="0.25">
      <c r="A170" s="206" t="str">
        <f>A165</f>
        <v>Aggregate</v>
      </c>
      <c r="B170" s="206"/>
      <c r="C170" s="206"/>
      <c r="D170" s="208">
        <f t="shared" ref="D170:I172" si="25">D165/D109</f>
        <v>-1.5850682882921401E-2</v>
      </c>
      <c r="E170" s="208">
        <f t="shared" si="25"/>
        <v>1.2831305205215001E-2</v>
      </c>
      <c r="F170" s="208">
        <f t="shared" si="25"/>
        <v>7.3746156761031884E-2</v>
      </c>
      <c r="G170" s="208">
        <f t="shared" si="25"/>
        <v>0.10550226908531819</v>
      </c>
      <c r="H170" s="208">
        <f t="shared" si="25"/>
        <v>0.19826140151288829</v>
      </c>
      <c r="I170" s="208">
        <f t="shared" si="25"/>
        <v>7.877970056685786E-2</v>
      </c>
      <c r="J170" s="385"/>
    </row>
    <row r="171" spans="1:10" x14ac:dyDescent="0.25">
      <c r="A171" s="397" t="str">
        <f>A166</f>
        <v>Aggregate (weighted)</v>
      </c>
      <c r="B171" s="397"/>
      <c r="C171" s="397"/>
      <c r="D171" s="332">
        <f t="shared" si="25"/>
        <v>-2.8316977505051601E-2</v>
      </c>
      <c r="E171" s="332">
        <f t="shared" si="25"/>
        <v>1.3615299755747811E-2</v>
      </c>
      <c r="F171" s="332">
        <f t="shared" si="25"/>
        <v>6.7026002611496827E-2</v>
      </c>
      <c r="G171" s="332">
        <f t="shared" si="25"/>
        <v>9.4466416368512898E-2</v>
      </c>
      <c r="H171" s="332">
        <f t="shared" si="25"/>
        <v>0.15814448466295211</v>
      </c>
      <c r="I171" s="332">
        <f t="shared" si="25"/>
        <v>6.4852450563814251E-2</v>
      </c>
      <c r="J171" s="385"/>
    </row>
    <row r="172" spans="1:10" x14ac:dyDescent="0.25">
      <c r="A172" s="397" t="str">
        <f>A167</f>
        <v>Aggregate (weighted) (excluding Aurora)</v>
      </c>
      <c r="B172" s="397"/>
      <c r="C172" s="397"/>
      <c r="D172" s="332">
        <f t="shared" si="25"/>
        <v>-3.0430582366502337E-2</v>
      </c>
      <c r="E172" s="332">
        <f t="shared" si="25"/>
        <v>2.3773687424835155E-2</v>
      </c>
      <c r="F172" s="332">
        <f t="shared" si="25"/>
        <v>7.6213461290797438E-2</v>
      </c>
      <c r="G172" s="332">
        <f t="shared" si="25"/>
        <v>9.7276925415200916E-2</v>
      </c>
      <c r="H172" s="332">
        <f t="shared" si="25"/>
        <v>0.15782498103636561</v>
      </c>
      <c r="I172" s="332">
        <f t="shared" si="25"/>
        <v>6.8909274059546749E-2</v>
      </c>
      <c r="J172" s="385"/>
    </row>
    <row r="173" spans="1:10" x14ac:dyDescent="0.25">
      <c r="A173" s="403"/>
      <c r="B173" s="403"/>
      <c r="C173" s="403"/>
      <c r="D173" s="403"/>
      <c r="E173" s="403"/>
      <c r="F173" s="403"/>
      <c r="G173" s="403"/>
      <c r="H173" s="403"/>
      <c r="I173" s="403"/>
      <c r="J173" s="385"/>
    </row>
    <row r="174" spans="1:10" x14ac:dyDescent="0.25">
      <c r="A174" s="385"/>
      <c r="B174" s="385"/>
      <c r="C174" s="385"/>
      <c r="D174" s="385"/>
      <c r="E174" s="385"/>
      <c r="F174" s="385"/>
      <c r="G174" s="385"/>
      <c r="H174" s="385"/>
      <c r="I174" s="385"/>
      <c r="J174" s="385"/>
    </row>
    <row r="175" spans="1:10" ht="23.25" x14ac:dyDescent="0.35">
      <c r="A175" s="299" t="s">
        <v>83</v>
      </c>
      <c r="B175" s="299"/>
      <c r="C175" s="299"/>
      <c r="D175" s="299"/>
      <c r="E175" s="299"/>
      <c r="F175" s="299"/>
      <c r="G175" s="299"/>
      <c r="H175" s="299"/>
      <c r="I175" s="299"/>
      <c r="J175" s="299"/>
    </row>
    <row r="176" spans="1:10" x14ac:dyDescent="0.25">
      <c r="A176" s="108" t="str">
        <f>A82</f>
        <v>Asset commissioned - actuals vs. allowance (%)</v>
      </c>
      <c r="B176" s="108"/>
      <c r="C176" s="108"/>
      <c r="D176" s="108"/>
      <c r="E176" s="108"/>
      <c r="F176" s="108"/>
      <c r="G176" s="108"/>
      <c r="H176" s="108"/>
      <c r="I176" s="108"/>
      <c r="J176" s="108"/>
    </row>
    <row r="177" spans="1:10" s="1" customFormat="1" x14ac:dyDescent="0.25">
      <c r="A177" s="388"/>
      <c r="B177" s="388"/>
      <c r="C177" s="388"/>
      <c r="D177" s="388">
        <v>2021</v>
      </c>
      <c r="E177" s="388">
        <v>2022</v>
      </c>
      <c r="F177" s="388">
        <v>2023</v>
      </c>
      <c r="G177" s="388">
        <v>2024</v>
      </c>
      <c r="H177" s="388">
        <v>2025</v>
      </c>
      <c r="I177" s="146"/>
      <c r="J177" s="146"/>
    </row>
    <row r="178" spans="1:10" x14ac:dyDescent="0.25">
      <c r="A178" s="408" t="str">
        <f>A83</f>
        <v>Aggregate</v>
      </c>
      <c r="B178" s="397"/>
      <c r="C178" s="397"/>
      <c r="D178" s="409">
        <f t="shared" ref="D178:H180" si="26">D83</f>
        <v>-2.0700119965055557E-3</v>
      </c>
      <c r="E178" s="409">
        <f t="shared" si="26"/>
        <v>-8.6454698108322898E-4</v>
      </c>
      <c r="F178" s="409">
        <f t="shared" si="26"/>
        <v>2.387397820111526E-2</v>
      </c>
      <c r="G178" s="409">
        <f t="shared" si="26"/>
        <v>0.24833309684472141</v>
      </c>
      <c r="H178" s="409">
        <f t="shared" si="26"/>
        <v>0.53821802867999491</v>
      </c>
      <c r="I178" s="385"/>
      <c r="J178" s="385"/>
    </row>
    <row r="179" spans="1:10" x14ac:dyDescent="0.25">
      <c r="A179" s="408" t="str">
        <f>A84</f>
        <v>Aggregate (weighted)</v>
      </c>
      <c r="B179" s="397"/>
      <c r="C179" s="397"/>
      <c r="D179" s="409">
        <f t="shared" si="26"/>
        <v>1.5926322344472187E-2</v>
      </c>
      <c r="E179" s="409">
        <f t="shared" si="26"/>
        <v>-6.3502226421629046E-2</v>
      </c>
      <c r="F179" s="409">
        <f t="shared" si="26"/>
        <v>1.314978718069082E-2</v>
      </c>
      <c r="G179" s="409">
        <f t="shared" si="26"/>
        <v>0.23165512297654306</v>
      </c>
      <c r="H179" s="409">
        <f t="shared" si="26"/>
        <v>0.50488037513331274</v>
      </c>
      <c r="I179" s="385"/>
      <c r="J179" s="385"/>
    </row>
    <row r="180" spans="1:10" x14ac:dyDescent="0.25">
      <c r="A180" s="408" t="str">
        <f>A85</f>
        <v>Aggregate (weighted) (excluding Aurora)</v>
      </c>
      <c r="B180" s="397"/>
      <c r="C180" s="397"/>
      <c r="D180" s="409">
        <f t="shared" si="26"/>
        <v>6.7295863084505959E-3</v>
      </c>
      <c r="E180" s="409">
        <f t="shared" si="26"/>
        <v>-7.7996810471391745E-2</v>
      </c>
      <c r="F180" s="409">
        <f t="shared" si="26"/>
        <v>6.2474888381191477E-3</v>
      </c>
      <c r="G180" s="409">
        <f t="shared" si="26"/>
        <v>0.24034568084583893</v>
      </c>
      <c r="H180" s="409">
        <f t="shared" si="26"/>
        <v>0.51880207774505172</v>
      </c>
      <c r="I180" s="385"/>
      <c r="J180" s="385"/>
    </row>
    <row r="181" spans="1:10" x14ac:dyDescent="0.25">
      <c r="A181" s="403"/>
      <c r="B181" s="403"/>
      <c r="C181" s="403"/>
      <c r="D181" s="410"/>
      <c r="E181" s="410"/>
      <c r="F181" s="410"/>
      <c r="G181" s="410"/>
      <c r="H181" s="410"/>
      <c r="I181" s="385"/>
      <c r="J181" s="385"/>
    </row>
    <row r="182" spans="1:10" x14ac:dyDescent="0.25">
      <c r="A182" s="108" t="str">
        <f>A169</f>
        <v>Opex - actuals vs. allowance (%)</v>
      </c>
      <c r="B182" s="108"/>
      <c r="C182" s="108"/>
      <c r="D182" s="108"/>
      <c r="E182" s="108"/>
      <c r="F182" s="108"/>
      <c r="G182" s="108"/>
      <c r="H182" s="108"/>
      <c r="I182" s="108"/>
      <c r="J182" s="108"/>
    </row>
    <row r="183" spans="1:10" x14ac:dyDescent="0.25">
      <c r="A183" s="209" t="str">
        <f t="shared" ref="A183:H183" si="27">A170</f>
        <v>Aggregate</v>
      </c>
      <c r="B183" s="206"/>
      <c r="C183" s="206"/>
      <c r="D183" s="210">
        <f>D170</f>
        <v>-1.5850682882921401E-2</v>
      </c>
      <c r="E183" s="210">
        <f t="shared" si="27"/>
        <v>1.2831305205215001E-2</v>
      </c>
      <c r="F183" s="210">
        <f t="shared" si="27"/>
        <v>7.3746156761031884E-2</v>
      </c>
      <c r="G183" s="210">
        <f t="shared" si="27"/>
        <v>0.10550226908531819</v>
      </c>
      <c r="H183" s="210">
        <f t="shared" si="27"/>
        <v>0.19826140151288829</v>
      </c>
      <c r="I183" s="411"/>
      <c r="J183" s="385"/>
    </row>
    <row r="184" spans="1:10" x14ac:dyDescent="0.25">
      <c r="A184" s="408" t="str">
        <f t="shared" ref="A184:H184" si="28">A171</f>
        <v>Aggregate (weighted)</v>
      </c>
      <c r="B184" s="397"/>
      <c r="C184" s="397"/>
      <c r="D184" s="409">
        <f t="shared" si="28"/>
        <v>-2.8316977505051601E-2</v>
      </c>
      <c r="E184" s="409">
        <f t="shared" si="28"/>
        <v>1.3615299755747811E-2</v>
      </c>
      <c r="F184" s="409">
        <f t="shared" si="28"/>
        <v>6.7026002611496827E-2</v>
      </c>
      <c r="G184" s="409">
        <f t="shared" si="28"/>
        <v>9.4466416368512898E-2</v>
      </c>
      <c r="H184" s="409">
        <f t="shared" si="28"/>
        <v>0.15814448466295211</v>
      </c>
      <c r="I184" s="411"/>
      <c r="J184" s="385"/>
    </row>
    <row r="185" spans="1:10" x14ac:dyDescent="0.25">
      <c r="A185" s="408" t="str">
        <f t="shared" ref="A185:H185" si="29">A172</f>
        <v>Aggregate (weighted) (excluding Aurora)</v>
      </c>
      <c r="B185" s="397"/>
      <c r="C185" s="397"/>
      <c r="D185" s="409">
        <f t="shared" si="29"/>
        <v>-3.0430582366502337E-2</v>
      </c>
      <c r="E185" s="409">
        <f t="shared" si="29"/>
        <v>2.3773687424835155E-2</v>
      </c>
      <c r="F185" s="409">
        <f t="shared" si="29"/>
        <v>7.6213461290797438E-2</v>
      </c>
      <c r="G185" s="409">
        <f t="shared" si="29"/>
        <v>9.7276925415200916E-2</v>
      </c>
      <c r="H185" s="409">
        <f t="shared" si="29"/>
        <v>0.15782498103636561</v>
      </c>
      <c r="I185" s="411"/>
      <c r="J185" s="385"/>
    </row>
  </sheetData>
  <pageMargins left="0.70866141732283472" right="0.70866141732283472" top="0.74803149606299213" bottom="0.74803149606299213" header="0.31496062992125984" footer="0.31496062992125984"/>
  <pageSetup paperSize="9" scale="54" fitToHeight="0" orientation="portrait" r:id="rId1"/>
  <rowBreaks count="2" manualBreakCount="2">
    <brk id="86" max="10" man="1"/>
    <brk id="174"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A814-DC89-4252-BB57-A6BECE72111F}">
  <sheetPr codeName="Sheet11">
    <tabColor rgb="FF92D050"/>
    <pageSetUpPr fitToPage="1"/>
  </sheetPr>
  <dimension ref="A1:Q42"/>
  <sheetViews>
    <sheetView showGridLines="0" view="pageBreakPreview" zoomScaleNormal="100" zoomScaleSheetLayoutView="100" workbookViewId="0"/>
  </sheetViews>
  <sheetFormatPr defaultRowHeight="15" customHeight="1" x14ac:dyDescent="0.25"/>
  <cols>
    <col min="1" max="1" width="60.5703125" customWidth="1"/>
    <col min="2" max="17" width="11.5703125" customWidth="1"/>
    <col min="18" max="18" width="3.85546875" customWidth="1"/>
  </cols>
  <sheetData>
    <row r="1" spans="1:17" ht="26.25" x14ac:dyDescent="0.4">
      <c r="A1" s="412" t="s">
        <v>576</v>
      </c>
    </row>
    <row r="3" spans="1:17" ht="30.75" customHeight="1" x14ac:dyDescent="0.35">
      <c r="A3" s="299"/>
      <c r="B3" s="413" t="str">
        <f>Outputs!C52</f>
        <v xml:space="preserve">Alpine Energy </v>
      </c>
      <c r="C3" s="413" t="str">
        <f>Outputs!D52</f>
        <v>Aurora Energy</v>
      </c>
      <c r="D3" s="413" t="str">
        <f>Outputs!E52</f>
        <v>EA Networks</v>
      </c>
      <c r="E3" s="413" t="str">
        <f>Outputs!F52</f>
        <v>Electricity Invercargill</v>
      </c>
      <c r="F3" s="413" t="str">
        <f>Outputs!G52</f>
        <v>Firstlight Network</v>
      </c>
      <c r="G3" s="413" t="str">
        <f>Outputs!H52</f>
        <v xml:space="preserve">Horizon Energy </v>
      </c>
      <c r="H3" s="413" t="str">
        <f>Outputs!I52</f>
        <v xml:space="preserve">Nelson Electricity </v>
      </c>
      <c r="I3" s="413" t="str">
        <f>Outputs!J52</f>
        <v xml:space="preserve">Network Tasman </v>
      </c>
      <c r="J3" s="413" t="str">
        <f>Outputs!K52</f>
        <v>Orion NZ</v>
      </c>
      <c r="K3" s="413" t="str">
        <f>Outputs!L52</f>
        <v xml:space="preserve">OtagoNet </v>
      </c>
      <c r="L3" s="413" t="str">
        <f>Outputs!M52</f>
        <v>Powerco</v>
      </c>
      <c r="M3" s="413" t="str">
        <f>Outputs!N52</f>
        <v>The Lines Company</v>
      </c>
      <c r="N3" s="413" t="str">
        <f>Outputs!O52</f>
        <v xml:space="preserve">Top Energy </v>
      </c>
      <c r="O3" s="413" t="str">
        <f>Outputs!P52</f>
        <v xml:space="preserve">Unison </v>
      </c>
      <c r="P3" s="413" t="str">
        <f>Outputs!Q52</f>
        <v xml:space="preserve">Vector </v>
      </c>
      <c r="Q3" s="413" t="str">
        <f>Outputs!R52</f>
        <v>Wellington Electricity</v>
      </c>
    </row>
    <row r="4" spans="1:17" ht="15" customHeight="1" x14ac:dyDescent="0.25">
      <c r="A4" s="1"/>
      <c r="B4" s="1"/>
      <c r="C4" s="1"/>
      <c r="D4" s="1"/>
      <c r="E4" s="1"/>
      <c r="F4" s="1"/>
      <c r="G4" s="1"/>
      <c r="H4" s="1"/>
      <c r="I4" s="1"/>
      <c r="J4" s="1"/>
      <c r="K4" s="1"/>
      <c r="L4" s="1"/>
      <c r="M4" s="1"/>
      <c r="N4" s="1"/>
      <c r="O4" s="1"/>
      <c r="P4" s="1"/>
      <c r="Q4" s="1"/>
    </row>
    <row r="5" spans="1:17" x14ac:dyDescent="0.25">
      <c r="A5" s="147" t="s">
        <v>577</v>
      </c>
      <c r="B5" s="147"/>
      <c r="C5" s="147"/>
      <c r="D5" s="147"/>
      <c r="E5" s="147"/>
      <c r="F5" s="147"/>
      <c r="G5" s="147"/>
      <c r="H5" s="147"/>
      <c r="I5" s="147"/>
      <c r="J5" s="147"/>
      <c r="K5" s="147"/>
      <c r="L5" s="147"/>
      <c r="M5" s="147"/>
      <c r="N5" s="147"/>
      <c r="O5" s="147"/>
      <c r="P5" s="147"/>
      <c r="Q5" s="147"/>
    </row>
    <row r="6" spans="1:17" x14ac:dyDescent="0.25">
      <c r="A6" s="144" t="str">
        <f>Outputs!A64</f>
        <v>Actuals vs. allowance, 2021</v>
      </c>
      <c r="B6" s="211">
        <f>Outputs!C64</f>
        <v>2.7616896606729537E-2</v>
      </c>
      <c r="C6" s="211">
        <f>Outputs!D64</f>
        <v>6.5548083828425299E-3</v>
      </c>
      <c r="D6" s="211">
        <f>Outputs!E64</f>
        <v>2.3448602558029372E-2</v>
      </c>
      <c r="E6" s="211">
        <f>Outputs!F64</f>
        <v>-8.5463894596343778E-2</v>
      </c>
      <c r="F6" s="211">
        <f>Outputs!G64</f>
        <v>-8.8294887005649324E-3</v>
      </c>
      <c r="G6" s="211">
        <f>Outputs!H64</f>
        <v>4.3520302826332909E-2</v>
      </c>
      <c r="H6" s="211">
        <f>Outputs!I64</f>
        <v>-0.10997782705099779</v>
      </c>
      <c r="I6" s="211">
        <f>Outputs!J64</f>
        <v>2.6252127945524596E-2</v>
      </c>
      <c r="J6" s="211">
        <f>Outputs!K64</f>
        <v>1.569443353851652E-2</v>
      </c>
      <c r="K6" s="211">
        <f>Outputs!L64</f>
        <v>-2.8021940796845356E-2</v>
      </c>
      <c r="L6" s="211">
        <f>Outputs!M64</f>
        <v>-8.743848886213125E-2</v>
      </c>
      <c r="M6" s="211">
        <f>Outputs!N64</f>
        <v>-2.1153238526514104E-2</v>
      </c>
      <c r="N6" s="211">
        <f>Outputs!O64</f>
        <v>0.11915399257167231</v>
      </c>
      <c r="O6" s="211">
        <f>Outputs!P64</f>
        <v>-1.1137344685316353E-2</v>
      </c>
      <c r="P6" s="211">
        <f>Outputs!Q64</f>
        <v>-1.5449155559683587E-2</v>
      </c>
      <c r="Q6" s="211">
        <f>Outputs!R64</f>
        <v>-1.8518743482303625E-2</v>
      </c>
    </row>
    <row r="7" spans="1:17" x14ac:dyDescent="0.25">
      <c r="A7" s="302" t="str">
        <f>Outputs!A65</f>
        <v>Actuals vs. allowance, 2022</v>
      </c>
      <c r="B7" s="414">
        <f>Outputs!C65</f>
        <v>0.11159982809542113</v>
      </c>
      <c r="C7" s="414">
        <f>Outputs!D65</f>
        <v>-0.13393492342831467</v>
      </c>
      <c r="D7" s="414">
        <f>Outputs!E65</f>
        <v>4.3115331597488128E-2</v>
      </c>
      <c r="E7" s="414">
        <f>Outputs!F65</f>
        <v>-3.4103820677938629E-2</v>
      </c>
      <c r="F7" s="414">
        <f>Outputs!G65</f>
        <v>0.11076777655476058</v>
      </c>
      <c r="G7" s="414">
        <f>Outputs!H65</f>
        <v>3.74659297693671E-2</v>
      </c>
      <c r="H7" s="414">
        <f>Outputs!I65</f>
        <v>-1.8494623655913978E-2</v>
      </c>
      <c r="I7" s="414">
        <f>Outputs!J65</f>
        <v>3.9600221846103692E-2</v>
      </c>
      <c r="J7" s="414">
        <f>Outputs!K65</f>
        <v>-3.2797884718749906E-2</v>
      </c>
      <c r="K7" s="414">
        <f>Outputs!L65</f>
        <v>-7.0085952944502872E-2</v>
      </c>
      <c r="L7" s="414">
        <f>Outputs!M65</f>
        <v>5.0895986388324467E-2</v>
      </c>
      <c r="M7" s="414">
        <f>Outputs!N65</f>
        <v>5.9471458535310599E-2</v>
      </c>
      <c r="N7" s="414">
        <f>Outputs!O65</f>
        <v>0.16246281193430931</v>
      </c>
      <c r="O7" s="414">
        <f>Outputs!P65</f>
        <v>2.5011208523374625E-2</v>
      </c>
      <c r="P7" s="414">
        <f>Outputs!Q65</f>
        <v>1.8302989686883354E-2</v>
      </c>
      <c r="Q7" s="414">
        <f>Outputs!R65</f>
        <v>5.3110870422822185E-3</v>
      </c>
    </row>
    <row r="8" spans="1:17" x14ac:dyDescent="0.25">
      <c r="A8" s="302" t="str">
        <f>Outputs!A66</f>
        <v>Actuals vs. allowance, 2023</v>
      </c>
      <c r="B8" s="414">
        <f>Outputs!C66</f>
        <v>0.20673949301844377</v>
      </c>
      <c r="C8" s="414">
        <f>Outputs!D66</f>
        <v>-7.342214373464373E-2</v>
      </c>
      <c r="D8" s="414">
        <f>Outputs!E66</f>
        <v>0.14708939708939708</v>
      </c>
      <c r="E8" s="414">
        <f>Outputs!F66</f>
        <v>2.5756119297527569E-2</v>
      </c>
      <c r="F8" s="414">
        <f>Outputs!G66</f>
        <v>0.15157539876752699</v>
      </c>
      <c r="G8" s="414">
        <f>Outputs!H66</f>
        <v>6.9583326025037917E-2</v>
      </c>
      <c r="H8" s="414">
        <f>Outputs!I66</f>
        <v>-1.9599666388657216E-2</v>
      </c>
      <c r="I8" s="414">
        <f>Outputs!J66</f>
        <v>9.4241411946290404E-2</v>
      </c>
      <c r="J8" s="414">
        <f>Outputs!K66</f>
        <v>4.0250426038346138E-2</v>
      </c>
      <c r="K8" s="414">
        <f>Outputs!L66</f>
        <v>3.4164574593329861E-2</v>
      </c>
      <c r="L8" s="414">
        <f>Outputs!M66</f>
        <v>0.13443488841560347</v>
      </c>
      <c r="M8" s="414">
        <f>Outputs!N66</f>
        <v>1.4208849134419521E-2</v>
      </c>
      <c r="N8" s="414">
        <f>Outputs!O66</f>
        <v>0.36997721826270541</v>
      </c>
      <c r="O8" s="414">
        <f>Outputs!P66</f>
        <v>0.13101031818543082</v>
      </c>
      <c r="P8" s="414">
        <f>Outputs!Q66</f>
        <v>4.5107882242575711E-2</v>
      </c>
      <c r="Q8" s="414">
        <f>Outputs!R66</f>
        <v>3.1588875951979532E-4</v>
      </c>
    </row>
    <row r="9" spans="1:17" x14ac:dyDescent="0.25">
      <c r="A9" s="302" t="str">
        <f>Outputs!A67</f>
        <v>Actuals vs. allowance, 2024</v>
      </c>
      <c r="B9" s="414">
        <f>Outputs!C67</f>
        <v>0.3699215506426678</v>
      </c>
      <c r="C9" s="414">
        <f>Outputs!D67</f>
        <v>4.5933355076119418E-2</v>
      </c>
      <c r="D9" s="414">
        <f>Outputs!E67</f>
        <v>0.2197612541349058</v>
      </c>
      <c r="E9" s="414">
        <f>Outputs!F67</f>
        <v>0.10545367371984181</v>
      </c>
      <c r="F9" s="414">
        <f>Outputs!G67</f>
        <v>0.28698147665014351</v>
      </c>
      <c r="G9" s="414">
        <f>Outputs!H67</f>
        <v>0.12430073102112364</v>
      </c>
      <c r="H9" s="414">
        <f>Outputs!I67</f>
        <v>-9.4223357925596399E-2</v>
      </c>
      <c r="I9" s="414">
        <f>Outputs!J67</f>
        <v>0.2132100205451333</v>
      </c>
      <c r="J9" s="414">
        <f>Outputs!K67</f>
        <v>9.6246502762542693E-2</v>
      </c>
      <c r="K9" s="414">
        <f>Outputs!L67</f>
        <v>-1.8716551431815939E-2</v>
      </c>
      <c r="L9" s="414">
        <f>Outputs!M67</f>
        <v>-6.5240730035510779E-4</v>
      </c>
      <c r="M9" s="414">
        <f>Outputs!N67</f>
        <v>7.9497141292204462E-2</v>
      </c>
      <c r="N9" s="414">
        <f>Outputs!O67</f>
        <v>0.30820076181940398</v>
      </c>
      <c r="O9" s="414">
        <f>Outputs!P67</f>
        <v>0.11262113486511834</v>
      </c>
      <c r="P9" s="414">
        <f>Outputs!Q67</f>
        <v>0.15292364049588164</v>
      </c>
      <c r="Q9" s="414">
        <f>Outputs!R67</f>
        <v>2.6088978639499629E-2</v>
      </c>
    </row>
    <row r="10" spans="1:17" x14ac:dyDescent="0.25">
      <c r="A10" s="302" t="str">
        <f>Outputs!A68</f>
        <v>Actuals vs. allowance, 2025</v>
      </c>
      <c r="B10" s="414">
        <f>Outputs!C68</f>
        <v>0.84097635140373972</v>
      </c>
      <c r="C10" s="414">
        <f>Outputs!D68</f>
        <v>0.16403827688602668</v>
      </c>
      <c r="D10" s="414">
        <f>Outputs!E68</f>
        <v>0.47737022820852826</v>
      </c>
      <c r="E10" s="414">
        <f>Outputs!F68</f>
        <v>0.19810128037347705</v>
      </c>
      <c r="F10" s="414">
        <f>Outputs!G68</f>
        <v>0.51371933492298671</v>
      </c>
      <c r="G10" s="414">
        <f>Outputs!H68</f>
        <v>0.45917588346371718</v>
      </c>
      <c r="H10" s="414">
        <f>Outputs!I68</f>
        <v>-4.2164120249508739E-2</v>
      </c>
      <c r="I10" s="414">
        <f>Outputs!J68</f>
        <v>0.22661503043303322</v>
      </c>
      <c r="J10" s="414">
        <f>Outputs!K68</f>
        <v>0.17441858573303268</v>
      </c>
      <c r="K10" s="414">
        <f>Outputs!L68</f>
        <v>6.4929201602625025E-2</v>
      </c>
      <c r="L10" s="414">
        <f>Outputs!M68</f>
        <v>1.6289399639594068E-2</v>
      </c>
      <c r="M10" s="414">
        <f>Outputs!N68</f>
        <v>0.13047413303815122</v>
      </c>
      <c r="N10" s="414">
        <f>Outputs!O68</f>
        <v>0.51798757222282787</v>
      </c>
      <c r="O10" s="414">
        <f>Outputs!P68</f>
        <v>0.12439568762897035</v>
      </c>
      <c r="P10" s="414">
        <f>Outputs!Q68</f>
        <v>0.22366728422090085</v>
      </c>
      <c r="Q10" s="414">
        <f>Outputs!R68</f>
        <v>0.15565665617316701</v>
      </c>
    </row>
    <row r="11" spans="1:17" ht="15" customHeight="1" x14ac:dyDescent="0.25">
      <c r="A11" s="40"/>
      <c r="B11" s="40"/>
      <c r="C11" s="40"/>
      <c r="D11" s="40"/>
      <c r="E11" s="40"/>
      <c r="F11" s="40"/>
      <c r="G11" s="40"/>
      <c r="H11" s="40"/>
      <c r="I11" s="40"/>
      <c r="J11" s="40"/>
      <c r="K11" s="40"/>
      <c r="L11" s="40"/>
      <c r="M11" s="40"/>
      <c r="N11" s="40"/>
      <c r="O11" s="40"/>
      <c r="P11" s="40"/>
      <c r="Q11" s="40"/>
    </row>
    <row r="12" spans="1:17" x14ac:dyDescent="0.25">
      <c r="A12" s="147" t="s">
        <v>578</v>
      </c>
      <c r="B12" s="147"/>
      <c r="C12" s="147"/>
      <c r="D12" s="147"/>
      <c r="E12" s="147"/>
      <c r="F12" s="147"/>
      <c r="G12" s="147"/>
      <c r="H12" s="147"/>
      <c r="I12" s="147"/>
      <c r="J12" s="147"/>
      <c r="K12" s="147"/>
      <c r="L12" s="147"/>
      <c r="M12" s="147"/>
      <c r="N12" s="147"/>
      <c r="O12" s="147"/>
      <c r="P12" s="147"/>
      <c r="Q12" s="147"/>
    </row>
    <row r="13" spans="1:17" x14ac:dyDescent="0.25">
      <c r="A13" s="144" t="str">
        <f>Outputs!A47</f>
        <v>Opex incentive amount, % of BBAR</v>
      </c>
      <c r="B13" s="211">
        <f>Outputs!C47</f>
        <v>-4.599901610642318E-2</v>
      </c>
      <c r="C13" s="211">
        <f>Outputs!D47</f>
        <v>-1.9261406536071786E-2</v>
      </c>
      <c r="D13" s="211">
        <f>Outputs!E47</f>
        <v>-2.3629396739322274E-2</v>
      </c>
      <c r="E13" s="211">
        <f>Outputs!F47</f>
        <v>-2.395095716708261E-2</v>
      </c>
      <c r="F13" s="211">
        <f>Outputs!G47</f>
        <v>-3.9078296197217026E-2</v>
      </c>
      <c r="G13" s="211">
        <f>Outputs!H47</f>
        <v>-5.7309787977167913E-3</v>
      </c>
      <c r="H13" s="211">
        <f>Outputs!I47</f>
        <v>1.7100142086618111E-2</v>
      </c>
      <c r="I13" s="211">
        <f>Outputs!J47</f>
        <v>-3.8614263546629259E-2</v>
      </c>
      <c r="J13" s="211">
        <f>Outputs!K47</f>
        <v>-1.5329164499904908E-2</v>
      </c>
      <c r="K13" s="211">
        <f>Outputs!L47</f>
        <v>3.4514539404418734E-3</v>
      </c>
      <c r="L13" s="211">
        <f>Outputs!M47</f>
        <v>3.9581963553859999E-3</v>
      </c>
      <c r="M13" s="211">
        <f>Outputs!N47</f>
        <v>-1.3523391885972709E-2</v>
      </c>
      <c r="N13" s="211">
        <f>Outputs!O47</f>
        <v>-2.5105757266479865E-2</v>
      </c>
      <c r="O13" s="211">
        <f>Outputs!P47</f>
        <v>-1.6434872771867115E-2</v>
      </c>
      <c r="P13" s="211">
        <f>Outputs!Q47</f>
        <v>-2.1769278208787872E-2</v>
      </c>
      <c r="Q13" s="211">
        <f>Outputs!R47</f>
        <v>-7.4012116000825409E-4</v>
      </c>
    </row>
    <row r="14" spans="1:17" ht="15" customHeight="1" x14ac:dyDescent="0.25">
      <c r="A14" s="40"/>
      <c r="B14" s="40"/>
      <c r="C14" s="40"/>
      <c r="D14" s="40"/>
      <c r="E14" s="40"/>
      <c r="F14" s="40"/>
      <c r="G14" s="40"/>
      <c r="H14" s="40"/>
      <c r="I14" s="40"/>
      <c r="J14" s="40"/>
      <c r="K14" s="40"/>
      <c r="L14" s="40"/>
      <c r="M14" s="40"/>
      <c r="N14" s="40"/>
      <c r="O14" s="40"/>
      <c r="P14" s="40"/>
      <c r="Q14" s="40"/>
    </row>
    <row r="15" spans="1:17" x14ac:dyDescent="0.25">
      <c r="A15" s="147" t="s">
        <v>579</v>
      </c>
      <c r="B15" s="147"/>
      <c r="C15" s="147"/>
      <c r="D15" s="147"/>
      <c r="E15" s="147"/>
      <c r="F15" s="147"/>
      <c r="G15" s="147"/>
      <c r="H15" s="147"/>
      <c r="I15" s="147"/>
      <c r="J15" s="147"/>
      <c r="K15" s="147"/>
      <c r="L15" s="147"/>
      <c r="M15" s="147"/>
      <c r="N15" s="147"/>
      <c r="O15" s="147"/>
      <c r="P15" s="147"/>
      <c r="Q15" s="147"/>
    </row>
    <row r="16" spans="1:17" x14ac:dyDescent="0.25">
      <c r="A16" s="144" t="str">
        <f>Outputs!A56</f>
        <v>Actuals vs. allowance, 2021</v>
      </c>
      <c r="B16" s="212">
        <f>Outputs!C56</f>
        <v>-0.10947989819850916</v>
      </c>
      <c r="C16" s="212">
        <f>Outputs!D56</f>
        <v>0.28229192911732592</v>
      </c>
      <c r="D16" s="212">
        <f>Outputs!E56</f>
        <v>-0.14123378175172419</v>
      </c>
      <c r="E16" s="212">
        <f>Outputs!F56</f>
        <v>-0.11255710639344564</v>
      </c>
      <c r="F16" s="212">
        <f>Outputs!G56</f>
        <v>0.13407260983310648</v>
      </c>
      <c r="G16" s="212">
        <f>Outputs!H56</f>
        <v>-0.14035044620342749</v>
      </c>
      <c r="H16" s="212">
        <f>Outputs!I56</f>
        <v>-0.53128066953709696</v>
      </c>
      <c r="I16" s="212">
        <f>Outputs!J56</f>
        <v>-0.21612153037778029</v>
      </c>
      <c r="J16" s="212">
        <f>Outputs!K56</f>
        <v>-0.26306159852151551</v>
      </c>
      <c r="K16" s="212">
        <f>Outputs!L56</f>
        <v>-0.11181404286820491</v>
      </c>
      <c r="L16" s="212">
        <f>Outputs!M56</f>
        <v>4.9099129405879363E-2</v>
      </c>
      <c r="M16" s="212">
        <f>Outputs!N56</f>
        <v>0.14459692131745405</v>
      </c>
      <c r="N16" s="212">
        <f>Outputs!O56</f>
        <v>1.0330463003300026</v>
      </c>
      <c r="O16" s="212">
        <f>Outputs!P56</f>
        <v>-0.22560425719739333</v>
      </c>
      <c r="P16" s="212">
        <f>Outputs!Q56</f>
        <v>1.9426221444988363E-2</v>
      </c>
      <c r="Q16" s="212">
        <f>Outputs!R56</f>
        <v>-0.1442615564797145</v>
      </c>
    </row>
    <row r="17" spans="1:17" x14ac:dyDescent="0.25">
      <c r="A17" s="302" t="str">
        <f>Outputs!A57</f>
        <v>Actuals vs. allowance, 2022</v>
      </c>
      <c r="B17" s="415">
        <f>Outputs!C57</f>
        <v>9.2771409326220189E-2</v>
      </c>
      <c r="C17" s="415">
        <f>Outputs!D57</f>
        <v>0.21738788973533338</v>
      </c>
      <c r="D17" s="415">
        <f>Outputs!E57</f>
        <v>-0.35345403847456947</v>
      </c>
      <c r="E17" s="415">
        <f>Outputs!F57</f>
        <v>0.21052777671580797</v>
      </c>
      <c r="F17" s="415">
        <f>Outputs!G57</f>
        <v>-4.9947119105849577E-2</v>
      </c>
      <c r="G17" s="415">
        <f>Outputs!H57</f>
        <v>-1.8847154829339196E-2</v>
      </c>
      <c r="H17" s="415">
        <f>Outputs!I57</f>
        <v>-7.856523104817003E-3</v>
      </c>
      <c r="I17" s="415">
        <f>Outputs!J57</f>
        <v>-0.14316896598928869</v>
      </c>
      <c r="J17" s="415">
        <f>Outputs!K57</f>
        <v>0.52255248236593321</v>
      </c>
      <c r="K17" s="415">
        <f>Outputs!L57</f>
        <v>0.24951018883942808</v>
      </c>
      <c r="L17" s="415">
        <f>Outputs!M57</f>
        <v>-5.8643244552372534E-2</v>
      </c>
      <c r="M17" s="415">
        <f>Outputs!N57</f>
        <v>0.16498569166328175</v>
      </c>
      <c r="N17" s="415">
        <f>Outputs!O57</f>
        <v>-0.38981858789603802</v>
      </c>
      <c r="O17" s="415">
        <f>Outputs!P57</f>
        <v>-1.7666441195848651E-2</v>
      </c>
      <c r="P17" s="415">
        <f>Outputs!Q57</f>
        <v>-0.17985212387079635</v>
      </c>
      <c r="Q17" s="415">
        <f>Outputs!R57</f>
        <v>0.17097730287860102</v>
      </c>
    </row>
    <row r="18" spans="1:17" x14ac:dyDescent="0.25">
      <c r="A18" s="302" t="str">
        <f>Outputs!A58</f>
        <v>Actuals vs. allowance, 2023</v>
      </c>
      <c r="B18" s="415">
        <f>Outputs!C58</f>
        <v>0.26581043196616067</v>
      </c>
      <c r="C18" s="415">
        <f>Outputs!D58</f>
        <v>0.17557193540494251</v>
      </c>
      <c r="D18" s="415">
        <f>Outputs!E58</f>
        <v>-0.32296467222665964</v>
      </c>
      <c r="E18" s="415">
        <f>Outputs!F58</f>
        <v>-0.18780102628563855</v>
      </c>
      <c r="F18" s="415">
        <f>Outputs!G58</f>
        <v>0.79000505888812445</v>
      </c>
      <c r="G18" s="415">
        <f>Outputs!H58</f>
        <v>1.8226912776612408E-2</v>
      </c>
      <c r="H18" s="415">
        <f>Outputs!I58</f>
        <v>-1.1612725538575295E-2</v>
      </c>
      <c r="I18" s="415">
        <f>Outputs!J58</f>
        <v>0.53311675975468609</v>
      </c>
      <c r="J18" s="415">
        <f>Outputs!K58</f>
        <v>0.18517818425052462</v>
      </c>
      <c r="K18" s="415">
        <f>Outputs!L58</f>
        <v>-6.016613966819076E-2</v>
      </c>
      <c r="L18" s="415">
        <f>Outputs!M58</f>
        <v>0.18256410658873501</v>
      </c>
      <c r="M18" s="415">
        <f>Outputs!N58</f>
        <v>-0.56316527317688958</v>
      </c>
      <c r="N18" s="415">
        <f>Outputs!O58</f>
        <v>-0.40651602715539614</v>
      </c>
      <c r="O18" s="415">
        <f>Outputs!P58</f>
        <v>8.1027884437958303E-2</v>
      </c>
      <c r="P18" s="415">
        <f>Outputs!Q58</f>
        <v>-0.20680594679158301</v>
      </c>
      <c r="Q18" s="415">
        <f>Outputs!R58</f>
        <v>-2.725523997541136E-2</v>
      </c>
    </row>
    <row r="19" spans="1:17" x14ac:dyDescent="0.25">
      <c r="A19" s="302" t="str">
        <f>Outputs!A59</f>
        <v>Actuals vs. allowance, 2024</v>
      </c>
      <c r="B19" s="415">
        <f>Outputs!C59</f>
        <v>0.40184777454577814</v>
      </c>
      <c r="C19" s="415">
        <f>Outputs!D59</f>
        <v>5.4098564630126106E-2</v>
      </c>
      <c r="D19" s="415">
        <f>Outputs!E59</f>
        <v>-8.8591149113976531E-2</v>
      </c>
      <c r="E19" s="415">
        <f>Outputs!F59</f>
        <v>-4.5907758795250983E-2</v>
      </c>
      <c r="F19" s="415">
        <f>Outputs!G59</f>
        <v>0.61851348150977858</v>
      </c>
      <c r="G19" s="415">
        <f>Outputs!H59</f>
        <v>-9.0591543436768767E-3</v>
      </c>
      <c r="H19" s="415">
        <f>Outputs!I59</f>
        <v>0.1930105184552833</v>
      </c>
      <c r="I19" s="415">
        <f>Outputs!J59</f>
        <v>0.76460347647457061</v>
      </c>
      <c r="J19" s="415">
        <f>Outputs!K59</f>
        <v>0.51634004701284542</v>
      </c>
      <c r="K19" s="415">
        <f>Outputs!L59</f>
        <v>-9.431239824568112E-2</v>
      </c>
      <c r="L19" s="415">
        <f>Outputs!M59</f>
        <v>4.0901236153874842E-3</v>
      </c>
      <c r="M19" s="415">
        <f>Outputs!N59</f>
        <v>0.17071180842949454</v>
      </c>
      <c r="N19" s="415">
        <f>Outputs!O59</f>
        <v>0.22459767785592408</v>
      </c>
      <c r="O19" s="415">
        <f>Outputs!P59</f>
        <v>0.61134883725974787</v>
      </c>
      <c r="P19" s="415">
        <f>Outputs!Q59</f>
        <v>0.47158587489127468</v>
      </c>
      <c r="Q19" s="415">
        <f>Outputs!R59</f>
        <v>0.16671948037611084</v>
      </c>
    </row>
    <row r="20" spans="1:17" x14ac:dyDescent="0.25">
      <c r="A20" s="302" t="str">
        <f>Outputs!A60</f>
        <v>Actuals vs. allowance, 2025</v>
      </c>
      <c r="B20" s="415">
        <f>Outputs!C60</f>
        <v>1.2108035277983422</v>
      </c>
      <c r="C20" s="415">
        <f>Outputs!D60</f>
        <v>0.20060778581320204</v>
      </c>
      <c r="D20" s="415">
        <f>Outputs!E60</f>
        <v>-6.1017052818825086E-2</v>
      </c>
      <c r="E20" s="415">
        <f>Outputs!F60</f>
        <v>0.44251024303912079</v>
      </c>
      <c r="F20" s="415">
        <f>Outputs!G60</f>
        <v>1.093041827291539</v>
      </c>
      <c r="G20" s="415">
        <f>Outputs!H60</f>
        <v>0.25474769988356766</v>
      </c>
      <c r="H20" s="415">
        <f>Outputs!I60</f>
        <v>0.92533618179776334</v>
      </c>
      <c r="I20" s="415">
        <f>Outputs!J60</f>
        <v>1.2394973063064794</v>
      </c>
      <c r="J20" s="415">
        <f>Outputs!K60</f>
        <v>0.76818192154520681</v>
      </c>
      <c r="K20" s="415">
        <f>Outputs!L60</f>
        <v>9.2544609978355244E-2</v>
      </c>
      <c r="L20" s="415">
        <f>Outputs!M60</f>
        <v>0.14638243427297867</v>
      </c>
      <c r="M20" s="415">
        <f>Outputs!N60</f>
        <v>1.2335377468759252</v>
      </c>
      <c r="N20" s="415">
        <f>Outputs!O60</f>
        <v>0.36161013507263007</v>
      </c>
      <c r="O20" s="415">
        <f>Outputs!P60</f>
        <v>0.93493288354693427</v>
      </c>
      <c r="P20" s="415">
        <f>Outputs!Q60</f>
        <v>0.93835439804632337</v>
      </c>
      <c r="Q20" s="415">
        <f>Outputs!R60</f>
        <v>0.30971188522499588</v>
      </c>
    </row>
    <row r="21" spans="1:17" ht="15" customHeight="1" x14ac:dyDescent="0.25">
      <c r="A21" s="40"/>
      <c r="B21" s="40"/>
      <c r="C21" s="40"/>
      <c r="D21" s="40"/>
      <c r="E21" s="40"/>
      <c r="F21" s="40"/>
      <c r="G21" s="40"/>
      <c r="H21" s="40"/>
      <c r="I21" s="40"/>
      <c r="J21" s="40"/>
      <c r="K21" s="40"/>
      <c r="L21" s="40"/>
      <c r="M21" s="40"/>
      <c r="N21" s="40"/>
      <c r="O21" s="40"/>
      <c r="P21" s="40"/>
      <c r="Q21" s="40"/>
    </row>
    <row r="22" spans="1:17" x14ac:dyDescent="0.25">
      <c r="A22" s="147" t="s">
        <v>580</v>
      </c>
      <c r="B22" s="147"/>
      <c r="C22" s="147"/>
      <c r="D22" s="147"/>
      <c r="E22" s="147"/>
      <c r="F22" s="147"/>
      <c r="G22" s="147"/>
      <c r="H22" s="147"/>
      <c r="I22" s="147"/>
      <c r="J22" s="147"/>
      <c r="K22" s="147"/>
      <c r="L22" s="147"/>
      <c r="M22" s="147"/>
      <c r="N22" s="147"/>
      <c r="O22" s="147"/>
      <c r="P22" s="147"/>
      <c r="Q22" s="147"/>
    </row>
    <row r="23" spans="1:17" x14ac:dyDescent="0.25">
      <c r="A23" s="144" t="str">
        <f>Outputs!A46</f>
        <v>Capex incentive amount, % of BBAR</v>
      </c>
      <c r="B23" s="211">
        <f>Outputs!C46</f>
        <v>-1.5482252394361146E-2</v>
      </c>
      <c r="C23" s="211">
        <f>Outputs!D46</f>
        <v>-9.5980885000233745E-3</v>
      </c>
      <c r="D23" s="211">
        <f>Outputs!E46</f>
        <v>6.4333069957961467E-3</v>
      </c>
      <c r="E23" s="211">
        <f>Outputs!F46</f>
        <v>-4.0296753844483932E-3</v>
      </c>
      <c r="F23" s="211">
        <f>Outputs!G46</f>
        <v>-2.0935143375741615E-2</v>
      </c>
      <c r="G23" s="211">
        <f>Outputs!H46</f>
        <v>-2.555589197906198E-3</v>
      </c>
      <c r="H23" s="211">
        <f>Outputs!I46</f>
        <v>-9.7267484904362683E-3</v>
      </c>
      <c r="I23" s="211">
        <f>Outputs!J46</f>
        <v>-1.9445976238994085E-2</v>
      </c>
      <c r="J23" s="211">
        <f>Outputs!K46</f>
        <v>-1.9252747642285094E-2</v>
      </c>
      <c r="K23" s="211">
        <f>Outputs!L46</f>
        <v>5.8536394351937759E-5</v>
      </c>
      <c r="L23" s="211">
        <f>Outputs!M46</f>
        <v>-5.2806461141778676E-3</v>
      </c>
      <c r="M23" s="211">
        <f>Outputs!N46</f>
        <v>-1.4548968885111117E-2</v>
      </c>
      <c r="N23" s="211">
        <f>Outputs!O46</f>
        <v>-3.2290198566240296E-3</v>
      </c>
      <c r="O23" s="211">
        <f>Outputs!P46</f>
        <v>-1.8122382873310139E-2</v>
      </c>
      <c r="P23" s="211">
        <f>Outputs!Q46</f>
        <v>-1.5396920497065177E-2</v>
      </c>
      <c r="Q23" s="211">
        <f>Outputs!R46</f>
        <v>-6.1365999076762618E-3</v>
      </c>
    </row>
    <row r="24" spans="1:17" ht="15" customHeight="1" x14ac:dyDescent="0.25">
      <c r="A24" s="40"/>
      <c r="B24" s="40"/>
      <c r="C24" s="40"/>
      <c r="D24" s="40"/>
      <c r="E24" s="40"/>
      <c r="F24" s="40"/>
      <c r="G24" s="40"/>
      <c r="H24" s="40"/>
      <c r="I24" s="40"/>
      <c r="J24" s="40"/>
      <c r="K24" s="40"/>
      <c r="L24" s="40"/>
      <c r="M24" s="40"/>
      <c r="N24" s="40"/>
      <c r="O24" s="40"/>
      <c r="P24" s="235"/>
      <c r="Q24" s="235"/>
    </row>
    <row r="25" spans="1:17" ht="15" customHeight="1" x14ac:dyDescent="0.25">
      <c r="A25" s="1"/>
      <c r="B25" s="1"/>
      <c r="C25" s="1"/>
      <c r="D25" s="1"/>
      <c r="E25" s="1"/>
      <c r="F25" s="1"/>
      <c r="G25" s="1"/>
      <c r="H25" s="1"/>
      <c r="I25" s="1"/>
      <c r="J25" s="1"/>
      <c r="K25" s="1"/>
      <c r="L25" s="1"/>
      <c r="M25" s="1"/>
      <c r="N25" s="1"/>
      <c r="O25" s="1"/>
    </row>
    <row r="26" spans="1:17" x14ac:dyDescent="0.25">
      <c r="A26" s="147" t="s">
        <v>581</v>
      </c>
      <c r="B26" s="147"/>
      <c r="C26" s="147"/>
      <c r="D26" s="147"/>
      <c r="E26" s="147"/>
      <c r="F26" s="147"/>
      <c r="G26" s="147"/>
      <c r="H26" s="147"/>
      <c r="I26" s="147"/>
      <c r="J26" s="147"/>
      <c r="K26" s="147"/>
      <c r="L26" s="147"/>
      <c r="M26" s="147"/>
      <c r="N26" s="147"/>
      <c r="O26" s="147"/>
      <c r="P26" s="147"/>
      <c r="Q26" s="147"/>
    </row>
    <row r="27" spans="1:17" x14ac:dyDescent="0.25">
      <c r="A27" s="147" t="str">
        <f>'Supplementary analysis'!A182</f>
        <v>Opex - actuals vs. allowance (%)</v>
      </c>
      <c r="B27" s="147"/>
      <c r="C27" s="147"/>
      <c r="D27" s="147"/>
      <c r="E27" s="147"/>
      <c r="F27" s="147"/>
      <c r="G27" s="147"/>
      <c r="H27" s="147"/>
      <c r="I27" s="147"/>
      <c r="J27" s="147"/>
      <c r="K27" s="147"/>
      <c r="L27" s="147"/>
      <c r="M27" s="147"/>
      <c r="N27" s="147"/>
      <c r="O27" s="147"/>
      <c r="P27" s="147"/>
      <c r="Q27" s="147"/>
    </row>
    <row r="28" spans="1:17" ht="51.75" customHeight="1" x14ac:dyDescent="0.25">
      <c r="A28" s="213"/>
      <c r="B28" s="213" t="str">
        <f>'Supplementary analysis'!A179</f>
        <v>Aggregate (weighted)</v>
      </c>
      <c r="C28" s="213" t="str">
        <f>'Supplementary analysis'!A180</f>
        <v>Aggregate (weighted) (excluding Aurora)</v>
      </c>
      <c r="D28" s="1"/>
      <c r="E28" s="1"/>
      <c r="F28" s="1"/>
      <c r="G28" s="1"/>
      <c r="H28" s="1"/>
      <c r="I28" s="1"/>
      <c r="J28" s="1"/>
      <c r="K28" s="1"/>
      <c r="L28" s="1"/>
      <c r="M28" s="1"/>
      <c r="N28" s="1"/>
      <c r="O28" s="1"/>
    </row>
    <row r="29" spans="1:17" ht="15" customHeight="1" x14ac:dyDescent="0.25">
      <c r="A29" s="302" t="str">
        <f>"Actuals vs. allowance, "&amp;'Supplementary analysis'!D182</f>
        <v xml:space="preserve">Actuals vs. allowance, </v>
      </c>
      <c r="B29" s="332">
        <f t="array" ref="B29:C33">TRANSPOSE('Supplementary analysis'!D184:H185)</f>
        <v>-2.8316977505051601E-2</v>
      </c>
      <c r="C29" s="332">
        <v>-3.0430582366502337E-2</v>
      </c>
      <c r="D29" s="1"/>
      <c r="E29" s="1"/>
      <c r="F29" s="1"/>
      <c r="G29" s="1"/>
      <c r="H29" s="1"/>
      <c r="I29" s="1"/>
      <c r="J29" s="1"/>
      <c r="K29" s="1"/>
      <c r="L29" s="1"/>
      <c r="M29" s="1"/>
      <c r="N29" s="1"/>
      <c r="O29" s="1"/>
    </row>
    <row r="30" spans="1:17" ht="15" customHeight="1" x14ac:dyDescent="0.25">
      <c r="A30" s="302" t="str">
        <f>"Actuals vs. allowance, "&amp;'Supplementary analysis'!E182</f>
        <v xml:space="preserve">Actuals vs. allowance, </v>
      </c>
      <c r="B30" s="332">
        <v>1.3615299755747811E-2</v>
      </c>
      <c r="C30" s="332">
        <v>2.3773687424835155E-2</v>
      </c>
      <c r="D30" s="1"/>
      <c r="E30" s="1"/>
      <c r="F30" s="1"/>
      <c r="G30" s="1"/>
      <c r="H30" s="1"/>
      <c r="I30" s="1"/>
      <c r="J30" s="1"/>
      <c r="K30" s="1"/>
      <c r="L30" s="1"/>
      <c r="M30" s="1"/>
      <c r="N30" s="1"/>
      <c r="O30" s="1"/>
    </row>
    <row r="31" spans="1:17" ht="15" customHeight="1" x14ac:dyDescent="0.25">
      <c r="A31" s="302" t="str">
        <f>"Actuals vs. allowance, "&amp;'Supplementary analysis'!F182</f>
        <v xml:space="preserve">Actuals vs. allowance, </v>
      </c>
      <c r="B31" s="332">
        <v>6.7026002611496827E-2</v>
      </c>
      <c r="C31" s="332">
        <v>7.6213461290797438E-2</v>
      </c>
      <c r="D31" s="1"/>
      <c r="E31" s="1"/>
      <c r="F31" s="1"/>
      <c r="G31" s="1"/>
      <c r="H31" s="1"/>
      <c r="I31" s="1"/>
      <c r="J31" s="1"/>
      <c r="K31" s="1"/>
      <c r="L31" s="1"/>
      <c r="M31" s="1"/>
      <c r="N31" s="1"/>
      <c r="O31" s="1"/>
    </row>
    <row r="32" spans="1:17" ht="15" customHeight="1" x14ac:dyDescent="0.25">
      <c r="A32" s="302" t="str">
        <f>"Actuals vs. allowance, "&amp;'Supplementary analysis'!G182</f>
        <v xml:space="preserve">Actuals vs. allowance, </v>
      </c>
      <c r="B32" s="332">
        <v>9.4466416368512898E-2</v>
      </c>
      <c r="C32" s="332">
        <v>9.7276925415200916E-2</v>
      </c>
      <c r="D32" s="1"/>
      <c r="E32" s="1"/>
      <c r="F32" s="1"/>
      <c r="G32" s="1"/>
      <c r="H32" s="1"/>
      <c r="I32" s="1"/>
      <c r="J32" s="1"/>
      <c r="K32" s="1"/>
      <c r="L32" s="1"/>
      <c r="M32" s="1"/>
      <c r="N32" s="1"/>
      <c r="O32" s="1"/>
    </row>
    <row r="33" spans="1:17" ht="15" customHeight="1" x14ac:dyDescent="0.25">
      <c r="A33" s="302" t="str">
        <f>"Actuals vs. allowance, "&amp;'Supplementary analysis'!H182</f>
        <v xml:space="preserve">Actuals vs. allowance, </v>
      </c>
      <c r="B33" s="332">
        <v>0.15814448466295211</v>
      </c>
      <c r="C33" s="332">
        <v>0.15782498103636561</v>
      </c>
      <c r="D33" s="1"/>
      <c r="E33" s="1"/>
      <c r="F33" s="1"/>
      <c r="G33" s="1"/>
      <c r="H33" s="1"/>
      <c r="I33" s="1"/>
      <c r="J33" s="1"/>
      <c r="K33" s="1"/>
      <c r="L33" s="1"/>
      <c r="M33" s="1"/>
      <c r="N33" s="1"/>
      <c r="O33" s="1"/>
    </row>
    <row r="34" spans="1:17" ht="15" customHeight="1" x14ac:dyDescent="0.25">
      <c r="A34" s="40"/>
      <c r="B34" s="416"/>
      <c r="C34" s="416"/>
      <c r="D34" s="1"/>
      <c r="E34" s="1"/>
      <c r="F34" s="1"/>
      <c r="G34" s="1"/>
      <c r="H34" s="1"/>
      <c r="I34" s="1"/>
      <c r="J34" s="1"/>
      <c r="K34" s="1"/>
      <c r="L34" s="1"/>
      <c r="M34" s="1"/>
      <c r="N34" s="1"/>
      <c r="O34" s="1"/>
    </row>
    <row r="35" spans="1:17" x14ac:dyDescent="0.25">
      <c r="A35" s="147" t="s">
        <v>587</v>
      </c>
      <c r="B35" s="147"/>
      <c r="C35" s="147"/>
      <c r="D35" s="147"/>
      <c r="E35" s="147"/>
      <c r="F35" s="147"/>
      <c r="G35" s="147"/>
      <c r="H35" s="147"/>
      <c r="I35" s="147"/>
      <c r="J35" s="147"/>
      <c r="K35" s="147"/>
      <c r="L35" s="147"/>
      <c r="M35" s="147"/>
      <c r="N35" s="147"/>
      <c r="O35" s="147"/>
      <c r="P35" s="147"/>
      <c r="Q35" s="147"/>
    </row>
    <row r="36" spans="1:17" x14ac:dyDescent="0.25">
      <c r="A36" s="147" t="str">
        <f>'Supplementary analysis'!A176</f>
        <v>Asset commissioned - actuals vs. allowance (%)</v>
      </c>
      <c r="B36" s="147"/>
      <c r="C36" s="147"/>
      <c r="D36" s="147"/>
      <c r="E36" s="147"/>
      <c r="F36" s="147"/>
      <c r="G36" s="147"/>
      <c r="H36" s="147"/>
      <c r="I36" s="147"/>
      <c r="J36" s="147"/>
      <c r="K36" s="147"/>
      <c r="L36" s="147"/>
      <c r="M36" s="147"/>
      <c r="N36" s="147"/>
      <c r="O36" s="147"/>
      <c r="P36" s="147"/>
      <c r="Q36" s="147"/>
    </row>
    <row r="37" spans="1:17" ht="51.75" customHeight="1" x14ac:dyDescent="0.25">
      <c r="A37" s="213"/>
      <c r="B37" s="213" t="str">
        <f>'Supplementary analysis'!A184</f>
        <v>Aggregate (weighted)</v>
      </c>
      <c r="C37" s="213" t="str">
        <f>'Supplementary analysis'!A185</f>
        <v>Aggregate (weighted) (excluding Aurora)</v>
      </c>
      <c r="D37" s="1"/>
      <c r="E37" s="1"/>
      <c r="F37" s="1"/>
      <c r="G37" s="1"/>
      <c r="H37" s="1"/>
      <c r="I37" s="1"/>
      <c r="J37" s="1"/>
      <c r="K37" s="1"/>
      <c r="L37" s="1"/>
      <c r="M37" s="1"/>
      <c r="N37" s="1"/>
      <c r="O37" s="1"/>
    </row>
    <row r="38" spans="1:17" ht="15" customHeight="1" x14ac:dyDescent="0.25">
      <c r="A38" s="302" t="str">
        <f>"Actuals vs. allowance, "&amp;'Supplementary analysis'!D176</f>
        <v xml:space="preserve">Actuals vs. allowance, </v>
      </c>
      <c r="B38" s="332">
        <f t="array" ref="B38:C42">TRANSPOSE('Supplementary analysis'!D179:H180)</f>
        <v>1.5926322344472187E-2</v>
      </c>
      <c r="C38" s="332">
        <v>6.7295863084505959E-3</v>
      </c>
      <c r="D38" s="1"/>
      <c r="E38" s="1"/>
      <c r="F38" s="1"/>
      <c r="G38" s="1"/>
      <c r="H38" s="1"/>
      <c r="I38" s="1"/>
      <c r="J38" s="1"/>
      <c r="K38" s="1"/>
      <c r="L38" s="1"/>
      <c r="M38" s="1"/>
      <c r="N38" s="1"/>
      <c r="O38" s="1"/>
    </row>
    <row r="39" spans="1:17" ht="15" customHeight="1" x14ac:dyDescent="0.25">
      <c r="A39" s="302" t="str">
        <f>"Actuals vs. allowance, "&amp;'Supplementary analysis'!E176</f>
        <v xml:space="preserve">Actuals vs. allowance, </v>
      </c>
      <c r="B39" s="332">
        <v>-6.3502226421629046E-2</v>
      </c>
      <c r="C39" s="332">
        <v>-7.7996810471391745E-2</v>
      </c>
      <c r="D39" s="1"/>
      <c r="E39" s="1"/>
      <c r="F39" s="1"/>
      <c r="G39" s="1"/>
      <c r="H39" s="1"/>
      <c r="I39" s="1"/>
      <c r="J39" s="1"/>
      <c r="K39" s="1"/>
      <c r="L39" s="1"/>
      <c r="M39" s="1"/>
      <c r="N39" s="1"/>
      <c r="O39" s="1"/>
    </row>
    <row r="40" spans="1:17" ht="15" customHeight="1" x14ac:dyDescent="0.25">
      <c r="A40" s="302" t="str">
        <f>"Actuals vs. allowance, "&amp;'Supplementary analysis'!F176</f>
        <v xml:space="preserve">Actuals vs. allowance, </v>
      </c>
      <c r="B40" s="332">
        <v>1.314978718069082E-2</v>
      </c>
      <c r="C40" s="332">
        <v>6.2474888381191477E-3</v>
      </c>
      <c r="D40" s="1"/>
      <c r="E40" s="1"/>
      <c r="F40" s="1"/>
      <c r="G40" s="1"/>
      <c r="H40" s="1"/>
      <c r="I40" s="1"/>
      <c r="J40" s="1"/>
      <c r="K40" s="1"/>
      <c r="L40" s="1"/>
      <c r="M40" s="1"/>
      <c r="N40" s="1"/>
      <c r="O40" s="1"/>
    </row>
    <row r="41" spans="1:17" ht="15" customHeight="1" x14ac:dyDescent="0.25">
      <c r="A41" s="302" t="str">
        <f>"Actuals vs. allowance, "&amp;'Supplementary analysis'!G176</f>
        <v xml:space="preserve">Actuals vs. allowance, </v>
      </c>
      <c r="B41" s="332">
        <v>0.23165512297654306</v>
      </c>
      <c r="C41" s="332">
        <v>0.24034568084583893</v>
      </c>
      <c r="D41" s="1"/>
      <c r="E41" s="1"/>
      <c r="F41" s="1"/>
      <c r="G41" s="1"/>
      <c r="H41" s="1"/>
      <c r="I41" s="1"/>
      <c r="J41" s="1"/>
      <c r="K41" s="1"/>
      <c r="L41" s="1"/>
      <c r="M41" s="1"/>
      <c r="N41" s="1"/>
      <c r="O41" s="1"/>
    </row>
    <row r="42" spans="1:17" ht="15" customHeight="1" x14ac:dyDescent="0.25">
      <c r="A42" s="302" t="str">
        <f>"Actuals vs. allowance, "&amp;'Supplementary analysis'!H176</f>
        <v xml:space="preserve">Actuals vs. allowance, </v>
      </c>
      <c r="B42" s="332">
        <v>0.50488037513331274</v>
      </c>
      <c r="C42" s="332">
        <v>0.51880207774505172</v>
      </c>
      <c r="D42" s="1"/>
      <c r="E42" s="1"/>
      <c r="F42" s="1"/>
      <c r="G42" s="1"/>
      <c r="H42" s="1"/>
      <c r="I42" s="1"/>
      <c r="J42" s="1"/>
      <c r="K42" s="1"/>
      <c r="L42" s="1"/>
      <c r="M42" s="1"/>
      <c r="N42" s="1"/>
      <c r="O42" s="1"/>
    </row>
  </sheetData>
  <pageMargins left="0.70866141732283472" right="0.70866141732283472" top="0.74803149606299213" bottom="0.74803149606299213" header="0.31496062992125984" footer="0.31496062992125984"/>
  <pageSetup paperSize="9" scale="5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24DB-9F2C-4EFD-9876-8EC8FA917331}">
  <sheetPr codeName="Sheet5">
    <pageSetUpPr fitToPage="1"/>
  </sheetPr>
  <dimension ref="A1"/>
  <sheetViews>
    <sheetView showGridLines="0" view="pageBreakPreview" zoomScaleNormal="100" zoomScaleSheetLayoutView="100" workbookViewId="0">
      <selection activeCell="Q23" sqref="Q23"/>
    </sheetView>
  </sheetViews>
  <sheetFormatPr defaultRowHeight="15" customHeight="1" x14ac:dyDescent="0.25"/>
  <sheetData>
    <row r="1" spans="1:1" ht="15" customHeight="1" x14ac:dyDescent="0.25">
      <c r="A1" t="s">
        <v>223</v>
      </c>
    </row>
  </sheetData>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A7D1-5D5A-4C6D-8395-62F944EF84A3}">
  <sheetPr codeName="Sheet7">
    <tabColor rgb="FFD97E55"/>
    <pageSetUpPr fitToPage="1"/>
  </sheetPr>
  <dimension ref="A1:W85"/>
  <sheetViews>
    <sheetView showGridLines="0" view="pageBreakPreview" zoomScaleNormal="100" zoomScaleSheetLayoutView="100" workbookViewId="0"/>
  </sheetViews>
  <sheetFormatPr defaultColWidth="9.140625" defaultRowHeight="15" customHeight="1" x14ac:dyDescent="0.25"/>
  <cols>
    <col min="1" max="1" width="54.140625" customWidth="1"/>
    <col min="2" max="2" width="12" customWidth="1"/>
    <col min="3" max="19" width="14.140625" customWidth="1"/>
    <col min="20" max="20" width="2.140625" style="1" customWidth="1"/>
    <col min="21" max="21" width="9.140625" customWidth="1"/>
    <col min="24" max="16384" width="9.140625" style="1"/>
  </cols>
  <sheetData>
    <row r="1" spans="1:23" ht="15" customHeight="1" x14ac:dyDescent="0.25">
      <c r="A1" s="97" t="s">
        <v>547</v>
      </c>
      <c r="B1" s="97"/>
      <c r="C1" s="97"/>
      <c r="D1" s="97"/>
      <c r="E1" s="97"/>
      <c r="F1" s="97"/>
      <c r="G1" s="97"/>
      <c r="H1" s="97"/>
      <c r="I1" s="97"/>
      <c r="J1" s="97"/>
      <c r="K1" s="97"/>
      <c r="L1" s="97"/>
      <c r="M1" s="97"/>
      <c r="N1" s="97"/>
      <c r="O1" s="97"/>
      <c r="P1" s="97"/>
      <c r="Q1" s="97"/>
      <c r="R1" s="97"/>
      <c r="S1" s="97"/>
      <c r="U1" s="97"/>
      <c r="V1" s="97"/>
      <c r="W1" s="97"/>
    </row>
    <row r="2" spans="1:23" ht="27" thickBot="1" x14ac:dyDescent="0.3">
      <c r="A2" s="374" t="s">
        <v>12</v>
      </c>
      <c r="B2" s="92"/>
      <c r="C2" s="92"/>
      <c r="D2" s="92"/>
      <c r="E2" s="92"/>
      <c r="F2" s="92"/>
      <c r="G2" s="92"/>
      <c r="H2" s="92"/>
      <c r="I2" s="92"/>
      <c r="J2" s="92"/>
      <c r="K2" s="92"/>
      <c r="L2" s="92"/>
      <c r="M2" s="92"/>
      <c r="N2" s="92"/>
      <c r="O2" s="92"/>
      <c r="P2" s="92"/>
      <c r="Q2" s="92"/>
      <c r="R2" s="92"/>
      <c r="S2" s="92"/>
      <c r="U2" s="119"/>
      <c r="V2" s="119"/>
      <c r="W2" s="119"/>
    </row>
    <row r="3" spans="1:23" ht="20.100000000000001" customHeight="1" x14ac:dyDescent="0.3">
      <c r="A3" s="417" t="s">
        <v>321</v>
      </c>
      <c r="B3" s="418" t="s">
        <v>322</v>
      </c>
      <c r="C3" s="419"/>
      <c r="D3" s="419" t="b">
        <v>1</v>
      </c>
      <c r="E3" s="419"/>
      <c r="F3" s="419"/>
      <c r="G3" s="419"/>
      <c r="H3" s="419"/>
      <c r="I3" s="419"/>
      <c r="J3" s="419"/>
      <c r="K3" s="419"/>
      <c r="L3" s="419"/>
      <c r="M3" s="419"/>
      <c r="N3" s="419"/>
      <c r="O3" s="419"/>
      <c r="P3" s="419"/>
      <c r="Q3" s="419"/>
      <c r="R3" s="419"/>
      <c r="U3" s="68" t="s">
        <v>323</v>
      </c>
      <c r="V3" s="69"/>
      <c r="W3" s="70"/>
    </row>
    <row r="4" spans="1:23" ht="44.25" customHeight="1" thickBot="1" x14ac:dyDescent="0.4">
      <c r="A4" s="420" t="s">
        <v>324</v>
      </c>
      <c r="B4" s="421"/>
      <c r="C4" s="422" t="s">
        <v>325</v>
      </c>
      <c r="D4" s="422" t="s">
        <v>326</v>
      </c>
      <c r="E4" s="422" t="s">
        <v>327</v>
      </c>
      <c r="F4" s="422" t="s">
        <v>328</v>
      </c>
      <c r="G4" s="422" t="s">
        <v>329</v>
      </c>
      <c r="H4" s="422" t="s">
        <v>330</v>
      </c>
      <c r="I4" s="422" t="s">
        <v>331</v>
      </c>
      <c r="J4" s="423"/>
      <c r="K4" s="424"/>
      <c r="L4" s="424"/>
      <c r="M4" s="424"/>
      <c r="N4" s="424"/>
      <c r="O4" s="424"/>
      <c r="P4" s="424"/>
      <c r="Q4" s="424"/>
      <c r="R4" s="424"/>
      <c r="S4" s="92"/>
      <c r="U4" s="710" t="s">
        <v>332</v>
      </c>
      <c r="V4" s="710"/>
      <c r="W4" s="710"/>
    </row>
    <row r="5" spans="1:23" ht="21" customHeight="1" x14ac:dyDescent="0.25">
      <c r="A5" s="334"/>
      <c r="B5" s="334" t="s">
        <v>31</v>
      </c>
      <c r="C5" s="334" t="s">
        <v>424</v>
      </c>
      <c r="D5" s="334" t="s">
        <v>425</v>
      </c>
      <c r="E5" s="334" t="s">
        <v>426</v>
      </c>
      <c r="F5" s="334" t="s">
        <v>427</v>
      </c>
      <c r="G5" s="334" t="s">
        <v>428</v>
      </c>
      <c r="H5" s="334" t="s">
        <v>319</v>
      </c>
      <c r="I5" s="334" t="s">
        <v>320</v>
      </c>
      <c r="J5" s="425"/>
      <c r="K5" s="425"/>
      <c r="L5" s="425"/>
      <c r="M5" s="425"/>
      <c r="N5" s="425"/>
      <c r="O5" s="425"/>
      <c r="P5" s="425"/>
      <c r="Q5" s="425"/>
      <c r="R5" s="425"/>
      <c r="U5" s="71" t="str">
        <f>C5</f>
        <v>2018/19</v>
      </c>
      <c r="V5" s="69"/>
      <c r="W5" s="69"/>
    </row>
    <row r="6" spans="1:23" x14ac:dyDescent="0.25">
      <c r="A6" s="426" t="s">
        <v>32</v>
      </c>
      <c r="B6" s="427"/>
      <c r="C6" s="251">
        <v>1</v>
      </c>
      <c r="D6" s="251">
        <v>2</v>
      </c>
      <c r="E6" s="251">
        <v>3</v>
      </c>
      <c r="F6" s="251">
        <v>4</v>
      </c>
      <c r="G6" s="251">
        <v>5</v>
      </c>
      <c r="H6" s="251">
        <v>6</v>
      </c>
      <c r="I6" s="251">
        <v>7</v>
      </c>
      <c r="J6" s="1"/>
      <c r="K6" s="1"/>
      <c r="L6" s="1"/>
      <c r="M6" s="1"/>
      <c r="N6" s="1"/>
      <c r="O6" s="1"/>
      <c r="P6" s="1"/>
      <c r="Q6" s="1"/>
      <c r="R6" s="1"/>
      <c r="U6" s="428" t="str">
        <f t="shared" ref="U6:U11" si="0">LEFT(U5,4)+1 &amp; "/" &amp; RIGHT(U5,2)+1</f>
        <v>2019/20</v>
      </c>
      <c r="V6" s="276"/>
      <c r="W6" s="276"/>
    </row>
    <row r="7" spans="1:23" x14ac:dyDescent="0.25">
      <c r="A7" s="426" t="s">
        <v>33</v>
      </c>
      <c r="B7" s="427"/>
      <c r="C7" s="251"/>
      <c r="D7" s="251"/>
      <c r="E7" s="251">
        <v>1</v>
      </c>
      <c r="F7" s="251">
        <v>2</v>
      </c>
      <c r="G7" s="251">
        <v>3</v>
      </c>
      <c r="H7" s="251">
        <v>4</v>
      </c>
      <c r="I7" s="251">
        <v>5</v>
      </c>
      <c r="J7" s="1"/>
      <c r="K7" s="1"/>
      <c r="L7" s="1"/>
      <c r="M7" s="1"/>
      <c r="N7" s="1"/>
      <c r="O7" s="1"/>
      <c r="P7" s="1"/>
      <c r="Q7" s="1"/>
      <c r="R7" s="1"/>
      <c r="U7" s="428" t="str">
        <f t="shared" si="0"/>
        <v>2020/21</v>
      </c>
      <c r="V7" s="276"/>
      <c r="W7" s="276"/>
    </row>
    <row r="8" spans="1:23" x14ac:dyDescent="0.25">
      <c r="A8" s="426" t="s">
        <v>34</v>
      </c>
      <c r="B8" s="308"/>
      <c r="C8" s="429">
        <v>1.4836795252225476E-2</v>
      </c>
      <c r="D8" s="429">
        <v>1.6999999999999904E-2</v>
      </c>
      <c r="E8" s="429">
        <v>1.8999999999999906E-2</v>
      </c>
      <c r="F8" s="429">
        <v>2.0000000000000018E-2</v>
      </c>
      <c r="G8" s="429">
        <v>2.0000000000000018E-2</v>
      </c>
      <c r="H8" s="429">
        <v>2.0000000000000018E-2</v>
      </c>
      <c r="I8" s="429">
        <v>2.0000000000000018E-2</v>
      </c>
      <c r="J8" s="281"/>
      <c r="K8" s="281"/>
      <c r="L8" s="281"/>
      <c r="M8" s="281"/>
      <c r="N8" s="281"/>
      <c r="O8" s="281"/>
      <c r="P8" s="281"/>
      <c r="Q8" s="281"/>
      <c r="R8" s="281"/>
      <c r="U8" s="428" t="str">
        <f t="shared" si="0"/>
        <v>2021/22</v>
      </c>
      <c r="V8" s="276"/>
      <c r="W8" s="276"/>
    </row>
    <row r="9" spans="1:23" x14ac:dyDescent="0.25">
      <c r="A9" s="426" t="s">
        <v>35</v>
      </c>
      <c r="B9" s="308"/>
      <c r="C9" s="429"/>
      <c r="D9" s="429"/>
      <c r="E9" s="429">
        <v>1.7504378984726898E-2</v>
      </c>
      <c r="F9" s="429">
        <v>1.9502114592602871E-2</v>
      </c>
      <c r="G9" s="429">
        <v>2.0248058977042183E-2</v>
      </c>
      <c r="H9" s="429">
        <v>2.0000000000000018E-2</v>
      </c>
      <c r="I9" s="429">
        <v>2.0000000000000018E-2</v>
      </c>
      <c r="J9" s="281"/>
      <c r="K9" s="281"/>
      <c r="L9" s="281"/>
      <c r="M9" s="281"/>
      <c r="N9" s="281"/>
      <c r="O9" s="281"/>
      <c r="P9" s="281"/>
      <c r="Q9" s="281"/>
      <c r="R9" s="281"/>
      <c r="U9" s="428" t="str">
        <f t="shared" si="0"/>
        <v>2022/23</v>
      </c>
      <c r="V9" s="276"/>
      <c r="W9" s="276"/>
    </row>
    <row r="10" spans="1:23" x14ac:dyDescent="0.25">
      <c r="A10" s="426" t="s">
        <v>36</v>
      </c>
      <c r="B10" s="430"/>
      <c r="C10" s="431">
        <v>0.28000000000000003</v>
      </c>
      <c r="D10" s="431">
        <v>0.28000000000000003</v>
      </c>
      <c r="E10" s="431">
        <v>0.28000000000000003</v>
      </c>
      <c r="F10" s="431">
        <v>0.28000000000000003</v>
      </c>
      <c r="G10" s="431">
        <v>0.28000000000000003</v>
      </c>
      <c r="H10" s="431">
        <v>0.28000000000000003</v>
      </c>
      <c r="I10" s="431">
        <v>0.28000000000000003</v>
      </c>
      <c r="J10" s="281"/>
      <c r="K10" s="281"/>
      <c r="L10" s="281"/>
      <c r="M10" s="281"/>
      <c r="N10" s="281"/>
      <c r="O10" s="281"/>
      <c r="P10" s="281"/>
      <c r="Q10" s="281"/>
      <c r="R10" s="281"/>
      <c r="U10" s="428" t="str">
        <f t="shared" si="0"/>
        <v>2023/24</v>
      </c>
      <c r="V10" s="276"/>
      <c r="W10" s="276"/>
    </row>
    <row r="11" spans="1:23" x14ac:dyDescent="0.25">
      <c r="A11" s="426" t="s">
        <v>37</v>
      </c>
      <c r="B11" s="260">
        <v>365</v>
      </c>
      <c r="C11" s="432"/>
      <c r="D11" s="432"/>
      <c r="E11" s="432"/>
      <c r="F11" s="432"/>
      <c r="G11" s="432"/>
      <c r="H11" s="432"/>
      <c r="I11" s="432"/>
      <c r="J11" s="1"/>
      <c r="K11" s="1"/>
      <c r="L11" s="1"/>
      <c r="M11" s="1"/>
      <c r="N11" s="1"/>
      <c r="O11" s="1"/>
      <c r="P11" s="1"/>
      <c r="Q11" s="1"/>
      <c r="R11" s="1"/>
      <c r="U11" s="428" t="str">
        <f t="shared" si="0"/>
        <v>2024/25</v>
      </c>
      <c r="V11" s="276"/>
      <c r="W11" s="276"/>
    </row>
    <row r="12" spans="1:23" ht="15.75" thickBot="1" x14ac:dyDescent="0.3">
      <c r="A12" s="426" t="s">
        <v>38</v>
      </c>
      <c r="B12" s="260">
        <v>182</v>
      </c>
      <c r="C12" s="433"/>
      <c r="D12" s="433"/>
      <c r="E12" s="433"/>
      <c r="F12" s="433"/>
      <c r="G12" s="433"/>
      <c r="H12" s="433"/>
      <c r="I12" s="433"/>
      <c r="J12" s="1"/>
      <c r="K12" s="1"/>
      <c r="L12" s="1"/>
      <c r="M12" s="1"/>
      <c r="N12" s="1"/>
      <c r="O12" s="1"/>
      <c r="P12" s="1"/>
      <c r="Q12" s="1"/>
      <c r="R12" s="1"/>
      <c r="U12" s="72" t="str">
        <f>"PV at 1-Apr-" &amp; MID(U7,3,2) &amp; ")"</f>
        <v>PV at 1-Apr-20)</v>
      </c>
      <c r="V12" s="72"/>
      <c r="W12" s="72"/>
    </row>
    <row r="13" spans="1:23" x14ac:dyDescent="0.25">
      <c r="A13" s="426" t="s">
        <v>39</v>
      </c>
      <c r="B13" s="260">
        <v>148</v>
      </c>
      <c r="C13" s="433"/>
      <c r="D13" s="433"/>
      <c r="E13" s="433"/>
      <c r="F13" s="433"/>
      <c r="G13" s="433"/>
      <c r="H13" s="433"/>
      <c r="I13" s="433"/>
      <c r="J13" s="1"/>
      <c r="K13" s="1"/>
      <c r="L13" s="1"/>
      <c r="M13" s="1"/>
      <c r="N13" s="1"/>
      <c r="O13" s="1"/>
      <c r="P13" s="1"/>
      <c r="Q13" s="1"/>
      <c r="R13" s="1"/>
      <c r="U13" s="14"/>
      <c r="V13" s="14"/>
      <c r="W13" s="14"/>
    </row>
    <row r="14" spans="1:23" x14ac:dyDescent="0.25">
      <c r="A14" s="426" t="s">
        <v>318</v>
      </c>
      <c r="B14" s="434">
        <v>44286</v>
      </c>
      <c r="C14" s="433"/>
      <c r="D14" s="433"/>
      <c r="E14" s="433"/>
      <c r="F14" s="433"/>
      <c r="G14" s="433"/>
      <c r="H14" s="433"/>
      <c r="I14" s="433"/>
      <c r="J14" s="1"/>
      <c r="K14" s="1"/>
      <c r="L14" s="1"/>
      <c r="M14" s="1"/>
      <c r="N14" s="1"/>
      <c r="O14" s="1"/>
      <c r="P14" s="1"/>
      <c r="Q14" s="1"/>
      <c r="R14" s="1"/>
    </row>
    <row r="15" spans="1:23" x14ac:dyDescent="0.25">
      <c r="A15" s="426" t="s">
        <v>41</v>
      </c>
      <c r="B15" s="429">
        <v>4.5699999999999998E-2</v>
      </c>
      <c r="C15" s="433"/>
      <c r="D15" s="433"/>
      <c r="E15" s="433"/>
      <c r="F15" s="433"/>
      <c r="G15" s="433"/>
      <c r="H15" s="433"/>
      <c r="I15" s="433"/>
      <c r="J15" s="1"/>
      <c r="K15" s="1"/>
      <c r="L15" s="1"/>
      <c r="M15" s="1"/>
      <c r="N15" s="1"/>
      <c r="O15" s="1"/>
      <c r="P15" s="1"/>
      <c r="Q15" s="1"/>
      <c r="R15" s="1"/>
    </row>
    <row r="16" spans="1:23" x14ac:dyDescent="0.25">
      <c r="A16" s="426" t="s">
        <v>13</v>
      </c>
      <c r="B16" s="429">
        <v>2.92E-2</v>
      </c>
      <c r="C16" s="433"/>
      <c r="D16" s="433"/>
      <c r="E16" s="433"/>
      <c r="F16" s="433"/>
      <c r="G16" s="433"/>
      <c r="H16" s="433"/>
      <c r="I16" s="433"/>
      <c r="J16" s="1"/>
      <c r="K16" s="1"/>
      <c r="L16" s="1"/>
      <c r="M16" s="1"/>
      <c r="N16" s="1"/>
      <c r="O16" s="1"/>
      <c r="P16" s="1"/>
      <c r="Q16" s="1"/>
      <c r="R16" s="1"/>
    </row>
    <row r="17" spans="1:23" x14ac:dyDescent="0.25">
      <c r="A17" s="426" t="s">
        <v>42</v>
      </c>
      <c r="B17" s="435">
        <v>0.42</v>
      </c>
      <c r="C17" s="433"/>
      <c r="D17" s="433"/>
      <c r="E17" s="433"/>
      <c r="F17" s="433"/>
      <c r="G17" s="433"/>
      <c r="H17" s="433"/>
      <c r="I17" s="433"/>
      <c r="J17" s="1"/>
      <c r="K17" s="1"/>
      <c r="L17" s="1"/>
      <c r="M17" s="1"/>
      <c r="N17" s="1"/>
      <c r="O17" s="1"/>
      <c r="P17" s="1"/>
      <c r="Q17" s="1"/>
      <c r="R17" s="1"/>
    </row>
    <row r="18" spans="1:23" x14ac:dyDescent="0.25">
      <c r="A18" s="426" t="s">
        <v>43</v>
      </c>
      <c r="B18" s="260">
        <v>44</v>
      </c>
      <c r="C18" s="433"/>
      <c r="D18" s="433"/>
      <c r="E18" s="433"/>
      <c r="F18" s="433"/>
      <c r="G18" s="433"/>
      <c r="H18" s="433"/>
      <c r="I18" s="433"/>
      <c r="J18" s="1"/>
      <c r="K18" s="1"/>
      <c r="L18" s="1"/>
      <c r="M18" s="1"/>
      <c r="N18" s="1"/>
      <c r="O18" s="1"/>
      <c r="P18" s="1"/>
      <c r="Q18" s="1"/>
      <c r="R18" s="1"/>
    </row>
    <row r="19" spans="1:23" x14ac:dyDescent="0.25">
      <c r="A19" s="426" t="s">
        <v>44</v>
      </c>
      <c r="B19" s="435">
        <v>0</v>
      </c>
      <c r="C19" s="433"/>
      <c r="D19" s="433"/>
      <c r="E19" s="433"/>
      <c r="F19" s="433"/>
      <c r="G19" s="433"/>
      <c r="H19" s="433"/>
      <c r="I19" s="433"/>
      <c r="J19" s="1"/>
      <c r="K19" s="1"/>
      <c r="L19" s="1"/>
      <c r="M19" s="1"/>
      <c r="N19" s="1"/>
      <c r="O19" s="1"/>
      <c r="P19" s="1"/>
      <c r="Q19" s="1"/>
      <c r="R19" s="1"/>
    </row>
    <row r="20" spans="1:23" ht="39.950000000000003" customHeight="1" x14ac:dyDescent="0.35">
      <c r="A20" s="436" t="s">
        <v>333</v>
      </c>
      <c r="B20" s="437"/>
      <c r="C20" s="438"/>
      <c r="D20" s="438"/>
      <c r="E20" s="438"/>
      <c r="F20" s="438"/>
      <c r="G20" s="438"/>
      <c r="H20" s="438"/>
      <c r="I20" s="438"/>
      <c r="J20" s="438"/>
      <c r="K20" s="438"/>
      <c r="L20" s="438"/>
      <c r="M20" s="438"/>
      <c r="N20" s="438"/>
      <c r="O20" s="438"/>
      <c r="P20" s="438"/>
      <c r="Q20" s="438"/>
      <c r="R20" s="438"/>
      <c r="S20" s="439"/>
      <c r="U20" s="1"/>
      <c r="V20" s="1"/>
      <c r="W20" s="1"/>
    </row>
    <row r="21" spans="1:23" ht="26.25" x14ac:dyDescent="0.25">
      <c r="A21" s="440" t="s">
        <v>28</v>
      </c>
      <c r="B21" s="440" t="s">
        <v>191</v>
      </c>
      <c r="C21" s="440" t="s">
        <v>17</v>
      </c>
      <c r="D21" s="441" t="s">
        <v>237</v>
      </c>
      <c r="E21" s="440" t="s">
        <v>18</v>
      </c>
      <c r="F21" s="441" t="s">
        <v>499</v>
      </c>
      <c r="G21" s="440" t="s">
        <v>238</v>
      </c>
      <c r="H21" s="440" t="s">
        <v>239</v>
      </c>
      <c r="I21" s="440" t="s">
        <v>240</v>
      </c>
      <c r="J21" s="440" t="s">
        <v>268</v>
      </c>
      <c r="K21" s="440" t="s">
        <v>241</v>
      </c>
      <c r="L21" s="440" t="s">
        <v>269</v>
      </c>
      <c r="M21" s="440" t="s">
        <v>23</v>
      </c>
      <c r="N21" s="440" t="s">
        <v>242</v>
      </c>
      <c r="O21" s="440" t="s">
        <v>243</v>
      </c>
      <c r="P21" s="440" t="s">
        <v>244</v>
      </c>
      <c r="Q21" s="442" t="s">
        <v>270</v>
      </c>
      <c r="R21" s="440"/>
      <c r="S21" s="443" t="s">
        <v>334</v>
      </c>
      <c r="U21" s="1"/>
      <c r="V21" s="1"/>
      <c r="W21" s="1"/>
    </row>
    <row r="22" spans="1:23" x14ac:dyDescent="0.25">
      <c r="A22" s="426" t="s">
        <v>335</v>
      </c>
      <c r="B22" s="444">
        <v>1</v>
      </c>
      <c r="C22" s="444">
        <v>2</v>
      </c>
      <c r="D22" s="444">
        <v>3</v>
      </c>
      <c r="E22" s="444">
        <v>4</v>
      </c>
      <c r="F22" s="444">
        <v>5</v>
      </c>
      <c r="G22" s="444">
        <v>6</v>
      </c>
      <c r="H22" s="444">
        <v>7</v>
      </c>
      <c r="I22" s="444">
        <v>8</v>
      </c>
      <c r="J22" s="444">
        <v>9</v>
      </c>
      <c r="K22" s="444">
        <v>10</v>
      </c>
      <c r="L22" s="444">
        <v>11</v>
      </c>
      <c r="M22" s="444">
        <v>12</v>
      </c>
      <c r="N22" s="444">
        <v>13</v>
      </c>
      <c r="O22" s="444">
        <v>14</v>
      </c>
      <c r="P22" s="444">
        <v>15</v>
      </c>
      <c r="Q22" s="444">
        <v>16</v>
      </c>
      <c r="R22" s="444"/>
      <c r="S22" s="445"/>
      <c r="U22" s="1"/>
      <c r="V22" s="1"/>
      <c r="W22" s="1"/>
    </row>
    <row r="23" spans="1:23" ht="35.1" customHeight="1" x14ac:dyDescent="0.3">
      <c r="A23" s="446" t="s">
        <v>45</v>
      </c>
      <c r="B23" s="447" t="s">
        <v>336</v>
      </c>
      <c r="C23" s="447" t="s">
        <v>337</v>
      </c>
      <c r="D23" s="447" t="s">
        <v>338</v>
      </c>
      <c r="E23" s="447" t="s">
        <v>339</v>
      </c>
      <c r="F23" s="447" t="s">
        <v>340</v>
      </c>
      <c r="G23" s="447" t="s">
        <v>341</v>
      </c>
      <c r="H23" s="447" t="s">
        <v>342</v>
      </c>
      <c r="I23" s="447" t="s">
        <v>343</v>
      </c>
      <c r="J23" s="447" t="s">
        <v>344</v>
      </c>
      <c r="K23" s="447" t="s">
        <v>345</v>
      </c>
      <c r="L23" s="447" t="s">
        <v>346</v>
      </c>
      <c r="M23" s="447" t="s">
        <v>347</v>
      </c>
      <c r="N23" s="447" t="s">
        <v>348</v>
      </c>
      <c r="O23" s="447" t="s">
        <v>349</v>
      </c>
      <c r="P23" s="447" t="s">
        <v>350</v>
      </c>
      <c r="Q23" s="447" t="s">
        <v>351</v>
      </c>
      <c r="R23" s="447"/>
      <c r="S23" s="118"/>
      <c r="U23" s="1"/>
      <c r="V23" s="1"/>
      <c r="W23" s="1"/>
    </row>
    <row r="24" spans="1:23" x14ac:dyDescent="0.25">
      <c r="A24" s="426" t="s">
        <v>46</v>
      </c>
      <c r="B24" s="260">
        <v>199621</v>
      </c>
      <c r="C24" s="260">
        <v>394155.20342001849</v>
      </c>
      <c r="D24" s="260">
        <v>259359.00095871449</v>
      </c>
      <c r="E24" s="260">
        <v>84071.69550885816</v>
      </c>
      <c r="F24" s="260">
        <v>154613.20585</v>
      </c>
      <c r="G24" s="260">
        <v>124949.9691070461</v>
      </c>
      <c r="H24" s="260">
        <v>41110.981972024987</v>
      </c>
      <c r="I24" s="260">
        <v>165522</v>
      </c>
      <c r="J24" s="260">
        <v>1051194</v>
      </c>
      <c r="K24" s="260">
        <v>186531.16401204519</v>
      </c>
      <c r="L24" s="260">
        <v>1657736.857110675</v>
      </c>
      <c r="M24" s="260">
        <v>188818.5385963225</v>
      </c>
      <c r="N24" s="260">
        <v>251488.1610056299</v>
      </c>
      <c r="O24" s="260">
        <v>586195</v>
      </c>
      <c r="P24" s="260">
        <v>2951716</v>
      </c>
      <c r="Q24" s="260">
        <v>611855.08145023219</v>
      </c>
      <c r="R24" s="260"/>
      <c r="S24" s="448">
        <v>209446.3497993873</v>
      </c>
      <c r="U24" s="1"/>
      <c r="V24" s="1"/>
      <c r="W24" s="1"/>
    </row>
    <row r="25" spans="1:23" x14ac:dyDescent="0.25">
      <c r="A25" s="426" t="s">
        <v>47</v>
      </c>
      <c r="B25" s="260">
        <v>12793.13117340678</v>
      </c>
      <c r="C25" s="260">
        <v>15058.02417019832</v>
      </c>
      <c r="D25" s="260">
        <v>9529.6230377798529</v>
      </c>
      <c r="E25" s="260">
        <v>3119.7714543870602</v>
      </c>
      <c r="F25" s="260">
        <v>6088.9489571422637</v>
      </c>
      <c r="G25" s="260">
        <v>6456.2217299999993</v>
      </c>
      <c r="H25" s="260">
        <v>1446.5562303904751</v>
      </c>
      <c r="I25" s="260">
        <v>6807</v>
      </c>
      <c r="J25" s="260">
        <v>40615.817049999998</v>
      </c>
      <c r="K25" s="260">
        <v>7711.9157134074912</v>
      </c>
      <c r="L25" s="260">
        <v>67007.59800619095</v>
      </c>
      <c r="M25" s="260">
        <v>8412.1005965908771</v>
      </c>
      <c r="N25" s="260">
        <v>9155.4759701400144</v>
      </c>
      <c r="O25" s="260">
        <v>27555.254000000001</v>
      </c>
      <c r="P25" s="260">
        <v>108729</v>
      </c>
      <c r="Q25" s="260">
        <v>26323.291818737282</v>
      </c>
      <c r="R25" s="260"/>
      <c r="S25" s="448">
        <v>8225.4538416576452</v>
      </c>
      <c r="U25" s="1"/>
      <c r="V25" s="1"/>
      <c r="W25" s="1"/>
    </row>
    <row r="26" spans="1:23" x14ac:dyDescent="0.25">
      <c r="A26" s="426" t="s">
        <v>48</v>
      </c>
      <c r="B26" s="260">
        <v>201494.54378921399</v>
      </c>
      <c r="C26" s="260">
        <v>447072.18120423768</v>
      </c>
      <c r="D26" s="260">
        <v>268447.16463339521</v>
      </c>
      <c r="E26" s="260">
        <v>86604.996813859601</v>
      </c>
      <c r="F26" s="260">
        <v>161677.5522211091</v>
      </c>
      <c r="G26" s="260">
        <v>133085.9</v>
      </c>
      <c r="H26" s="260">
        <v>41933.729163771379</v>
      </c>
      <c r="I26" s="260">
        <v>165472</v>
      </c>
      <c r="J26" s="260">
        <v>1088531.37215</v>
      </c>
      <c r="K26" s="260">
        <v>194442.08945185869</v>
      </c>
      <c r="L26" s="260">
        <v>1787099.8403374299</v>
      </c>
      <c r="M26" s="260">
        <v>206316.43741173169</v>
      </c>
      <c r="N26" s="260">
        <v>261426.14654201409</v>
      </c>
      <c r="O26" s="260">
        <v>620045.32999999996</v>
      </c>
      <c r="P26" s="260">
        <v>3075471</v>
      </c>
      <c r="Q26" s="260">
        <v>629322.99258132093</v>
      </c>
      <c r="R26" s="260"/>
      <c r="S26" s="448">
        <v>226192.09148612097</v>
      </c>
      <c r="U26" s="1"/>
      <c r="V26" s="1"/>
      <c r="W26" s="1"/>
    </row>
    <row r="27" spans="1:23" x14ac:dyDescent="0.25">
      <c r="A27" s="426" t="s">
        <v>49</v>
      </c>
      <c r="B27" s="260">
        <v>170446.47</v>
      </c>
      <c r="C27" s="260">
        <v>361569.54422574752</v>
      </c>
      <c r="D27" s="260">
        <v>240111.30192480088</v>
      </c>
      <c r="E27" s="260">
        <v>77250.2</v>
      </c>
      <c r="F27" s="260">
        <v>141779.87942000001</v>
      </c>
      <c r="G27" s="260">
        <v>114466.56377703784</v>
      </c>
      <c r="H27" s="260">
        <v>37930</v>
      </c>
      <c r="I27" s="260">
        <v>150203</v>
      </c>
      <c r="J27" s="260">
        <v>965046.96399999992</v>
      </c>
      <c r="K27" s="260">
        <v>173737</v>
      </c>
      <c r="L27" s="260">
        <v>1517689.7834197362</v>
      </c>
      <c r="M27" s="260">
        <v>166614.80105177328</v>
      </c>
      <c r="N27" s="260">
        <v>224217.63158074598</v>
      </c>
      <c r="O27" s="260">
        <v>536379</v>
      </c>
      <c r="P27" s="260">
        <v>2695210</v>
      </c>
      <c r="Q27" s="260">
        <v>556622.52018648502</v>
      </c>
      <c r="R27" s="260"/>
      <c r="S27" s="448">
        <v>155750.91091124344</v>
      </c>
      <c r="U27" s="1"/>
      <c r="V27" s="1"/>
      <c r="W27" s="1"/>
    </row>
    <row r="28" spans="1:23" x14ac:dyDescent="0.25">
      <c r="A28" s="426" t="s">
        <v>50</v>
      </c>
      <c r="B28" s="260">
        <v>10635.430916170135</v>
      </c>
      <c r="C28" s="260">
        <v>13630.7986916892</v>
      </c>
      <c r="D28" s="260">
        <v>8731.3741433898904</v>
      </c>
      <c r="E28" s="260">
        <v>2844.8539999999998</v>
      </c>
      <c r="F28" s="260">
        <v>5287.9484400000001</v>
      </c>
      <c r="G28" s="260">
        <v>5022.3270200007209</v>
      </c>
      <c r="H28" s="260">
        <v>1354</v>
      </c>
      <c r="I28" s="260">
        <v>6290</v>
      </c>
      <c r="J28" s="260">
        <v>36341.389000000003</v>
      </c>
      <c r="K28" s="260">
        <v>7161</v>
      </c>
      <c r="L28" s="260">
        <v>60760.817678568899</v>
      </c>
      <c r="M28" s="260">
        <v>7730.9831109175566</v>
      </c>
      <c r="N28" s="260">
        <v>7999.2173910088077</v>
      </c>
      <c r="O28" s="260">
        <v>25169</v>
      </c>
      <c r="P28" s="260">
        <v>99210</v>
      </c>
      <c r="Q28" s="260">
        <v>23190.279411230553</v>
      </c>
      <c r="R28" s="260"/>
      <c r="S28" s="448">
        <v>6116.7068785092415</v>
      </c>
      <c r="U28" s="1"/>
      <c r="V28" s="1"/>
      <c r="W28" s="1"/>
    </row>
    <row r="29" spans="1:23" x14ac:dyDescent="0.25">
      <c r="A29" s="426" t="s">
        <v>51</v>
      </c>
      <c r="B29" s="260">
        <v>14782.759912538904</v>
      </c>
      <c r="C29" s="260">
        <v>21650</v>
      </c>
      <c r="D29" s="260">
        <v>11910.710938979737</v>
      </c>
      <c r="E29" s="260">
        <v>3313.98</v>
      </c>
      <c r="F29" s="260">
        <v>6271.2953399997159</v>
      </c>
      <c r="G29" s="260">
        <v>5404.5006091970481</v>
      </c>
      <c r="H29" s="260">
        <v>1297</v>
      </c>
      <c r="I29" s="260">
        <v>5114</v>
      </c>
      <c r="J29" s="260">
        <v>32004.274999999998</v>
      </c>
      <c r="K29" s="260">
        <v>15388</v>
      </c>
      <c r="L29" s="260">
        <v>79612.315544819998</v>
      </c>
      <c r="M29" s="260">
        <v>4330.0359719999988</v>
      </c>
      <c r="N29" s="260">
        <v>11576.768156254197</v>
      </c>
      <c r="O29" s="260">
        <v>30035</v>
      </c>
      <c r="P29" s="260">
        <v>103486</v>
      </c>
      <c r="Q29" s="260">
        <v>28793.117962970849</v>
      </c>
      <c r="R29" s="260"/>
      <c r="S29" s="448">
        <v>13368.853981222952</v>
      </c>
      <c r="U29" s="1"/>
      <c r="V29" s="1"/>
      <c r="W29" s="1"/>
    </row>
    <row r="30" spans="1:23" x14ac:dyDescent="0.25">
      <c r="A30" s="426" t="s">
        <v>52</v>
      </c>
      <c r="B30" s="260">
        <v>122940.02874936687</v>
      </c>
      <c r="C30" s="260">
        <v>222185.91470027712</v>
      </c>
      <c r="D30" s="260">
        <v>134591.63086295308</v>
      </c>
      <c r="E30" s="260">
        <v>41317.030000000006</v>
      </c>
      <c r="F30" s="260">
        <v>70250.535713750753</v>
      </c>
      <c r="G30" s="260">
        <v>51284.962998490366</v>
      </c>
      <c r="H30" s="260">
        <v>18165</v>
      </c>
      <c r="I30" s="260">
        <v>63134</v>
      </c>
      <c r="J30" s="260">
        <v>400019.63159</v>
      </c>
      <c r="K30" s="260">
        <v>95268</v>
      </c>
      <c r="L30" s="260">
        <v>1025176.28156504</v>
      </c>
      <c r="M30" s="260">
        <v>45756</v>
      </c>
      <c r="N30" s="260">
        <v>136251.1718910354</v>
      </c>
      <c r="O30" s="260">
        <v>313784</v>
      </c>
      <c r="P30" s="260">
        <v>1224826</v>
      </c>
      <c r="Q30" s="260">
        <v>351370.70442136371</v>
      </c>
      <c r="R30" s="260"/>
      <c r="S30" s="448">
        <v>62125.589918256141</v>
      </c>
      <c r="U30" s="1"/>
      <c r="V30" s="1"/>
      <c r="W30" s="1"/>
    </row>
    <row r="31" spans="1:23" x14ac:dyDescent="0.25">
      <c r="A31" s="426" t="s">
        <v>53</v>
      </c>
      <c r="B31" s="260">
        <v>2756.1747845868776</v>
      </c>
      <c r="C31" s="260">
        <v>4989.9524061343209</v>
      </c>
      <c r="D31" s="260">
        <v>2142.610348679998</v>
      </c>
      <c r="E31" s="260">
        <v>1268.3684210526317</v>
      </c>
      <c r="F31" s="260">
        <v>1900.5760598863596</v>
      </c>
      <c r="G31" s="260">
        <v>4218.9445353069541</v>
      </c>
      <c r="H31" s="260">
        <v>693.05</v>
      </c>
      <c r="I31" s="260">
        <v>3239.1631535884967</v>
      </c>
      <c r="J31" s="260">
        <v>15323.202053922892</v>
      </c>
      <c r="K31" s="260">
        <v>1343.5454545454545</v>
      </c>
      <c r="L31" s="260">
        <v>10201.180992856574</v>
      </c>
      <c r="M31" s="260">
        <v>4085.2698642630403</v>
      </c>
      <c r="N31" s="260">
        <v>3399.105263157895</v>
      </c>
      <c r="O31" s="260">
        <v>5670.1</v>
      </c>
      <c r="P31" s="260">
        <v>34300.677419354841</v>
      </c>
      <c r="Q31" s="260">
        <v>7150.7843480592637</v>
      </c>
      <c r="R31" s="260"/>
      <c r="S31" s="448">
        <v>1900.5760598863599</v>
      </c>
      <c r="U31" s="1"/>
      <c r="V31" s="1"/>
      <c r="W31" s="1"/>
    </row>
    <row r="32" spans="1:23" x14ac:dyDescent="0.25">
      <c r="A32" s="426" t="s">
        <v>54</v>
      </c>
      <c r="B32" s="260">
        <v>0</v>
      </c>
      <c r="C32" s="260">
        <v>0</v>
      </c>
      <c r="D32" s="260">
        <v>0</v>
      </c>
      <c r="E32" s="260">
        <v>0</v>
      </c>
      <c r="F32" s="260">
        <v>0</v>
      </c>
      <c r="G32" s="260">
        <v>0</v>
      </c>
      <c r="H32" s="260">
        <v>0</v>
      </c>
      <c r="I32" s="260">
        <v>0</v>
      </c>
      <c r="J32" s="260">
        <v>788.45529410731547</v>
      </c>
      <c r="K32" s="260">
        <v>0</v>
      </c>
      <c r="L32" s="260">
        <v>1966.526362123079</v>
      </c>
      <c r="M32" s="260">
        <v>0</v>
      </c>
      <c r="N32" s="260">
        <v>0</v>
      </c>
      <c r="O32" s="260">
        <v>440.18873192767637</v>
      </c>
      <c r="P32" s="260">
        <v>3983.6873940243322</v>
      </c>
      <c r="Q32" s="260">
        <v>362.46155455940988</v>
      </c>
      <c r="R32" s="260"/>
      <c r="S32" s="448">
        <v>0</v>
      </c>
      <c r="U32" s="1"/>
      <c r="V32" s="1"/>
      <c r="W32" s="1"/>
    </row>
    <row r="33" spans="1:23" x14ac:dyDescent="0.25">
      <c r="A33" s="426" t="s">
        <v>55</v>
      </c>
      <c r="B33" s="260">
        <v>-6546.4247455849472</v>
      </c>
      <c r="C33" s="260">
        <v>-18008.439662752455</v>
      </c>
      <c r="D33" s="260">
        <v>-12614.867288168751</v>
      </c>
      <c r="E33" s="260">
        <v>-3433.9625072251488</v>
      </c>
      <c r="F33" s="260">
        <v>-7364</v>
      </c>
      <c r="G33" s="260">
        <v>0</v>
      </c>
      <c r="H33" s="260">
        <v>-1441</v>
      </c>
      <c r="I33" s="260">
        <v>-1612.3519205251705</v>
      </c>
      <c r="J33" s="260">
        <v>-43149.148637470855</v>
      </c>
      <c r="K33" s="260">
        <v>-12352</v>
      </c>
      <c r="L33" s="260">
        <v>-60532.961543424855</v>
      </c>
      <c r="M33" s="260">
        <v>-12008</v>
      </c>
      <c r="N33" s="260">
        <v>-10180.726118980281</v>
      </c>
      <c r="O33" s="260">
        <v>-29786</v>
      </c>
      <c r="P33" s="260">
        <v>-83664</v>
      </c>
      <c r="Q33" s="260">
        <v>-33852.900993842857</v>
      </c>
      <c r="R33" s="260"/>
      <c r="S33" s="448">
        <v>-14545.011347777185</v>
      </c>
      <c r="U33" s="1"/>
      <c r="V33" s="1"/>
      <c r="W33" s="1"/>
    </row>
    <row r="34" spans="1:23" x14ac:dyDescent="0.25">
      <c r="A34" s="426" t="s">
        <v>352</v>
      </c>
      <c r="B34" s="260">
        <v>1</v>
      </c>
      <c r="C34" s="260">
        <v>1</v>
      </c>
      <c r="D34" s="260">
        <v>1</v>
      </c>
      <c r="E34" s="260">
        <v>1</v>
      </c>
      <c r="F34" s="260">
        <v>1</v>
      </c>
      <c r="G34" s="260">
        <v>1</v>
      </c>
      <c r="H34" s="260">
        <v>1</v>
      </c>
      <c r="I34" s="260">
        <v>1</v>
      </c>
      <c r="J34" s="260">
        <v>1</v>
      </c>
      <c r="K34" s="260">
        <v>1</v>
      </c>
      <c r="L34" s="260">
        <v>1</v>
      </c>
      <c r="M34" s="260">
        <v>1</v>
      </c>
      <c r="N34" s="260">
        <v>1</v>
      </c>
      <c r="O34" s="260">
        <v>1</v>
      </c>
      <c r="P34" s="260">
        <v>1</v>
      </c>
      <c r="Q34" s="260">
        <v>1</v>
      </c>
      <c r="R34" s="260"/>
      <c r="S34" s="449">
        <v>1</v>
      </c>
      <c r="U34" s="1"/>
      <c r="V34" s="1"/>
      <c r="W34" s="1"/>
    </row>
    <row r="35" spans="1:23" x14ac:dyDescent="0.25">
      <c r="A35" s="450" t="s">
        <v>429</v>
      </c>
      <c r="B35" s="260">
        <v>0</v>
      </c>
      <c r="C35" s="260">
        <v>0</v>
      </c>
      <c r="D35" s="260">
        <v>0</v>
      </c>
      <c r="E35" s="260">
        <v>0</v>
      </c>
      <c r="F35" s="260">
        <v>0</v>
      </c>
      <c r="G35" s="260">
        <v>0</v>
      </c>
      <c r="H35" s="260">
        <v>0</v>
      </c>
      <c r="I35" s="260">
        <v>0</v>
      </c>
      <c r="J35" s="260">
        <v>0</v>
      </c>
      <c r="K35" s="260">
        <v>0</v>
      </c>
      <c r="L35" s="260">
        <v>0</v>
      </c>
      <c r="M35" s="260">
        <v>0</v>
      </c>
      <c r="N35" s="260">
        <v>0</v>
      </c>
      <c r="O35" s="260">
        <v>0</v>
      </c>
      <c r="P35" s="260">
        <v>0</v>
      </c>
      <c r="Q35" s="260">
        <v>0</v>
      </c>
      <c r="R35" s="260"/>
      <c r="S35" s="448">
        <v>0</v>
      </c>
      <c r="U35" s="1"/>
      <c r="V35" s="1"/>
      <c r="W35" s="1"/>
    </row>
    <row r="36" spans="1:23" x14ac:dyDescent="0.25">
      <c r="A36" s="426" t="s">
        <v>353</v>
      </c>
      <c r="B36" s="260">
        <v>0</v>
      </c>
      <c r="C36" s="260">
        <v>0</v>
      </c>
      <c r="D36" s="260">
        <v>0</v>
      </c>
      <c r="E36" s="260">
        <v>0</v>
      </c>
      <c r="F36" s="260">
        <v>0</v>
      </c>
      <c r="G36" s="260">
        <v>0</v>
      </c>
      <c r="H36" s="260">
        <v>0</v>
      </c>
      <c r="I36" s="260">
        <v>0</v>
      </c>
      <c r="J36" s="260">
        <v>0</v>
      </c>
      <c r="K36" s="260">
        <v>0</v>
      </c>
      <c r="L36" s="260">
        <v>0</v>
      </c>
      <c r="M36" s="260">
        <v>0</v>
      </c>
      <c r="N36" s="260">
        <v>0</v>
      </c>
      <c r="O36" s="260">
        <v>0</v>
      </c>
      <c r="P36" s="260">
        <v>0</v>
      </c>
      <c r="Q36" s="260">
        <v>0</v>
      </c>
      <c r="R36" s="260"/>
      <c r="S36" s="448">
        <v>0</v>
      </c>
      <c r="U36" s="1"/>
      <c r="V36" s="1"/>
      <c r="W36" s="1"/>
    </row>
    <row r="37" spans="1:23" ht="35.1" customHeight="1" x14ac:dyDescent="0.3">
      <c r="A37" s="446" t="s">
        <v>56</v>
      </c>
      <c r="B37" s="451"/>
      <c r="C37" s="451"/>
      <c r="D37" s="451"/>
      <c r="E37" s="451"/>
      <c r="F37" s="451"/>
      <c r="G37" s="451"/>
      <c r="H37" s="451"/>
      <c r="I37" s="451"/>
      <c r="J37" s="451"/>
      <c r="K37" s="451"/>
      <c r="L37" s="451"/>
      <c r="M37" s="451"/>
      <c r="N37" s="451"/>
      <c r="O37" s="451"/>
      <c r="P37" s="451"/>
      <c r="Q37" s="451"/>
      <c r="R37" s="451"/>
      <c r="S37" s="452"/>
      <c r="U37" s="1"/>
      <c r="V37" s="1"/>
      <c r="W37" s="1"/>
    </row>
    <row r="38" spans="1:23" x14ac:dyDescent="0.25">
      <c r="A38" s="450" t="s">
        <v>430</v>
      </c>
      <c r="B38" s="103">
        <v>19420.272954529883</v>
      </c>
      <c r="C38" s="103">
        <v>44723.360920152074</v>
      </c>
      <c r="D38" s="103">
        <v>11823.138001241525</v>
      </c>
      <c r="E38" s="103">
        <v>5180.7118078829417</v>
      </c>
      <c r="F38" s="103">
        <v>10615.39048330826</v>
      </c>
      <c r="G38" s="103">
        <v>9885.6120036048451</v>
      </c>
      <c r="H38" s="103">
        <v>2246.8374172983913</v>
      </c>
      <c r="I38" s="103">
        <v>11157.711965454881</v>
      </c>
      <c r="J38" s="103">
        <v>64153.54839840129</v>
      </c>
      <c r="K38" s="103">
        <v>9162.9239113704207</v>
      </c>
      <c r="L38" s="103">
        <v>93422.96777908341</v>
      </c>
      <c r="M38" s="103">
        <v>14911.902690078447</v>
      </c>
      <c r="N38" s="103">
        <v>16021.47849146213</v>
      </c>
      <c r="O38" s="103">
        <v>41582.387166609762</v>
      </c>
      <c r="P38" s="103">
        <v>127351.13794047505</v>
      </c>
      <c r="Q38" s="103">
        <v>35667.657349661255</v>
      </c>
      <c r="R38" s="453"/>
      <c r="S38" s="448">
        <v>17195.236289860204</v>
      </c>
      <c r="U38" s="1"/>
      <c r="V38" s="1"/>
      <c r="W38" s="1"/>
    </row>
    <row r="39" spans="1:23" x14ac:dyDescent="0.25">
      <c r="A39" s="450" t="s">
        <v>431</v>
      </c>
      <c r="B39" s="105">
        <v>20012.120279799667</v>
      </c>
      <c r="C39" s="105">
        <v>46248.530101285549</v>
      </c>
      <c r="D39" s="105">
        <v>12215.64195402153</v>
      </c>
      <c r="E39" s="105">
        <v>5310.5866354806431</v>
      </c>
      <c r="F39" s="105">
        <v>10898.081808208053</v>
      </c>
      <c r="G39" s="105">
        <v>10170.692704882435</v>
      </c>
      <c r="H39" s="105">
        <v>2316.9756478733179</v>
      </c>
      <c r="I39" s="105">
        <v>11513.079497756995</v>
      </c>
      <c r="J39" s="105">
        <v>66487.65442505297</v>
      </c>
      <c r="K39" s="105">
        <v>9425.276484157599</v>
      </c>
      <c r="L39" s="105">
        <v>96485.788832775754</v>
      </c>
      <c r="M39" s="105">
        <v>15303.187164084151</v>
      </c>
      <c r="N39" s="105">
        <v>16537.344449902448</v>
      </c>
      <c r="O39" s="105">
        <v>42904.143031967935</v>
      </c>
      <c r="P39" s="105">
        <v>132448.68478800423</v>
      </c>
      <c r="Q39" s="105">
        <v>36792.115466627467</v>
      </c>
      <c r="R39" s="260"/>
      <c r="S39" s="448">
        <v>18181.218410810034</v>
      </c>
      <c r="U39" s="1"/>
      <c r="V39" s="1"/>
      <c r="W39" s="1"/>
    </row>
    <row r="40" spans="1:23" x14ac:dyDescent="0.25">
      <c r="A40" s="450" t="s">
        <v>432</v>
      </c>
      <c r="B40" s="105">
        <v>20629.432088719677</v>
      </c>
      <c r="C40" s="105">
        <v>48129.315518557181</v>
      </c>
      <c r="D40" s="105">
        <v>12625.159114988157</v>
      </c>
      <c r="E40" s="105">
        <v>5445.680405811705</v>
      </c>
      <c r="F40" s="105">
        <v>11192.331982694157</v>
      </c>
      <c r="G40" s="105">
        <v>10485.3193626175</v>
      </c>
      <c r="H40" s="105">
        <v>2390.165824962854</v>
      </c>
      <c r="I40" s="105">
        <v>11880.376540380918</v>
      </c>
      <c r="J40" s="105">
        <v>68931.505534761251</v>
      </c>
      <c r="K40" s="105">
        <v>9698.6497569249568</v>
      </c>
      <c r="L40" s="105">
        <v>99415.113273788185</v>
      </c>
      <c r="M40" s="105">
        <v>15708.68537776473</v>
      </c>
      <c r="N40" s="105">
        <v>17051.661586794446</v>
      </c>
      <c r="O40" s="105">
        <v>44325.326030975797</v>
      </c>
      <c r="P40" s="105">
        <v>137800.82316421505</v>
      </c>
      <c r="Q40" s="105">
        <v>37965.379905078691</v>
      </c>
      <c r="R40" s="260"/>
      <c r="S40" s="448">
        <v>18687.713688586853</v>
      </c>
      <c r="U40" s="1"/>
      <c r="V40" s="1"/>
      <c r="W40" s="1"/>
    </row>
    <row r="41" spans="1:23" x14ac:dyDescent="0.25">
      <c r="A41" s="450" t="s">
        <v>434</v>
      </c>
      <c r="B41" s="105">
        <v>21237.104508905344</v>
      </c>
      <c r="C41" s="105">
        <v>50194.342279207958</v>
      </c>
      <c r="D41" s="105">
        <v>13063.733466005098</v>
      </c>
      <c r="E41" s="105">
        <v>5585.0372989621037</v>
      </c>
      <c r="F41" s="105">
        <v>11497.233733516021</v>
      </c>
      <c r="G41" s="105">
        <v>10832.659285539019</v>
      </c>
      <c r="H41" s="105">
        <v>2464.9982164724033</v>
      </c>
      <c r="I41" s="105">
        <v>12252.618877414719</v>
      </c>
      <c r="J41" s="105">
        <v>71320.638016152108</v>
      </c>
      <c r="K41" s="105">
        <v>9957.7843427989283</v>
      </c>
      <c r="L41" s="105">
        <v>102609.67054767133</v>
      </c>
      <c r="M41" s="105">
        <v>16108.546154128071</v>
      </c>
      <c r="N41" s="105">
        <v>17569.351795284168</v>
      </c>
      <c r="O41" s="105">
        <v>45716.096451782498</v>
      </c>
      <c r="P41" s="105">
        <v>142973.17103060253</v>
      </c>
      <c r="Q41" s="105">
        <v>39168.447023023255</v>
      </c>
      <c r="R41" s="260"/>
      <c r="S41" s="448">
        <v>19279.500680341829</v>
      </c>
      <c r="U41" s="1"/>
      <c r="V41" s="1"/>
      <c r="W41" s="1"/>
    </row>
    <row r="42" spans="1:23" x14ac:dyDescent="0.25">
      <c r="A42" s="450" t="s">
        <v>433</v>
      </c>
      <c r="B42" s="105">
        <v>21815.917390452156</v>
      </c>
      <c r="C42" s="105">
        <v>51957.912857729047</v>
      </c>
      <c r="D42" s="105">
        <v>13485.875623804186</v>
      </c>
      <c r="E42" s="105">
        <v>5715.7104429980354</v>
      </c>
      <c r="F42" s="105">
        <v>11783.558278263976</v>
      </c>
      <c r="G42" s="105">
        <v>11113.449993116894</v>
      </c>
      <c r="H42" s="105">
        <v>2536.7168571561815</v>
      </c>
      <c r="I42" s="105">
        <v>12609.498185049688</v>
      </c>
      <c r="J42" s="105">
        <v>73634.73385941294</v>
      </c>
      <c r="K42" s="105">
        <v>10201.98054950084</v>
      </c>
      <c r="L42" s="105">
        <v>106186.76391969755</v>
      </c>
      <c r="M42" s="105">
        <v>16483.229017258454</v>
      </c>
      <c r="N42" s="105">
        <v>18063.176010234187</v>
      </c>
      <c r="O42" s="105">
        <v>47028.877622765081</v>
      </c>
      <c r="P42" s="105">
        <v>148015.88957073344</v>
      </c>
      <c r="Q42" s="105">
        <v>40320.616474967421</v>
      </c>
      <c r="R42" s="260"/>
      <c r="S42" s="448">
        <v>19817.030473113013</v>
      </c>
      <c r="U42" s="1"/>
      <c r="V42" s="1"/>
      <c r="W42" s="1"/>
    </row>
    <row r="43" spans="1:23" ht="35.1" customHeight="1" x14ac:dyDescent="0.3">
      <c r="A43" s="446" t="s">
        <v>57</v>
      </c>
      <c r="B43" s="451"/>
      <c r="C43" s="451"/>
      <c r="D43" s="451"/>
      <c r="E43" s="451"/>
      <c r="F43" s="451"/>
      <c r="G43" s="451"/>
      <c r="H43" s="451"/>
      <c r="I43" s="451"/>
      <c r="J43" s="451"/>
      <c r="K43" s="451"/>
      <c r="L43" s="451"/>
      <c r="M43" s="451"/>
      <c r="N43" s="451"/>
      <c r="O43" s="451"/>
      <c r="P43" s="451"/>
      <c r="Q43" s="451"/>
      <c r="R43" s="451"/>
      <c r="S43" s="454"/>
      <c r="U43" s="1"/>
      <c r="V43" s="1"/>
      <c r="W43" s="1"/>
    </row>
    <row r="44" spans="1:23" x14ac:dyDescent="0.25">
      <c r="A44" s="450" t="s">
        <v>58</v>
      </c>
      <c r="B44" s="105">
        <v>17961.779926267081</v>
      </c>
      <c r="C44" s="105">
        <v>63004.353999999992</v>
      </c>
      <c r="D44" s="105">
        <v>16375.665660000061</v>
      </c>
      <c r="E44" s="105">
        <v>4533.37</v>
      </c>
      <c r="F44" s="105">
        <v>11755.60458000001</v>
      </c>
      <c r="G44" s="105">
        <v>12884.01</v>
      </c>
      <c r="H44" s="105">
        <v>1659.3481999999999</v>
      </c>
      <c r="I44" s="105">
        <v>6557</v>
      </c>
      <c r="J44" s="105">
        <v>63636.967999999993</v>
      </c>
      <c r="K44" s="105">
        <v>12936.768609999999</v>
      </c>
      <c r="L44" s="105">
        <v>185312.73427243941</v>
      </c>
      <c r="M44" s="105">
        <v>23462.783690000011</v>
      </c>
      <c r="N44" s="105">
        <v>15378.413930000001</v>
      </c>
      <c r="O44" s="105">
        <v>53881.408000000003</v>
      </c>
      <c r="P44" s="105">
        <v>203460</v>
      </c>
      <c r="Q44" s="105">
        <v>37191.001710000019</v>
      </c>
      <c r="R44" s="260"/>
      <c r="S44" s="448">
        <v>15598.287999999999</v>
      </c>
      <c r="U44" s="1"/>
      <c r="V44" s="1"/>
      <c r="W44" s="1"/>
    </row>
    <row r="45" spans="1:23" x14ac:dyDescent="0.25">
      <c r="A45" s="450" t="s">
        <v>59</v>
      </c>
      <c r="B45" s="455">
        <v>14014</v>
      </c>
      <c r="C45" s="455">
        <v>76195.241831549603</v>
      </c>
      <c r="D45" s="105">
        <v>21629.30733276367</v>
      </c>
      <c r="E45" s="105">
        <v>5750.2225108244311</v>
      </c>
      <c r="F45" s="105">
        <v>9803.8482899999999</v>
      </c>
      <c r="G45" s="105">
        <v>8296.868167577617</v>
      </c>
      <c r="H45" s="105">
        <v>1552</v>
      </c>
      <c r="I45" s="105">
        <v>15593</v>
      </c>
      <c r="J45" s="105">
        <v>66443.232000000004</v>
      </c>
      <c r="K45" s="455">
        <v>23187.72481631265</v>
      </c>
      <c r="L45" s="455">
        <v>180476</v>
      </c>
      <c r="M45" s="105">
        <v>18922.355345399999</v>
      </c>
      <c r="N45" s="105">
        <v>31785.322032399999</v>
      </c>
      <c r="O45" s="105">
        <v>50412.921529999992</v>
      </c>
      <c r="P45" s="455">
        <v>240761</v>
      </c>
      <c r="Q45" s="105">
        <v>52409.994278901962</v>
      </c>
      <c r="R45" s="260"/>
      <c r="S45" s="448">
        <v>17463.657000000003</v>
      </c>
      <c r="U45" s="1"/>
      <c r="V45" s="1"/>
      <c r="W45" s="1"/>
    </row>
    <row r="46" spans="1:23" x14ac:dyDescent="0.25">
      <c r="A46" s="450" t="s">
        <v>435</v>
      </c>
      <c r="B46" s="105">
        <v>16663.084987074293</v>
      </c>
      <c r="C46" s="458" cm="1">
        <f t="array" ref="C46:C50">TRANSPOSE(Inputs!D16:H16)</f>
        <v>47628</v>
      </c>
      <c r="D46" s="459">
        <v>18050.3141257922</v>
      </c>
      <c r="E46" s="105">
        <v>4655.6235108371211</v>
      </c>
      <c r="F46" s="105">
        <v>9684.9777776781502</v>
      </c>
      <c r="G46" s="105">
        <v>8322.4692415684531</v>
      </c>
      <c r="H46" s="105">
        <v>1627.4748243189306</v>
      </c>
      <c r="I46" s="105">
        <v>10289.860370686423</v>
      </c>
      <c r="J46" s="105">
        <v>72172.38359853992</v>
      </c>
      <c r="K46" s="105">
        <v>13989.584671125622</v>
      </c>
      <c r="L46" s="458" cm="1">
        <f t="array" ref="L46:L50">TRANSPOSE(Inputs!D25:H25)</f>
        <v>175576.69115506724</v>
      </c>
      <c r="M46" s="459">
        <v>18320.860042033932</v>
      </c>
      <c r="N46" s="105">
        <v>14593.153311847902</v>
      </c>
      <c r="O46" s="105">
        <v>46746.124751395197</v>
      </c>
      <c r="P46" s="456">
        <v>211119.9718515854</v>
      </c>
      <c r="Q46" s="457" cm="1">
        <f t="array" ref="Q46:Q50">TRANSPOSE(Inputs!D30:H30)</f>
        <v>44485</v>
      </c>
      <c r="R46" s="260"/>
      <c r="S46" s="448">
        <v>19386.393999999997</v>
      </c>
      <c r="U46" s="1"/>
      <c r="V46" s="1"/>
      <c r="W46" s="1"/>
    </row>
    <row r="47" spans="1:23" x14ac:dyDescent="0.25">
      <c r="A47" s="450" t="s">
        <v>436</v>
      </c>
      <c r="B47" s="105">
        <v>16978.399454502294</v>
      </c>
      <c r="C47" s="115">
        <v>76398</v>
      </c>
      <c r="D47" s="105">
        <v>17941.493243003944</v>
      </c>
      <c r="E47" s="105">
        <v>5052.9447714077578</v>
      </c>
      <c r="F47" s="105">
        <v>10136.401061103601</v>
      </c>
      <c r="G47" s="105">
        <v>6720.079498778955</v>
      </c>
      <c r="H47" s="105">
        <v>1709.8203732676643</v>
      </c>
      <c r="I47" s="105">
        <v>12261.460641572261</v>
      </c>
      <c r="J47" s="105">
        <v>63777.111872759626</v>
      </c>
      <c r="K47" s="105">
        <v>13504.173049339088</v>
      </c>
      <c r="L47" s="115">
        <v>211734.9783027441</v>
      </c>
      <c r="M47" s="105">
        <v>16919.227905563937</v>
      </c>
      <c r="N47" s="105">
        <v>15127.253970962542</v>
      </c>
      <c r="O47" s="105">
        <v>52524.928561752349</v>
      </c>
      <c r="P47" s="105">
        <v>209600.00629559506</v>
      </c>
      <c r="Q47" s="115">
        <v>36754</v>
      </c>
      <c r="R47" s="260"/>
      <c r="S47" s="448">
        <v>19547.084999999999</v>
      </c>
      <c r="U47" s="1"/>
      <c r="V47" s="1"/>
      <c r="W47" s="1"/>
    </row>
    <row r="48" spans="1:23" x14ac:dyDescent="0.25">
      <c r="A48" s="450" t="s">
        <v>437</v>
      </c>
      <c r="B48" s="116">
        <v>15377.140956497071</v>
      </c>
      <c r="C48" s="117">
        <v>65392</v>
      </c>
      <c r="D48" s="116">
        <v>17796.759119063441</v>
      </c>
      <c r="E48" s="116">
        <v>5567.5747524279859</v>
      </c>
      <c r="F48" s="116">
        <v>8982.1740783163259</v>
      </c>
      <c r="G48" s="116">
        <v>8075.3672553967899</v>
      </c>
      <c r="H48" s="116">
        <v>1663.731588304842</v>
      </c>
      <c r="I48" s="116">
        <v>9042.3641329302391</v>
      </c>
      <c r="J48" s="116">
        <v>89623.654410387855</v>
      </c>
      <c r="K48" s="116">
        <v>18002.808964582848</v>
      </c>
      <c r="L48" s="115">
        <v>216264.75514559916</v>
      </c>
      <c r="M48" s="116">
        <v>15873.676646380469</v>
      </c>
      <c r="N48" s="116">
        <v>16514.785707311417</v>
      </c>
      <c r="O48" s="116">
        <v>50530.601455491415</v>
      </c>
      <c r="P48" s="116">
        <v>213423.98232804175</v>
      </c>
      <c r="Q48" s="117">
        <v>42296</v>
      </c>
      <c r="R48" s="460"/>
      <c r="S48" s="448">
        <v>19143.589999999997</v>
      </c>
      <c r="U48" s="1"/>
      <c r="V48" s="1"/>
      <c r="W48" s="1"/>
    </row>
    <row r="49" spans="1:23" x14ac:dyDescent="0.25">
      <c r="A49" s="450" t="s">
        <v>417</v>
      </c>
      <c r="B49" s="116">
        <v>14672.777154184731</v>
      </c>
      <c r="C49" s="117">
        <v>77959</v>
      </c>
      <c r="D49" s="116">
        <v>15710.84150223012</v>
      </c>
      <c r="E49" s="116">
        <v>5578.0770141048597</v>
      </c>
      <c r="F49" s="116">
        <v>9383.3630278770361</v>
      </c>
      <c r="G49" s="116">
        <v>8520.7632766490988</v>
      </c>
      <c r="H49" s="116">
        <v>1665.5343513423325</v>
      </c>
      <c r="I49" s="116">
        <v>10071.951141968706</v>
      </c>
      <c r="J49" s="116">
        <v>79929.574002059759</v>
      </c>
      <c r="K49" s="116">
        <v>23071.296835907422</v>
      </c>
      <c r="L49" s="115">
        <v>241313</v>
      </c>
      <c r="M49" s="116">
        <v>16558.302274241945</v>
      </c>
      <c r="N49" s="116">
        <v>16264.117073022302</v>
      </c>
      <c r="O49" s="116">
        <v>46851.604858224193</v>
      </c>
      <c r="P49" s="116">
        <v>209518.18392710513</v>
      </c>
      <c r="Q49" s="117">
        <v>39859</v>
      </c>
      <c r="R49" s="460"/>
      <c r="S49" s="448">
        <v>20125.411</v>
      </c>
      <c r="U49" s="1"/>
      <c r="V49" s="1"/>
      <c r="W49" s="1"/>
    </row>
    <row r="50" spans="1:23" x14ac:dyDescent="0.25">
      <c r="A50" s="450" t="s">
        <v>418</v>
      </c>
      <c r="B50" s="116">
        <v>14150.711147161515</v>
      </c>
      <c r="C50" s="117">
        <v>71489</v>
      </c>
      <c r="D50" s="116">
        <v>14722.518947443514</v>
      </c>
      <c r="E50" s="116">
        <v>5125.7868259029583</v>
      </c>
      <c r="F50" s="116">
        <v>10052.315192213098</v>
      </c>
      <c r="G50" s="116">
        <v>8567.1005445935371</v>
      </c>
      <c r="H50" s="116">
        <v>1671.9158090065555</v>
      </c>
      <c r="I50" s="116">
        <v>8471.990542954245</v>
      </c>
      <c r="J50" s="116">
        <v>84444.365243546883</v>
      </c>
      <c r="K50" s="116">
        <v>13934.599644582944</v>
      </c>
      <c r="L50" s="115">
        <v>242290</v>
      </c>
      <c r="M50" s="116">
        <v>15250.2101420237</v>
      </c>
      <c r="N50" s="116">
        <v>16597.07093675133</v>
      </c>
      <c r="O50" s="116">
        <v>48041.410078531495</v>
      </c>
      <c r="P50" s="116">
        <v>197131.64960191568</v>
      </c>
      <c r="Q50" s="117">
        <v>42399</v>
      </c>
      <c r="R50" s="460"/>
      <c r="S50" s="448">
        <v>18679.697</v>
      </c>
      <c r="U50" s="1"/>
      <c r="V50" s="1"/>
      <c r="W50" s="1"/>
    </row>
    <row r="51" spans="1:23" ht="35.1" customHeight="1" x14ac:dyDescent="0.3">
      <c r="A51" s="446" t="s">
        <v>60</v>
      </c>
      <c r="B51" s="461"/>
      <c r="C51" s="461"/>
      <c r="D51" s="461"/>
      <c r="E51" s="461"/>
      <c r="F51" s="461"/>
      <c r="G51" s="461"/>
      <c r="H51" s="461"/>
      <c r="I51" s="461"/>
      <c r="J51" s="461"/>
      <c r="K51" s="461"/>
      <c r="L51" s="461"/>
      <c r="M51" s="461"/>
      <c r="N51" s="461"/>
      <c r="O51" s="461"/>
      <c r="P51" s="461"/>
      <c r="Q51" s="461"/>
      <c r="R51" s="461"/>
      <c r="S51" s="454">
        <v>0</v>
      </c>
      <c r="U51" s="1"/>
      <c r="V51" s="1"/>
      <c r="W51" s="1"/>
    </row>
    <row r="52" spans="1:23" x14ac:dyDescent="0.25">
      <c r="A52" s="450" t="s">
        <v>61</v>
      </c>
      <c r="B52" s="116">
        <v>0</v>
      </c>
      <c r="C52" s="116">
        <v>853.06700000000001</v>
      </c>
      <c r="D52" s="116">
        <v>773.18725158335349</v>
      </c>
      <c r="E52" s="116">
        <v>125.5172148877932</v>
      </c>
      <c r="F52" s="116">
        <v>162.02709496968251</v>
      </c>
      <c r="G52" s="116">
        <v>142.4</v>
      </c>
      <c r="H52" s="116">
        <v>0</v>
      </c>
      <c r="I52" s="116">
        <v>393</v>
      </c>
      <c r="J52" s="116">
        <v>1377.9363699999999</v>
      </c>
      <c r="K52" s="116">
        <v>79.501966691335895</v>
      </c>
      <c r="L52" s="116">
        <v>12095.958583283449</v>
      </c>
      <c r="M52" s="116">
        <v>346.58528799999999</v>
      </c>
      <c r="N52" s="116">
        <v>15.95</v>
      </c>
      <c r="O52" s="116">
        <v>1812</v>
      </c>
      <c r="P52" s="116">
        <v>7412</v>
      </c>
      <c r="Q52" s="116">
        <v>0</v>
      </c>
      <c r="R52" s="460"/>
      <c r="S52" s="448">
        <v>40.912083100612954</v>
      </c>
      <c r="U52" s="1"/>
      <c r="V52" s="1"/>
      <c r="W52" s="1"/>
    </row>
    <row r="53" spans="1:23" x14ac:dyDescent="0.25">
      <c r="A53" s="450" t="s">
        <v>62</v>
      </c>
      <c r="B53" s="116">
        <v>130.56285494152584</v>
      </c>
      <c r="C53" s="116">
        <v>291.1814713869436</v>
      </c>
      <c r="D53" s="116">
        <v>1081.6181052012112</v>
      </c>
      <c r="E53" s="116">
        <v>122.54430261356083</v>
      </c>
      <c r="F53" s="116">
        <v>178.47885662895501</v>
      </c>
      <c r="G53" s="116">
        <v>279.52838509019517</v>
      </c>
      <c r="H53" s="116">
        <v>69.673769697336382</v>
      </c>
      <c r="I53" s="116">
        <v>549.03917777641948</v>
      </c>
      <c r="J53" s="116">
        <v>1719.4553983460369</v>
      </c>
      <c r="K53" s="116">
        <v>286.71673089558186</v>
      </c>
      <c r="L53" s="116">
        <v>11719.776367633081</v>
      </c>
      <c r="M53" s="116">
        <v>506.71221055210697</v>
      </c>
      <c r="N53" s="116">
        <v>27.481768532562345</v>
      </c>
      <c r="O53" s="116">
        <v>2627.6108777379654</v>
      </c>
      <c r="P53" s="116">
        <v>10769.994983532757</v>
      </c>
      <c r="Q53" s="116">
        <v>3.2834490266159988</v>
      </c>
      <c r="R53" s="460"/>
      <c r="S53" s="448">
        <v>41.853061011927046</v>
      </c>
      <c r="U53" s="1"/>
      <c r="V53" s="1"/>
      <c r="W53" s="1"/>
    </row>
    <row r="54" spans="1:23" x14ac:dyDescent="0.25">
      <c r="A54" s="450" t="s">
        <v>438</v>
      </c>
      <c r="B54" s="116">
        <v>133.04354918541483</v>
      </c>
      <c r="C54" s="116">
        <v>296.71391934329552</v>
      </c>
      <c r="D54" s="116">
        <v>1102.1688492000342</v>
      </c>
      <c r="E54" s="116">
        <v>124.87264436321848</v>
      </c>
      <c r="F54" s="116">
        <v>181.86995490490517</v>
      </c>
      <c r="G54" s="116">
        <v>284.8394244069089</v>
      </c>
      <c r="H54" s="116">
        <v>70.997571321585767</v>
      </c>
      <c r="I54" s="116">
        <v>559.47092215417149</v>
      </c>
      <c r="J54" s="116">
        <v>1752.1250509146116</v>
      </c>
      <c r="K54" s="116">
        <v>292.16434878259787</v>
      </c>
      <c r="L54" s="116">
        <v>11942.452118618108</v>
      </c>
      <c r="M54" s="116">
        <v>516.33974255259704</v>
      </c>
      <c r="N54" s="116">
        <v>28.00392213468103</v>
      </c>
      <c r="O54" s="116">
        <v>2677.535484414987</v>
      </c>
      <c r="P54" s="116">
        <v>10974.62488821988</v>
      </c>
      <c r="Q54" s="116">
        <v>3.3458345581217026</v>
      </c>
      <c r="R54" s="460"/>
      <c r="S54" s="448">
        <v>42.690122232165585</v>
      </c>
      <c r="U54" s="1"/>
      <c r="V54" s="1"/>
      <c r="W54" s="1"/>
    </row>
    <row r="55" spans="1:23" x14ac:dyDescent="0.25">
      <c r="A55" s="450" t="s">
        <v>439</v>
      </c>
      <c r="B55" s="116">
        <v>135.70442016912315</v>
      </c>
      <c r="C55" s="116">
        <v>302.64819773016143</v>
      </c>
      <c r="D55" s="116">
        <v>1124.212226184035</v>
      </c>
      <c r="E55" s="116">
        <v>127.37009725048287</v>
      </c>
      <c r="F55" s="116">
        <v>185.50735400300329</v>
      </c>
      <c r="G55" s="116">
        <v>290.53621289504707</v>
      </c>
      <c r="H55" s="116">
        <v>72.41752274801749</v>
      </c>
      <c r="I55" s="116">
        <v>570.66034059725496</v>
      </c>
      <c r="J55" s="116">
        <v>1787.167551932904</v>
      </c>
      <c r="K55" s="116">
        <v>298.00763575824988</v>
      </c>
      <c r="L55" s="116">
        <v>12181.301160990472</v>
      </c>
      <c r="M55" s="116">
        <v>526.66653740364904</v>
      </c>
      <c r="N55" s="116">
        <v>28.564000577374653</v>
      </c>
      <c r="O55" s="116">
        <v>2731.0861941032867</v>
      </c>
      <c r="P55" s="116">
        <v>11194.117385984278</v>
      </c>
      <c r="Q55" s="116">
        <v>3.412751249284137</v>
      </c>
      <c r="R55" s="460"/>
      <c r="S55" s="448">
        <v>43.543924676808892</v>
      </c>
      <c r="U55" s="1"/>
      <c r="V55" s="1"/>
      <c r="W55" s="1"/>
    </row>
    <row r="56" spans="1:23" x14ac:dyDescent="0.25">
      <c r="A56" s="450" t="s">
        <v>440</v>
      </c>
      <c r="B56" s="105">
        <v>138.41850857250563</v>
      </c>
      <c r="C56" s="105">
        <v>308.70116168476471</v>
      </c>
      <c r="D56" s="105">
        <v>1146.6964707077157</v>
      </c>
      <c r="E56" s="105">
        <v>129.91749919549252</v>
      </c>
      <c r="F56" s="105">
        <v>189.21750108306335</v>
      </c>
      <c r="G56" s="105">
        <v>296.34693715294804</v>
      </c>
      <c r="H56" s="105">
        <v>73.865873202977852</v>
      </c>
      <c r="I56" s="105">
        <v>582.07354740920016</v>
      </c>
      <c r="J56" s="105">
        <v>1822.9109029715623</v>
      </c>
      <c r="K56" s="105">
        <v>303.96778847341488</v>
      </c>
      <c r="L56" s="105">
        <v>12424.927184210283</v>
      </c>
      <c r="M56" s="105">
        <v>537.19986815172206</v>
      </c>
      <c r="N56" s="105">
        <v>29.135280588922146</v>
      </c>
      <c r="O56" s="105">
        <v>2785.7079179853531</v>
      </c>
      <c r="P56" s="105">
        <v>11417.999733703964</v>
      </c>
      <c r="Q56" s="105">
        <v>3.48100627426982</v>
      </c>
      <c r="R56" s="260"/>
      <c r="S56" s="448">
        <v>44.414803170345074</v>
      </c>
      <c r="U56" s="1"/>
      <c r="V56" s="1"/>
      <c r="W56" s="1"/>
    </row>
    <row r="57" spans="1:23" x14ac:dyDescent="0.25">
      <c r="A57" s="450" t="s">
        <v>419</v>
      </c>
      <c r="B57" s="105">
        <v>141.18687874395573</v>
      </c>
      <c r="C57" s="105">
        <v>314.87518491845998</v>
      </c>
      <c r="D57" s="105">
        <v>1169.63040012187</v>
      </c>
      <c r="E57" s="105">
        <v>132.51584917940238</v>
      </c>
      <c r="F57" s="105">
        <v>193.00185110472464</v>
      </c>
      <c r="G57" s="105">
        <v>302.27387589600698</v>
      </c>
      <c r="H57" s="105">
        <v>75.343190667037405</v>
      </c>
      <c r="I57" s="105">
        <v>593.71501835738411</v>
      </c>
      <c r="J57" s="105">
        <v>1859.3691210309935</v>
      </c>
      <c r="K57" s="105">
        <v>310.04714424288318</v>
      </c>
      <c r="L57" s="105">
        <v>12673.425727894488</v>
      </c>
      <c r="M57" s="105">
        <v>547.94386551475645</v>
      </c>
      <c r="N57" s="105">
        <v>29.71798620070059</v>
      </c>
      <c r="O57" s="105">
        <v>2841.4220763450598</v>
      </c>
      <c r="P57" s="105">
        <v>11646.359728378044</v>
      </c>
      <c r="Q57" s="105">
        <v>3.5506263997552168</v>
      </c>
      <c r="R57" s="260"/>
      <c r="S57" s="448">
        <v>45.303099233751979</v>
      </c>
      <c r="U57" s="1"/>
      <c r="V57" s="1"/>
      <c r="W57" s="1"/>
    </row>
    <row r="58" spans="1:23" x14ac:dyDescent="0.25">
      <c r="A58" s="450" t="s">
        <v>420</v>
      </c>
      <c r="B58" s="105">
        <v>144.01061631883488</v>
      </c>
      <c r="C58" s="105">
        <v>321.17268861682925</v>
      </c>
      <c r="D58" s="105">
        <v>1193.0230081243076</v>
      </c>
      <c r="E58" s="105">
        <v>135.16616616299044</v>
      </c>
      <c r="F58" s="105">
        <v>196.86188812681914</v>
      </c>
      <c r="G58" s="105">
        <v>308.31935341392716</v>
      </c>
      <c r="H58" s="105">
        <v>76.850054480378162</v>
      </c>
      <c r="I58" s="105">
        <v>605.58931872453184</v>
      </c>
      <c r="J58" s="105">
        <v>1896.5565034516135</v>
      </c>
      <c r="K58" s="105">
        <v>316.24808712774086</v>
      </c>
      <c r="L58" s="105">
        <v>12926.894242452379</v>
      </c>
      <c r="M58" s="105">
        <v>558.90274282505163</v>
      </c>
      <c r="N58" s="105">
        <v>30.312345924714606</v>
      </c>
      <c r="O58" s="105">
        <v>2898.2505178719616</v>
      </c>
      <c r="P58" s="105">
        <v>11879.286922945606</v>
      </c>
      <c r="Q58" s="105">
        <v>3.6216389277503214</v>
      </c>
      <c r="R58" s="260"/>
      <c r="S58" s="114">
        <v>46.20916121842702</v>
      </c>
      <c r="U58" s="1"/>
      <c r="V58" s="1"/>
      <c r="W58" s="1"/>
    </row>
    <row r="59" spans="1:23" ht="15" customHeight="1" x14ac:dyDescent="0.25">
      <c r="A59" s="25"/>
      <c r="B59" s="26"/>
      <c r="C59" s="26"/>
      <c r="D59" s="26"/>
      <c r="E59" s="26"/>
      <c r="F59" s="26"/>
      <c r="G59" s="26"/>
      <c r="H59" s="26"/>
      <c r="I59" s="26"/>
      <c r="J59" s="26"/>
      <c r="K59" s="26"/>
      <c r="L59" s="26"/>
      <c r="M59" s="26"/>
      <c r="N59" s="26"/>
      <c r="O59" s="26"/>
      <c r="P59" s="26"/>
      <c r="Q59" s="26"/>
      <c r="R59" s="26"/>
      <c r="U59" s="1"/>
      <c r="V59" s="1"/>
      <c r="W59" s="1"/>
    </row>
    <row r="60" spans="1:23" ht="15" customHeight="1" x14ac:dyDescent="0.25">
      <c r="A60" s="27"/>
      <c r="B60" s="28"/>
      <c r="C60" s="28"/>
      <c r="D60" s="28"/>
      <c r="E60" s="28"/>
      <c r="F60" s="28"/>
      <c r="G60" s="28"/>
      <c r="H60" s="28"/>
      <c r="I60" s="28"/>
      <c r="J60" s="28"/>
      <c r="K60" s="28"/>
      <c r="L60" s="28"/>
      <c r="M60" s="28"/>
      <c r="N60" s="28"/>
      <c r="O60" s="28"/>
      <c r="P60" s="28"/>
      <c r="Q60" s="28"/>
      <c r="R60" s="28"/>
      <c r="U60" s="1"/>
      <c r="V60" s="1"/>
      <c r="W60" s="1"/>
    </row>
    <row r="61" spans="1:23" ht="15" customHeight="1" x14ac:dyDescent="0.25">
      <c r="A61" s="27"/>
      <c r="B61" s="28"/>
      <c r="C61" s="28"/>
      <c r="D61" s="28"/>
      <c r="E61" s="28"/>
      <c r="F61" s="28"/>
      <c r="G61" s="28"/>
      <c r="H61" s="28"/>
      <c r="I61" s="28"/>
      <c r="J61" s="28"/>
      <c r="K61" s="28"/>
      <c r="L61" s="28"/>
      <c r="M61" s="28"/>
      <c r="N61" s="28"/>
      <c r="O61" s="28"/>
      <c r="P61" s="28"/>
      <c r="Q61" s="28"/>
      <c r="R61" s="28"/>
      <c r="U61" s="1"/>
      <c r="V61" s="1"/>
      <c r="W61" s="1"/>
    </row>
    <row r="62" spans="1:23" ht="15" customHeight="1" x14ac:dyDescent="0.25">
      <c r="A62" s="27"/>
      <c r="B62" s="28"/>
      <c r="C62" s="28"/>
      <c r="D62" s="28"/>
      <c r="E62" s="28"/>
      <c r="F62" s="28"/>
      <c r="G62" s="28"/>
      <c r="H62" s="28"/>
      <c r="I62" s="28"/>
      <c r="J62" s="28"/>
      <c r="K62" s="28"/>
      <c r="L62" s="28"/>
      <c r="M62" s="28"/>
      <c r="N62" s="28"/>
      <c r="O62" s="28"/>
      <c r="P62" s="28"/>
      <c r="Q62" s="28"/>
      <c r="R62" s="28"/>
      <c r="U62" s="1"/>
      <c r="V62" s="1"/>
      <c r="W62" s="1"/>
    </row>
    <row r="63" spans="1:23" ht="15" customHeight="1" x14ac:dyDescent="0.3">
      <c r="A63" s="29"/>
      <c r="B63" s="462"/>
      <c r="C63" s="462"/>
      <c r="D63" s="462"/>
      <c r="E63" s="462"/>
      <c r="F63" s="462"/>
      <c r="G63" s="462"/>
      <c r="H63" s="462"/>
      <c r="I63" s="462"/>
      <c r="J63" s="462"/>
      <c r="K63" s="462"/>
      <c r="L63" s="462"/>
      <c r="M63" s="462"/>
      <c r="N63" s="462"/>
      <c r="O63" s="462"/>
      <c r="P63" s="462"/>
      <c r="Q63" s="462"/>
      <c r="R63" s="462"/>
      <c r="U63" s="1"/>
      <c r="V63" s="1"/>
      <c r="W63" s="1"/>
    </row>
    <row r="64" spans="1:23" ht="15" customHeight="1" x14ac:dyDescent="0.25">
      <c r="A64" s="27"/>
      <c r="B64" s="28"/>
      <c r="C64" s="28"/>
      <c r="D64" s="28"/>
      <c r="E64" s="28"/>
      <c r="F64" s="28"/>
      <c r="G64" s="28"/>
      <c r="H64" s="28"/>
      <c r="I64" s="28"/>
      <c r="J64" s="28"/>
      <c r="K64" s="28"/>
      <c r="L64" s="28"/>
      <c r="M64" s="28"/>
      <c r="N64" s="28"/>
      <c r="O64" s="28"/>
      <c r="P64" s="28"/>
      <c r="Q64" s="28"/>
      <c r="R64" s="28"/>
      <c r="U64" s="1"/>
      <c r="V64" s="1"/>
      <c r="W64" s="1"/>
    </row>
    <row r="65" spans="1:23" ht="15" customHeight="1" x14ac:dyDescent="0.25">
      <c r="A65" s="27"/>
      <c r="B65" s="28"/>
      <c r="C65" s="28"/>
      <c r="D65" s="28"/>
      <c r="E65" s="28"/>
      <c r="F65" s="28"/>
      <c r="G65" s="28"/>
      <c r="H65" s="28"/>
      <c r="I65" s="28"/>
      <c r="J65" s="28"/>
      <c r="K65" s="28"/>
      <c r="L65" s="28"/>
      <c r="M65" s="28"/>
      <c r="N65" s="28"/>
      <c r="O65" s="28"/>
      <c r="P65" s="28"/>
      <c r="Q65" s="28"/>
      <c r="R65" s="28"/>
      <c r="U65" s="1"/>
      <c r="V65" s="1"/>
      <c r="W65" s="1"/>
    </row>
    <row r="66" spans="1:23" ht="15" customHeight="1" x14ac:dyDescent="0.25">
      <c r="A66" s="27"/>
      <c r="B66" s="28"/>
      <c r="C66" s="28"/>
      <c r="D66" s="28"/>
      <c r="E66" s="28"/>
      <c r="F66" s="28"/>
      <c r="G66" s="28"/>
      <c r="H66" s="28"/>
      <c r="I66" s="28"/>
      <c r="J66" s="28"/>
      <c r="K66" s="28"/>
      <c r="L66" s="28"/>
      <c r="M66" s="28"/>
      <c r="N66" s="28"/>
      <c r="O66" s="28"/>
      <c r="P66" s="28"/>
      <c r="Q66" s="28"/>
      <c r="R66" s="28"/>
      <c r="U66" s="1"/>
      <c r="V66" s="1"/>
      <c r="W66" s="1"/>
    </row>
    <row r="67" spans="1:23" ht="15" customHeight="1" x14ac:dyDescent="0.25">
      <c r="A67" s="27"/>
      <c r="B67" s="28"/>
      <c r="C67" s="28"/>
      <c r="D67" s="28"/>
      <c r="E67" s="28"/>
      <c r="F67" s="28"/>
      <c r="G67" s="28"/>
      <c r="H67" s="28"/>
      <c r="I67" s="28"/>
      <c r="J67" s="28"/>
      <c r="K67" s="28"/>
      <c r="L67" s="28"/>
      <c r="M67" s="28"/>
      <c r="N67" s="28"/>
      <c r="O67" s="28"/>
      <c r="P67" s="28"/>
      <c r="Q67" s="28"/>
      <c r="R67" s="28"/>
      <c r="U67" s="1"/>
      <c r="V67" s="1"/>
      <c r="W67" s="1"/>
    </row>
    <row r="68" spans="1:23" ht="15" customHeight="1" x14ac:dyDescent="0.25">
      <c r="A68" s="27"/>
      <c r="B68" s="28"/>
      <c r="C68" s="28"/>
      <c r="D68" s="28"/>
      <c r="E68" s="28"/>
      <c r="F68" s="28"/>
      <c r="G68" s="28"/>
      <c r="H68" s="28"/>
      <c r="I68" s="28"/>
      <c r="J68" s="28"/>
      <c r="K68" s="28"/>
      <c r="L68" s="28"/>
      <c r="M68" s="28"/>
      <c r="N68" s="28"/>
      <c r="O68" s="28"/>
      <c r="P68" s="28"/>
      <c r="Q68" s="28"/>
      <c r="R68" s="28"/>
      <c r="U68" s="1"/>
      <c r="V68" s="1"/>
      <c r="W68" s="1"/>
    </row>
    <row r="69" spans="1:23" ht="15" customHeight="1" x14ac:dyDescent="0.25">
      <c r="A69" s="27"/>
      <c r="B69" s="28"/>
      <c r="C69" s="28"/>
      <c r="D69" s="28"/>
      <c r="E69" s="28"/>
      <c r="F69" s="28"/>
      <c r="G69" s="28"/>
      <c r="H69" s="28"/>
      <c r="I69" s="28"/>
      <c r="J69" s="28"/>
      <c r="K69" s="28"/>
      <c r="L69" s="28"/>
      <c r="M69" s="28"/>
      <c r="N69" s="28"/>
      <c r="O69" s="28"/>
      <c r="P69" s="28"/>
      <c r="Q69" s="28"/>
      <c r="R69" s="28"/>
      <c r="U69" s="1"/>
      <c r="V69" s="1"/>
      <c r="W69" s="1"/>
    </row>
    <row r="70" spans="1:23" ht="15" customHeight="1" x14ac:dyDescent="0.25">
      <c r="A70" s="27"/>
      <c r="B70" s="28"/>
      <c r="C70" s="28"/>
      <c r="D70" s="28"/>
      <c r="E70" s="28"/>
      <c r="F70" s="28"/>
      <c r="G70" s="28"/>
      <c r="H70" s="28"/>
      <c r="I70" s="28"/>
      <c r="J70" s="28"/>
      <c r="K70" s="28"/>
      <c r="L70" s="28"/>
      <c r="M70" s="28"/>
      <c r="N70" s="28"/>
      <c r="O70" s="28"/>
      <c r="P70" s="28"/>
      <c r="Q70" s="28"/>
      <c r="R70" s="28"/>
      <c r="U70" s="1"/>
      <c r="V70" s="1"/>
      <c r="W70" s="1"/>
    </row>
    <row r="71" spans="1:23" ht="15" customHeight="1" x14ac:dyDescent="0.3">
      <c r="A71" s="29"/>
      <c r="B71" s="462"/>
      <c r="C71" s="462"/>
      <c r="D71" s="462"/>
      <c r="E71" s="462"/>
      <c r="F71" s="462"/>
      <c r="G71" s="462"/>
      <c r="H71" s="462"/>
      <c r="I71" s="462"/>
      <c r="J71" s="462"/>
      <c r="K71" s="462"/>
      <c r="L71" s="462"/>
      <c r="M71" s="462"/>
      <c r="N71" s="462"/>
      <c r="O71" s="462"/>
      <c r="P71" s="462"/>
      <c r="Q71" s="462"/>
      <c r="R71" s="462"/>
      <c r="U71" s="1"/>
      <c r="V71" s="1"/>
      <c r="W71" s="1"/>
    </row>
    <row r="72" spans="1:23" ht="15" customHeight="1" x14ac:dyDescent="0.25">
      <c r="A72" s="27"/>
      <c r="B72" s="28"/>
      <c r="C72" s="28"/>
      <c r="D72" s="28"/>
      <c r="E72" s="28"/>
      <c r="F72" s="28"/>
      <c r="G72" s="28"/>
      <c r="H72" s="28"/>
      <c r="I72" s="28"/>
      <c r="J72" s="28"/>
      <c r="K72" s="28"/>
      <c r="L72" s="28"/>
      <c r="M72" s="28"/>
      <c r="N72" s="28"/>
      <c r="O72" s="28"/>
      <c r="P72" s="28"/>
      <c r="Q72" s="28"/>
      <c r="R72" s="28"/>
      <c r="U72" s="1"/>
      <c r="V72" s="1"/>
      <c r="W72" s="1"/>
    </row>
    <row r="73" spans="1:23" ht="15" customHeight="1" x14ac:dyDescent="0.25">
      <c r="A73" s="27"/>
      <c r="B73" s="28"/>
      <c r="C73" s="28"/>
      <c r="D73" s="28"/>
      <c r="E73" s="28"/>
      <c r="F73" s="28"/>
      <c r="G73" s="28"/>
      <c r="H73" s="28"/>
      <c r="I73" s="28"/>
      <c r="J73" s="28"/>
      <c r="K73" s="28"/>
      <c r="L73" s="28"/>
      <c r="M73" s="28"/>
      <c r="N73" s="28"/>
      <c r="O73" s="28"/>
      <c r="P73" s="28"/>
      <c r="Q73" s="28"/>
      <c r="R73" s="28"/>
      <c r="U73" s="1"/>
      <c r="V73" s="1"/>
      <c r="W73" s="1"/>
    </row>
    <row r="74" spans="1:23" ht="15" customHeight="1" x14ac:dyDescent="0.25">
      <c r="A74" s="27"/>
      <c r="B74" s="28"/>
      <c r="C74" s="28"/>
      <c r="D74" s="28"/>
      <c r="E74" s="28"/>
      <c r="F74" s="28"/>
      <c r="G74" s="28"/>
      <c r="H74" s="28"/>
      <c r="I74" s="28"/>
      <c r="J74" s="28"/>
      <c r="K74" s="28"/>
      <c r="L74" s="28"/>
      <c r="M74" s="28"/>
      <c r="N74" s="28"/>
      <c r="O74" s="28"/>
      <c r="P74" s="28"/>
      <c r="Q74" s="28"/>
      <c r="R74" s="28"/>
      <c r="U74" s="1"/>
      <c r="V74" s="1"/>
      <c r="W74" s="1"/>
    </row>
    <row r="75" spans="1:23" ht="15" customHeight="1" x14ac:dyDescent="0.25">
      <c r="A75" s="27"/>
      <c r="B75" s="28"/>
      <c r="C75" s="28"/>
      <c r="D75" s="28"/>
      <c r="E75" s="28"/>
      <c r="F75" s="28"/>
      <c r="G75" s="28"/>
      <c r="H75" s="28"/>
      <c r="I75" s="28"/>
      <c r="J75" s="28"/>
      <c r="K75" s="28"/>
      <c r="L75" s="28"/>
      <c r="M75" s="28"/>
      <c r="N75" s="28"/>
      <c r="O75" s="28"/>
      <c r="P75" s="28"/>
      <c r="Q75" s="28"/>
      <c r="R75" s="28"/>
      <c r="U75" s="1"/>
      <c r="V75" s="1"/>
      <c r="W75" s="1"/>
    </row>
    <row r="76" spans="1:23" ht="15" customHeight="1" x14ac:dyDescent="0.25">
      <c r="A76" s="27"/>
      <c r="B76" s="28"/>
      <c r="C76" s="28"/>
      <c r="D76" s="28"/>
      <c r="E76" s="28"/>
      <c r="F76" s="28"/>
      <c r="G76" s="28"/>
      <c r="H76" s="28"/>
      <c r="I76" s="28"/>
      <c r="J76" s="28"/>
      <c r="K76" s="28"/>
      <c r="L76" s="28"/>
      <c r="M76" s="28"/>
      <c r="N76" s="28"/>
      <c r="O76" s="28"/>
      <c r="P76" s="28"/>
      <c r="Q76" s="28"/>
      <c r="R76" s="28"/>
      <c r="U76" s="1"/>
      <c r="V76" s="1"/>
      <c r="W76" s="1"/>
    </row>
    <row r="77" spans="1:23" ht="15" customHeight="1" x14ac:dyDescent="0.25">
      <c r="A77" s="27"/>
      <c r="B77" s="28"/>
      <c r="C77" s="28"/>
      <c r="D77" s="28"/>
      <c r="E77" s="28"/>
      <c r="F77" s="28"/>
      <c r="G77" s="28"/>
      <c r="H77" s="28"/>
      <c r="I77" s="28"/>
      <c r="J77" s="28"/>
      <c r="K77" s="28"/>
      <c r="L77" s="28"/>
      <c r="M77" s="28"/>
      <c r="N77" s="28"/>
      <c r="O77" s="28"/>
      <c r="P77" s="28"/>
      <c r="Q77" s="28"/>
      <c r="R77" s="28"/>
      <c r="U77" s="1"/>
      <c r="V77" s="1"/>
      <c r="W77" s="1"/>
    </row>
    <row r="78" spans="1:23" ht="15" customHeight="1" x14ac:dyDescent="0.25">
      <c r="A78" s="27"/>
      <c r="B78" s="28"/>
      <c r="C78" s="28"/>
      <c r="D78" s="28"/>
      <c r="E78" s="28"/>
      <c r="F78" s="28"/>
      <c r="G78" s="28"/>
      <c r="H78" s="28"/>
      <c r="I78" s="28"/>
      <c r="J78" s="28"/>
      <c r="K78" s="28"/>
      <c r="L78" s="28"/>
      <c r="M78" s="28"/>
      <c r="N78" s="28"/>
      <c r="O78" s="28"/>
      <c r="P78" s="28"/>
      <c r="Q78" s="28"/>
      <c r="R78" s="28"/>
      <c r="U78" s="1"/>
      <c r="V78" s="1"/>
      <c r="W78" s="1"/>
    </row>
    <row r="79" spans="1:23" ht="15" customHeight="1" x14ac:dyDescent="0.3">
      <c r="A79" s="29"/>
      <c r="B79" s="1"/>
      <c r="C79" s="1"/>
      <c r="D79" s="1"/>
      <c r="E79" s="1"/>
      <c r="F79" s="1"/>
      <c r="G79" s="1"/>
      <c r="H79" s="1"/>
      <c r="I79" s="1"/>
      <c r="J79" s="1"/>
      <c r="K79" s="1"/>
      <c r="L79" s="1"/>
      <c r="M79" s="1"/>
      <c r="N79" s="1"/>
      <c r="O79" s="1"/>
      <c r="P79" s="1"/>
      <c r="Q79" s="1"/>
      <c r="R79" s="1"/>
      <c r="U79" s="1"/>
      <c r="V79" s="1"/>
      <c r="W79" s="1"/>
    </row>
    <row r="80" spans="1:23" ht="15" customHeight="1" x14ac:dyDescent="0.25">
      <c r="A80" s="27"/>
      <c r="B80" s="28"/>
      <c r="C80" s="28"/>
      <c r="D80" s="28"/>
      <c r="E80" s="28"/>
      <c r="F80" s="28"/>
      <c r="G80" s="28"/>
      <c r="H80" s="28"/>
      <c r="I80" s="28"/>
      <c r="J80" s="28"/>
      <c r="K80" s="28"/>
      <c r="L80" s="28"/>
      <c r="M80" s="28"/>
      <c r="N80" s="28"/>
      <c r="O80" s="28"/>
      <c r="P80" s="28"/>
      <c r="Q80" s="28"/>
      <c r="R80" s="28"/>
      <c r="U80" s="1"/>
      <c r="V80" s="1"/>
      <c r="W80" s="1"/>
    </row>
    <row r="81" spans="1:23" ht="15" customHeight="1" x14ac:dyDescent="0.25">
      <c r="A81" s="27"/>
      <c r="B81" s="30"/>
      <c r="C81" s="30"/>
      <c r="D81" s="30"/>
      <c r="E81" s="30"/>
      <c r="F81" s="30"/>
      <c r="G81" s="30"/>
      <c r="H81" s="30"/>
      <c r="I81" s="30"/>
      <c r="J81" s="30"/>
      <c r="K81" s="30"/>
      <c r="L81" s="30"/>
      <c r="M81" s="30"/>
      <c r="N81" s="30"/>
      <c r="O81" s="30"/>
      <c r="P81" s="30"/>
      <c r="Q81" s="30"/>
      <c r="R81" s="30"/>
      <c r="U81" s="1"/>
      <c r="V81" s="1"/>
      <c r="W81" s="1"/>
    </row>
    <row r="82" spans="1:23" ht="15" customHeight="1" x14ac:dyDescent="0.3">
      <c r="A82" s="29"/>
      <c r="B82" s="1"/>
      <c r="C82" s="1"/>
      <c r="D82" s="1"/>
      <c r="E82" s="1"/>
      <c r="F82" s="1"/>
      <c r="G82" s="1"/>
      <c r="H82" s="1"/>
      <c r="I82" s="1"/>
      <c r="J82" s="1"/>
      <c r="K82" s="1"/>
      <c r="L82" s="1"/>
      <c r="M82" s="1"/>
      <c r="N82" s="1"/>
      <c r="O82" s="1"/>
      <c r="P82" s="1"/>
      <c r="Q82" s="1"/>
      <c r="R82" s="1"/>
      <c r="U82" s="1"/>
      <c r="V82" s="1"/>
      <c r="W82" s="1"/>
    </row>
    <row r="83" spans="1:23" ht="15" customHeight="1" x14ac:dyDescent="0.25">
      <c r="A83" s="27"/>
      <c r="B83" s="30"/>
      <c r="C83" s="30"/>
      <c r="D83" s="30"/>
      <c r="E83" s="30"/>
      <c r="F83" s="30"/>
      <c r="G83" s="30"/>
      <c r="H83" s="30"/>
      <c r="I83" s="30"/>
      <c r="J83" s="30"/>
      <c r="K83" s="30"/>
      <c r="L83" s="30"/>
      <c r="M83" s="30"/>
      <c r="N83" s="30"/>
      <c r="O83" s="30"/>
      <c r="P83" s="30"/>
      <c r="Q83" s="30"/>
      <c r="R83" s="30"/>
      <c r="U83" s="1"/>
      <c r="V83" s="1"/>
      <c r="W83" s="1"/>
    </row>
    <row r="84" spans="1:23" ht="15" customHeight="1" x14ac:dyDescent="0.25">
      <c r="A84" s="27"/>
      <c r="B84" s="30"/>
      <c r="C84" s="30"/>
      <c r="D84" s="30"/>
      <c r="E84" s="30"/>
      <c r="F84" s="30"/>
      <c r="G84" s="30"/>
      <c r="H84" s="30"/>
      <c r="I84" s="30"/>
      <c r="J84" s="30"/>
      <c r="K84" s="30"/>
      <c r="L84" s="30"/>
      <c r="M84" s="30"/>
      <c r="N84" s="30"/>
      <c r="O84" s="30"/>
      <c r="P84" s="30"/>
      <c r="Q84" s="30"/>
      <c r="R84" s="30"/>
      <c r="U84" s="1"/>
      <c r="V84" s="1"/>
      <c r="W84" s="1"/>
    </row>
    <row r="85" spans="1:23" ht="15" customHeight="1" x14ac:dyDescent="0.25">
      <c r="U85" s="1"/>
      <c r="V85" s="1"/>
      <c r="W85" s="1"/>
    </row>
  </sheetData>
  <mergeCells count="1">
    <mergeCell ref="U4:W4"/>
  </mergeCells>
  <dataValidations count="1">
    <dataValidation type="list" allowBlank="1" showInputMessage="1" showErrorMessage="1" sqref="D3" xr:uid="{6E6650E2-26C3-4FB1-AE2F-74EBC59D5816}">
      <formula1>"TRUE,FALSE"</formula1>
    </dataValidation>
  </dataValidations>
  <pageMargins left="0.25" right="0.25" top="0.75" bottom="0.75" header="0.3" footer="0.3"/>
  <pageSetup paperSize="9" scale="46" fitToHeight="0" orientation="landscape" r:id="rId1"/>
  <rowBreaks count="1" manualBreakCount="1">
    <brk id="42"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95EAB-537F-45E6-A4C2-4C26CAD221CA}">
  <sheetPr codeName="Sheet8">
    <tabColor rgb="FFD97E55"/>
    <pageSetUpPr fitToPage="1"/>
  </sheetPr>
  <dimension ref="A1:K97"/>
  <sheetViews>
    <sheetView showGridLines="0" view="pageBreakPreview" zoomScaleNormal="100" zoomScaleSheetLayoutView="100" workbookViewId="0"/>
  </sheetViews>
  <sheetFormatPr defaultColWidth="9.140625" defaultRowHeight="15" customHeight="1" x14ac:dyDescent="0.25"/>
  <cols>
    <col min="1" max="1" width="55.140625" customWidth="1"/>
    <col min="2" max="8" width="13.85546875" customWidth="1"/>
    <col min="9" max="9" width="2.85546875" style="1" customWidth="1"/>
    <col min="12" max="16384" width="9.140625" style="1"/>
  </cols>
  <sheetData>
    <row r="1" spans="1:11" ht="15" customHeight="1" x14ac:dyDescent="0.25">
      <c r="A1" s="97" t="s">
        <v>585</v>
      </c>
      <c r="B1" s="97"/>
      <c r="C1" s="97"/>
      <c r="D1" s="97"/>
      <c r="E1" s="97"/>
      <c r="F1" s="97"/>
      <c r="G1" s="97"/>
      <c r="H1" s="97"/>
      <c r="J1" s="97"/>
      <c r="K1" s="97"/>
    </row>
    <row r="2" spans="1:11" ht="15" customHeight="1" x14ac:dyDescent="0.25">
      <c r="A2" s="97" t="s">
        <v>586</v>
      </c>
      <c r="B2" s="97"/>
      <c r="C2" s="97"/>
      <c r="D2" s="97"/>
      <c r="E2" s="97"/>
      <c r="F2" s="97"/>
      <c r="G2" s="97"/>
      <c r="H2" s="97"/>
      <c r="J2" s="97"/>
      <c r="K2" s="97"/>
    </row>
    <row r="3" spans="1:11" ht="39.950000000000003" customHeight="1" x14ac:dyDescent="0.35">
      <c r="A3" s="356" t="s">
        <v>354</v>
      </c>
      <c r="H3" s="463" t="str">
        <f>EDB_Name</f>
        <v>Vector Lines</v>
      </c>
    </row>
    <row r="4" spans="1:11" ht="39.950000000000003" customHeight="1" x14ac:dyDescent="0.25">
      <c r="A4" s="357" t="s">
        <v>355</v>
      </c>
      <c r="B4" s="464"/>
      <c r="C4" s="465"/>
      <c r="D4" s="466"/>
      <c r="E4" s="466"/>
      <c r="F4" s="466"/>
      <c r="G4" s="466"/>
      <c r="H4" s="466"/>
    </row>
    <row r="5" spans="1:11" ht="15" customHeight="1" x14ac:dyDescent="0.25">
      <c r="A5" s="441" t="s">
        <v>356</v>
      </c>
      <c r="B5" s="286"/>
      <c r="C5" s="286" t="s">
        <v>27</v>
      </c>
    </row>
    <row r="6" spans="1:11" x14ac:dyDescent="0.25">
      <c r="A6" s="467" t="s">
        <v>28</v>
      </c>
      <c r="B6" s="245"/>
      <c r="C6" s="468" t="str">
        <f>'EDB select'!B5</f>
        <v>Vector Lines</v>
      </c>
    </row>
    <row r="7" spans="1:11" x14ac:dyDescent="0.25">
      <c r="A7" s="467" t="s">
        <v>335</v>
      </c>
      <c r="B7" s="245"/>
      <c r="C7" s="468">
        <f>'EDB select'!B6</f>
        <v>15</v>
      </c>
    </row>
    <row r="8" spans="1:11" x14ac:dyDescent="0.25">
      <c r="A8" s="60" t="s">
        <v>357</v>
      </c>
      <c r="B8" s="217"/>
      <c r="C8" s="218">
        <f>'EDB select'!B7</f>
        <v>15</v>
      </c>
      <c r="D8" s="469"/>
    </row>
    <row r="9" spans="1:11" ht="32.25" customHeight="1" x14ac:dyDescent="0.35">
      <c r="A9" s="470" t="s">
        <v>63</v>
      </c>
      <c r="B9" s="92"/>
      <c r="C9" s="92"/>
      <c r="D9" s="92"/>
      <c r="E9" s="92"/>
      <c r="F9" s="92"/>
      <c r="G9" s="92"/>
      <c r="H9" s="92"/>
      <c r="J9" s="92"/>
      <c r="K9" s="92"/>
    </row>
    <row r="10" spans="1:11" x14ac:dyDescent="0.25">
      <c r="A10" s="219" t="s">
        <v>64</v>
      </c>
      <c r="B10" s="3" t="s">
        <v>31</v>
      </c>
    </row>
    <row r="11" spans="1:11" x14ac:dyDescent="0.25">
      <c r="A11" s="467" t="s">
        <v>41</v>
      </c>
      <c r="B11" s="332">
        <f>'Inputs (DPP)'!B15</f>
        <v>4.5699999999999998E-2</v>
      </c>
      <c r="C11" s="471"/>
    </row>
    <row r="12" spans="1:11" x14ac:dyDescent="0.25">
      <c r="A12" s="467" t="s">
        <v>13</v>
      </c>
      <c r="B12" s="332">
        <f>'Inputs (DPP)'!B16</f>
        <v>2.92E-2</v>
      </c>
      <c r="C12" s="471"/>
    </row>
    <row r="13" spans="1:11" x14ac:dyDescent="0.25">
      <c r="A13" s="467" t="s">
        <v>42</v>
      </c>
      <c r="B13" s="332">
        <f>'Inputs (DPP)'!B17</f>
        <v>0.42</v>
      </c>
      <c r="C13" s="471"/>
    </row>
    <row r="14" spans="1:11" x14ac:dyDescent="0.25">
      <c r="A14" s="467" t="s">
        <v>43</v>
      </c>
      <c r="B14" s="472">
        <f>'Inputs (DPP)'!B18</f>
        <v>44</v>
      </c>
      <c r="C14" s="471" t="s">
        <v>65</v>
      </c>
    </row>
    <row r="15" spans="1:11" x14ac:dyDescent="0.25">
      <c r="A15" s="467" t="s">
        <v>44</v>
      </c>
      <c r="B15" s="473">
        <f>'Inputs (DPP)'!B19</f>
        <v>0</v>
      </c>
      <c r="C15" s="471"/>
    </row>
    <row r="16" spans="1:11" x14ac:dyDescent="0.25">
      <c r="A16" s="467" t="s">
        <v>37</v>
      </c>
      <c r="B16" s="314">
        <f>'Inputs (DPP)'!B11</f>
        <v>365</v>
      </c>
      <c r="C16" s="471" t="s">
        <v>66</v>
      </c>
    </row>
    <row r="17" spans="1:11" x14ac:dyDescent="0.25">
      <c r="A17" s="467" t="s">
        <v>38</v>
      </c>
      <c r="B17" s="314">
        <f>'Inputs (DPP)'!B12</f>
        <v>182</v>
      </c>
      <c r="C17" s="471" t="s">
        <v>66</v>
      </c>
    </row>
    <row r="18" spans="1:11" x14ac:dyDescent="0.25">
      <c r="A18" s="467" t="s">
        <v>39</v>
      </c>
      <c r="B18" s="314">
        <f>'Inputs (DPP)'!B13</f>
        <v>148</v>
      </c>
      <c r="C18" s="471" t="s">
        <v>66</v>
      </c>
    </row>
    <row r="19" spans="1:11" x14ac:dyDescent="0.25">
      <c r="A19" s="180" t="s">
        <v>40</v>
      </c>
      <c r="B19" s="216">
        <f>'Inputs (DPP)'!B14</f>
        <v>44286</v>
      </c>
      <c r="C19" s="471"/>
    </row>
    <row r="20" spans="1:11" ht="27.75" customHeight="1" x14ac:dyDescent="0.35">
      <c r="A20" s="470" t="s">
        <v>67</v>
      </c>
      <c r="B20" s="470"/>
      <c r="C20" s="470"/>
      <c r="D20" s="470"/>
      <c r="E20" s="470"/>
      <c r="F20" s="470"/>
      <c r="G20" s="470"/>
      <c r="H20" s="470"/>
      <c r="J20" s="92"/>
      <c r="K20" s="92"/>
    </row>
    <row r="21" spans="1:11" x14ac:dyDescent="0.25">
      <c r="A21" s="2"/>
      <c r="B21" s="31" t="s">
        <v>424</v>
      </c>
      <c r="C21" s="31" t="s">
        <v>441</v>
      </c>
      <c r="D21" s="31" t="s">
        <v>426</v>
      </c>
      <c r="E21" s="31" t="s">
        <v>427</v>
      </c>
      <c r="F21" s="31" t="s">
        <v>428</v>
      </c>
      <c r="G21" s="31" t="s">
        <v>319</v>
      </c>
      <c r="H21" s="31" t="s">
        <v>320</v>
      </c>
    </row>
    <row r="22" spans="1:11" x14ac:dyDescent="0.25">
      <c r="A22" s="467" t="s">
        <v>32</v>
      </c>
      <c r="B22" s="335">
        <f>'Inputs (DPP)'!C6</f>
        <v>1</v>
      </c>
      <c r="C22" s="335">
        <f>'Inputs (DPP)'!D6</f>
        <v>2</v>
      </c>
      <c r="D22" s="335">
        <f>'Inputs (DPP)'!E6</f>
        <v>3</v>
      </c>
      <c r="E22" s="335">
        <f>'Inputs (DPP)'!F6</f>
        <v>4</v>
      </c>
      <c r="F22" s="335">
        <f>'Inputs (DPP)'!G6</f>
        <v>5</v>
      </c>
      <c r="G22" s="335">
        <f>'Inputs (DPP)'!H6</f>
        <v>6</v>
      </c>
      <c r="H22" s="335">
        <f>'Inputs (DPP)'!I6</f>
        <v>7</v>
      </c>
    </row>
    <row r="23" spans="1:11" x14ac:dyDescent="0.25">
      <c r="A23" s="467" t="s">
        <v>33</v>
      </c>
      <c r="B23" s="335"/>
      <c r="C23" s="335"/>
      <c r="D23" s="335">
        <f>'Inputs (DPP)'!E7</f>
        <v>1</v>
      </c>
      <c r="E23" s="335">
        <f>'Inputs (DPP)'!F7</f>
        <v>2</v>
      </c>
      <c r="F23" s="335">
        <f>'Inputs (DPP)'!G7</f>
        <v>3</v>
      </c>
      <c r="G23" s="335">
        <f>'Inputs (DPP)'!H7</f>
        <v>4</v>
      </c>
      <c r="H23" s="335">
        <f>'Inputs (DPP)'!I7</f>
        <v>5</v>
      </c>
    </row>
    <row r="24" spans="1:11" x14ac:dyDescent="0.25">
      <c r="A24" s="467" t="s">
        <v>34</v>
      </c>
      <c r="B24" s="355">
        <f>'Inputs (DPP)'!C8</f>
        <v>1.4836795252225476E-2</v>
      </c>
      <c r="C24" s="355">
        <f>'Inputs (DPP)'!D8</f>
        <v>1.6999999999999904E-2</v>
      </c>
      <c r="D24" s="355">
        <f>'Inputs (DPP)'!E8</f>
        <v>1.8999999999999906E-2</v>
      </c>
      <c r="E24" s="355">
        <f>'Inputs (DPP)'!F8</f>
        <v>2.0000000000000018E-2</v>
      </c>
      <c r="F24" s="355">
        <f>'Inputs (DPP)'!G8</f>
        <v>2.0000000000000018E-2</v>
      </c>
      <c r="G24" s="355">
        <f>'Inputs (DPP)'!H8</f>
        <v>2.0000000000000018E-2</v>
      </c>
      <c r="H24" s="355">
        <f>'Inputs (DPP)'!I8</f>
        <v>2.0000000000000018E-2</v>
      </c>
    </row>
    <row r="25" spans="1:11" x14ac:dyDescent="0.25">
      <c r="A25" s="467" t="s">
        <v>35</v>
      </c>
      <c r="B25" s="355"/>
      <c r="C25" s="355"/>
      <c r="D25" s="355">
        <f>'Inputs (DPP)'!E9</f>
        <v>1.7504378984726898E-2</v>
      </c>
      <c r="E25" s="355">
        <f>'Inputs (DPP)'!F9</f>
        <v>1.9502114592602871E-2</v>
      </c>
      <c r="F25" s="355">
        <f>'Inputs (DPP)'!G9</f>
        <v>2.0248058977042183E-2</v>
      </c>
      <c r="G25" s="355">
        <f>'Inputs (DPP)'!H9</f>
        <v>2.0000000000000018E-2</v>
      </c>
      <c r="H25" s="355">
        <f>'Inputs (DPP)'!I9</f>
        <v>2.0000000000000018E-2</v>
      </c>
    </row>
    <row r="26" spans="1:11" x14ac:dyDescent="0.25">
      <c r="A26" s="60" t="s">
        <v>36</v>
      </c>
      <c r="B26" s="215">
        <f>'Inputs (DPP)'!C10</f>
        <v>0.28000000000000003</v>
      </c>
      <c r="C26" s="215">
        <f>'Inputs (DPP)'!D10</f>
        <v>0.28000000000000003</v>
      </c>
      <c r="D26" s="215">
        <f>'Inputs (DPP)'!E10</f>
        <v>0.28000000000000003</v>
      </c>
      <c r="E26" s="215">
        <f>'Inputs (DPP)'!F10</f>
        <v>0.28000000000000003</v>
      </c>
      <c r="F26" s="215">
        <f>'Inputs (DPP)'!G10</f>
        <v>0.28000000000000003</v>
      </c>
      <c r="G26" s="215">
        <f>'Inputs (DPP)'!H10</f>
        <v>0.28000000000000003</v>
      </c>
      <c r="H26" s="215">
        <f>'Inputs (DPP)'!I10</f>
        <v>0.28000000000000003</v>
      </c>
    </row>
    <row r="27" spans="1:11" ht="29.25" customHeight="1" x14ac:dyDescent="0.35">
      <c r="A27" s="474" t="s">
        <v>68</v>
      </c>
      <c r="B27" s="92"/>
      <c r="C27" s="92"/>
      <c r="D27" s="92"/>
      <c r="E27" s="92"/>
      <c r="F27" s="92"/>
      <c r="G27" s="92"/>
      <c r="H27" s="92"/>
      <c r="J27" s="92"/>
      <c r="K27" s="92"/>
    </row>
    <row r="28" spans="1:11" ht="21" x14ac:dyDescent="0.35">
      <c r="A28" s="475" t="s">
        <v>45</v>
      </c>
      <c r="B28" s="476"/>
      <c r="C28" s="477"/>
      <c r="D28" s="476"/>
      <c r="E28" s="476"/>
      <c r="F28" s="476"/>
      <c r="G28" s="476"/>
      <c r="H28" s="476"/>
      <c r="J28" s="95"/>
      <c r="K28" s="95"/>
    </row>
    <row r="29" spans="1:11" x14ac:dyDescent="0.25">
      <c r="A29" s="175" t="s">
        <v>46</v>
      </c>
      <c r="B29" s="207" cm="1">
        <f t="array" ref="B29">INDEX('Inputs (DPP)'!$B$24:$Q$36,MATCH(A29,'Inputs (DPP)'!$A$24:$A$36,0),'EDB data (DPP)'!$C$7)</f>
        <v>2951716</v>
      </c>
      <c r="E29" s="259"/>
    </row>
    <row r="30" spans="1:11" x14ac:dyDescent="0.25">
      <c r="A30" s="467" t="s">
        <v>47</v>
      </c>
      <c r="B30" s="314" cm="1">
        <f t="array" ref="B30">INDEX('Inputs (DPP)'!$B$24:$Q$36,MATCH(A30,'Inputs (DPP)'!$A$24:$A$36,0),'EDB data (DPP)'!$C$7)</f>
        <v>108729</v>
      </c>
      <c r="E30" s="259"/>
    </row>
    <row r="31" spans="1:11" x14ac:dyDescent="0.25">
      <c r="A31" s="467" t="s">
        <v>48</v>
      </c>
      <c r="B31" s="314" cm="1">
        <f t="array" ref="B31">INDEX('Inputs (DPP)'!$B$24:$Q$36,MATCH(A31,'Inputs (DPP)'!$A$24:$A$36,0),'EDB data (DPP)'!$C$7)</f>
        <v>3075471</v>
      </c>
      <c r="E31" s="259"/>
      <c r="F31" s="478"/>
    </row>
    <row r="32" spans="1:11" x14ac:dyDescent="0.25">
      <c r="A32" s="467" t="s">
        <v>49</v>
      </c>
      <c r="B32" s="314" cm="1">
        <f t="array" ref="B32">INDEX('Inputs (DPP)'!$B$24:$Q$36,MATCH(A32,'Inputs (DPP)'!$A$24:$A$36,0),'EDB data (DPP)'!$C$7)</f>
        <v>2695210</v>
      </c>
      <c r="E32" s="259"/>
      <c r="F32" s="91"/>
    </row>
    <row r="33" spans="1:11" x14ac:dyDescent="0.25">
      <c r="A33" s="467" t="s">
        <v>50</v>
      </c>
      <c r="B33" s="314" cm="1">
        <f t="array" ref="B33">INDEX('Inputs (DPP)'!$B$24:$Q$36,MATCH(A33,'Inputs (DPP)'!$A$24:$A$36,0),'EDB data (DPP)'!$C$7)</f>
        <v>99210</v>
      </c>
      <c r="E33" s="259"/>
      <c r="F33" s="479"/>
    </row>
    <row r="34" spans="1:11" x14ac:dyDescent="0.25">
      <c r="A34" s="467" t="s">
        <v>51</v>
      </c>
      <c r="B34" s="314" cm="1">
        <f t="array" ref="B34">INDEX('Inputs (DPP)'!$B$24:$Q$36,MATCH(A34,'Inputs (DPP)'!$A$24:$A$36,0),'EDB data (DPP)'!$C$7)</f>
        <v>103486</v>
      </c>
      <c r="E34" s="259"/>
      <c r="F34" s="478"/>
    </row>
    <row r="35" spans="1:11" x14ac:dyDescent="0.25">
      <c r="A35" s="467" t="s">
        <v>52</v>
      </c>
      <c r="B35" s="314" cm="1">
        <f t="array" ref="B35">INDEX('Inputs (DPP)'!$B$24:$Q$36,MATCH(A35,'Inputs (DPP)'!$A$24:$A$36,0),'EDB data (DPP)'!$C$7)</f>
        <v>1224826</v>
      </c>
      <c r="E35" s="259"/>
      <c r="F35" s="478"/>
    </row>
    <row r="36" spans="1:11" x14ac:dyDescent="0.25">
      <c r="A36" s="467" t="s">
        <v>53</v>
      </c>
      <c r="B36" s="314" cm="1">
        <f t="array" ref="B36">INDEX('Inputs (DPP)'!$B$24:$Q$36,MATCH(A36,'Inputs (DPP)'!$A$24:$A$36,0),'EDB data (DPP)'!$C$7)</f>
        <v>34300.677419354841</v>
      </c>
      <c r="E36" s="259"/>
      <c r="F36" s="259"/>
    </row>
    <row r="37" spans="1:11" x14ac:dyDescent="0.25">
      <c r="A37" s="467" t="s">
        <v>54</v>
      </c>
      <c r="B37" s="314" cm="1">
        <f t="array" ref="B37">INDEX('Inputs (DPP)'!$B$24:$Q$36,MATCH(A37,'Inputs (DPP)'!$A$24:$A$36,0),'EDB data (DPP)'!$C$7)</f>
        <v>3983.6873940243322</v>
      </c>
      <c r="E37" s="259"/>
    </row>
    <row r="38" spans="1:11" x14ac:dyDescent="0.25">
      <c r="A38" s="467" t="s">
        <v>55</v>
      </c>
      <c r="B38" s="314" cm="1">
        <f t="array" ref="B38">INDEX('Inputs (DPP)'!$B$24:$Q$36,MATCH(A38,'Inputs (DPP)'!$A$24:$A$36,0),'EDB data (DPP)'!$C$7)</f>
        <v>-83664</v>
      </c>
      <c r="E38" s="259"/>
    </row>
    <row r="39" spans="1:11" x14ac:dyDescent="0.25">
      <c r="A39" s="467" t="s">
        <v>352</v>
      </c>
      <c r="B39" s="314" cm="1">
        <f t="array" ref="B39">INDEX('Inputs (DPP)'!$B$24:$Q$36,MATCH(A39,'Inputs (DPP)'!$A$24:$A$36,0),'EDB data (DPP)'!$C$7)</f>
        <v>1</v>
      </c>
      <c r="E39" s="259"/>
    </row>
    <row r="40" spans="1:11" x14ac:dyDescent="0.25">
      <c r="A40" s="480" t="s">
        <v>429</v>
      </c>
      <c r="B40" s="314" cm="1">
        <f t="array" ref="B40">INDEX('Inputs (DPP)'!$B$24:$Q$36,MATCH(A40,'Inputs (DPP)'!$A$24:$A$36,0),'EDB data (DPP)'!$C$7)</f>
        <v>0</v>
      </c>
      <c r="E40" s="259"/>
    </row>
    <row r="41" spans="1:11" x14ac:dyDescent="0.25">
      <c r="A41" s="60" t="s">
        <v>353</v>
      </c>
      <c r="B41" s="171" cm="1">
        <f t="array" ref="B41">INDEX('Inputs (DPP)'!$B$24:$Q$36,MATCH(A41,'Inputs (DPP)'!$A$24:$A$36,0),'EDB data (DPP)'!$C$7)</f>
        <v>0</v>
      </c>
      <c r="E41" s="259"/>
    </row>
    <row r="42" spans="1:11" ht="21" x14ac:dyDescent="0.35">
      <c r="A42" s="475" t="s">
        <v>56</v>
      </c>
      <c r="B42" s="476"/>
      <c r="C42" s="477"/>
      <c r="D42" s="476"/>
      <c r="E42" s="476"/>
      <c r="F42" s="476"/>
      <c r="G42" s="476"/>
      <c r="H42" s="476"/>
      <c r="J42" s="95"/>
      <c r="K42" s="95"/>
    </row>
    <row r="43" spans="1:11" x14ac:dyDescent="0.25">
      <c r="A43" s="59" t="s">
        <v>430</v>
      </c>
      <c r="B43" s="207" cm="1">
        <f t="array" ref="B43">INDEX('Inputs (DPP)'!$B$38:$Q$42,MATCH(A43,'Inputs (DPP)'!$A$38:$A$42,0),'EDB data (DPP)'!$C$7)</f>
        <v>127351.13794047505</v>
      </c>
      <c r="C43" s="478"/>
    </row>
    <row r="44" spans="1:11" x14ac:dyDescent="0.25">
      <c r="A44" s="359" t="s">
        <v>431</v>
      </c>
      <c r="B44" s="314" cm="1">
        <f t="array" ref="B44">INDEX('Inputs (DPP)'!$B$38:$Q$42,MATCH(A44,'Inputs (DPP)'!$A$38:$A$42,0),'EDB data (DPP)'!$C$7)</f>
        <v>132448.68478800423</v>
      </c>
      <c r="C44" s="478"/>
    </row>
    <row r="45" spans="1:11" x14ac:dyDescent="0.25">
      <c r="A45" s="359" t="s">
        <v>432</v>
      </c>
      <c r="B45" s="314" cm="1">
        <f t="array" ref="B45">INDEX('Inputs (DPP)'!$B$38:$Q$42,MATCH(A45,'Inputs (DPP)'!$A$38:$A$42,0),'EDB data (DPP)'!$C$7)</f>
        <v>137800.82316421505</v>
      </c>
      <c r="C45" s="478"/>
    </row>
    <row r="46" spans="1:11" x14ac:dyDescent="0.25">
      <c r="A46" s="359" t="s">
        <v>434</v>
      </c>
      <c r="B46" s="314" cm="1">
        <f t="array" ref="B46">INDEX('Inputs (DPP)'!$B$38:$Q$42,MATCH(A46,'Inputs (DPP)'!$A$38:$A$42,0),'EDB data (DPP)'!$C$7)</f>
        <v>142973.17103060253</v>
      </c>
      <c r="C46" s="478"/>
    </row>
    <row r="47" spans="1:11" x14ac:dyDescent="0.25">
      <c r="A47" s="359" t="s">
        <v>433</v>
      </c>
      <c r="B47" s="314" cm="1">
        <f t="array" ref="B47">INDEX('Inputs (DPP)'!$B$38:$Q$42,MATCH(A47,'Inputs (DPP)'!$A$38:$A$42,0),'EDB data (DPP)'!$C$7)</f>
        <v>148015.88957073344</v>
      </c>
      <c r="C47" s="478"/>
    </row>
    <row r="48" spans="1:11" x14ac:dyDescent="0.25">
      <c r="A48" s="60"/>
      <c r="B48" s="171"/>
    </row>
    <row r="49" spans="1:11" ht="21" x14ac:dyDescent="0.35">
      <c r="A49" s="475" t="s">
        <v>57</v>
      </c>
      <c r="B49" s="476"/>
      <c r="C49" s="477"/>
      <c r="D49" s="476"/>
      <c r="E49" s="476"/>
      <c r="F49" s="476"/>
      <c r="G49" s="476"/>
      <c r="H49" s="476"/>
      <c r="J49" s="95"/>
      <c r="K49" s="95"/>
    </row>
    <row r="50" spans="1:11" x14ac:dyDescent="0.25">
      <c r="A50" s="181" t="s">
        <v>58</v>
      </c>
      <c r="B50" s="207" cm="1">
        <f t="array" ref="B50">INDEX('Inputs (DPP)'!$B$44:$Q$50,MATCH(A50,'Inputs (DPP)'!$A$44:$A$50,0),'EDB data (DPP)'!$C$7)</f>
        <v>203460</v>
      </c>
      <c r="D50" s="259"/>
    </row>
    <row r="51" spans="1:11" x14ac:dyDescent="0.25">
      <c r="A51" s="480" t="s">
        <v>59</v>
      </c>
      <c r="B51" s="314" cm="1">
        <f t="array" ref="B51">INDEX('Inputs (DPP)'!$B$44:$Q$50,MATCH(A51,'Inputs (DPP)'!$A$44:$A$50,0),'EDB data (DPP)'!$C$7)</f>
        <v>240761</v>
      </c>
      <c r="D51" s="259"/>
    </row>
    <row r="52" spans="1:11" x14ac:dyDescent="0.25">
      <c r="A52" s="480" t="s">
        <v>435</v>
      </c>
      <c r="B52" s="314" cm="1">
        <f t="array" ref="B52">INDEX('Inputs (DPP)'!$B$44:$Q$50,MATCH(A52,'Inputs (DPP)'!$A$44:$A$50,0),'EDB data (DPP)'!$C$7)</f>
        <v>211119.9718515854</v>
      </c>
      <c r="D52" s="259"/>
    </row>
    <row r="53" spans="1:11" x14ac:dyDescent="0.25">
      <c r="A53" s="480" t="s">
        <v>436</v>
      </c>
      <c r="B53" s="314" cm="1">
        <f t="array" ref="B53">INDEX('Inputs (DPP)'!$B$44:$Q$50,MATCH(A53,'Inputs (DPP)'!$A$44:$A$50,0),'EDB data (DPP)'!$C$7)</f>
        <v>209600.00629559506</v>
      </c>
      <c r="D53" s="259"/>
    </row>
    <row r="54" spans="1:11" x14ac:dyDescent="0.25">
      <c r="A54" s="480" t="s">
        <v>437</v>
      </c>
      <c r="B54" s="314" cm="1">
        <f t="array" ref="B54">INDEX('Inputs (DPP)'!$B$44:$Q$50,MATCH(A54,'Inputs (DPP)'!$A$44:$A$50,0),'EDB data (DPP)'!$C$7)</f>
        <v>213423.98232804175</v>
      </c>
      <c r="D54" s="259"/>
    </row>
    <row r="55" spans="1:11" x14ac:dyDescent="0.25">
      <c r="A55" s="480" t="s">
        <v>417</v>
      </c>
      <c r="B55" s="314" cm="1">
        <f t="array" ref="B55">INDEX('Inputs (DPP)'!$B$44:$Q$50,MATCH(A55,'Inputs (DPP)'!$A$44:$A$50,0),'EDB data (DPP)'!$C$7)</f>
        <v>209518.18392710513</v>
      </c>
      <c r="D55" s="259"/>
    </row>
    <row r="56" spans="1:11" x14ac:dyDescent="0.25">
      <c r="A56" s="480" t="s">
        <v>418</v>
      </c>
      <c r="B56" s="314" cm="1">
        <f t="array" ref="B56">INDEX('Inputs (DPP)'!$B$44:$Q$50,MATCH(A56,'Inputs (DPP)'!$A$44:$A$50,0),'EDB data (DPP)'!$C$7)</f>
        <v>197131.64960191568</v>
      </c>
      <c r="D56" s="259"/>
    </row>
    <row r="57" spans="1:11" x14ac:dyDescent="0.25">
      <c r="A57" s="60"/>
      <c r="B57" s="214"/>
    </row>
    <row r="58" spans="1:11" ht="21" x14ac:dyDescent="0.35">
      <c r="A58" s="475" t="s">
        <v>60</v>
      </c>
      <c r="B58" s="476"/>
      <c r="C58" s="477"/>
      <c r="D58" s="476"/>
      <c r="E58" s="476"/>
      <c r="F58" s="476"/>
      <c r="G58" s="476"/>
      <c r="H58" s="476"/>
      <c r="J58" s="95"/>
      <c r="K58" s="95"/>
    </row>
    <row r="59" spans="1:11" x14ac:dyDescent="0.25">
      <c r="A59" s="181" t="s">
        <v>61</v>
      </c>
      <c r="B59" s="207" cm="1">
        <f t="array" ref="B59">INDEX('Inputs (DPP)'!$B$52:$Q$58,MATCH(A59,'Inputs (DPP)'!$A$52:$A$58,0),'EDB data (DPP)'!$C$7)</f>
        <v>7412</v>
      </c>
    </row>
    <row r="60" spans="1:11" x14ac:dyDescent="0.25">
      <c r="A60" s="480" t="s">
        <v>62</v>
      </c>
      <c r="B60" s="314" cm="1">
        <f t="array" ref="B60">INDEX('Inputs (DPP)'!$B$52:$Q$58,MATCH(A60,'Inputs (DPP)'!$A$52:$A$58,0),'EDB data (DPP)'!$C$7)</f>
        <v>10769.994983532757</v>
      </c>
    </row>
    <row r="61" spans="1:11" x14ac:dyDescent="0.25">
      <c r="A61" s="480" t="s">
        <v>438</v>
      </c>
      <c r="B61" s="314" cm="1">
        <f t="array" ref="B61">INDEX('Inputs (DPP)'!$B$52:$Q$58,MATCH(A61,'Inputs (DPP)'!$A$52:$A$58,0),'EDB data (DPP)'!$C$7)</f>
        <v>10974.62488821988</v>
      </c>
    </row>
    <row r="62" spans="1:11" x14ac:dyDescent="0.25">
      <c r="A62" s="480" t="s">
        <v>439</v>
      </c>
      <c r="B62" s="314" cm="1">
        <f t="array" ref="B62">INDEX('Inputs (DPP)'!$B$52:$Q$58,MATCH(A62,'Inputs (DPP)'!$A$52:$A$58,0),'EDB data (DPP)'!$C$7)</f>
        <v>11194.117385984278</v>
      </c>
    </row>
    <row r="63" spans="1:11" x14ac:dyDescent="0.25">
      <c r="A63" s="480" t="s">
        <v>440</v>
      </c>
      <c r="B63" s="314" cm="1">
        <f t="array" ref="B63">INDEX('Inputs (DPP)'!$B$52:$Q$58,MATCH(A63,'Inputs (DPP)'!$A$52:$A$58,0),'EDB data (DPP)'!$C$7)</f>
        <v>11417.999733703964</v>
      </c>
    </row>
    <row r="64" spans="1:11" x14ac:dyDescent="0.25">
      <c r="A64" s="480" t="s">
        <v>419</v>
      </c>
      <c r="B64" s="314" cm="1">
        <f t="array" ref="B64">INDEX('Inputs (DPP)'!$B$52:$Q$58,MATCH(A64,'Inputs (DPP)'!$A$52:$A$58,0),'EDB data (DPP)'!$C$7)</f>
        <v>11646.359728378044</v>
      </c>
    </row>
    <row r="65" spans="1:8" x14ac:dyDescent="0.25">
      <c r="A65" s="480" t="s">
        <v>420</v>
      </c>
      <c r="B65" s="314" cm="1">
        <f t="array" ref="B65">INDEX('Inputs (DPP)'!$B$52:$Q$58,MATCH(A65,'Inputs (DPP)'!$A$52:$A$58,0),'EDB data (DPP)'!$C$7)</f>
        <v>11879.286922945606</v>
      </c>
    </row>
    <row r="66" spans="1:8" ht="15" customHeight="1" x14ac:dyDescent="0.25">
      <c r="A66" s="60"/>
      <c r="B66" s="61"/>
    </row>
    <row r="67" spans="1:8" ht="15" customHeight="1" x14ac:dyDescent="0.25">
      <c r="A67" s="62"/>
      <c r="B67" s="63"/>
    </row>
    <row r="68" spans="1:8" ht="15" customHeight="1" x14ac:dyDescent="0.25">
      <c r="A68" s="62"/>
      <c r="B68" s="63"/>
    </row>
    <row r="69" spans="1:8" ht="15" customHeight="1" x14ac:dyDescent="0.25">
      <c r="A69" s="62"/>
      <c r="B69" s="63"/>
    </row>
    <row r="70" spans="1:8" ht="15" customHeight="1" x14ac:dyDescent="0.25">
      <c r="A70" s="62"/>
      <c r="B70" s="63"/>
    </row>
    <row r="71" spans="1:8" ht="15" customHeight="1" x14ac:dyDescent="0.25">
      <c r="A71" s="62"/>
      <c r="B71" s="63"/>
    </row>
    <row r="73" spans="1:8" ht="15" customHeight="1" x14ac:dyDescent="0.35">
      <c r="A73" s="481"/>
      <c r="B73" s="482"/>
      <c r="C73" s="483"/>
      <c r="D73" s="482"/>
      <c r="E73" s="482"/>
      <c r="F73" s="482"/>
      <c r="G73" s="482"/>
      <c r="H73" s="482"/>
    </row>
    <row r="74" spans="1:8" ht="15" customHeight="1" x14ac:dyDescent="0.25">
      <c r="A74" s="62"/>
      <c r="B74" s="63"/>
    </row>
    <row r="75" spans="1:8" ht="15" customHeight="1" x14ac:dyDescent="0.25">
      <c r="A75" s="62"/>
      <c r="B75" s="63"/>
    </row>
    <row r="76" spans="1:8" ht="15" customHeight="1" x14ac:dyDescent="0.25">
      <c r="A76" s="62"/>
      <c r="B76" s="63"/>
    </row>
    <row r="77" spans="1:8" ht="15" customHeight="1" x14ac:dyDescent="0.25">
      <c r="A77" s="62"/>
      <c r="B77" s="63"/>
    </row>
    <row r="78" spans="1:8" ht="15" customHeight="1" x14ac:dyDescent="0.25">
      <c r="A78" s="62"/>
      <c r="B78" s="63"/>
    </row>
    <row r="79" spans="1:8" ht="15" customHeight="1" x14ac:dyDescent="0.25">
      <c r="A79" s="62"/>
      <c r="B79" s="63"/>
    </row>
    <row r="80" spans="1:8" ht="15" customHeight="1" x14ac:dyDescent="0.25">
      <c r="A80" s="62"/>
      <c r="B80" s="63"/>
    </row>
    <row r="82" spans="1:8" ht="15" customHeight="1" x14ac:dyDescent="0.35">
      <c r="A82" s="481"/>
      <c r="B82" s="482"/>
      <c r="C82" s="483"/>
      <c r="D82" s="482"/>
      <c r="E82" s="482"/>
      <c r="F82" s="482"/>
      <c r="G82" s="482"/>
      <c r="H82" s="482"/>
    </row>
    <row r="83" spans="1:8" ht="15" customHeight="1" x14ac:dyDescent="0.25">
      <c r="A83" s="62"/>
      <c r="B83" s="63"/>
    </row>
    <row r="84" spans="1:8" ht="15" customHeight="1" x14ac:dyDescent="0.25">
      <c r="A84" s="62"/>
      <c r="B84" s="63"/>
    </row>
    <row r="85" spans="1:8" ht="15" customHeight="1" x14ac:dyDescent="0.25">
      <c r="A85" s="62"/>
      <c r="B85" s="63"/>
    </row>
    <row r="86" spans="1:8" ht="15" customHeight="1" x14ac:dyDescent="0.25">
      <c r="A86" s="62"/>
      <c r="B86" s="63"/>
    </row>
    <row r="87" spans="1:8" ht="15" customHeight="1" x14ac:dyDescent="0.25">
      <c r="A87" s="62"/>
      <c r="B87" s="63"/>
    </row>
    <row r="88" spans="1:8" ht="15" customHeight="1" x14ac:dyDescent="0.25">
      <c r="A88" s="62"/>
      <c r="B88" s="63"/>
    </row>
    <row r="89" spans="1:8" ht="15" customHeight="1" x14ac:dyDescent="0.25">
      <c r="A89" s="62"/>
      <c r="B89" s="63"/>
    </row>
    <row r="91" spans="1:8" ht="15" customHeight="1" x14ac:dyDescent="0.35">
      <c r="A91" s="481"/>
      <c r="B91" s="482"/>
    </row>
    <row r="92" spans="1:8" ht="15" customHeight="1" x14ac:dyDescent="0.25">
      <c r="A92" s="64"/>
      <c r="B92" s="63"/>
      <c r="C92" s="1"/>
      <c r="D92" s="1"/>
      <c r="E92" s="1"/>
      <c r="F92" s="1"/>
      <c r="G92" s="1"/>
      <c r="H92" s="1"/>
    </row>
    <row r="93" spans="1:8" ht="15" customHeight="1" x14ac:dyDescent="0.25">
      <c r="A93" s="64"/>
      <c r="B93" s="63"/>
      <c r="C93" s="1"/>
      <c r="D93" s="1"/>
      <c r="E93" s="1"/>
      <c r="F93" s="1"/>
      <c r="G93" s="1"/>
      <c r="H93" s="1"/>
    </row>
    <row r="94" spans="1:8" ht="15" customHeight="1" x14ac:dyDescent="0.25">
      <c r="A94" s="481"/>
      <c r="B94" s="1"/>
      <c r="C94" s="1"/>
      <c r="D94" s="1"/>
      <c r="E94" s="1"/>
      <c r="F94" s="1"/>
      <c r="G94" s="1"/>
      <c r="H94" s="1"/>
    </row>
    <row r="95" spans="1:8" ht="15" customHeight="1" x14ac:dyDescent="0.25">
      <c r="A95" s="481"/>
      <c r="B95" s="1"/>
      <c r="C95" s="1"/>
      <c r="D95" s="1"/>
      <c r="E95" s="1"/>
      <c r="F95" s="1"/>
      <c r="G95" s="1"/>
      <c r="H95" s="1"/>
    </row>
    <row r="96" spans="1:8" ht="15" customHeight="1" x14ac:dyDescent="0.25">
      <c r="A96" s="64"/>
      <c r="B96" s="63"/>
      <c r="C96" s="1"/>
      <c r="D96" s="1"/>
      <c r="E96" s="1"/>
      <c r="F96" s="1"/>
      <c r="G96" s="1"/>
      <c r="H96" s="1"/>
    </row>
    <row r="97" spans="1:8" ht="15" customHeight="1" x14ac:dyDescent="0.25">
      <c r="A97" s="64"/>
      <c r="B97" s="63"/>
      <c r="C97" s="1"/>
      <c r="D97" s="1"/>
      <c r="E97" s="1"/>
      <c r="F97" s="1"/>
      <c r="G97" s="1"/>
      <c r="H97" s="1"/>
    </row>
  </sheetData>
  <pageMargins left="0.23622047244094491" right="0.23622047244094491" top="0.74803149606299213" bottom="0.74803149606299213" header="0.31496062992125984" footer="0.31496062992125984"/>
  <pageSetup paperSize="9" scale="6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017D-16BC-4E23-B0D0-F4482A9C8126}">
  <sheetPr codeName="Sheet9">
    <pageSetUpPr fitToPage="1"/>
  </sheetPr>
  <dimension ref="A1:O44"/>
  <sheetViews>
    <sheetView showGridLines="0" view="pageBreakPreview" zoomScaleNormal="100" zoomScaleSheetLayoutView="100" workbookViewId="0">
      <selection activeCell="Q23" sqref="Q23"/>
    </sheetView>
  </sheetViews>
  <sheetFormatPr defaultColWidth="9.140625" defaultRowHeight="15" customHeight="1" x14ac:dyDescent="0.25"/>
  <cols>
    <col min="1" max="1" width="42.85546875" customWidth="1"/>
    <col min="2" max="2" width="10.140625" customWidth="1"/>
    <col min="3" max="3" width="13" customWidth="1"/>
    <col min="4" max="4" width="15.5703125" customWidth="1"/>
    <col min="5" max="12" width="10" customWidth="1"/>
    <col min="13" max="15" width="9.85546875" customWidth="1"/>
    <col min="16" max="16" width="2.85546875" style="1" customWidth="1"/>
    <col min="17" max="16384" width="9.140625" style="1"/>
  </cols>
  <sheetData>
    <row r="1" spans="1:15" ht="15" customHeight="1" x14ac:dyDescent="0.25">
      <c r="A1" s="97" t="s">
        <v>547</v>
      </c>
      <c r="B1" s="97"/>
      <c r="C1" s="97"/>
      <c r="D1" s="97"/>
      <c r="E1" s="97"/>
      <c r="F1" s="97"/>
      <c r="G1" s="97"/>
      <c r="H1" s="97"/>
      <c r="I1" s="97"/>
      <c r="J1" s="97"/>
      <c r="K1" s="97"/>
      <c r="L1" s="97"/>
      <c r="M1" s="97"/>
      <c r="N1" s="97"/>
      <c r="O1" s="97"/>
    </row>
    <row r="2" spans="1:15" s="38" customFormat="1" ht="39.950000000000003" customHeight="1" x14ac:dyDescent="0.25">
      <c r="A2" s="484" t="s">
        <v>358</v>
      </c>
      <c r="B2" s="113"/>
      <c r="C2" s="113"/>
      <c r="D2" s="113"/>
      <c r="E2" s="113"/>
      <c r="F2" s="113"/>
      <c r="G2" s="113"/>
      <c r="H2" s="113"/>
      <c r="I2" s="113"/>
      <c r="J2" s="113"/>
      <c r="K2" s="113"/>
      <c r="L2" s="113"/>
      <c r="M2" s="113"/>
      <c r="N2" s="113"/>
      <c r="O2" s="113"/>
    </row>
    <row r="3" spans="1:15" ht="20.100000000000001" customHeight="1" x14ac:dyDescent="0.25">
      <c r="A3" s="485" t="s">
        <v>359</v>
      </c>
      <c r="B3" s="486"/>
    </row>
    <row r="4" spans="1:15" ht="39.950000000000003" customHeight="1" x14ac:dyDescent="0.35">
      <c r="A4" s="487" t="s">
        <v>12</v>
      </c>
      <c r="B4" s="92"/>
      <c r="C4" s="92"/>
      <c r="D4" s="92"/>
      <c r="E4" s="92"/>
      <c r="F4" s="92"/>
      <c r="G4" s="92"/>
      <c r="H4" s="92"/>
      <c r="I4" s="92"/>
      <c r="J4" s="92"/>
      <c r="K4" s="92"/>
      <c r="L4" s="92"/>
      <c r="M4" s="92"/>
      <c r="N4" s="92"/>
      <c r="O4" s="92"/>
    </row>
    <row r="5" spans="1:15" x14ac:dyDescent="0.25">
      <c r="A5" s="243"/>
      <c r="B5" s="3" t="s">
        <v>69</v>
      </c>
      <c r="C5" s="4" t="s">
        <v>31</v>
      </c>
    </row>
    <row r="6" spans="1:15" x14ac:dyDescent="0.25">
      <c r="A6" s="467" t="s">
        <v>40</v>
      </c>
      <c r="B6" s="488" t="s">
        <v>70</v>
      </c>
      <c r="C6" s="489">
        <f>'EDB data (DPP)'!B19</f>
        <v>44286</v>
      </c>
    </row>
    <row r="7" spans="1:15" x14ac:dyDescent="0.25">
      <c r="A7" s="467" t="s">
        <v>37</v>
      </c>
      <c r="B7" s="488" t="s">
        <v>70</v>
      </c>
      <c r="C7" s="314">
        <f>'EDB data (DPP)'!B16</f>
        <v>365</v>
      </c>
    </row>
    <row r="8" spans="1:15" x14ac:dyDescent="0.25">
      <c r="A8" s="467" t="s">
        <v>38</v>
      </c>
      <c r="B8" s="488" t="s">
        <v>70</v>
      </c>
      <c r="C8" s="314">
        <f>'EDB data (DPP)'!B17</f>
        <v>182</v>
      </c>
    </row>
    <row r="9" spans="1:15" x14ac:dyDescent="0.25">
      <c r="A9" s="467" t="s">
        <v>39</v>
      </c>
      <c r="B9" s="488" t="s">
        <v>70</v>
      </c>
      <c r="C9" s="314">
        <f>'EDB data (DPP)'!B18</f>
        <v>148</v>
      </c>
    </row>
    <row r="10" spans="1:15" x14ac:dyDescent="0.25">
      <c r="A10" s="467" t="s">
        <v>41</v>
      </c>
      <c r="B10" s="488" t="s">
        <v>70</v>
      </c>
      <c r="C10" s="332">
        <f>'EDB data (DPP)'!B11</f>
        <v>4.5699999999999998E-2</v>
      </c>
    </row>
    <row r="11" spans="1:15" ht="39.950000000000003" customHeight="1" x14ac:dyDescent="0.35">
      <c r="A11" s="129" t="s">
        <v>71</v>
      </c>
      <c r="B11" s="490"/>
      <c r="C11" s="490"/>
      <c r="D11" s="92"/>
      <c r="E11" s="92"/>
      <c r="F11" s="92"/>
      <c r="G11" s="92"/>
      <c r="H11" s="92"/>
      <c r="I11" s="92"/>
      <c r="J11" s="92"/>
      <c r="K11" s="92"/>
      <c r="L11" s="92"/>
      <c r="M11" s="92"/>
      <c r="N11" s="92"/>
      <c r="O11" s="92"/>
    </row>
    <row r="12" spans="1:15" x14ac:dyDescent="0.25">
      <c r="A12" s="3"/>
      <c r="B12" s="3"/>
      <c r="C12" s="4" t="s">
        <v>31</v>
      </c>
      <c r="D12" s="5"/>
      <c r="E12" s="5"/>
      <c r="F12" s="5"/>
      <c r="G12" s="5"/>
      <c r="H12" s="5"/>
      <c r="I12" s="5"/>
      <c r="J12" s="5"/>
      <c r="K12" s="5"/>
    </row>
    <row r="13" spans="1:15" x14ac:dyDescent="0.25">
      <c r="A13" s="467" t="s">
        <v>72</v>
      </c>
      <c r="B13" s="467"/>
      <c r="C13" s="489">
        <f>EOMONTH(C6,-6)</f>
        <v>44104</v>
      </c>
      <c r="D13" s="471"/>
    </row>
    <row r="14" spans="1:15" x14ac:dyDescent="0.25">
      <c r="A14" s="467" t="s">
        <v>73</v>
      </c>
      <c r="B14" s="467"/>
      <c r="C14" s="489">
        <f>C6-C9</f>
        <v>44138</v>
      </c>
      <c r="D14" s="471" t="s">
        <v>74</v>
      </c>
    </row>
    <row r="15" spans="1:15" x14ac:dyDescent="0.25">
      <c r="A15" s="467" t="s">
        <v>75</v>
      </c>
      <c r="B15" s="467"/>
      <c r="C15" s="489">
        <f>C13</f>
        <v>44104</v>
      </c>
      <c r="D15" s="471" t="s">
        <v>360</v>
      </c>
    </row>
    <row r="16" spans="1:15" x14ac:dyDescent="0.25">
      <c r="A16" s="467" t="s">
        <v>76</v>
      </c>
      <c r="B16" s="467"/>
      <c r="C16" s="489">
        <f>C13</f>
        <v>44104</v>
      </c>
      <c r="D16" s="471" t="s">
        <v>360</v>
      </c>
    </row>
    <row r="17" spans="1:15" x14ac:dyDescent="0.25">
      <c r="A17" s="467" t="s">
        <v>77</v>
      </c>
      <c r="B17" s="467"/>
      <c r="C17" s="489">
        <f>C13</f>
        <v>44104</v>
      </c>
      <c r="D17" s="471" t="s">
        <v>360</v>
      </c>
    </row>
    <row r="18" spans="1:15" x14ac:dyDescent="0.25">
      <c r="A18" s="467" t="s">
        <v>78</v>
      </c>
      <c r="B18" s="467"/>
      <c r="C18" s="489">
        <f>C13</f>
        <v>44104</v>
      </c>
      <c r="D18" s="471" t="s">
        <v>360</v>
      </c>
    </row>
    <row r="19" spans="1:15" x14ac:dyDescent="0.25">
      <c r="A19" s="467" t="s">
        <v>79</v>
      </c>
      <c r="B19" s="467"/>
      <c r="C19" s="489">
        <f>C13</f>
        <v>44104</v>
      </c>
      <c r="D19" s="471" t="s">
        <v>360</v>
      </c>
    </row>
    <row r="20" spans="1:15" x14ac:dyDescent="0.25">
      <c r="A20" s="467" t="s">
        <v>80</v>
      </c>
      <c r="B20" s="467"/>
      <c r="C20" s="323">
        <f>(1+$C$10)^(C8/C7)</f>
        <v>1.0225321432719434</v>
      </c>
      <c r="D20" s="471" t="s">
        <v>81</v>
      </c>
    </row>
    <row r="21" spans="1:15" ht="18" x14ac:dyDescent="0.35">
      <c r="A21" s="467" t="s">
        <v>361</v>
      </c>
      <c r="B21" s="467"/>
      <c r="C21" s="323">
        <f>(1+$C$10)^(C9/C7)</f>
        <v>1.0182846181695255</v>
      </c>
      <c r="D21" s="471" t="s">
        <v>82</v>
      </c>
    </row>
    <row r="22" spans="1:15" ht="39.950000000000003" customHeight="1" x14ac:dyDescent="0.35">
      <c r="A22" s="129" t="s">
        <v>83</v>
      </c>
      <c r="B22" s="490"/>
      <c r="C22" s="490"/>
      <c r="D22" s="92"/>
      <c r="E22" s="92"/>
      <c r="F22" s="92"/>
      <c r="G22" s="92"/>
      <c r="H22" s="92"/>
      <c r="I22" s="92"/>
      <c r="J22" s="92"/>
      <c r="K22" s="92"/>
      <c r="L22" s="92"/>
      <c r="M22" s="92"/>
      <c r="N22" s="92"/>
      <c r="O22" s="92"/>
    </row>
    <row r="23" spans="1:15" x14ac:dyDescent="0.25">
      <c r="A23" s="6"/>
      <c r="B23" s="6"/>
      <c r="C23" s="4" t="s">
        <v>31</v>
      </c>
    </row>
    <row r="24" spans="1:15" ht="18" x14ac:dyDescent="0.35">
      <c r="A24" s="467" t="s">
        <v>362</v>
      </c>
      <c r="B24" s="467"/>
      <c r="C24" s="323">
        <f>$C$20</f>
        <v>1.0225321432719434</v>
      </c>
      <c r="D24" s="491"/>
    </row>
    <row r="25" spans="1:15" ht="18" x14ac:dyDescent="0.35">
      <c r="A25" s="467" t="s">
        <v>363</v>
      </c>
      <c r="B25" s="467"/>
      <c r="C25" s="323">
        <f>$C$20</f>
        <v>1.0225321432719434</v>
      </c>
      <c r="D25" s="491"/>
    </row>
    <row r="26" spans="1:15" ht="18" x14ac:dyDescent="0.35">
      <c r="A26" s="467" t="s">
        <v>364</v>
      </c>
      <c r="B26" s="467"/>
      <c r="C26" s="323">
        <f>$C$20</f>
        <v>1.0225321432719434</v>
      </c>
      <c r="D26" s="491"/>
    </row>
    <row r="27" spans="1:15" ht="18" x14ac:dyDescent="0.35">
      <c r="A27" s="467" t="s">
        <v>361</v>
      </c>
      <c r="B27" s="467"/>
      <c r="C27" s="323">
        <f>$C$21</f>
        <v>1.0182846181695255</v>
      </c>
      <c r="D27" s="492"/>
    </row>
    <row r="28" spans="1:15" ht="39.950000000000003" customHeight="1" x14ac:dyDescent="0.25">
      <c r="A28" s="467" t="s">
        <v>85</v>
      </c>
      <c r="B28" s="467"/>
      <c r="C28" s="493"/>
      <c r="D28" s="494"/>
      <c r="F28" s="7"/>
    </row>
    <row r="29" spans="1:15" x14ac:dyDescent="0.25">
      <c r="A29" s="495" t="s">
        <v>86</v>
      </c>
      <c r="B29" s="496"/>
      <c r="C29" s="496"/>
      <c r="D29" s="497"/>
      <c r="E29" s="497"/>
      <c r="F29" s="497"/>
      <c r="G29" s="497"/>
      <c r="H29" s="497"/>
      <c r="I29" s="497"/>
      <c r="J29" s="497"/>
      <c r="K29" s="497"/>
      <c r="L29" s="497"/>
      <c r="M29" s="497"/>
      <c r="N29" s="497"/>
      <c r="O29" s="497"/>
    </row>
    <row r="30" spans="1:15" ht="15.75" x14ac:dyDescent="0.25">
      <c r="A30" s="471" t="s">
        <v>87</v>
      </c>
      <c r="B30" s="498"/>
      <c r="C30" s="497"/>
      <c r="D30" s="497"/>
      <c r="E30" s="497"/>
      <c r="F30" s="497"/>
      <c r="G30" s="497"/>
      <c r="H30" s="497"/>
      <c r="I30" s="497"/>
      <c r="J30" s="497"/>
      <c r="K30" s="497"/>
      <c r="L30" s="497"/>
      <c r="M30" s="497"/>
      <c r="N30" s="497"/>
      <c r="O30" s="497"/>
    </row>
    <row r="31" spans="1:15" ht="39.950000000000003" customHeight="1" x14ac:dyDescent="0.3">
      <c r="A31" s="499" t="s">
        <v>88</v>
      </c>
      <c r="B31" s="500"/>
      <c r="C31" s="505"/>
      <c r="D31" s="505"/>
      <c r="E31" s="501"/>
      <c r="F31" s="501"/>
      <c r="G31" s="501"/>
      <c r="H31" s="501"/>
      <c r="I31" s="501"/>
      <c r="J31" s="501"/>
      <c r="K31" s="501"/>
      <c r="L31" s="501"/>
      <c r="M31" s="501"/>
      <c r="N31" s="501"/>
      <c r="O31" s="501"/>
    </row>
    <row r="32" spans="1:15" x14ac:dyDescent="0.25">
      <c r="A32" s="502" t="s">
        <v>89</v>
      </c>
      <c r="B32" s="503"/>
      <c r="C32" s="504">
        <f>EDATE(C6,-12)</f>
        <v>43921</v>
      </c>
      <c r="D32" s="508">
        <f>EOMONTH(C32,1)+20</f>
        <v>43971</v>
      </c>
      <c r="E32" s="507">
        <f t="shared" ref="E32:O32" si="0">EDATE(D32,1)</f>
        <v>44002</v>
      </c>
      <c r="F32" s="504">
        <f t="shared" si="0"/>
        <v>44032</v>
      </c>
      <c r="G32" s="504">
        <f t="shared" si="0"/>
        <v>44063</v>
      </c>
      <c r="H32" s="504">
        <f t="shared" si="0"/>
        <v>44094</v>
      </c>
      <c r="I32" s="504">
        <f t="shared" si="0"/>
        <v>44124</v>
      </c>
      <c r="J32" s="504">
        <f t="shared" si="0"/>
        <v>44155</v>
      </c>
      <c r="K32" s="504">
        <f t="shared" si="0"/>
        <v>44185</v>
      </c>
      <c r="L32" s="504">
        <f t="shared" si="0"/>
        <v>44216</v>
      </c>
      <c r="M32" s="504">
        <f t="shared" si="0"/>
        <v>44247</v>
      </c>
      <c r="N32" s="504">
        <f t="shared" si="0"/>
        <v>44275</v>
      </c>
      <c r="O32" s="504">
        <f t="shared" si="0"/>
        <v>44306</v>
      </c>
    </row>
    <row r="33" spans="1:15" x14ac:dyDescent="0.25">
      <c r="A33" s="467" t="s">
        <v>90</v>
      </c>
      <c r="B33" s="502"/>
      <c r="C33" s="325">
        <v>0</v>
      </c>
      <c r="D33" s="325">
        <v>1</v>
      </c>
      <c r="E33" s="325">
        <v>1</v>
      </c>
      <c r="F33" s="325">
        <v>1</v>
      </c>
      <c r="G33" s="325">
        <v>1</v>
      </c>
      <c r="H33" s="325">
        <v>1</v>
      </c>
      <c r="I33" s="325">
        <v>1</v>
      </c>
      <c r="J33" s="325">
        <v>1</v>
      </c>
      <c r="K33" s="325">
        <v>1</v>
      </c>
      <c r="L33" s="325">
        <v>1</v>
      </c>
      <c r="M33" s="325">
        <v>1</v>
      </c>
      <c r="N33" s="325">
        <v>1</v>
      </c>
      <c r="O33" s="325">
        <v>1</v>
      </c>
    </row>
    <row r="34" spans="1:15" x14ac:dyDescent="0.25">
      <c r="A34" s="496"/>
      <c r="B34" s="467"/>
      <c r="C34" s="496"/>
      <c r="D34" s="496"/>
      <c r="E34" s="496"/>
      <c r="F34" s="496"/>
      <c r="G34" s="496"/>
      <c r="H34" s="496"/>
      <c r="I34" s="496"/>
      <c r="J34" s="496"/>
      <c r="K34" s="496"/>
      <c r="L34" s="496"/>
      <c r="M34" s="496"/>
      <c r="N34" s="496"/>
      <c r="O34" s="496"/>
    </row>
    <row r="35" spans="1:15" ht="18.75" x14ac:dyDescent="0.3">
      <c r="A35" s="499" t="s">
        <v>91</v>
      </c>
      <c r="B35" s="509"/>
      <c r="C35" s="505"/>
      <c r="D35" s="501"/>
      <c r="E35" s="505"/>
      <c r="F35" s="505"/>
      <c r="G35" s="505"/>
      <c r="H35" s="505"/>
      <c r="I35" s="505"/>
      <c r="J35" s="505"/>
      <c r="K35" s="505"/>
      <c r="L35" s="505"/>
      <c r="M35" s="505"/>
      <c r="N35" s="505"/>
      <c r="O35" s="505"/>
    </row>
    <row r="36" spans="1:15" x14ac:dyDescent="0.25">
      <c r="A36" s="502" t="s">
        <v>89</v>
      </c>
      <c r="B36" s="503"/>
      <c r="C36" s="510">
        <f>C32</f>
        <v>43921</v>
      </c>
      <c r="D36" s="511">
        <f>C14</f>
        <v>44138</v>
      </c>
      <c r="E36" s="497"/>
      <c r="F36" s="497"/>
      <c r="G36" s="497"/>
      <c r="H36" s="497"/>
      <c r="I36" s="497"/>
      <c r="J36" s="497"/>
      <c r="K36" s="497"/>
      <c r="L36" s="497"/>
      <c r="M36" s="497"/>
      <c r="N36" s="497"/>
      <c r="O36" s="497"/>
    </row>
    <row r="37" spans="1:15" x14ac:dyDescent="0.25">
      <c r="A37" s="467" t="s">
        <v>90</v>
      </c>
      <c r="B37" s="502"/>
      <c r="C37" s="325">
        <v>0</v>
      </c>
      <c r="D37" s="325">
        <v>12</v>
      </c>
      <c r="E37" s="497"/>
      <c r="F37" s="497"/>
      <c r="G37" s="497"/>
      <c r="H37" s="497"/>
      <c r="I37" s="497"/>
      <c r="J37" s="497"/>
      <c r="K37" s="497"/>
      <c r="L37" s="497"/>
      <c r="M37" s="497"/>
      <c r="N37" s="497"/>
      <c r="O37" s="497"/>
    </row>
    <row r="38" spans="1:15" x14ac:dyDescent="0.25">
      <c r="A38" s="496"/>
      <c r="B38" s="467"/>
      <c r="C38" s="512"/>
      <c r="D38" s="496"/>
      <c r="E38" s="497"/>
      <c r="F38" s="497"/>
      <c r="G38" s="497"/>
      <c r="H38" s="497"/>
      <c r="I38" s="497"/>
      <c r="J38" s="497"/>
      <c r="K38" s="497"/>
      <c r="L38" s="497"/>
      <c r="M38" s="497"/>
      <c r="N38" s="497"/>
      <c r="O38" s="497"/>
    </row>
    <row r="39" spans="1:15" ht="18.75" x14ac:dyDescent="0.3">
      <c r="A39" s="499" t="s">
        <v>92</v>
      </c>
      <c r="B39" s="509"/>
      <c r="C39" s="339" t="s">
        <v>31</v>
      </c>
      <c r="D39" s="505"/>
      <c r="E39" s="505"/>
      <c r="F39" s="505"/>
      <c r="G39" s="505"/>
      <c r="H39" s="505"/>
      <c r="I39" s="505"/>
      <c r="J39" s="505"/>
      <c r="K39" s="505"/>
      <c r="L39" s="505"/>
      <c r="M39" s="505"/>
      <c r="N39" s="505"/>
      <c r="O39" s="505"/>
    </row>
    <row r="40" spans="1:15" x14ac:dyDescent="0.25">
      <c r="A40" s="467" t="str">
        <f>"PV as at "&amp;TEXT(EOMONTH(C6,-12),"dd mmm yy")&amp;" of the series of unit amounts"</f>
        <v>PV as at 31 Mar 20 of the series of unit amounts</v>
      </c>
      <c r="B40" s="503"/>
      <c r="C40" s="323">
        <f>XNPV(C10,C33:O33,C32:O32)</f>
        <v>11.68469323458495</v>
      </c>
      <c r="D40" s="497"/>
      <c r="E40" s="497"/>
      <c r="F40" s="497"/>
      <c r="G40" s="497"/>
      <c r="H40" s="497"/>
      <c r="I40" s="497"/>
      <c r="J40" s="497"/>
      <c r="K40" s="497"/>
      <c r="L40" s="497"/>
      <c r="M40" s="497"/>
      <c r="N40" s="497"/>
      <c r="O40" s="497"/>
    </row>
    <row r="41" spans="1:15" x14ac:dyDescent="0.25">
      <c r="A41" s="467" t="s">
        <v>93</v>
      </c>
      <c r="B41" s="467"/>
      <c r="C41" s="323">
        <f>XNPV(C10,C37:D37,C36:D36)</f>
        <v>11.685392959772692</v>
      </c>
      <c r="D41" s="497"/>
      <c r="E41" s="497"/>
      <c r="F41" s="497"/>
      <c r="G41" s="497"/>
      <c r="H41" s="497"/>
      <c r="I41" s="497"/>
      <c r="J41" s="497"/>
      <c r="K41" s="497"/>
      <c r="L41" s="497"/>
      <c r="M41" s="497"/>
      <c r="N41" s="497"/>
      <c r="O41" s="497"/>
    </row>
    <row r="42" spans="1:15" x14ac:dyDescent="0.25">
      <c r="A42" s="467" t="str">
        <f>"Difference in PV for a date of " &amp; TEXT(D36,"d mmm")</f>
        <v>Difference in PV for a date of 3 Nov</v>
      </c>
      <c r="B42" s="467"/>
      <c r="C42" s="323">
        <f>C40-C41</f>
        <v>-6.9972518774186199E-4</v>
      </c>
      <c r="D42" s="497"/>
      <c r="E42" s="497"/>
      <c r="F42" s="497"/>
      <c r="G42" s="497"/>
      <c r="H42" s="497"/>
      <c r="I42" s="497"/>
      <c r="J42" s="497"/>
      <c r="K42" s="497"/>
      <c r="L42" s="497"/>
      <c r="M42" s="497"/>
      <c r="N42" s="497"/>
      <c r="O42" s="497"/>
    </row>
    <row r="43" spans="1:15" x14ac:dyDescent="0.25">
      <c r="A43" s="467" t="s">
        <v>94</v>
      </c>
      <c r="B43" s="467"/>
      <c r="C43" s="35">
        <f>C42/C40</f>
        <v>-5.9883915965442697E-5</v>
      </c>
      <c r="D43" s="497"/>
      <c r="E43" s="497"/>
      <c r="F43" s="497"/>
      <c r="G43" s="497"/>
      <c r="H43" s="497"/>
      <c r="I43" s="497"/>
      <c r="J43" s="497"/>
      <c r="K43" s="497"/>
      <c r="L43" s="497"/>
      <c r="M43" s="497"/>
      <c r="N43" s="497"/>
      <c r="O43" s="497"/>
    </row>
    <row r="44" spans="1:15" ht="15" customHeight="1" x14ac:dyDescent="0.25">
      <c r="A44" s="467"/>
      <c r="B44" s="467"/>
      <c r="C44" s="513"/>
      <c r="D44" s="497"/>
      <c r="E44" s="497"/>
      <c r="F44" s="497"/>
      <c r="G44" s="497"/>
      <c r="H44" s="497"/>
      <c r="I44" s="497"/>
      <c r="J44" s="497"/>
      <c r="K44" s="497"/>
      <c r="L44" s="497"/>
      <c r="M44" s="497"/>
      <c r="N44" s="497"/>
      <c r="O44" s="497"/>
    </row>
  </sheetData>
  <pageMargins left="0.23622047244094491" right="0.23622047244094491" top="0.74803149606299213" bottom="0.74803149606299213" header="0.31496062992125984" footer="0.31496062992125984"/>
  <pageSetup paperSize="9" scale="5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7F221-D35B-473F-AAA9-F3AAAE7BD2E2}">
  <sheetPr codeName="Sheet10">
    <pageSetUpPr fitToPage="1"/>
  </sheetPr>
  <dimension ref="A1:M113"/>
  <sheetViews>
    <sheetView showGridLines="0" view="pageBreakPreview" zoomScaleNormal="100" zoomScaleSheetLayoutView="100" workbookViewId="0">
      <selection activeCell="Q23" sqref="Q23"/>
    </sheetView>
  </sheetViews>
  <sheetFormatPr defaultColWidth="9.140625" defaultRowHeight="15" customHeight="1" x14ac:dyDescent="0.25"/>
  <cols>
    <col min="1" max="1" width="50.5703125" customWidth="1"/>
    <col min="2" max="2" width="37.140625" customWidth="1"/>
    <col min="3" max="3" width="12" customWidth="1"/>
    <col min="4" max="10" width="11.85546875" customWidth="1"/>
    <col min="11" max="11" width="2.85546875" customWidth="1"/>
    <col min="12" max="12" width="55.140625" bestFit="1" customWidth="1"/>
    <col min="13" max="13" width="3.85546875" style="1" customWidth="1"/>
  </cols>
  <sheetData>
    <row r="1" spans="1:13" s="97" customFormat="1" ht="15" customHeight="1" x14ac:dyDescent="0.25">
      <c r="A1" s="97" t="s">
        <v>547</v>
      </c>
      <c r="M1" s="1"/>
    </row>
    <row r="2" spans="1:13" s="92" customFormat="1" ht="39.950000000000003" customHeight="1" x14ac:dyDescent="0.35">
      <c r="A2" s="514" t="s">
        <v>365</v>
      </c>
      <c r="C2" s="515"/>
      <c r="J2" s="516" t="str">
        <f>EDB_Name</f>
        <v>Vector Lines</v>
      </c>
      <c r="M2" s="1"/>
    </row>
    <row r="3" spans="1:13" ht="20.100000000000001" customHeight="1" x14ac:dyDescent="0.25">
      <c r="A3" s="517" t="s">
        <v>95</v>
      </c>
      <c r="B3" s="486"/>
    </row>
    <row r="4" spans="1:13" ht="13.35" customHeight="1" x14ac:dyDescent="0.25">
      <c r="C4" s="518"/>
      <c r="D4" s="253"/>
      <c r="E4" s="253"/>
    </row>
    <row r="5" spans="1:13" s="92" customFormat="1" ht="23.25" x14ac:dyDescent="0.35">
      <c r="A5" s="519" t="s">
        <v>12</v>
      </c>
      <c r="B5" s="121"/>
      <c r="C5" s="122"/>
      <c r="D5" s="123"/>
      <c r="E5" s="123"/>
      <c r="F5" s="123"/>
      <c r="G5" s="123"/>
      <c r="H5" s="123"/>
      <c r="I5" s="123"/>
      <c r="J5" s="123"/>
      <c r="M5" s="1"/>
    </row>
    <row r="6" spans="1:13" s="1" customFormat="1" x14ac:dyDescent="0.25">
      <c r="A6" s="16"/>
      <c r="B6" s="520" t="s">
        <v>122</v>
      </c>
      <c r="C6" s="521" t="s">
        <v>31</v>
      </c>
      <c r="D6" s="522" t="s">
        <v>424</v>
      </c>
      <c r="E6" s="522" t="s">
        <v>425</v>
      </c>
      <c r="F6" s="522" t="s">
        <v>426</v>
      </c>
      <c r="G6" s="522" t="s">
        <v>427</v>
      </c>
      <c r="H6" s="522" t="s">
        <v>428</v>
      </c>
      <c r="I6" s="522" t="s">
        <v>319</v>
      </c>
      <c r="J6" s="522" t="s">
        <v>320</v>
      </c>
    </row>
    <row r="7" spans="1:13" x14ac:dyDescent="0.25">
      <c r="A7" s="16" t="s">
        <v>46</v>
      </c>
      <c r="B7" s="16" t="s">
        <v>70</v>
      </c>
      <c r="C7" s="42">
        <f>'EDB data (DPP)'!B29</f>
        <v>2951716</v>
      </c>
    </row>
    <row r="8" spans="1:13" x14ac:dyDescent="0.25">
      <c r="A8" s="16" t="s">
        <v>47</v>
      </c>
      <c r="B8" s="16" t="s">
        <v>70</v>
      </c>
      <c r="C8" s="42">
        <f>'EDB data (DPP)'!B30</f>
        <v>108729</v>
      </c>
      <c r="D8" s="243"/>
      <c r="E8" s="243"/>
      <c r="F8" s="243"/>
      <c r="G8" s="243"/>
      <c r="H8" s="243"/>
      <c r="I8" s="243"/>
      <c r="J8" s="243"/>
    </row>
    <row r="9" spans="1:13" x14ac:dyDescent="0.25">
      <c r="A9" s="16" t="s">
        <v>48</v>
      </c>
      <c r="B9" s="16" t="s">
        <v>70</v>
      </c>
      <c r="C9" s="42">
        <f>'EDB data (DPP)'!B31</f>
        <v>3075471</v>
      </c>
      <c r="D9" s="53"/>
      <c r="E9" s="42"/>
      <c r="F9" s="42"/>
      <c r="G9" s="42"/>
      <c r="H9" s="42"/>
      <c r="I9" s="42"/>
      <c r="J9" s="42"/>
    </row>
    <row r="10" spans="1:13" x14ac:dyDescent="0.25">
      <c r="A10" s="16" t="s">
        <v>60</v>
      </c>
      <c r="B10" s="16" t="s">
        <v>70</v>
      </c>
      <c r="C10" s="42"/>
      <c r="D10" s="54" cm="1">
        <f t="array" ref="D10:J10">TRANSPOSE('EDB data (DPP)'!B59:B65)</f>
        <v>7412</v>
      </c>
      <c r="E10" s="51">
        <v>10769.994983532757</v>
      </c>
      <c r="F10" s="42">
        <v>10974.62488821988</v>
      </c>
      <c r="G10" s="42">
        <v>11194.117385984278</v>
      </c>
      <c r="H10" s="42">
        <v>11417.999733703964</v>
      </c>
      <c r="I10" s="42">
        <v>11646.359728378044</v>
      </c>
      <c r="J10" s="42">
        <v>11879.286922945606</v>
      </c>
    </row>
    <row r="11" spans="1:13" x14ac:dyDescent="0.25">
      <c r="A11" s="16" t="s">
        <v>57</v>
      </c>
      <c r="B11" s="16" t="s">
        <v>70</v>
      </c>
      <c r="C11" s="42"/>
      <c r="D11" s="52" cm="1">
        <f t="array" ref="D11:J11">TRANSPOSE('EDB data (DPP)'!B50:B56)</f>
        <v>203460</v>
      </c>
      <c r="E11" s="51">
        <v>240761</v>
      </c>
      <c r="F11" s="42">
        <v>211119.9718515854</v>
      </c>
      <c r="G11" s="42">
        <v>209600.00629559506</v>
      </c>
      <c r="H11" s="42">
        <v>213423.98232804175</v>
      </c>
      <c r="I11" s="42">
        <v>209518.18392710513</v>
      </c>
      <c r="J11" s="42">
        <v>197131.64960191568</v>
      </c>
    </row>
    <row r="12" spans="1:13" x14ac:dyDescent="0.25">
      <c r="A12" s="16" t="s">
        <v>96</v>
      </c>
      <c r="B12" s="16" t="s">
        <v>70</v>
      </c>
      <c r="C12" s="42">
        <f>'EDB data (DPP)'!B14</f>
        <v>44</v>
      </c>
      <c r="D12" s="56"/>
      <c r="E12" s="42"/>
      <c r="F12" s="42"/>
      <c r="G12" s="42"/>
      <c r="H12" s="42"/>
      <c r="I12" s="42"/>
      <c r="J12" s="42"/>
    </row>
    <row r="13" spans="1:13" x14ac:dyDescent="0.25">
      <c r="A13" s="16" t="s">
        <v>366</v>
      </c>
      <c r="B13" s="16" t="s">
        <v>70</v>
      </c>
      <c r="C13" s="42">
        <f>'EDB data (DPP)'!B37</f>
        <v>3983.6873940243322</v>
      </c>
      <c r="D13" s="56"/>
      <c r="E13" s="42"/>
      <c r="F13" s="42"/>
      <c r="G13" s="42"/>
      <c r="H13" s="42"/>
      <c r="I13" s="42"/>
      <c r="J13" s="42"/>
    </row>
    <row r="14" spans="1:13" x14ac:dyDescent="0.25">
      <c r="A14" s="16" t="s">
        <v>34</v>
      </c>
      <c r="B14" s="16" t="s">
        <v>70</v>
      </c>
      <c r="C14" s="42"/>
      <c r="D14" s="523">
        <f>'EDB data (DPP)'!B24</f>
        <v>1.4836795252225476E-2</v>
      </c>
      <c r="E14" s="152">
        <f>'EDB data (DPP)'!C24</f>
        <v>1.6999999999999904E-2</v>
      </c>
      <c r="F14" s="152">
        <f>'EDB data (DPP)'!D24</f>
        <v>1.8999999999999906E-2</v>
      </c>
      <c r="G14" s="152">
        <f>'EDB data (DPP)'!E24</f>
        <v>2.0000000000000018E-2</v>
      </c>
      <c r="H14" s="152">
        <f>'EDB data (DPP)'!F24</f>
        <v>2.0000000000000018E-2</v>
      </c>
      <c r="I14" s="152">
        <f>'EDB data (DPP)'!G24</f>
        <v>2.0000000000000018E-2</v>
      </c>
      <c r="J14" s="152">
        <f>'EDB data (DPP)'!H24</f>
        <v>2.0000000000000018E-2</v>
      </c>
    </row>
    <row r="15" spans="1:13" x14ac:dyDescent="0.25">
      <c r="A15" s="16" t="s">
        <v>352</v>
      </c>
      <c r="B15" s="16" t="s">
        <v>70</v>
      </c>
      <c r="C15" s="42">
        <f>'EDB data (DPP)'!B39</f>
        <v>1</v>
      </c>
      <c r="D15" s="56"/>
      <c r="E15" s="42"/>
      <c r="F15" s="42"/>
      <c r="G15" s="42"/>
      <c r="H15" s="42"/>
      <c r="I15" s="42"/>
      <c r="J15" s="42"/>
    </row>
    <row r="16" spans="1:13" x14ac:dyDescent="0.25">
      <c r="A16" s="17"/>
      <c r="B16" s="17"/>
      <c r="C16" s="41"/>
      <c r="D16" s="53"/>
      <c r="E16" s="41"/>
      <c r="F16" s="41"/>
      <c r="G16" s="41"/>
      <c r="H16" s="41"/>
      <c r="I16" s="41"/>
      <c r="J16" s="41"/>
    </row>
    <row r="17" spans="1:13" s="92" customFormat="1" ht="36.75" customHeight="1" x14ac:dyDescent="0.35">
      <c r="A17" s="487" t="s">
        <v>71</v>
      </c>
      <c r="B17" s="524"/>
      <c r="C17" s="525"/>
      <c r="D17" s="124"/>
      <c r="E17" s="124"/>
      <c r="F17" s="125"/>
      <c r="G17" s="524"/>
      <c r="H17" s="524"/>
      <c r="I17" s="524"/>
      <c r="J17" s="524"/>
      <c r="M17" s="1"/>
    </row>
    <row r="18" spans="1:13" s="1" customFormat="1" ht="21" x14ac:dyDescent="0.35">
      <c r="A18" s="475" t="s">
        <v>97</v>
      </c>
      <c r="B18" s="476"/>
      <c r="C18" s="477"/>
      <c r="D18" s="476"/>
      <c r="E18" s="476"/>
      <c r="F18" s="476"/>
      <c r="G18" s="476"/>
      <c r="H18" s="476"/>
      <c r="I18" s="476"/>
      <c r="J18" s="476"/>
      <c r="K18" s="95"/>
      <c r="L18" s="95"/>
      <c r="M18" s="526"/>
    </row>
    <row r="19" spans="1:13" s="1" customFormat="1" ht="26.25" x14ac:dyDescent="0.25">
      <c r="A19" s="527"/>
      <c r="B19" s="528"/>
      <c r="C19" s="529"/>
      <c r="D19" s="149" t="s">
        <v>367</v>
      </c>
      <c r="E19" s="149" t="s">
        <v>368</v>
      </c>
      <c r="F19" s="149" t="s">
        <v>369</v>
      </c>
      <c r="G19" s="148"/>
      <c r="H19" s="148"/>
      <c r="I19" s="148"/>
      <c r="J19" s="148"/>
      <c r="L19" s="530"/>
    </row>
    <row r="20" spans="1:13" s="1" customFormat="1" x14ac:dyDescent="0.25">
      <c r="A20" s="16"/>
      <c r="B20" s="16"/>
      <c r="C20" s="16"/>
      <c r="D20" s="531" t="s">
        <v>424</v>
      </c>
      <c r="E20" s="533" t="s">
        <v>425</v>
      </c>
      <c r="F20" s="533" t="s">
        <v>426</v>
      </c>
      <c r="G20" s="531" t="s">
        <v>427</v>
      </c>
      <c r="H20" s="531" t="s">
        <v>428</v>
      </c>
      <c r="I20" s="531" t="s">
        <v>319</v>
      </c>
      <c r="J20" s="531" t="s">
        <v>320</v>
      </c>
      <c r="L20" s="530" t="s">
        <v>370</v>
      </c>
    </row>
    <row r="21" spans="1:13" x14ac:dyDescent="0.25">
      <c r="A21" s="16" t="s">
        <v>98</v>
      </c>
      <c r="B21" s="16"/>
      <c r="C21" s="16"/>
      <c r="D21" s="73"/>
      <c r="E21" s="532">
        <f>100%*C7/C8-1</f>
        <v>26.147458359775221</v>
      </c>
      <c r="F21" s="535">
        <f>C15*C7/C8-2</f>
        <v>25.147458359775221</v>
      </c>
      <c r="G21" s="51">
        <f>F21-1</f>
        <v>24.147458359775221</v>
      </c>
      <c r="H21" s="42">
        <f>G21-1</f>
        <v>23.147458359775221</v>
      </c>
      <c r="I21" s="42">
        <f>H21-1</f>
        <v>22.147458359775221</v>
      </c>
      <c r="J21" s="42">
        <f>I21-1</f>
        <v>21.147458359775221</v>
      </c>
      <c r="L21" t="s">
        <v>371</v>
      </c>
    </row>
    <row r="22" spans="1:13" x14ac:dyDescent="0.25">
      <c r="A22" s="16" t="s">
        <v>99</v>
      </c>
      <c r="B22" s="16"/>
      <c r="C22" s="16"/>
      <c r="D22" s="56"/>
      <c r="E22" s="42">
        <f t="shared" ref="E22:J22" si="0">D26</f>
        <v>3075471</v>
      </c>
      <c r="F22" s="42">
        <f t="shared" si="0"/>
        <v>2999128.3733816077</v>
      </c>
      <c r="G22" s="42">
        <f t="shared" si="0"/>
        <v>2925609.996665759</v>
      </c>
      <c r="H22" s="42">
        <f t="shared" si="0"/>
        <v>2851489.6626495034</v>
      </c>
      <c r="I22" s="42">
        <f t="shared" si="0"/>
        <v>2773628.0420919964</v>
      </c>
      <c r="J22" s="42">
        <f t="shared" si="0"/>
        <v>2691931.2455546292</v>
      </c>
      <c r="L22" t="s">
        <v>372</v>
      </c>
    </row>
    <row r="23" spans="1:13" x14ac:dyDescent="0.25">
      <c r="A23" s="16" t="s">
        <v>60</v>
      </c>
      <c r="B23" s="16"/>
      <c r="C23" s="16"/>
      <c r="D23" s="56"/>
      <c r="E23" s="42">
        <f t="shared" ref="E23:J23" si="1">E10</f>
        <v>10769.994983532757</v>
      </c>
      <c r="F23" s="42">
        <f t="shared" si="1"/>
        <v>10974.62488821988</v>
      </c>
      <c r="G23" s="42">
        <f t="shared" si="1"/>
        <v>11194.117385984278</v>
      </c>
      <c r="H23" s="42">
        <f t="shared" si="1"/>
        <v>11417.999733703964</v>
      </c>
      <c r="I23" s="42">
        <f t="shared" si="1"/>
        <v>11646.359728378044</v>
      </c>
      <c r="J23" s="42">
        <f t="shared" si="1"/>
        <v>11879.286922945606</v>
      </c>
      <c r="L23" t="s">
        <v>373</v>
      </c>
    </row>
    <row r="24" spans="1:13" x14ac:dyDescent="0.25">
      <c r="A24" s="16" t="s">
        <v>100</v>
      </c>
      <c r="B24" s="16"/>
      <c r="C24" s="16"/>
      <c r="D24" s="56"/>
      <c r="E24" s="42">
        <f t="shared" ref="E24:J24" si="2">(E22*0.999-E23)*E14</f>
        <v>52047.634078279647</v>
      </c>
      <c r="F24" s="42">
        <f t="shared" si="2"/>
        <v>56717.937782279834</v>
      </c>
      <c r="G24" s="42">
        <f t="shared" si="2"/>
        <v>58229.805385662228</v>
      </c>
      <c r="H24" s="42">
        <f t="shared" si="2"/>
        <v>56744.403465063042</v>
      </c>
      <c r="I24" s="42">
        <f t="shared" si="2"/>
        <v>55184.161086430569</v>
      </c>
      <c r="J24" s="42">
        <f t="shared" si="2"/>
        <v>53547.200547722627</v>
      </c>
      <c r="L24" t="s">
        <v>374</v>
      </c>
    </row>
    <row r="25" spans="1:13" x14ac:dyDescent="0.25">
      <c r="A25" s="16" t="s">
        <v>101</v>
      </c>
      <c r="B25" s="16"/>
      <c r="C25" s="16"/>
      <c r="D25" s="53"/>
      <c r="E25" s="42">
        <f t="shared" ref="E25:J25" si="3">E22/E21</f>
        <v>117620.26571313903</v>
      </c>
      <c r="F25" s="42">
        <f t="shared" si="3"/>
        <v>119261.68960990837</v>
      </c>
      <c r="G25" s="42">
        <f t="shared" si="3"/>
        <v>121156.02201593328</v>
      </c>
      <c r="H25" s="42">
        <f t="shared" si="3"/>
        <v>123188.02428886596</v>
      </c>
      <c r="I25" s="42">
        <f t="shared" si="3"/>
        <v>125234.59789541947</v>
      </c>
      <c r="J25" s="42">
        <f t="shared" si="3"/>
        <v>127293.37018934517</v>
      </c>
      <c r="L25" t="s">
        <v>375</v>
      </c>
    </row>
    <row r="26" spans="1:13" x14ac:dyDescent="0.25">
      <c r="A26" s="16" t="s">
        <v>102</v>
      </c>
      <c r="B26" s="16"/>
      <c r="C26" s="16"/>
      <c r="D26" s="52">
        <f>C9</f>
        <v>3075471</v>
      </c>
      <c r="E26" s="51">
        <f>E22-E25+E24-E23</f>
        <v>2999128.3733816077</v>
      </c>
      <c r="F26" s="42">
        <f>F22-F25+F24-F23</f>
        <v>2925609.996665759</v>
      </c>
      <c r="G26" s="42">
        <f t="shared" ref="G26:J26" si="4">G22-G25+G24-G23</f>
        <v>2851489.6626495034</v>
      </c>
      <c r="H26" s="42">
        <f t="shared" si="4"/>
        <v>2773628.0420919964</v>
      </c>
      <c r="I26" s="42">
        <f t="shared" si="4"/>
        <v>2691931.2455546292</v>
      </c>
      <c r="J26" s="42">
        <f t="shared" si="4"/>
        <v>2606305.7889900613</v>
      </c>
      <c r="L26" t="s">
        <v>376</v>
      </c>
    </row>
    <row r="27" spans="1:13" x14ac:dyDescent="0.25">
      <c r="A27" s="17"/>
      <c r="B27" s="17"/>
      <c r="C27" s="17"/>
      <c r="D27" s="53"/>
      <c r="E27" s="41"/>
      <c r="F27" s="41"/>
      <c r="G27" s="41"/>
      <c r="H27" s="41"/>
      <c r="I27" s="41"/>
      <c r="J27" s="41"/>
    </row>
    <row r="28" spans="1:13" x14ac:dyDescent="0.25">
      <c r="C28" s="518"/>
      <c r="D28" s="1"/>
      <c r="E28" s="1"/>
      <c r="F28" s="1"/>
      <c r="G28" s="1"/>
      <c r="H28" s="1"/>
      <c r="I28" s="1"/>
      <c r="J28" s="1"/>
    </row>
    <row r="29" spans="1:13" s="1" customFormat="1" ht="21" x14ac:dyDescent="0.35">
      <c r="A29" s="134" t="s">
        <v>103</v>
      </c>
      <c r="B29" s="536"/>
      <c r="C29" s="537"/>
      <c r="D29" s="476"/>
      <c r="E29" s="536"/>
      <c r="F29" s="536"/>
      <c r="G29" s="536"/>
      <c r="H29" s="536"/>
      <c r="I29" s="536"/>
      <c r="J29" s="536"/>
      <c r="K29" s="95"/>
      <c r="L29" s="95"/>
      <c r="M29" s="526"/>
    </row>
    <row r="30" spans="1:13" x14ac:dyDescent="0.25">
      <c r="A30" s="16" t="s">
        <v>32</v>
      </c>
      <c r="B30" s="16"/>
      <c r="C30" s="16"/>
      <c r="D30" s="534">
        <v>1</v>
      </c>
      <c r="E30" s="51">
        <f t="shared" ref="E30:J30" si="5">D30+1</f>
        <v>2</v>
      </c>
      <c r="F30" s="42">
        <f t="shared" si="5"/>
        <v>3</v>
      </c>
      <c r="G30" s="42">
        <f t="shared" si="5"/>
        <v>4</v>
      </c>
      <c r="H30" s="42">
        <f t="shared" si="5"/>
        <v>5</v>
      </c>
      <c r="I30" s="42">
        <f t="shared" si="5"/>
        <v>6</v>
      </c>
      <c r="J30" s="42">
        <f t="shared" si="5"/>
        <v>7</v>
      </c>
    </row>
    <row r="31" spans="1:13" x14ac:dyDescent="0.25">
      <c r="A31" s="16" t="s">
        <v>104</v>
      </c>
      <c r="B31" s="16"/>
      <c r="C31" s="16"/>
      <c r="D31" s="152">
        <f t="shared" ref="D31:J31" si="6">D14</f>
        <v>1.4836795252225476E-2</v>
      </c>
      <c r="E31" s="152">
        <f t="shared" si="6"/>
        <v>1.6999999999999904E-2</v>
      </c>
      <c r="F31" s="152">
        <f t="shared" si="6"/>
        <v>1.8999999999999906E-2</v>
      </c>
      <c r="G31" s="152">
        <f t="shared" si="6"/>
        <v>2.0000000000000018E-2</v>
      </c>
      <c r="H31" s="152">
        <f t="shared" si="6"/>
        <v>2.0000000000000018E-2</v>
      </c>
      <c r="I31" s="152">
        <f t="shared" si="6"/>
        <v>2.0000000000000018E-2</v>
      </c>
      <c r="J31" s="152">
        <f t="shared" si="6"/>
        <v>2.0000000000000018E-2</v>
      </c>
      <c r="K31" s="182"/>
      <c r="L31" t="s">
        <v>373</v>
      </c>
    </row>
    <row r="32" spans="1:13" x14ac:dyDescent="0.25">
      <c r="A32" s="16" t="s">
        <v>105</v>
      </c>
      <c r="B32" s="16"/>
      <c r="C32" s="16"/>
      <c r="D32" s="42">
        <f t="shared" ref="D32:J32" si="7">D$11</f>
        <v>203460</v>
      </c>
      <c r="E32" s="42">
        <f t="shared" si="7"/>
        <v>240761</v>
      </c>
      <c r="F32" s="42">
        <f t="shared" si="7"/>
        <v>211119.9718515854</v>
      </c>
      <c r="G32" s="42">
        <f t="shared" si="7"/>
        <v>209600.00629559506</v>
      </c>
      <c r="H32" s="42">
        <f t="shared" si="7"/>
        <v>213423.98232804175</v>
      </c>
      <c r="I32" s="42">
        <f t="shared" si="7"/>
        <v>209518.18392710513</v>
      </c>
      <c r="J32" s="42">
        <f t="shared" si="7"/>
        <v>197131.64960191568</v>
      </c>
      <c r="K32" s="182"/>
      <c r="L32" t="s">
        <v>373</v>
      </c>
    </row>
    <row r="33" spans="1:13" s="1" customFormat="1" ht="21" x14ac:dyDescent="0.35">
      <c r="A33" s="538" t="str">
        <f>" Assets commissioned in " &amp; $E$20</f>
        <v xml:space="preserve"> Assets commissioned in 2019/20</v>
      </c>
      <c r="B33" s="539"/>
      <c r="C33" s="540"/>
      <c r="D33" s="539"/>
      <c r="E33" s="539"/>
      <c r="F33" s="539"/>
      <c r="G33" s="539"/>
      <c r="H33" s="539"/>
      <c r="I33" s="539"/>
      <c r="J33" s="539"/>
      <c r="K33" s="95"/>
      <c r="L33" s="95"/>
      <c r="M33" s="526"/>
    </row>
    <row r="34" spans="1:13" x14ac:dyDescent="0.25">
      <c r="A34" s="16" t="s">
        <v>106</v>
      </c>
      <c r="B34" s="16"/>
      <c r="C34" s="16">
        <f>E30</f>
        <v>2</v>
      </c>
      <c r="D34" s="41"/>
      <c r="E34" s="42"/>
      <c r="F34" s="42"/>
      <c r="G34" s="42"/>
      <c r="H34" s="42"/>
      <c r="I34" s="42"/>
      <c r="J34" s="42"/>
    </row>
    <row r="35" spans="1:13" x14ac:dyDescent="0.25">
      <c r="A35" s="16" t="s">
        <v>46</v>
      </c>
      <c r="B35" s="16"/>
      <c r="C35" s="16"/>
      <c r="D35" s="150">
        <v>0</v>
      </c>
      <c r="E35" s="51">
        <f t="shared" ref="E35:J35" si="8">D39</f>
        <v>0</v>
      </c>
      <c r="F35" s="42">
        <f t="shared" si="8"/>
        <v>240761</v>
      </c>
      <c r="G35" s="42">
        <f t="shared" si="8"/>
        <v>239863.61809090906</v>
      </c>
      <c r="H35" s="42">
        <f t="shared" si="8"/>
        <v>239082.66677619447</v>
      </c>
      <c r="I35" s="42">
        <f t="shared" si="8"/>
        <v>238171.87566466612</v>
      </c>
      <c r="J35" s="42">
        <f t="shared" si="8"/>
        <v>237126.24303979686</v>
      </c>
      <c r="L35" t="s">
        <v>377</v>
      </c>
    </row>
    <row r="36" spans="1:13" x14ac:dyDescent="0.25">
      <c r="A36" s="16" t="s">
        <v>107</v>
      </c>
      <c r="B36" s="16"/>
      <c r="C36" s="16"/>
      <c r="D36" s="55">
        <f>$C$12+$C34</f>
        <v>46</v>
      </c>
      <c r="E36" s="51">
        <f t="shared" ref="E36:J36" si="9">D36-1</f>
        <v>45</v>
      </c>
      <c r="F36" s="42">
        <f t="shared" si="9"/>
        <v>44</v>
      </c>
      <c r="G36" s="42">
        <f t="shared" si="9"/>
        <v>43</v>
      </c>
      <c r="H36" s="42">
        <f t="shared" si="9"/>
        <v>42</v>
      </c>
      <c r="I36" s="42">
        <f t="shared" si="9"/>
        <v>41</v>
      </c>
      <c r="J36" s="42">
        <f t="shared" si="9"/>
        <v>40</v>
      </c>
      <c r="L36" t="s">
        <v>378</v>
      </c>
    </row>
    <row r="37" spans="1:13" x14ac:dyDescent="0.25">
      <c r="A37" s="16" t="s">
        <v>108</v>
      </c>
      <c r="B37" s="16"/>
      <c r="C37" s="16"/>
      <c r="D37" s="42">
        <f t="shared" ref="D37:J37" si="10">D35*D$31</f>
        <v>0</v>
      </c>
      <c r="E37" s="42">
        <f t="shared" si="10"/>
        <v>0</v>
      </c>
      <c r="F37" s="42">
        <f t="shared" si="10"/>
        <v>4574.4589999999771</v>
      </c>
      <c r="G37" s="42">
        <f t="shared" si="10"/>
        <v>4797.2723618181853</v>
      </c>
      <c r="H37" s="42">
        <f t="shared" si="10"/>
        <v>4781.6533355238935</v>
      </c>
      <c r="I37" s="42">
        <f t="shared" si="10"/>
        <v>4763.4375132933264</v>
      </c>
      <c r="J37" s="42">
        <f t="shared" si="10"/>
        <v>4742.5248607959411</v>
      </c>
      <c r="L37" t="s">
        <v>379</v>
      </c>
    </row>
    <row r="38" spans="1:13" x14ac:dyDescent="0.25">
      <c r="A38" s="16" t="s">
        <v>109</v>
      </c>
      <c r="B38" s="16"/>
      <c r="C38" s="16"/>
      <c r="D38" s="42">
        <f t="shared" ref="D38:J38" si="11">D35/D36</f>
        <v>0</v>
      </c>
      <c r="E38" s="42">
        <f t="shared" si="11"/>
        <v>0</v>
      </c>
      <c r="F38" s="42">
        <f t="shared" si="11"/>
        <v>5471.840909090909</v>
      </c>
      <c r="G38" s="42">
        <f t="shared" si="11"/>
        <v>5578.2236765327689</v>
      </c>
      <c r="H38" s="42">
        <f t="shared" si="11"/>
        <v>5692.4444470522494</v>
      </c>
      <c r="I38" s="42">
        <f t="shared" si="11"/>
        <v>5809.0701381625886</v>
      </c>
      <c r="J38" s="42">
        <f t="shared" si="11"/>
        <v>5928.1560759949216</v>
      </c>
      <c r="L38" t="s">
        <v>380</v>
      </c>
    </row>
    <row r="39" spans="1:13" x14ac:dyDescent="0.25">
      <c r="A39" s="16" t="s">
        <v>48</v>
      </c>
      <c r="B39" s="16"/>
      <c r="C39" s="16"/>
      <c r="D39" s="42">
        <f>D35-D38+D37+IF($C34=D$30,D$32,0)</f>
        <v>0</v>
      </c>
      <c r="E39" s="42">
        <f>E35-E38+E37+IF($C34=E$30,E$32,0)</f>
        <v>240761</v>
      </c>
      <c r="F39" s="42">
        <f t="shared" ref="F39:J39" si="12">F35-F38+F37+IF($C34=F$30,F$32,0)</f>
        <v>239863.61809090906</v>
      </c>
      <c r="G39" s="42">
        <f t="shared" si="12"/>
        <v>239082.66677619447</v>
      </c>
      <c r="H39" s="42">
        <f t="shared" si="12"/>
        <v>238171.87566466612</v>
      </c>
      <c r="I39" s="42">
        <f t="shared" si="12"/>
        <v>237126.24303979686</v>
      </c>
      <c r="J39" s="42">
        <f t="shared" si="12"/>
        <v>235940.61182459787</v>
      </c>
      <c r="L39" t="s">
        <v>381</v>
      </c>
    </row>
    <row r="40" spans="1:13" s="1" customFormat="1" ht="21" x14ac:dyDescent="0.35">
      <c r="A40" s="538" t="str">
        <f>" Assets commissioned in " &amp; $F$20</f>
        <v xml:space="preserve"> Assets commissioned in 2020/21</v>
      </c>
      <c r="B40" s="539"/>
      <c r="C40" s="540"/>
      <c r="D40" s="539"/>
      <c r="E40" s="539"/>
      <c r="F40" s="539"/>
      <c r="G40" s="539"/>
      <c r="H40" s="539"/>
      <c r="I40" s="539"/>
      <c r="J40" s="539"/>
      <c r="K40" s="95"/>
      <c r="L40" s="95"/>
    </row>
    <row r="41" spans="1:13" x14ac:dyDescent="0.25">
      <c r="A41" s="16" t="s">
        <v>106</v>
      </c>
      <c r="B41" s="16"/>
      <c r="C41" s="16">
        <f>F30</f>
        <v>3</v>
      </c>
      <c r="D41" s="41"/>
      <c r="E41" s="42"/>
      <c r="F41" s="42"/>
      <c r="G41" s="42"/>
      <c r="H41" s="42"/>
      <c r="I41" s="42"/>
      <c r="J41" s="42"/>
    </row>
    <row r="42" spans="1:13" x14ac:dyDescent="0.25">
      <c r="A42" s="16" t="s">
        <v>46</v>
      </c>
      <c r="B42" s="16"/>
      <c r="C42" s="16"/>
      <c r="D42" s="150">
        <v>0</v>
      </c>
      <c r="E42" s="51">
        <f t="shared" ref="E42:J42" si="13">D46</f>
        <v>0</v>
      </c>
      <c r="F42" s="42">
        <f t="shared" si="13"/>
        <v>0</v>
      </c>
      <c r="G42" s="42">
        <f t="shared" si="13"/>
        <v>211119.9718515854</v>
      </c>
      <c r="H42" s="42">
        <f t="shared" si="13"/>
        <v>210544.190110172</v>
      </c>
      <c r="I42" s="42">
        <f t="shared" si="13"/>
        <v>209858.69739818538</v>
      </c>
      <c r="J42" s="42">
        <f t="shared" si="13"/>
        <v>209059.23569381135</v>
      </c>
    </row>
    <row r="43" spans="1:13" x14ac:dyDescent="0.25">
      <c r="A43" s="16" t="s">
        <v>107</v>
      </c>
      <c r="B43" s="16"/>
      <c r="C43" s="16"/>
      <c r="D43" s="55">
        <f>$C$12+$C41</f>
        <v>47</v>
      </c>
      <c r="E43" s="51">
        <f t="shared" ref="E43:J43" si="14">D43-1</f>
        <v>46</v>
      </c>
      <c r="F43" s="42">
        <f t="shared" si="14"/>
        <v>45</v>
      </c>
      <c r="G43" s="42">
        <f t="shared" si="14"/>
        <v>44</v>
      </c>
      <c r="H43" s="42">
        <f t="shared" si="14"/>
        <v>43</v>
      </c>
      <c r="I43" s="42">
        <f t="shared" si="14"/>
        <v>42</v>
      </c>
      <c r="J43" s="42">
        <f t="shared" si="14"/>
        <v>41</v>
      </c>
    </row>
    <row r="44" spans="1:13" x14ac:dyDescent="0.25">
      <c r="A44" s="16" t="s">
        <v>108</v>
      </c>
      <c r="B44" s="16"/>
      <c r="C44" s="16"/>
      <c r="D44" s="42">
        <f t="shared" ref="D44:J44" si="15">D42*D$31</f>
        <v>0</v>
      </c>
      <c r="E44" s="42">
        <f t="shared" si="15"/>
        <v>0</v>
      </c>
      <c r="F44" s="42">
        <f t="shared" si="15"/>
        <v>0</v>
      </c>
      <c r="G44" s="42">
        <f t="shared" si="15"/>
        <v>4222.3994370317114</v>
      </c>
      <c r="H44" s="42">
        <f t="shared" si="15"/>
        <v>4210.8838022034433</v>
      </c>
      <c r="I44" s="42">
        <f t="shared" si="15"/>
        <v>4197.1739479637117</v>
      </c>
      <c r="J44" s="42">
        <f t="shared" si="15"/>
        <v>4181.1847138762305</v>
      </c>
    </row>
    <row r="45" spans="1:13" x14ac:dyDescent="0.25">
      <c r="A45" s="16" t="s">
        <v>109</v>
      </c>
      <c r="B45" s="16"/>
      <c r="C45" s="16"/>
      <c r="D45" s="42">
        <f t="shared" ref="D45:J45" si="16">D42/D43</f>
        <v>0</v>
      </c>
      <c r="E45" s="42">
        <f t="shared" si="16"/>
        <v>0</v>
      </c>
      <c r="F45" s="42">
        <f t="shared" si="16"/>
        <v>0</v>
      </c>
      <c r="G45" s="42">
        <f t="shared" si="16"/>
        <v>4798.1811784451229</v>
      </c>
      <c r="H45" s="42">
        <f t="shared" si="16"/>
        <v>4896.3765141900467</v>
      </c>
      <c r="I45" s="42">
        <f t="shared" si="16"/>
        <v>4996.6356523377472</v>
      </c>
      <c r="J45" s="42">
        <f t="shared" si="16"/>
        <v>5099.0057486295455</v>
      </c>
    </row>
    <row r="46" spans="1:13" x14ac:dyDescent="0.25">
      <c r="A46" s="16" t="s">
        <v>48</v>
      </c>
      <c r="B46" s="16"/>
      <c r="C46" s="16"/>
      <c r="D46" s="42">
        <f t="shared" ref="D46:J46" si="17">D42-D45+D44+IF($C41=D$30,D$32,0)</f>
        <v>0</v>
      </c>
      <c r="E46" s="42">
        <f t="shared" si="17"/>
        <v>0</v>
      </c>
      <c r="F46" s="42">
        <f t="shared" si="17"/>
        <v>211119.9718515854</v>
      </c>
      <c r="G46" s="42">
        <f t="shared" si="17"/>
        <v>210544.190110172</v>
      </c>
      <c r="H46" s="42">
        <f t="shared" si="17"/>
        <v>209858.69739818538</v>
      </c>
      <c r="I46" s="42">
        <f t="shared" si="17"/>
        <v>209059.23569381135</v>
      </c>
      <c r="J46" s="42">
        <f t="shared" si="17"/>
        <v>208141.41465905803</v>
      </c>
    </row>
    <row r="47" spans="1:13" s="1" customFormat="1" ht="21" x14ac:dyDescent="0.35">
      <c r="A47" s="538" t="str">
        <f>" Assets commissioned in " &amp; $G$20</f>
        <v xml:space="preserve"> Assets commissioned in 2021/22</v>
      </c>
      <c r="B47" s="541"/>
      <c r="C47" s="542"/>
      <c r="D47" s="539"/>
      <c r="E47" s="539"/>
      <c r="F47" s="539"/>
      <c r="G47" s="539"/>
      <c r="H47" s="539"/>
      <c r="I47" s="539"/>
      <c r="J47" s="539"/>
      <c r="K47" s="95"/>
      <c r="L47" s="95"/>
    </row>
    <row r="48" spans="1:13" x14ac:dyDescent="0.25">
      <c r="A48" s="16" t="s">
        <v>106</v>
      </c>
      <c r="B48" s="163"/>
      <c r="C48" s="163">
        <f>G30</f>
        <v>4</v>
      </c>
      <c r="D48" s="41"/>
      <c r="E48" s="42"/>
      <c r="F48" s="42"/>
      <c r="G48" s="42"/>
      <c r="H48" s="42"/>
      <c r="I48" s="42"/>
      <c r="J48" s="42"/>
    </row>
    <row r="49" spans="1:12" x14ac:dyDescent="0.25">
      <c r="A49" s="16" t="s">
        <v>46</v>
      </c>
      <c r="B49" s="16"/>
      <c r="C49" s="16"/>
      <c r="D49" s="150">
        <v>0</v>
      </c>
      <c r="E49" s="51">
        <f t="shared" ref="E49:J49" si="18">D53</f>
        <v>0</v>
      </c>
      <c r="F49" s="42">
        <f t="shared" si="18"/>
        <v>0</v>
      </c>
      <c r="G49" s="42">
        <f t="shared" si="18"/>
        <v>0</v>
      </c>
      <c r="H49" s="42">
        <f t="shared" si="18"/>
        <v>209600.00629559506</v>
      </c>
      <c r="I49" s="42">
        <f t="shared" si="18"/>
        <v>209028.3699147889</v>
      </c>
      <c r="J49" s="42">
        <f t="shared" si="18"/>
        <v>208347.8124313454</v>
      </c>
    </row>
    <row r="50" spans="1:12" x14ac:dyDescent="0.25">
      <c r="A50" s="16" t="s">
        <v>107</v>
      </c>
      <c r="B50" s="16"/>
      <c r="C50" s="16"/>
      <c r="D50" s="55">
        <f>$C$12+$C48</f>
        <v>48</v>
      </c>
      <c r="E50" s="51">
        <f t="shared" ref="E50:J50" si="19">D50-1</f>
        <v>47</v>
      </c>
      <c r="F50" s="42">
        <f t="shared" si="19"/>
        <v>46</v>
      </c>
      <c r="G50" s="42">
        <f t="shared" si="19"/>
        <v>45</v>
      </c>
      <c r="H50" s="42">
        <f t="shared" si="19"/>
        <v>44</v>
      </c>
      <c r="I50" s="42">
        <f t="shared" si="19"/>
        <v>43</v>
      </c>
      <c r="J50" s="42">
        <f t="shared" si="19"/>
        <v>42</v>
      </c>
    </row>
    <row r="51" spans="1:12" x14ac:dyDescent="0.25">
      <c r="A51" s="16" t="s">
        <v>108</v>
      </c>
      <c r="B51" s="16"/>
      <c r="C51" s="16"/>
      <c r="D51" s="42">
        <f t="shared" ref="D51:J51" si="20">D49*D$31</f>
        <v>0</v>
      </c>
      <c r="E51" s="42">
        <f t="shared" si="20"/>
        <v>0</v>
      </c>
      <c r="F51" s="42">
        <f t="shared" si="20"/>
        <v>0</v>
      </c>
      <c r="G51" s="42">
        <f t="shared" si="20"/>
        <v>0</v>
      </c>
      <c r="H51" s="42">
        <f t="shared" si="20"/>
        <v>4192.0001259119044</v>
      </c>
      <c r="I51" s="42">
        <f t="shared" si="20"/>
        <v>4180.5673982957815</v>
      </c>
      <c r="J51" s="42">
        <f t="shared" si="20"/>
        <v>4166.9562486269115</v>
      </c>
    </row>
    <row r="52" spans="1:12" x14ac:dyDescent="0.25">
      <c r="A52" s="16" t="s">
        <v>109</v>
      </c>
      <c r="B52" s="16"/>
      <c r="C52" s="16"/>
      <c r="D52" s="42">
        <f t="shared" ref="D52:J52" si="21">D49/D50</f>
        <v>0</v>
      </c>
      <c r="E52" s="42">
        <f t="shared" si="21"/>
        <v>0</v>
      </c>
      <c r="F52" s="42">
        <f t="shared" si="21"/>
        <v>0</v>
      </c>
      <c r="G52" s="42">
        <f t="shared" si="21"/>
        <v>0</v>
      </c>
      <c r="H52" s="42">
        <f t="shared" si="21"/>
        <v>4763.6365067180695</v>
      </c>
      <c r="I52" s="42">
        <f t="shared" si="21"/>
        <v>4861.124881739277</v>
      </c>
      <c r="J52" s="42">
        <f t="shared" si="21"/>
        <v>4960.6622007463193</v>
      </c>
    </row>
    <row r="53" spans="1:12" x14ac:dyDescent="0.25">
      <c r="A53" s="16" t="s">
        <v>48</v>
      </c>
      <c r="B53" s="16"/>
      <c r="C53" s="16"/>
      <c r="D53" s="42">
        <f t="shared" ref="D53:J53" si="22">D49-D52+D51+IF($C48=D$30,D$32,0)</f>
        <v>0</v>
      </c>
      <c r="E53" s="42">
        <f t="shared" si="22"/>
        <v>0</v>
      </c>
      <c r="F53" s="42">
        <f t="shared" si="22"/>
        <v>0</v>
      </c>
      <c r="G53" s="42">
        <f t="shared" si="22"/>
        <v>209600.00629559506</v>
      </c>
      <c r="H53" s="42">
        <f t="shared" si="22"/>
        <v>209028.3699147889</v>
      </c>
      <c r="I53" s="42">
        <f t="shared" si="22"/>
        <v>208347.8124313454</v>
      </c>
      <c r="J53" s="42">
        <f t="shared" si="22"/>
        <v>207554.10647922597</v>
      </c>
    </row>
    <row r="54" spans="1:12" s="1" customFormat="1" ht="21" x14ac:dyDescent="0.35">
      <c r="A54" s="538" t="str">
        <f>" Assets commissioned in " &amp; $H$20</f>
        <v xml:space="preserve"> Assets commissioned in 2022/23</v>
      </c>
      <c r="B54" s="539"/>
      <c r="C54" s="540"/>
      <c r="D54" s="539"/>
      <c r="E54" s="539"/>
      <c r="F54" s="539"/>
      <c r="G54" s="539"/>
      <c r="H54" s="539"/>
      <c r="I54" s="539"/>
      <c r="J54" s="539"/>
      <c r="K54" s="95"/>
      <c r="L54" s="95"/>
    </row>
    <row r="55" spans="1:12" x14ac:dyDescent="0.25">
      <c r="A55" s="16" t="s">
        <v>106</v>
      </c>
      <c r="B55" s="16"/>
      <c r="C55" s="16">
        <f>H30</f>
        <v>5</v>
      </c>
      <c r="D55" s="41"/>
      <c r="E55" s="42"/>
      <c r="F55" s="42"/>
      <c r="G55" s="42"/>
      <c r="H55" s="42"/>
      <c r="I55" s="42"/>
      <c r="J55" s="42"/>
    </row>
    <row r="56" spans="1:12" x14ac:dyDescent="0.25">
      <c r="A56" s="16" t="s">
        <v>46</v>
      </c>
      <c r="B56" s="16"/>
      <c r="C56" s="16"/>
      <c r="D56" s="150">
        <v>0</v>
      </c>
      <c r="E56" s="51">
        <f t="shared" ref="E56:J56" si="23">D60</f>
        <v>0</v>
      </c>
      <c r="F56" s="42">
        <f t="shared" si="23"/>
        <v>0</v>
      </c>
      <c r="G56" s="42">
        <f t="shared" si="23"/>
        <v>0</v>
      </c>
      <c r="H56" s="42">
        <f t="shared" si="23"/>
        <v>0</v>
      </c>
      <c r="I56" s="42">
        <f t="shared" si="23"/>
        <v>213423.98232804175</v>
      </c>
      <c r="J56" s="42">
        <f t="shared" si="23"/>
        <v>212841.91692169255</v>
      </c>
    </row>
    <row r="57" spans="1:12" x14ac:dyDescent="0.25">
      <c r="A57" s="16" t="s">
        <v>107</v>
      </c>
      <c r="B57" s="16"/>
      <c r="C57" s="16"/>
      <c r="D57" s="55">
        <f>$C$12+$C55</f>
        <v>49</v>
      </c>
      <c r="E57" s="51">
        <f t="shared" ref="E57:J57" si="24">D57-1</f>
        <v>48</v>
      </c>
      <c r="F57" s="42">
        <f t="shared" si="24"/>
        <v>47</v>
      </c>
      <c r="G57" s="42">
        <f t="shared" si="24"/>
        <v>46</v>
      </c>
      <c r="H57" s="42">
        <f t="shared" si="24"/>
        <v>45</v>
      </c>
      <c r="I57" s="42">
        <f t="shared" si="24"/>
        <v>44</v>
      </c>
      <c r="J57" s="42">
        <f t="shared" si="24"/>
        <v>43</v>
      </c>
    </row>
    <row r="58" spans="1:12" x14ac:dyDescent="0.25">
      <c r="A58" s="16" t="s">
        <v>108</v>
      </c>
      <c r="B58" s="16"/>
      <c r="C58" s="16"/>
      <c r="D58" s="42">
        <f t="shared" ref="D58:J58" si="25">D56*D$31</f>
        <v>0</v>
      </c>
      <c r="E58" s="42">
        <f t="shared" si="25"/>
        <v>0</v>
      </c>
      <c r="F58" s="42">
        <f t="shared" si="25"/>
        <v>0</v>
      </c>
      <c r="G58" s="42">
        <f t="shared" si="25"/>
        <v>0</v>
      </c>
      <c r="H58" s="42">
        <f t="shared" si="25"/>
        <v>0</v>
      </c>
      <c r="I58" s="42">
        <f t="shared" si="25"/>
        <v>4268.4796465608388</v>
      </c>
      <c r="J58" s="42">
        <f t="shared" si="25"/>
        <v>4256.8383384338549</v>
      </c>
    </row>
    <row r="59" spans="1:12" x14ac:dyDescent="0.25">
      <c r="A59" s="16" t="s">
        <v>109</v>
      </c>
      <c r="B59" s="16"/>
      <c r="C59" s="16"/>
      <c r="D59" s="42">
        <f t="shared" ref="D59:J59" si="26">D56/D57</f>
        <v>0</v>
      </c>
      <c r="E59" s="42">
        <f t="shared" si="26"/>
        <v>0</v>
      </c>
      <c r="F59" s="42">
        <f t="shared" si="26"/>
        <v>0</v>
      </c>
      <c r="G59" s="42">
        <f t="shared" si="26"/>
        <v>0</v>
      </c>
      <c r="H59" s="42">
        <f t="shared" si="26"/>
        <v>0</v>
      </c>
      <c r="I59" s="42">
        <f t="shared" si="26"/>
        <v>4850.5450529100399</v>
      </c>
      <c r="J59" s="42">
        <f t="shared" si="26"/>
        <v>4949.8120214347109</v>
      </c>
    </row>
    <row r="60" spans="1:12" x14ac:dyDescent="0.25">
      <c r="A60" s="16" t="s">
        <v>48</v>
      </c>
      <c r="B60" s="16"/>
      <c r="C60" s="16"/>
      <c r="D60" s="42">
        <f>D56-D59+D58+IF($C55=D$30,D$32,0)</f>
        <v>0</v>
      </c>
      <c r="E60" s="42">
        <f>E56-E59+E58+IF($C55=E$30,E$32,0)</f>
        <v>0</v>
      </c>
      <c r="F60" s="42">
        <f t="shared" ref="F60:J60" si="27">F56-F59+F58+IF($C55=F$30,F$32,0)</f>
        <v>0</v>
      </c>
      <c r="G60" s="42">
        <f t="shared" si="27"/>
        <v>0</v>
      </c>
      <c r="H60" s="42">
        <f t="shared" si="27"/>
        <v>213423.98232804175</v>
      </c>
      <c r="I60" s="42">
        <f t="shared" si="27"/>
        <v>212841.91692169255</v>
      </c>
      <c r="J60" s="42">
        <f t="shared" si="27"/>
        <v>212148.94323869169</v>
      </c>
    </row>
    <row r="61" spans="1:12" s="1" customFormat="1" ht="21" x14ac:dyDescent="0.35">
      <c r="A61" s="538" t="str">
        <f>" Assets commissioned in " &amp; $I$20</f>
        <v xml:space="preserve"> Assets commissioned in 2023/24</v>
      </c>
      <c r="B61" s="539"/>
      <c r="C61" s="540"/>
      <c r="D61" s="539"/>
      <c r="E61" s="539"/>
      <c r="F61" s="539"/>
      <c r="G61" s="539"/>
      <c r="H61" s="539"/>
      <c r="I61" s="539"/>
      <c r="J61" s="539"/>
      <c r="K61" s="95"/>
      <c r="L61" s="95"/>
    </row>
    <row r="62" spans="1:12" x14ac:dyDescent="0.25">
      <c r="A62" s="16" t="s">
        <v>106</v>
      </c>
      <c r="B62" s="16"/>
      <c r="C62" s="16">
        <f>I30</f>
        <v>6</v>
      </c>
      <c r="D62" s="41"/>
      <c r="E62" s="42"/>
      <c r="F62" s="42"/>
      <c r="G62" s="42"/>
      <c r="H62" s="42"/>
      <c r="I62" s="42"/>
      <c r="J62" s="42"/>
    </row>
    <row r="63" spans="1:12" x14ac:dyDescent="0.25">
      <c r="A63" s="16" t="s">
        <v>46</v>
      </c>
      <c r="B63" s="16"/>
      <c r="C63" s="16"/>
      <c r="D63" s="150">
        <v>0</v>
      </c>
      <c r="E63" s="51">
        <f t="shared" ref="E63:J63" si="28">D67</f>
        <v>0</v>
      </c>
      <c r="F63" s="42">
        <f t="shared" si="28"/>
        <v>0</v>
      </c>
      <c r="G63" s="42">
        <f t="shared" si="28"/>
        <v>0</v>
      </c>
      <c r="H63" s="42">
        <f t="shared" si="28"/>
        <v>0</v>
      </c>
      <c r="I63" s="42">
        <f t="shared" si="28"/>
        <v>0</v>
      </c>
      <c r="J63" s="42">
        <f t="shared" si="28"/>
        <v>209518.18392710513</v>
      </c>
    </row>
    <row r="64" spans="1:12" x14ac:dyDescent="0.25">
      <c r="A64" s="16" t="s">
        <v>107</v>
      </c>
      <c r="B64" s="16"/>
      <c r="C64" s="16"/>
      <c r="D64" s="55">
        <f>$C$12+$C62</f>
        <v>50</v>
      </c>
      <c r="E64" s="51">
        <f t="shared" ref="E64:J64" si="29">D64-1</f>
        <v>49</v>
      </c>
      <c r="F64" s="42">
        <f t="shared" si="29"/>
        <v>48</v>
      </c>
      <c r="G64" s="42">
        <f t="shared" si="29"/>
        <v>47</v>
      </c>
      <c r="H64" s="42">
        <f t="shared" si="29"/>
        <v>46</v>
      </c>
      <c r="I64" s="42">
        <f t="shared" si="29"/>
        <v>45</v>
      </c>
      <c r="J64" s="42">
        <f t="shared" si="29"/>
        <v>44</v>
      </c>
    </row>
    <row r="65" spans="1:12" x14ac:dyDescent="0.25">
      <c r="A65" s="16" t="s">
        <v>108</v>
      </c>
      <c r="B65" s="16"/>
      <c r="C65" s="16"/>
      <c r="D65" s="42">
        <f t="shared" ref="D65:J65" si="30">D63*D$31</f>
        <v>0</v>
      </c>
      <c r="E65" s="42">
        <f t="shared" si="30"/>
        <v>0</v>
      </c>
      <c r="F65" s="42">
        <f t="shared" si="30"/>
        <v>0</v>
      </c>
      <c r="G65" s="42">
        <f t="shared" si="30"/>
        <v>0</v>
      </c>
      <c r="H65" s="42">
        <f t="shared" si="30"/>
        <v>0</v>
      </c>
      <c r="I65" s="42">
        <f t="shared" si="30"/>
        <v>0</v>
      </c>
      <c r="J65" s="42">
        <f t="shared" si="30"/>
        <v>4190.3636785421058</v>
      </c>
    </row>
    <row r="66" spans="1:12" x14ac:dyDescent="0.25">
      <c r="A66" s="16" t="s">
        <v>109</v>
      </c>
      <c r="B66" s="16"/>
      <c r="C66" s="16"/>
      <c r="D66" s="153">
        <f t="shared" ref="D66:J66" si="31">D63/D64</f>
        <v>0</v>
      </c>
      <c r="E66" s="153">
        <f t="shared" si="31"/>
        <v>0</v>
      </c>
      <c r="F66" s="42">
        <f t="shared" si="31"/>
        <v>0</v>
      </c>
      <c r="G66" s="42">
        <f t="shared" si="31"/>
        <v>0</v>
      </c>
      <c r="H66" s="42">
        <f t="shared" si="31"/>
        <v>0</v>
      </c>
      <c r="I66" s="42">
        <f t="shared" si="31"/>
        <v>0</v>
      </c>
      <c r="J66" s="42">
        <f t="shared" si="31"/>
        <v>4761.7769074342077</v>
      </c>
    </row>
    <row r="67" spans="1:12" x14ac:dyDescent="0.25">
      <c r="A67" s="16" t="s">
        <v>48</v>
      </c>
      <c r="B67" s="16"/>
      <c r="C67" s="16"/>
      <c r="D67" s="153">
        <f>D63-D66+D65+IF($C62=D$30,D$32,0)</f>
        <v>0</v>
      </c>
      <c r="E67" s="153">
        <f>E63-E66+E65+IF($C62=E$30,E$32,0)</f>
        <v>0</v>
      </c>
      <c r="F67" s="42">
        <f t="shared" ref="F67:J67" si="32">F63-F66+F65+IF($C62=F$30,F$32,0)</f>
        <v>0</v>
      </c>
      <c r="G67" s="42">
        <f t="shared" si="32"/>
        <v>0</v>
      </c>
      <c r="H67" s="42">
        <f t="shared" si="32"/>
        <v>0</v>
      </c>
      <c r="I67" s="42">
        <f t="shared" si="32"/>
        <v>209518.18392710513</v>
      </c>
      <c r="J67" s="42">
        <f t="shared" si="32"/>
        <v>208946.77069821302</v>
      </c>
    </row>
    <row r="68" spans="1:12" s="1" customFormat="1" ht="21" x14ac:dyDescent="0.35">
      <c r="A68" s="543" t="str">
        <f>" Assets commissioned in " &amp; $J$20</f>
        <v xml:space="preserve"> Assets commissioned in 2024/25</v>
      </c>
      <c r="B68" s="541"/>
      <c r="C68" s="542"/>
      <c r="D68" s="541"/>
      <c r="E68" s="541"/>
      <c r="F68" s="541"/>
      <c r="G68" s="541"/>
      <c r="H68" s="541"/>
      <c r="I68" s="541"/>
      <c r="J68" s="541"/>
      <c r="K68" s="95"/>
      <c r="L68" s="95"/>
    </row>
    <row r="69" spans="1:12" x14ac:dyDescent="0.25">
      <c r="A69" s="163" t="s">
        <v>106</v>
      </c>
      <c r="B69" s="163"/>
      <c r="C69" s="163">
        <f>J30</f>
        <v>7</v>
      </c>
      <c r="D69" s="43"/>
      <c r="E69" s="168"/>
      <c r="F69" s="168"/>
      <c r="G69" s="168"/>
      <c r="H69" s="168"/>
      <c r="I69" s="168"/>
      <c r="J69" s="168"/>
    </row>
    <row r="70" spans="1:12" x14ac:dyDescent="0.25">
      <c r="A70" s="16" t="s">
        <v>46</v>
      </c>
      <c r="B70" s="16"/>
      <c r="C70" s="16"/>
      <c r="D70" s="150">
        <v>0</v>
      </c>
      <c r="E70" s="51">
        <f t="shared" ref="E70:J70" si="33">D74</f>
        <v>0</v>
      </c>
      <c r="F70" s="42">
        <f t="shared" si="33"/>
        <v>0</v>
      </c>
      <c r="G70" s="42">
        <f t="shared" si="33"/>
        <v>0</v>
      </c>
      <c r="H70" s="42">
        <f t="shared" si="33"/>
        <v>0</v>
      </c>
      <c r="I70" s="42">
        <f t="shared" si="33"/>
        <v>0</v>
      </c>
      <c r="J70" s="42">
        <f t="shared" si="33"/>
        <v>0</v>
      </c>
    </row>
    <row r="71" spans="1:12" x14ac:dyDescent="0.25">
      <c r="A71" s="16" t="s">
        <v>107</v>
      </c>
      <c r="B71" s="16"/>
      <c r="C71" s="16"/>
      <c r="D71" s="55">
        <f>$C$12+$C69</f>
        <v>51</v>
      </c>
      <c r="E71" s="51">
        <f t="shared" ref="E71:J71" si="34">D71-1</f>
        <v>50</v>
      </c>
      <c r="F71" s="42">
        <f t="shared" si="34"/>
        <v>49</v>
      </c>
      <c r="G71" s="42">
        <f t="shared" si="34"/>
        <v>48</v>
      </c>
      <c r="H71" s="42">
        <f t="shared" si="34"/>
        <v>47</v>
      </c>
      <c r="I71" s="42">
        <f t="shared" si="34"/>
        <v>46</v>
      </c>
      <c r="J71" s="42">
        <f t="shared" si="34"/>
        <v>45</v>
      </c>
    </row>
    <row r="72" spans="1:12" x14ac:dyDescent="0.25">
      <c r="A72" s="16" t="s">
        <v>108</v>
      </c>
      <c r="B72" s="16"/>
      <c r="C72" s="16"/>
      <c r="D72" s="42">
        <f t="shared" ref="D72:J72" si="35">D70*D$31</f>
        <v>0</v>
      </c>
      <c r="E72" s="42">
        <f t="shared" si="35"/>
        <v>0</v>
      </c>
      <c r="F72" s="42">
        <f t="shared" si="35"/>
        <v>0</v>
      </c>
      <c r="G72" s="42">
        <f t="shared" si="35"/>
        <v>0</v>
      </c>
      <c r="H72" s="42">
        <f t="shared" si="35"/>
        <v>0</v>
      </c>
      <c r="I72" s="42">
        <f t="shared" si="35"/>
        <v>0</v>
      </c>
      <c r="J72" s="42">
        <f t="shared" si="35"/>
        <v>0</v>
      </c>
    </row>
    <row r="73" spans="1:12" x14ac:dyDescent="0.25">
      <c r="A73" s="16" t="s">
        <v>109</v>
      </c>
      <c r="B73" s="16"/>
      <c r="C73" s="16"/>
      <c r="D73" s="42">
        <f t="shared" ref="D73:J73" si="36">D70/D71</f>
        <v>0</v>
      </c>
      <c r="E73" s="42">
        <f t="shared" si="36"/>
        <v>0</v>
      </c>
      <c r="F73" s="42">
        <f t="shared" si="36"/>
        <v>0</v>
      </c>
      <c r="G73" s="42">
        <f t="shared" si="36"/>
        <v>0</v>
      </c>
      <c r="H73" s="42">
        <f t="shared" si="36"/>
        <v>0</v>
      </c>
      <c r="I73" s="42">
        <f t="shared" si="36"/>
        <v>0</v>
      </c>
      <c r="J73" s="42">
        <f t="shared" si="36"/>
        <v>0</v>
      </c>
    </row>
    <row r="74" spans="1:12" x14ac:dyDescent="0.25">
      <c r="A74" s="16" t="s">
        <v>48</v>
      </c>
      <c r="B74" s="16"/>
      <c r="C74" s="16"/>
      <c r="D74" s="42">
        <f>D70-D73+D72+IF($C69=D$30,D$32,0)</f>
        <v>0</v>
      </c>
      <c r="E74" s="42">
        <f>E70-E73+E72+IF($C69=E$30,E$32,0)</f>
        <v>0</v>
      </c>
      <c r="F74" s="42">
        <f t="shared" ref="F74:J74" si="37">F70-F73+F72+IF($C69=F$30,F$32,0)</f>
        <v>0</v>
      </c>
      <c r="G74" s="42">
        <f t="shared" si="37"/>
        <v>0</v>
      </c>
      <c r="H74" s="42">
        <f t="shared" si="37"/>
        <v>0</v>
      </c>
      <c r="I74" s="42">
        <f t="shared" si="37"/>
        <v>0</v>
      </c>
      <c r="J74" s="42">
        <f t="shared" si="37"/>
        <v>197131.64960191568</v>
      </c>
    </row>
    <row r="75" spans="1:12" x14ac:dyDescent="0.25">
      <c r="A75" s="17"/>
      <c r="B75" s="17"/>
      <c r="C75" s="17"/>
      <c r="D75" s="17"/>
      <c r="E75" s="41"/>
      <c r="F75" s="41"/>
      <c r="G75" s="41"/>
      <c r="H75" s="41"/>
      <c r="I75" s="41"/>
      <c r="J75" s="41"/>
    </row>
    <row r="76" spans="1:12" x14ac:dyDescent="0.25">
      <c r="C76" s="518"/>
      <c r="D76" s="1"/>
      <c r="E76" s="1"/>
      <c r="F76" s="1"/>
      <c r="G76" s="1"/>
      <c r="H76" s="1"/>
      <c r="I76" s="1"/>
      <c r="J76" s="1"/>
    </row>
    <row r="77" spans="1:12" s="1" customFormat="1" ht="21" x14ac:dyDescent="0.35">
      <c r="A77" s="134" t="s">
        <v>111</v>
      </c>
      <c r="B77" s="536"/>
      <c r="C77" s="537"/>
      <c r="D77" s="536"/>
      <c r="E77" s="536"/>
      <c r="F77" s="536"/>
      <c r="G77" s="536"/>
      <c r="H77" s="536"/>
      <c r="I77" s="536"/>
      <c r="J77" s="536"/>
      <c r="K77" s="95"/>
      <c r="L77" s="95"/>
    </row>
    <row r="78" spans="1:12" x14ac:dyDescent="0.25">
      <c r="A78" s="16" t="s">
        <v>112</v>
      </c>
      <c r="B78" s="16"/>
      <c r="C78" s="16"/>
      <c r="D78" s="42">
        <f t="shared" ref="D78:J78" si="38">D35+D42+D49+D56+D63+D70</f>
        <v>0</v>
      </c>
      <c r="E78" s="42">
        <f t="shared" si="38"/>
        <v>0</v>
      </c>
      <c r="F78" s="42">
        <f t="shared" si="38"/>
        <v>240761</v>
      </c>
      <c r="G78" s="42">
        <f t="shared" si="38"/>
        <v>450983.58994249447</v>
      </c>
      <c r="H78" s="42">
        <f t="shared" si="38"/>
        <v>659226.86318196158</v>
      </c>
      <c r="I78" s="42">
        <f t="shared" si="38"/>
        <v>870482.92530568223</v>
      </c>
      <c r="J78" s="42">
        <f t="shared" si="38"/>
        <v>1076893.3920137512</v>
      </c>
      <c r="L78" s="471" t="s">
        <v>382</v>
      </c>
    </row>
    <row r="79" spans="1:12" x14ac:dyDescent="0.25">
      <c r="A79" s="16" t="s">
        <v>113</v>
      </c>
      <c r="B79" s="16"/>
      <c r="C79" s="16"/>
      <c r="D79" s="42">
        <f t="shared" ref="D79:J81" si="39">D37+D44+D51+D58+D65+D72</f>
        <v>0</v>
      </c>
      <c r="E79" s="42">
        <f t="shared" si="39"/>
        <v>0</v>
      </c>
      <c r="F79" s="42">
        <f t="shared" si="39"/>
        <v>4574.4589999999771</v>
      </c>
      <c r="G79" s="42">
        <f t="shared" si="39"/>
        <v>9019.6717988498967</v>
      </c>
      <c r="H79" s="42">
        <f t="shared" si="39"/>
        <v>13184.537263639242</v>
      </c>
      <c r="I79" s="42">
        <f t="shared" si="39"/>
        <v>17409.658506113657</v>
      </c>
      <c r="J79" s="42">
        <f t="shared" si="39"/>
        <v>21537.867840275045</v>
      </c>
      <c r="L79" s="471" t="s">
        <v>382</v>
      </c>
    </row>
    <row r="80" spans="1:12" x14ac:dyDescent="0.25">
      <c r="A80" s="16" t="s">
        <v>114</v>
      </c>
      <c r="B80" s="16"/>
      <c r="C80" s="16"/>
      <c r="D80" s="42">
        <f t="shared" si="39"/>
        <v>0</v>
      </c>
      <c r="E80" s="42">
        <f t="shared" si="39"/>
        <v>0</v>
      </c>
      <c r="F80" s="42">
        <f t="shared" si="39"/>
        <v>5471.840909090909</v>
      </c>
      <c r="G80" s="42">
        <f t="shared" si="39"/>
        <v>10376.404854977893</v>
      </c>
      <c r="H80" s="42">
        <f t="shared" si="39"/>
        <v>15352.457467960365</v>
      </c>
      <c r="I80" s="42">
        <f t="shared" si="39"/>
        <v>20517.37572514965</v>
      </c>
      <c r="J80" s="42">
        <f t="shared" si="39"/>
        <v>25699.412954239706</v>
      </c>
      <c r="L80" s="471" t="s">
        <v>382</v>
      </c>
    </row>
    <row r="81" spans="1:13" x14ac:dyDescent="0.25">
      <c r="A81" s="16" t="s">
        <v>115</v>
      </c>
      <c r="B81" s="16"/>
      <c r="C81" s="16"/>
      <c r="D81" s="42">
        <f t="shared" si="39"/>
        <v>0</v>
      </c>
      <c r="E81" s="42">
        <f t="shared" si="39"/>
        <v>240761</v>
      </c>
      <c r="F81" s="42">
        <f t="shared" si="39"/>
        <v>450983.58994249447</v>
      </c>
      <c r="G81" s="42">
        <f t="shared" si="39"/>
        <v>659226.86318196158</v>
      </c>
      <c r="H81" s="42">
        <f t="shared" si="39"/>
        <v>870482.92530568223</v>
      </c>
      <c r="I81" s="42">
        <f t="shared" si="39"/>
        <v>1076893.3920137512</v>
      </c>
      <c r="J81" s="42">
        <f t="shared" si="39"/>
        <v>1269863.4965017021</v>
      </c>
      <c r="L81" s="471" t="s">
        <v>382</v>
      </c>
    </row>
    <row r="82" spans="1:13" x14ac:dyDescent="0.25">
      <c r="A82" s="17"/>
      <c r="B82" s="17"/>
      <c r="C82" s="17"/>
      <c r="D82" s="41"/>
      <c r="E82" s="41"/>
      <c r="F82" s="41"/>
      <c r="G82" s="41"/>
      <c r="H82" s="41"/>
      <c r="I82" s="41"/>
      <c r="J82" s="41"/>
    </row>
    <row r="83" spans="1:13" ht="14.1" customHeight="1" x14ac:dyDescent="0.35">
      <c r="B83" s="482"/>
      <c r="C83" s="483"/>
      <c r="D83" s="526"/>
      <c r="E83" s="526"/>
      <c r="F83" s="526"/>
      <c r="G83" s="526"/>
      <c r="H83" s="526"/>
      <c r="I83" s="526"/>
      <c r="J83" s="526"/>
    </row>
    <row r="84" spans="1:13" x14ac:dyDescent="0.25">
      <c r="A84" s="18"/>
      <c r="B84" s="18"/>
      <c r="C84" s="20"/>
      <c r="D84" s="65"/>
      <c r="E84" s="65"/>
      <c r="F84" s="65"/>
      <c r="G84" s="65"/>
      <c r="H84" s="65"/>
      <c r="I84" s="65"/>
      <c r="J84" s="65"/>
    </row>
    <row r="85" spans="1:13" s="92" customFormat="1" ht="21" x14ac:dyDescent="0.35">
      <c r="A85" s="544" t="s">
        <v>116</v>
      </c>
      <c r="B85" s="126"/>
      <c r="C85" s="127"/>
      <c r="D85" s="128"/>
      <c r="E85" s="545"/>
      <c r="F85" s="545"/>
      <c r="G85" s="545"/>
      <c r="H85" s="545"/>
      <c r="I85" s="545"/>
      <c r="J85" s="545"/>
      <c r="M85" s="1"/>
    </row>
    <row r="86" spans="1:13" x14ac:dyDescent="0.25">
      <c r="A86" s="16" t="s">
        <v>117</v>
      </c>
      <c r="B86" s="16"/>
      <c r="C86" s="16"/>
      <c r="D86" s="55">
        <f>C7</f>
        <v>2951716</v>
      </c>
      <c r="E86" s="51">
        <f t="shared" ref="E86:J86" si="40">E22+E78</f>
        <v>3075471</v>
      </c>
      <c r="F86" s="42">
        <f t="shared" si="40"/>
        <v>3239889.3733816077</v>
      </c>
      <c r="G86" s="42">
        <f t="shared" si="40"/>
        <v>3376593.5866082534</v>
      </c>
      <c r="H86" s="42">
        <f t="shared" si="40"/>
        <v>3510716.5258314651</v>
      </c>
      <c r="I86" s="42">
        <f t="shared" si="40"/>
        <v>3644110.9673976786</v>
      </c>
      <c r="J86" s="42">
        <f t="shared" si="40"/>
        <v>3768824.6375683807</v>
      </c>
      <c r="L86" t="s">
        <v>383</v>
      </c>
    </row>
    <row r="87" spans="1:13" x14ac:dyDescent="0.25">
      <c r="A87" s="16" t="s">
        <v>118</v>
      </c>
      <c r="B87" s="16"/>
      <c r="C87" s="16"/>
      <c r="D87" s="74"/>
      <c r="E87" s="42">
        <f t="shared" ref="E87:J89" si="41">E24+E79</f>
        <v>52047.634078279647</v>
      </c>
      <c r="F87" s="42">
        <f t="shared" si="41"/>
        <v>61292.396782279815</v>
      </c>
      <c r="G87" s="42">
        <f t="shared" si="41"/>
        <v>67249.477184512129</v>
      </c>
      <c r="H87" s="42">
        <f t="shared" si="41"/>
        <v>69928.940728702291</v>
      </c>
      <c r="I87" s="42">
        <f t="shared" si="41"/>
        <v>72593.819592544227</v>
      </c>
      <c r="J87" s="42">
        <f t="shared" si="41"/>
        <v>75085.068387997671</v>
      </c>
      <c r="L87" t="s">
        <v>384</v>
      </c>
    </row>
    <row r="88" spans="1:13" x14ac:dyDescent="0.25">
      <c r="A88" s="16" t="s">
        <v>47</v>
      </c>
      <c r="B88" s="16"/>
      <c r="C88" s="16"/>
      <c r="D88" s="55">
        <f>C8</f>
        <v>108729</v>
      </c>
      <c r="E88" s="51">
        <f t="shared" si="41"/>
        <v>117620.26571313903</v>
      </c>
      <c r="F88" s="42">
        <f t="shared" si="41"/>
        <v>124733.53051899928</v>
      </c>
      <c r="G88" s="42">
        <f t="shared" si="41"/>
        <v>131532.42687091118</v>
      </c>
      <c r="H88" s="42">
        <f t="shared" si="41"/>
        <v>138540.48175682631</v>
      </c>
      <c r="I88" s="42">
        <f t="shared" si="41"/>
        <v>145751.97362056913</v>
      </c>
      <c r="J88" s="42">
        <f t="shared" si="41"/>
        <v>152992.78314358488</v>
      </c>
      <c r="L88" t="s">
        <v>385</v>
      </c>
    </row>
    <row r="89" spans="1:13" x14ac:dyDescent="0.25">
      <c r="A89" s="16" t="s">
        <v>119</v>
      </c>
      <c r="B89" s="16"/>
      <c r="C89" s="16"/>
      <c r="D89" s="42">
        <f>D26+D81</f>
        <v>3075471</v>
      </c>
      <c r="E89" s="42">
        <f t="shared" si="41"/>
        <v>3239889.3733816077</v>
      </c>
      <c r="F89" s="42">
        <f t="shared" si="41"/>
        <v>3376593.5866082534</v>
      </c>
      <c r="G89" s="42">
        <f t="shared" si="41"/>
        <v>3510716.5258314651</v>
      </c>
      <c r="H89" s="42">
        <f t="shared" si="41"/>
        <v>3644110.9673976786</v>
      </c>
      <c r="I89" s="42">
        <f t="shared" si="41"/>
        <v>3768824.6375683807</v>
      </c>
      <c r="J89" s="42">
        <f>J26+J81</f>
        <v>3876169.2854917636</v>
      </c>
      <c r="L89" t="s">
        <v>383</v>
      </c>
    </row>
    <row r="90" spans="1:13" x14ac:dyDescent="0.25">
      <c r="A90" s="21" t="s">
        <v>120</v>
      </c>
      <c r="B90" s="16"/>
      <c r="C90" s="16"/>
      <c r="D90" s="153"/>
      <c r="E90" s="42">
        <f t="shared" ref="E90:J90" si="42">E86+E32+E87-E88-E23-E89</f>
        <v>0</v>
      </c>
      <c r="F90" s="42">
        <f t="shared" si="42"/>
        <v>0</v>
      </c>
      <c r="G90" s="42">
        <f t="shared" si="42"/>
        <v>0</v>
      </c>
      <c r="H90" s="42">
        <f t="shared" si="42"/>
        <v>0</v>
      </c>
      <c r="I90" s="42">
        <f t="shared" si="42"/>
        <v>0</v>
      </c>
      <c r="J90" s="42">
        <f t="shared" si="42"/>
        <v>0</v>
      </c>
    </row>
    <row r="91" spans="1:13" ht="14.45" customHeight="1" x14ac:dyDescent="0.25">
      <c r="A91" s="235"/>
      <c r="B91" s="17"/>
      <c r="C91" s="17"/>
      <c r="D91" s="17"/>
      <c r="E91" s="17"/>
      <c r="F91" s="17"/>
      <c r="G91" s="17"/>
      <c r="H91" s="17"/>
      <c r="I91" s="17"/>
      <c r="J91" s="17"/>
    </row>
    <row r="92" spans="1:13" x14ac:dyDescent="0.25">
      <c r="A92" s="18"/>
      <c r="B92" s="15"/>
      <c r="C92" s="22"/>
      <c r="D92" s="66"/>
      <c r="E92" s="66"/>
      <c r="F92" s="66"/>
      <c r="G92" s="66"/>
      <c r="H92" s="66"/>
      <c r="I92" s="66"/>
      <c r="J92" s="66"/>
    </row>
    <row r="93" spans="1:13" s="92" customFormat="1" ht="23.25" x14ac:dyDescent="0.35">
      <c r="A93" s="546" t="s">
        <v>83</v>
      </c>
      <c r="B93" s="121"/>
      <c r="C93" s="130"/>
      <c r="D93" s="123"/>
      <c r="E93" s="123"/>
      <c r="F93" s="123"/>
      <c r="G93" s="123"/>
      <c r="H93" s="123"/>
      <c r="I93" s="123"/>
      <c r="J93" s="123"/>
      <c r="M93" s="1"/>
    </row>
    <row r="94" spans="1:13" x14ac:dyDescent="0.25">
      <c r="A94" s="23" t="s">
        <v>98</v>
      </c>
      <c r="B94" s="547"/>
      <c r="C94" s="547"/>
      <c r="D94" s="45"/>
      <c r="E94" s="45">
        <f>E21</f>
        <v>26.147458359775221</v>
      </c>
      <c r="F94" s="45">
        <f t="shared" ref="F94:J94" si="43">F21</f>
        <v>25.147458359775221</v>
      </c>
      <c r="G94" s="45">
        <f t="shared" si="43"/>
        <v>24.147458359775221</v>
      </c>
      <c r="H94" s="45">
        <f t="shared" si="43"/>
        <v>23.147458359775221</v>
      </c>
      <c r="I94" s="45">
        <f t="shared" si="43"/>
        <v>22.147458359775221</v>
      </c>
      <c r="J94" s="45">
        <f t="shared" si="43"/>
        <v>21.147458359775221</v>
      </c>
      <c r="L94" t="s">
        <v>373</v>
      </c>
    </row>
    <row r="95" spans="1:13" x14ac:dyDescent="0.25">
      <c r="A95" s="16" t="s">
        <v>47</v>
      </c>
      <c r="B95" s="16"/>
      <c r="C95" s="16"/>
      <c r="D95" s="42">
        <f t="shared" ref="D95:J95" si="44">D88</f>
        <v>108729</v>
      </c>
      <c r="E95" s="42">
        <f t="shared" si="44"/>
        <v>117620.26571313903</v>
      </c>
      <c r="F95" s="42">
        <f t="shared" si="44"/>
        <v>124733.53051899928</v>
      </c>
      <c r="G95" s="42">
        <f t="shared" si="44"/>
        <v>131532.42687091118</v>
      </c>
      <c r="H95" s="42">
        <f t="shared" si="44"/>
        <v>138540.48175682631</v>
      </c>
      <c r="I95" s="42">
        <f t="shared" si="44"/>
        <v>145751.97362056913</v>
      </c>
      <c r="J95" s="42">
        <f t="shared" si="44"/>
        <v>152992.78314358488</v>
      </c>
      <c r="L95" t="s">
        <v>373</v>
      </c>
    </row>
    <row r="96" spans="1:13" x14ac:dyDescent="0.25">
      <c r="A96" s="16" t="s">
        <v>117</v>
      </c>
      <c r="B96" s="16"/>
      <c r="C96" s="16"/>
      <c r="D96" s="42">
        <f>D86</f>
        <v>2951716</v>
      </c>
      <c r="E96" s="42">
        <f t="shared" ref="E96:J97" si="45">E86</f>
        <v>3075471</v>
      </c>
      <c r="F96" s="42">
        <f t="shared" si="45"/>
        <v>3239889.3733816077</v>
      </c>
      <c r="G96" s="42">
        <f t="shared" si="45"/>
        <v>3376593.5866082534</v>
      </c>
      <c r="H96" s="42">
        <f t="shared" si="45"/>
        <v>3510716.5258314651</v>
      </c>
      <c r="I96" s="42">
        <f t="shared" si="45"/>
        <v>3644110.9673976786</v>
      </c>
      <c r="J96" s="42">
        <f t="shared" si="45"/>
        <v>3768824.6375683807</v>
      </c>
      <c r="L96" t="s">
        <v>373</v>
      </c>
    </row>
    <row r="97" spans="1:12" x14ac:dyDescent="0.25">
      <c r="A97" s="16" t="s">
        <v>118</v>
      </c>
      <c r="B97" s="16"/>
      <c r="C97" s="16"/>
      <c r="D97" s="42"/>
      <c r="E97" s="42">
        <f t="shared" si="45"/>
        <v>52047.634078279647</v>
      </c>
      <c r="F97" s="42">
        <f t="shared" si="45"/>
        <v>61292.396782279815</v>
      </c>
      <c r="G97" s="42">
        <f t="shared" si="45"/>
        <v>67249.477184512129</v>
      </c>
      <c r="H97" s="42">
        <f t="shared" si="45"/>
        <v>69928.940728702291</v>
      </c>
      <c r="I97" s="42">
        <f t="shared" si="45"/>
        <v>72593.819592544227</v>
      </c>
      <c r="J97" s="42">
        <f t="shared" si="45"/>
        <v>75085.068387997671</v>
      </c>
      <c r="L97" t="s">
        <v>373</v>
      </c>
    </row>
    <row r="98" spans="1:12" x14ac:dyDescent="0.25">
      <c r="A98" s="16" t="s">
        <v>119</v>
      </c>
      <c r="B98" s="16"/>
      <c r="C98" s="16"/>
      <c r="D98" s="42">
        <f t="shared" ref="D98:J98" si="46">D89</f>
        <v>3075471</v>
      </c>
      <c r="E98" s="42">
        <f t="shared" si="46"/>
        <v>3239889.3733816077</v>
      </c>
      <c r="F98" s="42">
        <f t="shared" si="46"/>
        <v>3376593.5866082534</v>
      </c>
      <c r="G98" s="42">
        <f t="shared" si="46"/>
        <v>3510716.5258314651</v>
      </c>
      <c r="H98" s="42">
        <f t="shared" si="46"/>
        <v>3644110.9673976786</v>
      </c>
      <c r="I98" s="42">
        <f t="shared" si="46"/>
        <v>3768824.6375683807</v>
      </c>
      <c r="J98" s="42">
        <f t="shared" si="46"/>
        <v>3876169.2854917636</v>
      </c>
      <c r="L98" t="s">
        <v>373</v>
      </c>
    </row>
    <row r="99" spans="1:12" s="1" customFormat="1" ht="15" customHeight="1" x14ac:dyDescent="0.25">
      <c r="A99" s="16" t="s">
        <v>54</v>
      </c>
      <c r="B99" s="16"/>
      <c r="C99" s="16"/>
      <c r="D99" s="42">
        <f t="shared" ref="D99:J99" si="47">$C$13*D96/$D$96</f>
        <v>3983.6873940243322</v>
      </c>
      <c r="E99" s="42">
        <f t="shared" si="47"/>
        <v>4150.7093004162352</v>
      </c>
      <c r="F99" s="42">
        <f t="shared" si="47"/>
        <v>4372.6112047275901</v>
      </c>
      <c r="G99" s="42">
        <f t="shared" si="47"/>
        <v>4557.1095951354082</v>
      </c>
      <c r="H99" s="42">
        <f t="shared" si="47"/>
        <v>4738.1242531285889</v>
      </c>
      <c r="I99" s="42">
        <f t="shared" si="47"/>
        <v>4918.1557179782694</v>
      </c>
      <c r="J99" s="42">
        <f t="shared" si="47"/>
        <v>5086.4714623525706</v>
      </c>
      <c r="L99" s="1" t="s">
        <v>386</v>
      </c>
    </row>
    <row r="100" spans="1:12" ht="15" customHeight="1" x14ac:dyDescent="0.25">
      <c r="A100" s="17"/>
      <c r="B100" s="17"/>
      <c r="C100" s="17"/>
      <c r="D100" s="41"/>
      <c r="E100" s="41"/>
      <c r="F100" s="41"/>
      <c r="G100" s="41"/>
      <c r="H100" s="41"/>
      <c r="I100" s="41"/>
      <c r="J100" s="41"/>
    </row>
    <row r="102" spans="1:12" ht="15" customHeight="1" x14ac:dyDescent="0.25">
      <c r="D102" s="259"/>
      <c r="E102" s="259"/>
      <c r="F102" s="259"/>
      <c r="G102" s="259"/>
      <c r="H102" s="259"/>
      <c r="I102" s="259"/>
      <c r="J102" s="259"/>
    </row>
    <row r="113" spans="12:12" ht="15" customHeight="1" x14ac:dyDescent="0.25">
      <c r="L113" s="548"/>
    </row>
  </sheetData>
  <pageMargins left="0.23622047244094491" right="0.23622047244094491" top="0.74803149606299213" bottom="0.74803149606299213" header="0.31496062992125984" footer="0.31496062992125984"/>
  <pageSetup paperSize="9" scale="40" fitToHeight="0" orientation="portrait" r:id="rId1"/>
  <rowBreaks count="1" manualBreakCount="1">
    <brk id="67"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6C3E8-FCC0-47C0-8EEC-0658793BF13F}">
  <sheetPr codeName="Sheet12">
    <pageSetUpPr fitToPage="1"/>
  </sheetPr>
  <dimension ref="A1:M110"/>
  <sheetViews>
    <sheetView showGridLines="0" view="pageBreakPreview" zoomScaleNormal="100" zoomScaleSheetLayoutView="100" workbookViewId="0"/>
  </sheetViews>
  <sheetFormatPr defaultColWidth="9.140625" defaultRowHeight="15" customHeight="1" x14ac:dyDescent="0.25"/>
  <cols>
    <col min="1" max="1" width="55.140625" customWidth="1"/>
    <col min="2" max="2" width="12.5703125" customWidth="1"/>
    <col min="3" max="3" width="12" customWidth="1"/>
    <col min="4" max="10" width="11.85546875" customWidth="1"/>
    <col min="11" max="11" width="2.85546875" customWidth="1"/>
    <col min="12" max="12" width="41.140625" bestFit="1" customWidth="1"/>
    <col min="13" max="13" width="3.85546875" style="1" customWidth="1"/>
    <col min="14" max="16384" width="9.140625" style="1"/>
  </cols>
  <sheetData>
    <row r="1" spans="1:13" ht="15" customHeight="1" x14ac:dyDescent="0.25">
      <c r="A1" s="97" t="s">
        <v>547</v>
      </c>
      <c r="B1" s="97"/>
      <c r="C1" s="97"/>
      <c r="D1" s="97"/>
      <c r="E1" s="97"/>
      <c r="F1" s="97"/>
      <c r="G1" s="97"/>
      <c r="H1" s="97"/>
      <c r="I1" s="97"/>
      <c r="J1" s="97"/>
      <c r="K1" s="97"/>
      <c r="L1" s="97"/>
    </row>
    <row r="2" spans="1:13" ht="39.950000000000003" customHeight="1" x14ac:dyDescent="0.35">
      <c r="A2" s="514" t="s">
        <v>387</v>
      </c>
      <c r="B2" s="92"/>
      <c r="C2" s="92"/>
      <c r="D2" s="92"/>
      <c r="E2" s="92"/>
      <c r="F2" s="92"/>
      <c r="G2" s="92"/>
      <c r="H2" s="92"/>
      <c r="I2" s="92"/>
      <c r="J2" s="516" t="str">
        <f>EDB_Name</f>
        <v>Vector Lines</v>
      </c>
      <c r="K2" s="92"/>
      <c r="L2" s="92"/>
    </row>
    <row r="3" spans="1:13" ht="20.100000000000001" customHeight="1" x14ac:dyDescent="0.25">
      <c r="A3" s="517" t="s">
        <v>121</v>
      </c>
      <c r="B3" s="486"/>
    </row>
    <row r="4" spans="1:13" ht="39.75" customHeight="1" x14ac:dyDescent="0.25"/>
    <row r="5" spans="1:13" ht="23.25" x14ac:dyDescent="0.35">
      <c r="A5" s="487" t="s">
        <v>12</v>
      </c>
      <c r="B5" s="487"/>
      <c r="C5" s="487"/>
      <c r="D5" s="519"/>
      <c r="E5" s="519"/>
      <c r="F5" s="519"/>
      <c r="G5" s="519"/>
      <c r="H5" s="519"/>
      <c r="I5" s="519"/>
      <c r="J5" s="519"/>
      <c r="K5" s="487"/>
      <c r="L5" s="487"/>
      <c r="M5" s="549"/>
    </row>
    <row r="6" spans="1:13" ht="14.45" customHeight="1" x14ac:dyDescent="0.35">
      <c r="A6" s="550"/>
      <c r="B6" s="551" t="s">
        <v>122</v>
      </c>
      <c r="C6" s="551"/>
      <c r="D6" s="156" t="s">
        <v>424</v>
      </c>
      <c r="E6" s="157" t="s">
        <v>425</v>
      </c>
      <c r="F6" s="157" t="s">
        <v>426</v>
      </c>
      <c r="G6" s="157" t="s">
        <v>427</v>
      </c>
      <c r="H6" s="157" t="s">
        <v>428</v>
      </c>
      <c r="I6" s="157" t="s">
        <v>319</v>
      </c>
      <c r="J6" s="157" t="s">
        <v>320</v>
      </c>
      <c r="K6" s="1"/>
      <c r="L6" s="1"/>
    </row>
    <row r="7" spans="1:13" x14ac:dyDescent="0.25">
      <c r="A7" s="467" t="s">
        <v>32</v>
      </c>
      <c r="B7" s="467" t="s">
        <v>70</v>
      </c>
      <c r="C7" s="467"/>
      <c r="D7" s="56">
        <f>'EDB data (DPP)'!B22</f>
        <v>1</v>
      </c>
      <c r="E7" s="42">
        <f>'EDB data (DPP)'!C22</f>
        <v>2</v>
      </c>
      <c r="F7" s="42">
        <f>'EDB data (DPP)'!D22</f>
        <v>3</v>
      </c>
      <c r="G7" s="42">
        <f>'EDB data (DPP)'!E22</f>
        <v>4</v>
      </c>
      <c r="H7" s="42">
        <f>'EDB data (DPP)'!F22</f>
        <v>5</v>
      </c>
      <c r="I7" s="42">
        <f>'EDB data (DPP)'!G22</f>
        <v>6</v>
      </c>
      <c r="J7" s="42">
        <f>'EDB data (DPP)'!H22</f>
        <v>7</v>
      </c>
    </row>
    <row r="8" spans="1:13" x14ac:dyDescent="0.25">
      <c r="A8" s="467" t="s">
        <v>123</v>
      </c>
      <c r="B8" s="467" t="s">
        <v>70</v>
      </c>
      <c r="C8" s="467"/>
      <c r="D8" s="154">
        <f>'EDB data (DPP)'!B26</f>
        <v>0.28000000000000003</v>
      </c>
      <c r="E8" s="161">
        <f>'EDB data (DPP)'!C26</f>
        <v>0.28000000000000003</v>
      </c>
      <c r="F8" s="161">
        <f>'EDB data (DPP)'!D26</f>
        <v>0.28000000000000003</v>
      </c>
      <c r="G8" s="161">
        <f>'EDB data (DPP)'!E26</f>
        <v>0.28000000000000003</v>
      </c>
      <c r="H8" s="161">
        <f>'EDB data (DPP)'!F26</f>
        <v>0.28000000000000003</v>
      </c>
      <c r="I8" s="161">
        <f>'EDB data (DPP)'!G26</f>
        <v>0.28000000000000003</v>
      </c>
      <c r="J8" s="151">
        <f>'EDB data (DPP)'!H26</f>
        <v>0.28000000000000003</v>
      </c>
    </row>
    <row r="9" spans="1:13" x14ac:dyDescent="0.25">
      <c r="A9" s="467" t="s">
        <v>57</v>
      </c>
      <c r="B9" s="467" t="s">
        <v>70</v>
      </c>
      <c r="C9" s="467"/>
      <c r="D9" s="56">
        <f>'EDB data (DPP)'!$B50</f>
        <v>203460</v>
      </c>
      <c r="E9" s="51">
        <f>'EDB data (DPP)'!$B51</f>
        <v>240761</v>
      </c>
      <c r="F9" s="51">
        <f>'EDB data (DPP)'!$B52</f>
        <v>211119.9718515854</v>
      </c>
      <c r="G9" s="51">
        <f>'EDB data (DPP)'!$B53</f>
        <v>209600.00629559506</v>
      </c>
      <c r="H9" s="51">
        <f>'EDB data (DPP)'!$B54</f>
        <v>213423.98232804175</v>
      </c>
      <c r="I9" s="552">
        <f>'EDB data (DPP)'!$B55</f>
        <v>209518.18392710513</v>
      </c>
      <c r="J9" s="51">
        <f>'EDB data (DPP)'!$B56</f>
        <v>197131.64960191568</v>
      </c>
    </row>
    <row r="10" spans="1:13" x14ac:dyDescent="0.25">
      <c r="A10" s="467" t="s">
        <v>96</v>
      </c>
      <c r="B10" s="467" t="s">
        <v>70</v>
      </c>
      <c r="C10" s="467"/>
      <c r="D10" s="56">
        <f>'EDB data (DPP)'!B14</f>
        <v>44</v>
      </c>
      <c r="E10" s="151"/>
      <c r="F10" s="151"/>
      <c r="G10" s="151"/>
      <c r="H10" s="151"/>
      <c r="I10" s="151"/>
      <c r="J10" s="151"/>
    </row>
    <row r="11" spans="1:13" x14ac:dyDescent="0.25">
      <c r="A11" s="467" t="s">
        <v>53</v>
      </c>
      <c r="B11" s="467" t="s">
        <v>70</v>
      </c>
      <c r="C11" s="467"/>
      <c r="D11" s="53">
        <f>'EDB data (DPP)'!B36</f>
        <v>34300.677419354841</v>
      </c>
      <c r="E11" s="41"/>
      <c r="F11" s="41"/>
      <c r="G11" s="41"/>
      <c r="H11" s="41"/>
      <c r="I11" s="41"/>
      <c r="J11" s="42"/>
    </row>
    <row r="12" spans="1:13" x14ac:dyDescent="0.25">
      <c r="A12" s="467" t="s">
        <v>60</v>
      </c>
      <c r="B12" s="467" t="s">
        <v>70</v>
      </c>
      <c r="C12" s="467"/>
      <c r="D12" s="56">
        <f>'EDB data (DPP)'!$B59</f>
        <v>7412</v>
      </c>
      <c r="E12" s="51">
        <f>'EDB data (DPP)'!$B60</f>
        <v>10769.994983532757</v>
      </c>
      <c r="F12" s="51">
        <f>'EDB data (DPP)'!$B61</f>
        <v>10974.62488821988</v>
      </c>
      <c r="G12" s="51">
        <f>'EDB data (DPP)'!$B62</f>
        <v>11194.117385984278</v>
      </c>
      <c r="H12" s="51">
        <f>'EDB data (DPP)'!$B63</f>
        <v>11417.999733703964</v>
      </c>
      <c r="I12" s="552">
        <f>'EDB data (DPP)'!$B64</f>
        <v>11646.359728378044</v>
      </c>
      <c r="J12" s="51">
        <f>'EDB data (DPP)'!$B65</f>
        <v>11879.286922945606</v>
      </c>
    </row>
    <row r="13" spans="1:13" x14ac:dyDescent="0.25">
      <c r="A13" s="467" t="s">
        <v>49</v>
      </c>
      <c r="B13" s="467" t="s">
        <v>70</v>
      </c>
      <c r="C13" s="467"/>
      <c r="D13" s="56">
        <f>'EDB data (DPP)'!B32</f>
        <v>2695210</v>
      </c>
      <c r="E13" s="161"/>
      <c r="F13" s="161"/>
      <c r="G13" s="161"/>
      <c r="H13" s="161"/>
      <c r="I13" s="161"/>
      <c r="J13" s="161"/>
    </row>
    <row r="14" spans="1:13" x14ac:dyDescent="0.25">
      <c r="A14" s="467" t="s">
        <v>50</v>
      </c>
      <c r="B14" s="467" t="s">
        <v>70</v>
      </c>
      <c r="C14" s="467"/>
      <c r="D14" s="56">
        <f>'EDB data (DPP)'!B33</f>
        <v>99210</v>
      </c>
      <c r="E14" s="37"/>
      <c r="F14" s="37"/>
      <c r="G14" s="37"/>
      <c r="H14" s="37"/>
      <c r="I14" s="37"/>
      <c r="J14" s="37"/>
    </row>
    <row r="15" spans="1:13" x14ac:dyDescent="0.25">
      <c r="A15" s="467" t="s">
        <v>51</v>
      </c>
      <c r="B15" s="467" t="s">
        <v>70</v>
      </c>
      <c r="C15" s="467"/>
      <c r="D15" s="56">
        <f>'EDB data (DPP)'!B34</f>
        <v>103486</v>
      </c>
      <c r="E15" s="1"/>
      <c r="F15" s="1"/>
      <c r="G15" s="1"/>
      <c r="H15" s="1"/>
      <c r="I15" s="1"/>
      <c r="J15" s="1"/>
    </row>
    <row r="16" spans="1:13" x14ac:dyDescent="0.25">
      <c r="A16" s="467" t="s">
        <v>52</v>
      </c>
      <c r="B16" s="467" t="s">
        <v>70</v>
      </c>
      <c r="C16" s="467"/>
      <c r="D16" s="56">
        <f>'EDB data (DPP)'!B35</f>
        <v>1224826</v>
      </c>
      <c r="E16" s="1"/>
      <c r="F16" s="1"/>
      <c r="G16" s="1"/>
      <c r="H16" s="1"/>
      <c r="I16" s="1"/>
      <c r="J16" s="1"/>
    </row>
    <row r="17" spans="1:12" x14ac:dyDescent="0.25">
      <c r="A17" s="467" t="s">
        <v>55</v>
      </c>
      <c r="B17" s="467" t="s">
        <v>70</v>
      </c>
      <c r="C17" s="467"/>
      <c r="D17" s="56">
        <f>'EDB data (DPP)'!B38</f>
        <v>-83664</v>
      </c>
      <c r="E17" s="1"/>
      <c r="F17" s="1"/>
      <c r="G17" s="1"/>
      <c r="H17" s="1"/>
      <c r="I17" s="1"/>
      <c r="J17" s="1"/>
    </row>
    <row r="18" spans="1:12" x14ac:dyDescent="0.25">
      <c r="A18" s="467" t="s">
        <v>13</v>
      </c>
      <c r="B18" s="467" t="s">
        <v>70</v>
      </c>
      <c r="C18" s="467"/>
      <c r="D18" s="155">
        <f>'EDB data (DPP)'!B12</f>
        <v>2.92E-2</v>
      </c>
      <c r="E18" s="1"/>
      <c r="F18" s="1"/>
      <c r="G18" s="1"/>
      <c r="H18" s="1"/>
      <c r="I18" s="1"/>
      <c r="J18" s="1"/>
    </row>
    <row r="19" spans="1:12" x14ac:dyDescent="0.25">
      <c r="A19" s="467" t="s">
        <v>42</v>
      </c>
      <c r="B19" s="467" t="s">
        <v>70</v>
      </c>
      <c r="C19" s="467"/>
      <c r="D19" s="155">
        <f>'EDB data (DPP)'!B13</f>
        <v>0.42</v>
      </c>
      <c r="E19" s="1"/>
      <c r="F19" s="1"/>
      <c r="G19" s="1"/>
      <c r="H19" s="1"/>
      <c r="I19" s="1"/>
      <c r="J19" s="1"/>
    </row>
    <row r="20" spans="1:12" x14ac:dyDescent="0.25">
      <c r="A20" s="467" t="s">
        <v>98</v>
      </c>
      <c r="B20" s="467" t="s">
        <v>124</v>
      </c>
      <c r="C20" s="467"/>
      <c r="D20" s="56"/>
      <c r="E20" s="168">
        <f>'RAB (DPP)'!E94</f>
        <v>26.147458359775221</v>
      </c>
      <c r="F20" s="168">
        <f>'RAB (DPP)'!F94</f>
        <v>25.147458359775221</v>
      </c>
      <c r="G20" s="168">
        <f>'RAB (DPP)'!G94</f>
        <v>24.147458359775221</v>
      </c>
      <c r="H20" s="168">
        <f>'RAB (DPP)'!H94</f>
        <v>23.147458359775221</v>
      </c>
      <c r="I20" s="168">
        <f>'RAB (DPP)'!I94</f>
        <v>22.147458359775221</v>
      </c>
      <c r="J20" s="168">
        <f>'RAB (DPP)'!J94</f>
        <v>21.147458359775221</v>
      </c>
    </row>
    <row r="21" spans="1:12" x14ac:dyDescent="0.25">
      <c r="A21" s="467" t="s">
        <v>47</v>
      </c>
      <c r="B21" s="467" t="s">
        <v>124</v>
      </c>
      <c r="C21" s="467"/>
      <c r="D21" s="56">
        <f>'RAB (DPP)'!D95</f>
        <v>108729</v>
      </c>
      <c r="E21" s="42">
        <f>'RAB (DPP)'!E95</f>
        <v>117620.26571313903</v>
      </c>
      <c r="F21" s="42">
        <f>'RAB (DPP)'!F95</f>
        <v>124733.53051899928</v>
      </c>
      <c r="G21" s="42">
        <f>'RAB (DPP)'!G95</f>
        <v>131532.42687091118</v>
      </c>
      <c r="H21" s="42">
        <f>'RAB (DPP)'!H95</f>
        <v>138540.48175682631</v>
      </c>
      <c r="I21" s="42">
        <f>'RAB (DPP)'!I95</f>
        <v>145751.97362056913</v>
      </c>
      <c r="J21" s="42">
        <f>'RAB (DPP)'!J95</f>
        <v>152992.78314358488</v>
      </c>
    </row>
    <row r="22" spans="1:12" x14ac:dyDescent="0.25">
      <c r="A22" s="467" t="s">
        <v>54</v>
      </c>
      <c r="B22" s="467" t="s">
        <v>124</v>
      </c>
      <c r="C22" s="467"/>
      <c r="D22" s="56">
        <f>'RAB (DPP)'!D99</f>
        <v>3983.6873940243322</v>
      </c>
      <c r="E22" s="42">
        <f>'RAB (DPP)'!E99</f>
        <v>4150.7093004162352</v>
      </c>
      <c r="F22" s="42">
        <f>'RAB (DPP)'!F99</f>
        <v>4372.6112047275901</v>
      </c>
      <c r="G22" s="42">
        <f>'RAB (DPP)'!G99</f>
        <v>4557.1095951354082</v>
      </c>
      <c r="H22" s="42">
        <f>'RAB (DPP)'!H99</f>
        <v>4738.1242531285889</v>
      </c>
      <c r="I22" s="42">
        <f>'RAB (DPP)'!I99</f>
        <v>4918.1557179782694</v>
      </c>
      <c r="J22" s="42">
        <f>'RAB (DPP)'!J99</f>
        <v>5086.4714623525706</v>
      </c>
    </row>
    <row r="23" spans="1:12" x14ac:dyDescent="0.25">
      <c r="A23" s="467" t="s">
        <v>117</v>
      </c>
      <c r="B23" s="467" t="s">
        <v>124</v>
      </c>
      <c r="C23" s="467"/>
      <c r="D23" s="56">
        <f>'BBAR (DPP)'!D56</f>
        <v>2868052</v>
      </c>
      <c r="E23" s="42">
        <f>'BBAR (DPP)'!E56</f>
        <v>2981005.5303225806</v>
      </c>
      <c r="F23" s="42">
        <f>'BBAR (DPP)'!F56</f>
        <v>3134377.1586318631</v>
      </c>
      <c r="G23" s="42">
        <f>'BBAR (DPP)'!G56</f>
        <v>3258399.0987708946</v>
      </c>
      <c r="H23" s="42">
        <f>'BBAR (DPP)'!H56</f>
        <v>3378967.0037334603</v>
      </c>
      <c r="I23" s="42">
        <f>'BBAR (DPP)'!I56</f>
        <v>3498128.2830679491</v>
      </c>
      <c r="J23" s="42">
        <f>'BBAR (DPP)'!J56</f>
        <v>3608014.1374917841</v>
      </c>
    </row>
    <row r="24" spans="1:12" ht="14.45" customHeight="1" x14ac:dyDescent="0.25">
      <c r="A24" s="553"/>
      <c r="B24" s="467"/>
      <c r="C24" s="467"/>
      <c r="D24" s="53"/>
      <c r="E24" s="42"/>
      <c r="F24" s="42"/>
      <c r="G24" s="42"/>
      <c r="H24" s="42"/>
      <c r="I24" s="42"/>
      <c r="J24" s="42"/>
    </row>
    <row r="25" spans="1:12" ht="35.1" customHeight="1" x14ac:dyDescent="0.35">
      <c r="A25" s="131" t="s">
        <v>71</v>
      </c>
      <c r="B25" s="554"/>
      <c r="C25" s="555"/>
      <c r="D25" s="524"/>
      <c r="E25" s="554"/>
      <c r="F25" s="554"/>
      <c r="G25" s="554"/>
      <c r="H25" s="554"/>
      <c r="I25" s="554"/>
      <c r="J25" s="554"/>
      <c r="K25" s="92"/>
      <c r="L25" s="92"/>
    </row>
    <row r="26" spans="1:12" ht="21" x14ac:dyDescent="0.35">
      <c r="A26" s="556" t="s">
        <v>126</v>
      </c>
      <c r="B26" s="177"/>
      <c r="C26" s="178"/>
      <c r="D26" s="179"/>
      <c r="E26" s="179"/>
      <c r="F26" s="179"/>
      <c r="G26" s="179"/>
      <c r="H26" s="179"/>
      <c r="I26" s="179"/>
      <c r="J26" s="179"/>
      <c r="K26" s="95"/>
      <c r="L26" s="95"/>
    </row>
    <row r="27" spans="1:12" x14ac:dyDescent="0.25">
      <c r="A27" s="467"/>
      <c r="B27" s="175"/>
      <c r="C27" s="183" t="s">
        <v>31</v>
      </c>
      <c r="D27" s="176" t="str">
        <f>D6</f>
        <v>2018/19</v>
      </c>
      <c r="E27" s="176" t="str">
        <f t="shared" ref="E27:J27" si="0">E6</f>
        <v>2019/20</v>
      </c>
      <c r="F27" s="176" t="str">
        <f t="shared" si="0"/>
        <v>2020/21</v>
      </c>
      <c r="G27" s="176" t="str">
        <f t="shared" si="0"/>
        <v>2021/22</v>
      </c>
      <c r="H27" s="176" t="str">
        <f t="shared" si="0"/>
        <v>2022/23</v>
      </c>
      <c r="I27" s="176" t="str">
        <f t="shared" si="0"/>
        <v>2023/24</v>
      </c>
      <c r="J27" s="176" t="str">
        <f t="shared" si="0"/>
        <v>2024/25</v>
      </c>
      <c r="K27" s="1"/>
      <c r="L27" s="1"/>
    </row>
    <row r="28" spans="1:12" x14ac:dyDescent="0.25">
      <c r="A28" s="174" t="s">
        <v>105</v>
      </c>
      <c r="B28" s="467"/>
      <c r="C28" s="60"/>
      <c r="D28" s="41">
        <f t="shared" ref="D28:J28" si="1">D9</f>
        <v>203460</v>
      </c>
      <c r="E28" s="41">
        <f t="shared" si="1"/>
        <v>240761</v>
      </c>
      <c r="F28" s="41">
        <f t="shared" si="1"/>
        <v>211119.9718515854</v>
      </c>
      <c r="G28" s="41">
        <f t="shared" si="1"/>
        <v>209600.00629559506</v>
      </c>
      <c r="H28" s="41">
        <f t="shared" si="1"/>
        <v>213423.98232804175</v>
      </c>
      <c r="I28" s="41">
        <f t="shared" si="1"/>
        <v>209518.18392710513</v>
      </c>
      <c r="J28" s="41">
        <f t="shared" si="1"/>
        <v>197131.64960191568</v>
      </c>
      <c r="L28" t="s">
        <v>373</v>
      </c>
    </row>
    <row r="29" spans="1:12" ht="24.95" customHeight="1" x14ac:dyDescent="0.25">
      <c r="A29" s="256" t="str">
        <f>" Assets commissioned in " &amp; $E$27</f>
        <v xml:space="preserve"> Assets commissioned in 2019/20</v>
      </c>
      <c r="B29" s="557"/>
      <c r="C29" s="558"/>
      <c r="D29" s="559"/>
      <c r="E29" s="95"/>
      <c r="F29" s="95"/>
      <c r="G29" s="95"/>
      <c r="H29" s="95"/>
      <c r="I29" s="95"/>
      <c r="J29" s="95"/>
      <c r="K29" s="95"/>
      <c r="L29" s="95"/>
    </row>
    <row r="30" spans="1:12" x14ac:dyDescent="0.25">
      <c r="A30" s="162" t="s">
        <v>106</v>
      </c>
      <c r="B30" s="162"/>
      <c r="C30" s="184">
        <f>E7</f>
        <v>2</v>
      </c>
      <c r="D30" s="43"/>
      <c r="E30" s="168"/>
      <c r="F30" s="168"/>
      <c r="G30" s="168"/>
      <c r="H30" s="168"/>
      <c r="I30" s="168"/>
      <c r="J30" s="168"/>
    </row>
    <row r="31" spans="1:12" x14ac:dyDescent="0.25">
      <c r="A31" s="19" t="s">
        <v>127</v>
      </c>
      <c r="B31" s="19"/>
      <c r="C31" s="186"/>
      <c r="D31" s="561">
        <v>0</v>
      </c>
      <c r="E31" s="51">
        <f t="shared" ref="E31:J31" si="2">D34</f>
        <v>0</v>
      </c>
      <c r="F31" s="42">
        <f t="shared" si="2"/>
        <v>240761</v>
      </c>
      <c r="G31" s="42">
        <f t="shared" si="2"/>
        <v>235289.15909090909</v>
      </c>
      <c r="H31" s="42">
        <f t="shared" si="2"/>
        <v>229817.31818181818</v>
      </c>
      <c r="I31" s="42">
        <f t="shared" si="2"/>
        <v>224345.47727272726</v>
      </c>
      <c r="J31" s="42">
        <f t="shared" si="2"/>
        <v>218873.63636363635</v>
      </c>
      <c r="L31" t="s">
        <v>388</v>
      </c>
    </row>
    <row r="32" spans="1:12" x14ac:dyDescent="0.25">
      <c r="A32" s="19" t="s">
        <v>107</v>
      </c>
      <c r="B32" s="19"/>
      <c r="C32" s="186"/>
      <c r="D32" s="52">
        <f>$D$10+$C30</f>
        <v>46</v>
      </c>
      <c r="E32" s="51">
        <f t="shared" ref="E32:J32" si="3">D32-1</f>
        <v>45</v>
      </c>
      <c r="F32" s="42">
        <f t="shared" si="3"/>
        <v>44</v>
      </c>
      <c r="G32" s="42">
        <f t="shared" si="3"/>
        <v>43</v>
      </c>
      <c r="H32" s="42">
        <f t="shared" si="3"/>
        <v>42</v>
      </c>
      <c r="I32" s="42">
        <f t="shared" si="3"/>
        <v>41</v>
      </c>
      <c r="J32" s="42">
        <f t="shared" si="3"/>
        <v>40</v>
      </c>
      <c r="L32" t="s">
        <v>389</v>
      </c>
    </row>
    <row r="33" spans="1:12" x14ac:dyDescent="0.25">
      <c r="A33" s="19" t="s">
        <v>50</v>
      </c>
      <c r="B33" s="19"/>
      <c r="C33" s="186"/>
      <c r="D33" s="42">
        <f t="shared" ref="D33:J33" si="4">D31/D32</f>
        <v>0</v>
      </c>
      <c r="E33" s="42">
        <f t="shared" si="4"/>
        <v>0</v>
      </c>
      <c r="F33" s="42">
        <f t="shared" si="4"/>
        <v>5471.840909090909</v>
      </c>
      <c r="G33" s="42">
        <f t="shared" si="4"/>
        <v>5471.840909090909</v>
      </c>
      <c r="H33" s="42">
        <f t="shared" si="4"/>
        <v>5471.840909090909</v>
      </c>
      <c r="I33" s="42">
        <f t="shared" si="4"/>
        <v>5471.840909090909</v>
      </c>
      <c r="J33" s="42">
        <f t="shared" si="4"/>
        <v>5471.840909090909</v>
      </c>
      <c r="L33" t="s">
        <v>390</v>
      </c>
    </row>
    <row r="34" spans="1:12" x14ac:dyDescent="0.25">
      <c r="A34" s="159" t="s">
        <v>128</v>
      </c>
      <c r="B34" s="159"/>
      <c r="C34" s="185"/>
      <c r="D34" s="41">
        <f t="shared" ref="D34:J34" si="5">D31-D33+IF($C30=D$7,D$28,0)</f>
        <v>0</v>
      </c>
      <c r="E34" s="41">
        <f t="shared" si="5"/>
        <v>240761</v>
      </c>
      <c r="F34" s="41">
        <f t="shared" si="5"/>
        <v>235289.15909090909</v>
      </c>
      <c r="G34" s="41">
        <f t="shared" si="5"/>
        <v>229817.31818181818</v>
      </c>
      <c r="H34" s="41">
        <f t="shared" si="5"/>
        <v>224345.47727272726</v>
      </c>
      <c r="I34" s="41">
        <f t="shared" si="5"/>
        <v>218873.63636363635</v>
      </c>
      <c r="J34" s="41">
        <f t="shared" si="5"/>
        <v>213401.79545454544</v>
      </c>
      <c r="L34" t="s">
        <v>381</v>
      </c>
    </row>
    <row r="35" spans="1:12" ht="24.95" customHeight="1" x14ac:dyDescent="0.25">
      <c r="A35" s="256" t="str">
        <f>" Assets commissioned in " &amp; $F$27</f>
        <v xml:space="preserve"> Assets commissioned in 2020/21</v>
      </c>
      <c r="B35" s="95"/>
      <c r="C35" s="562"/>
      <c r="D35" s="559"/>
      <c r="E35" s="95"/>
      <c r="F35" s="95"/>
      <c r="G35" s="95"/>
      <c r="H35" s="95"/>
      <c r="I35" s="95"/>
      <c r="J35" s="95"/>
      <c r="K35" s="95"/>
      <c r="L35" s="95"/>
    </row>
    <row r="36" spans="1:12" x14ac:dyDescent="0.25">
      <c r="A36" s="162" t="s">
        <v>106</v>
      </c>
      <c r="B36" s="162"/>
      <c r="C36" s="184">
        <f>F7</f>
        <v>3</v>
      </c>
      <c r="D36" s="43"/>
      <c r="E36" s="168"/>
      <c r="F36" s="168"/>
      <c r="G36" s="168"/>
      <c r="H36" s="168"/>
      <c r="I36" s="168"/>
      <c r="J36" s="168"/>
    </row>
    <row r="37" spans="1:12" x14ac:dyDescent="0.25">
      <c r="A37" s="19" t="s">
        <v>127</v>
      </c>
      <c r="B37" s="19"/>
      <c r="C37" s="19"/>
      <c r="D37" s="561">
        <v>0</v>
      </c>
      <c r="E37" s="51">
        <f t="shared" ref="E37:J37" si="6">D40</f>
        <v>0</v>
      </c>
      <c r="F37" s="42">
        <f t="shared" si="6"/>
        <v>0</v>
      </c>
      <c r="G37" s="42">
        <f t="shared" si="6"/>
        <v>211119.9718515854</v>
      </c>
      <c r="H37" s="42">
        <f t="shared" si="6"/>
        <v>206321.79067314029</v>
      </c>
      <c r="I37" s="42">
        <f t="shared" si="6"/>
        <v>201523.60949469518</v>
      </c>
      <c r="J37" s="42">
        <f t="shared" si="6"/>
        <v>196725.42831625007</v>
      </c>
    </row>
    <row r="38" spans="1:12" x14ac:dyDescent="0.25">
      <c r="A38" s="19" t="s">
        <v>107</v>
      </c>
      <c r="B38" s="19"/>
      <c r="C38" s="19"/>
      <c r="D38" s="52">
        <f>$D$10+$C36</f>
        <v>47</v>
      </c>
      <c r="E38" s="51">
        <f t="shared" ref="E38:J38" si="7">D38-1</f>
        <v>46</v>
      </c>
      <c r="F38" s="42">
        <f t="shared" si="7"/>
        <v>45</v>
      </c>
      <c r="G38" s="42">
        <f t="shared" si="7"/>
        <v>44</v>
      </c>
      <c r="H38" s="42">
        <f t="shared" si="7"/>
        <v>43</v>
      </c>
      <c r="I38" s="42">
        <f t="shared" si="7"/>
        <v>42</v>
      </c>
      <c r="J38" s="42">
        <f t="shared" si="7"/>
        <v>41</v>
      </c>
    </row>
    <row r="39" spans="1:12" x14ac:dyDescent="0.25">
      <c r="A39" s="19" t="s">
        <v>50</v>
      </c>
      <c r="B39" s="19"/>
      <c r="C39" s="19"/>
      <c r="D39" s="42">
        <f t="shared" ref="D39:J39" si="8">D37/D38</f>
        <v>0</v>
      </c>
      <c r="E39" s="42">
        <f t="shared" si="8"/>
        <v>0</v>
      </c>
      <c r="F39" s="42">
        <f t="shared" si="8"/>
        <v>0</v>
      </c>
      <c r="G39" s="42">
        <f t="shared" si="8"/>
        <v>4798.1811784451229</v>
      </c>
      <c r="H39" s="42">
        <f t="shared" si="8"/>
        <v>4798.1811784451229</v>
      </c>
      <c r="I39" s="42">
        <f t="shared" si="8"/>
        <v>4798.1811784451229</v>
      </c>
      <c r="J39" s="42">
        <f t="shared" si="8"/>
        <v>4798.1811784451238</v>
      </c>
    </row>
    <row r="40" spans="1:12" x14ac:dyDescent="0.25">
      <c r="A40" s="159" t="s">
        <v>128</v>
      </c>
      <c r="B40" s="159"/>
      <c r="C40" s="159"/>
      <c r="D40" s="42">
        <f t="shared" ref="D40:J40" si="9">D37-D39+IF($C36=D$7,D$28,0)</f>
        <v>0</v>
      </c>
      <c r="E40" s="42">
        <f t="shared" si="9"/>
        <v>0</v>
      </c>
      <c r="F40" s="41">
        <f t="shared" si="9"/>
        <v>211119.9718515854</v>
      </c>
      <c r="G40" s="41">
        <f t="shared" si="9"/>
        <v>206321.79067314029</v>
      </c>
      <c r="H40" s="41">
        <f t="shared" si="9"/>
        <v>201523.60949469518</v>
      </c>
      <c r="I40" s="41">
        <f t="shared" si="9"/>
        <v>196725.42831625007</v>
      </c>
      <c r="J40" s="41">
        <f t="shared" si="9"/>
        <v>191927.24713780495</v>
      </c>
    </row>
    <row r="41" spans="1:12" ht="24.95" customHeight="1" x14ac:dyDescent="0.25">
      <c r="A41" s="256" t="str">
        <f>" Assets commissioned in " &amp; $G$27</f>
        <v xml:space="preserve"> Assets commissioned in 2021/22</v>
      </c>
      <c r="B41" s="95"/>
      <c r="C41" s="562"/>
      <c r="D41" s="563"/>
      <c r="E41" s="557"/>
      <c r="F41" s="95"/>
      <c r="G41" s="95"/>
      <c r="H41" s="95"/>
      <c r="I41" s="95"/>
      <c r="J41" s="95"/>
      <c r="K41" s="95"/>
      <c r="L41" s="95"/>
    </row>
    <row r="42" spans="1:12" x14ac:dyDescent="0.25">
      <c r="A42" s="162" t="s">
        <v>106</v>
      </c>
      <c r="B42" s="162"/>
      <c r="C42" s="184">
        <f>G7</f>
        <v>4</v>
      </c>
      <c r="D42" s="43"/>
      <c r="E42" s="168"/>
      <c r="F42" s="168"/>
      <c r="G42" s="168"/>
      <c r="H42" s="168"/>
      <c r="I42" s="168"/>
      <c r="J42" s="168"/>
    </row>
    <row r="43" spans="1:12" x14ac:dyDescent="0.25">
      <c r="A43" s="19" t="s">
        <v>127</v>
      </c>
      <c r="B43" s="19"/>
      <c r="C43" s="19"/>
      <c r="D43" s="150">
        <v>0</v>
      </c>
      <c r="E43" s="51">
        <f t="shared" ref="E43:J43" si="10">D46</f>
        <v>0</v>
      </c>
      <c r="F43" s="42">
        <f t="shared" si="10"/>
        <v>0</v>
      </c>
      <c r="G43" s="42">
        <f t="shared" si="10"/>
        <v>0</v>
      </c>
      <c r="H43" s="42">
        <f t="shared" si="10"/>
        <v>209600.00629559506</v>
      </c>
      <c r="I43" s="42">
        <f t="shared" si="10"/>
        <v>204836.369788877</v>
      </c>
      <c r="J43" s="42">
        <f t="shared" si="10"/>
        <v>200072.73328215894</v>
      </c>
    </row>
    <row r="44" spans="1:12" x14ac:dyDescent="0.25">
      <c r="A44" s="19" t="s">
        <v>107</v>
      </c>
      <c r="B44" s="19"/>
      <c r="C44" s="19"/>
      <c r="D44" s="52">
        <f>$D$10+$C42</f>
        <v>48</v>
      </c>
      <c r="E44" s="51">
        <f t="shared" ref="E44:J44" si="11">D44-1</f>
        <v>47</v>
      </c>
      <c r="F44" s="42">
        <f t="shared" si="11"/>
        <v>46</v>
      </c>
      <c r="G44" s="42">
        <f t="shared" si="11"/>
        <v>45</v>
      </c>
      <c r="H44" s="42">
        <f t="shared" si="11"/>
        <v>44</v>
      </c>
      <c r="I44" s="42">
        <f t="shared" si="11"/>
        <v>43</v>
      </c>
      <c r="J44" s="42">
        <f t="shared" si="11"/>
        <v>42</v>
      </c>
    </row>
    <row r="45" spans="1:12" x14ac:dyDescent="0.25">
      <c r="A45" s="19" t="s">
        <v>50</v>
      </c>
      <c r="B45" s="19"/>
      <c r="C45" s="19"/>
      <c r="D45" s="42">
        <f t="shared" ref="D45:J45" si="12">D43/D44</f>
        <v>0</v>
      </c>
      <c r="E45" s="42">
        <f t="shared" si="12"/>
        <v>0</v>
      </c>
      <c r="F45" s="42">
        <f t="shared" si="12"/>
        <v>0</v>
      </c>
      <c r="G45" s="42">
        <f t="shared" si="12"/>
        <v>0</v>
      </c>
      <c r="H45" s="42">
        <f t="shared" si="12"/>
        <v>4763.6365067180695</v>
      </c>
      <c r="I45" s="42">
        <f t="shared" si="12"/>
        <v>4763.6365067180695</v>
      </c>
      <c r="J45" s="42">
        <f t="shared" si="12"/>
        <v>4763.6365067180695</v>
      </c>
    </row>
    <row r="46" spans="1:12" x14ac:dyDescent="0.25">
      <c r="A46" s="159" t="s">
        <v>128</v>
      </c>
      <c r="B46" s="159"/>
      <c r="C46" s="159"/>
      <c r="D46" s="42">
        <f t="shared" ref="D46:J46" si="13">D43-D45+IF($C42=D$7,D$28,0)</f>
        <v>0</v>
      </c>
      <c r="E46" s="42">
        <f t="shared" si="13"/>
        <v>0</v>
      </c>
      <c r="F46" s="42">
        <f t="shared" si="13"/>
        <v>0</v>
      </c>
      <c r="G46" s="42">
        <f t="shared" si="13"/>
        <v>209600.00629559506</v>
      </c>
      <c r="H46" s="42">
        <f t="shared" si="13"/>
        <v>204836.369788877</v>
      </c>
      <c r="I46" s="42">
        <f t="shared" si="13"/>
        <v>200072.73328215894</v>
      </c>
      <c r="J46" s="42">
        <f t="shared" si="13"/>
        <v>195309.09677544088</v>
      </c>
    </row>
    <row r="47" spans="1:12" ht="24.95" customHeight="1" x14ac:dyDescent="0.25">
      <c r="A47" s="256" t="str">
        <f>" Assets commissioned in " &amp; $H$27</f>
        <v xml:space="preserve"> Assets commissioned in 2022/23</v>
      </c>
      <c r="B47" s="95"/>
      <c r="C47" s="562"/>
      <c r="D47" s="563"/>
      <c r="E47" s="557"/>
      <c r="F47" s="557"/>
      <c r="G47" s="557"/>
      <c r="H47" s="557"/>
      <c r="I47" s="557"/>
      <c r="J47" s="557"/>
      <c r="K47" s="95"/>
      <c r="L47" s="95"/>
    </row>
    <row r="48" spans="1:12" x14ac:dyDescent="0.25">
      <c r="A48" s="162" t="s">
        <v>106</v>
      </c>
      <c r="B48" s="162"/>
      <c r="C48" s="184">
        <f>H7</f>
        <v>5</v>
      </c>
      <c r="D48" s="43"/>
      <c r="E48" s="168"/>
      <c r="F48" s="168"/>
      <c r="G48" s="168"/>
      <c r="H48" s="168"/>
      <c r="I48" s="168"/>
      <c r="J48" s="168"/>
    </row>
    <row r="49" spans="1:12" x14ac:dyDescent="0.25">
      <c r="A49" s="19" t="s">
        <v>127</v>
      </c>
      <c r="B49" s="19"/>
      <c r="C49" s="19"/>
      <c r="D49" s="150">
        <v>0</v>
      </c>
      <c r="E49" s="51">
        <f t="shared" ref="E49:J49" si="14">D52</f>
        <v>0</v>
      </c>
      <c r="F49" s="42">
        <f t="shared" si="14"/>
        <v>0</v>
      </c>
      <c r="G49" s="42">
        <f t="shared" si="14"/>
        <v>0</v>
      </c>
      <c r="H49" s="42">
        <f t="shared" si="14"/>
        <v>0</v>
      </c>
      <c r="I49" s="42">
        <f t="shared" si="14"/>
        <v>213423.98232804175</v>
      </c>
      <c r="J49" s="42">
        <f t="shared" si="14"/>
        <v>208573.4372751317</v>
      </c>
    </row>
    <row r="50" spans="1:12" x14ac:dyDescent="0.25">
      <c r="A50" s="19" t="s">
        <v>107</v>
      </c>
      <c r="B50" s="19"/>
      <c r="C50" s="19"/>
      <c r="D50" s="52">
        <f>$D$10+$C48</f>
        <v>49</v>
      </c>
      <c r="E50" s="51">
        <f t="shared" ref="E50:J50" si="15">D50-1</f>
        <v>48</v>
      </c>
      <c r="F50" s="42">
        <f t="shared" si="15"/>
        <v>47</v>
      </c>
      <c r="G50" s="42">
        <f t="shared" si="15"/>
        <v>46</v>
      </c>
      <c r="H50" s="42">
        <f t="shared" si="15"/>
        <v>45</v>
      </c>
      <c r="I50" s="42">
        <f t="shared" si="15"/>
        <v>44</v>
      </c>
      <c r="J50" s="42">
        <f t="shared" si="15"/>
        <v>43</v>
      </c>
    </row>
    <row r="51" spans="1:12" x14ac:dyDescent="0.25">
      <c r="A51" s="19" t="s">
        <v>50</v>
      </c>
      <c r="B51" s="19"/>
      <c r="C51" s="19"/>
      <c r="D51" s="42">
        <f t="shared" ref="D51:J51" si="16">D49/D50</f>
        <v>0</v>
      </c>
      <c r="E51" s="42">
        <f t="shared" si="16"/>
        <v>0</v>
      </c>
      <c r="F51" s="42">
        <f t="shared" si="16"/>
        <v>0</v>
      </c>
      <c r="G51" s="42">
        <f t="shared" si="16"/>
        <v>0</v>
      </c>
      <c r="H51" s="42">
        <f t="shared" si="16"/>
        <v>0</v>
      </c>
      <c r="I51" s="42">
        <f t="shared" si="16"/>
        <v>4850.5450529100399</v>
      </c>
      <c r="J51" s="42">
        <f t="shared" si="16"/>
        <v>4850.5450529100399</v>
      </c>
    </row>
    <row r="52" spans="1:12" x14ac:dyDescent="0.25">
      <c r="A52" s="159" t="s">
        <v>128</v>
      </c>
      <c r="B52" s="159"/>
      <c r="C52" s="159"/>
      <c r="D52" s="42">
        <f t="shared" ref="D52:J52" si="17">D49-D51+IF($C48=D$7,D$28,0)</f>
        <v>0</v>
      </c>
      <c r="E52" s="42">
        <f t="shared" si="17"/>
        <v>0</v>
      </c>
      <c r="F52" s="42">
        <f t="shared" si="17"/>
        <v>0</v>
      </c>
      <c r="G52" s="42">
        <f t="shared" si="17"/>
        <v>0</v>
      </c>
      <c r="H52" s="42">
        <f t="shared" si="17"/>
        <v>213423.98232804175</v>
      </c>
      <c r="I52" s="42">
        <f t="shared" si="17"/>
        <v>208573.4372751317</v>
      </c>
      <c r="J52" s="42">
        <f t="shared" si="17"/>
        <v>203722.89222222165</v>
      </c>
    </row>
    <row r="53" spans="1:12" ht="24.95" customHeight="1" x14ac:dyDescent="0.25">
      <c r="A53" s="256" t="str">
        <f>" Assets commissioned in " &amp; $I$27</f>
        <v xml:space="preserve"> Assets commissioned in 2023/24</v>
      </c>
      <c r="B53" s="95"/>
      <c r="C53" s="562"/>
      <c r="D53" s="563"/>
      <c r="E53" s="557"/>
      <c r="F53" s="557"/>
      <c r="G53" s="557"/>
      <c r="H53" s="557"/>
      <c r="I53" s="557"/>
      <c r="J53" s="557"/>
      <c r="K53" s="95"/>
      <c r="L53" s="95"/>
    </row>
    <row r="54" spans="1:12" x14ac:dyDescent="0.25">
      <c r="A54" s="162" t="s">
        <v>106</v>
      </c>
      <c r="B54" s="162"/>
      <c r="C54" s="184">
        <f>I7</f>
        <v>6</v>
      </c>
      <c r="D54" s="43"/>
      <c r="E54" s="168"/>
      <c r="F54" s="168"/>
      <c r="G54" s="168"/>
      <c r="H54" s="168"/>
      <c r="I54" s="168"/>
      <c r="J54" s="168"/>
    </row>
    <row r="55" spans="1:12" x14ac:dyDescent="0.25">
      <c r="A55" s="19" t="s">
        <v>127</v>
      </c>
      <c r="B55" s="19"/>
      <c r="C55" s="19"/>
      <c r="D55" s="150">
        <v>0</v>
      </c>
      <c r="E55" s="51">
        <f t="shared" ref="E55:J55" si="18">D58</f>
        <v>0</v>
      </c>
      <c r="F55" s="42">
        <f t="shared" si="18"/>
        <v>0</v>
      </c>
      <c r="G55" s="42">
        <f t="shared" si="18"/>
        <v>0</v>
      </c>
      <c r="H55" s="42">
        <f t="shared" si="18"/>
        <v>0</v>
      </c>
      <c r="I55" s="42">
        <f t="shared" si="18"/>
        <v>0</v>
      </c>
      <c r="J55" s="42">
        <f t="shared" si="18"/>
        <v>209518.18392710513</v>
      </c>
    </row>
    <row r="56" spans="1:12" x14ac:dyDescent="0.25">
      <c r="A56" s="19" t="s">
        <v>107</v>
      </c>
      <c r="B56" s="19"/>
      <c r="C56" s="19"/>
      <c r="D56" s="52">
        <f>$D$10+$C54</f>
        <v>50</v>
      </c>
      <c r="E56" s="51">
        <f t="shared" ref="E56:J56" si="19">D56-1</f>
        <v>49</v>
      </c>
      <c r="F56" s="42">
        <f t="shared" si="19"/>
        <v>48</v>
      </c>
      <c r="G56" s="42">
        <f t="shared" si="19"/>
        <v>47</v>
      </c>
      <c r="H56" s="42">
        <f t="shared" si="19"/>
        <v>46</v>
      </c>
      <c r="I56" s="42">
        <f t="shared" si="19"/>
        <v>45</v>
      </c>
      <c r="J56" s="42">
        <f t="shared" si="19"/>
        <v>44</v>
      </c>
    </row>
    <row r="57" spans="1:12" x14ac:dyDescent="0.25">
      <c r="A57" s="19" t="s">
        <v>50</v>
      </c>
      <c r="B57" s="19"/>
      <c r="C57" s="19"/>
      <c r="D57" s="42">
        <f t="shared" ref="D57:J57" si="20">D55/D56</f>
        <v>0</v>
      </c>
      <c r="E57" s="42">
        <f t="shared" si="20"/>
        <v>0</v>
      </c>
      <c r="F57" s="42">
        <f t="shared" si="20"/>
        <v>0</v>
      </c>
      <c r="G57" s="42">
        <f t="shared" si="20"/>
        <v>0</v>
      </c>
      <c r="H57" s="42">
        <f t="shared" si="20"/>
        <v>0</v>
      </c>
      <c r="I57" s="42">
        <f t="shared" si="20"/>
        <v>0</v>
      </c>
      <c r="J57" s="42">
        <f t="shared" si="20"/>
        <v>4761.7769074342077</v>
      </c>
    </row>
    <row r="58" spans="1:12" x14ac:dyDescent="0.25">
      <c r="A58" s="159" t="s">
        <v>128</v>
      </c>
      <c r="B58" s="159"/>
      <c r="C58" s="159"/>
      <c r="D58" s="42">
        <f t="shared" ref="D58:J58" si="21">D55-D57+IF($C54=D$7,D$28,0)</f>
        <v>0</v>
      </c>
      <c r="E58" s="42">
        <f t="shared" si="21"/>
        <v>0</v>
      </c>
      <c r="F58" s="42">
        <f t="shared" si="21"/>
        <v>0</v>
      </c>
      <c r="G58" s="42">
        <f t="shared" si="21"/>
        <v>0</v>
      </c>
      <c r="H58" s="42">
        <f t="shared" si="21"/>
        <v>0</v>
      </c>
      <c r="I58" s="42">
        <f t="shared" si="21"/>
        <v>209518.18392710513</v>
      </c>
      <c r="J58" s="42">
        <f t="shared" si="21"/>
        <v>204756.40701967091</v>
      </c>
    </row>
    <row r="59" spans="1:12" ht="24.95" customHeight="1" x14ac:dyDescent="0.25">
      <c r="A59" s="256" t="str">
        <f>" Assets commissioned in " &amp; $J$27</f>
        <v xml:space="preserve"> Assets commissioned in 2024/25</v>
      </c>
      <c r="B59" s="95"/>
      <c r="C59" s="562"/>
      <c r="D59" s="563"/>
      <c r="E59" s="557"/>
      <c r="F59" s="557"/>
      <c r="G59" s="557"/>
      <c r="H59" s="557"/>
      <c r="I59" s="557"/>
      <c r="J59" s="557"/>
      <c r="K59" s="95"/>
      <c r="L59" s="95"/>
    </row>
    <row r="60" spans="1:12" x14ac:dyDescent="0.25">
      <c r="A60" s="162" t="s">
        <v>106</v>
      </c>
      <c r="B60" s="162"/>
      <c r="C60" s="184">
        <f>J7</f>
        <v>7</v>
      </c>
      <c r="D60" s="43"/>
      <c r="E60" s="168"/>
      <c r="F60" s="168"/>
      <c r="G60" s="168"/>
      <c r="H60" s="168"/>
      <c r="I60" s="168"/>
      <c r="J60" s="168"/>
    </row>
    <row r="61" spans="1:12" x14ac:dyDescent="0.25">
      <c r="A61" s="19" t="s">
        <v>127</v>
      </c>
      <c r="B61" s="19"/>
      <c r="C61" s="19"/>
      <c r="D61" s="150">
        <v>0</v>
      </c>
      <c r="E61" s="51">
        <f t="shared" ref="E61:J61" si="22">D64</f>
        <v>0</v>
      </c>
      <c r="F61" s="42">
        <f t="shared" si="22"/>
        <v>0</v>
      </c>
      <c r="G61" s="42">
        <f t="shared" si="22"/>
        <v>0</v>
      </c>
      <c r="H61" s="42">
        <f t="shared" si="22"/>
        <v>0</v>
      </c>
      <c r="I61" s="42">
        <f t="shared" si="22"/>
        <v>0</v>
      </c>
      <c r="J61" s="42">
        <f t="shared" si="22"/>
        <v>0</v>
      </c>
    </row>
    <row r="62" spans="1:12" x14ac:dyDescent="0.25">
      <c r="A62" s="19" t="s">
        <v>107</v>
      </c>
      <c r="B62" s="19"/>
      <c r="C62" s="19"/>
      <c r="D62" s="52">
        <f>$D$10+$C60</f>
        <v>51</v>
      </c>
      <c r="E62" s="51">
        <f t="shared" ref="E62:J62" si="23">D62-1</f>
        <v>50</v>
      </c>
      <c r="F62" s="42">
        <f t="shared" si="23"/>
        <v>49</v>
      </c>
      <c r="G62" s="42">
        <f t="shared" si="23"/>
        <v>48</v>
      </c>
      <c r="H62" s="42">
        <f t="shared" si="23"/>
        <v>47</v>
      </c>
      <c r="I62" s="42">
        <f t="shared" si="23"/>
        <v>46</v>
      </c>
      <c r="J62" s="42">
        <f t="shared" si="23"/>
        <v>45</v>
      </c>
    </row>
    <row r="63" spans="1:12" x14ac:dyDescent="0.25">
      <c r="A63" s="19" t="s">
        <v>50</v>
      </c>
      <c r="B63" s="19"/>
      <c r="C63" s="19"/>
      <c r="D63" s="42">
        <f t="shared" ref="D63:J63" si="24">D61/D62</f>
        <v>0</v>
      </c>
      <c r="E63" s="42">
        <f t="shared" si="24"/>
        <v>0</v>
      </c>
      <c r="F63" s="42">
        <f t="shared" si="24"/>
        <v>0</v>
      </c>
      <c r="G63" s="42">
        <f t="shared" si="24"/>
        <v>0</v>
      </c>
      <c r="H63" s="42">
        <f t="shared" si="24"/>
        <v>0</v>
      </c>
      <c r="I63" s="42">
        <f t="shared" si="24"/>
        <v>0</v>
      </c>
      <c r="J63" s="42">
        <f t="shared" si="24"/>
        <v>0</v>
      </c>
    </row>
    <row r="64" spans="1:12" x14ac:dyDescent="0.25">
      <c r="A64" s="159" t="s">
        <v>128</v>
      </c>
      <c r="B64" s="159"/>
      <c r="C64" s="159"/>
      <c r="D64" s="41">
        <f t="shared" ref="D64:J64" si="25">D61-D63+IF($C60=D$7,D$28,0)</f>
        <v>0</v>
      </c>
      <c r="E64" s="41">
        <f t="shared" si="25"/>
        <v>0</v>
      </c>
      <c r="F64" s="41">
        <f t="shared" si="25"/>
        <v>0</v>
      </c>
      <c r="G64" s="41">
        <f t="shared" si="25"/>
        <v>0</v>
      </c>
      <c r="H64" s="41">
        <f t="shared" si="25"/>
        <v>0</v>
      </c>
      <c r="I64" s="41">
        <f t="shared" si="25"/>
        <v>0</v>
      </c>
      <c r="J64" s="41">
        <f t="shared" si="25"/>
        <v>197131.64960191568</v>
      </c>
    </row>
    <row r="65" spans="1:12" ht="24.95" customHeight="1" x14ac:dyDescent="0.25">
      <c r="A65" s="166" t="s">
        <v>129</v>
      </c>
      <c r="B65" s="95"/>
      <c r="C65" s="562"/>
      <c r="D65" s="559"/>
      <c r="E65" s="95"/>
      <c r="F65" s="95"/>
      <c r="G65" s="95"/>
      <c r="H65" s="95"/>
      <c r="I65" s="95"/>
      <c r="J65" s="95"/>
      <c r="K65" s="95"/>
      <c r="L65" s="95"/>
    </row>
    <row r="66" spans="1:12" x14ac:dyDescent="0.25">
      <c r="A66" s="164" t="s">
        <v>130</v>
      </c>
      <c r="B66" s="160"/>
      <c r="C66" s="160"/>
      <c r="D66" s="165">
        <f t="shared" ref="D66:J66" si="26">D33+D39+D45+D51+D57+D63</f>
        <v>0</v>
      </c>
      <c r="E66" s="165">
        <f t="shared" si="26"/>
        <v>0</v>
      </c>
      <c r="F66" s="165">
        <f t="shared" si="26"/>
        <v>5471.840909090909</v>
      </c>
      <c r="G66" s="165">
        <f t="shared" si="26"/>
        <v>10270.022087536032</v>
      </c>
      <c r="H66" s="165">
        <f t="shared" si="26"/>
        <v>15033.658594254102</v>
      </c>
      <c r="I66" s="165">
        <f t="shared" si="26"/>
        <v>19884.20364716414</v>
      </c>
      <c r="J66" s="165">
        <f t="shared" si="26"/>
        <v>24645.980554598347</v>
      </c>
      <c r="L66" s="237" t="s">
        <v>391</v>
      </c>
    </row>
    <row r="67" spans="1:12" ht="35.1" customHeight="1" x14ac:dyDescent="0.35">
      <c r="A67" s="132" t="s">
        <v>131</v>
      </c>
      <c r="B67" s="133"/>
      <c r="C67" s="133"/>
      <c r="D67" s="133"/>
      <c r="E67" s="133"/>
      <c r="F67" s="133"/>
      <c r="G67" s="133"/>
      <c r="H67" s="133"/>
      <c r="I67" s="133"/>
      <c r="J67" s="133"/>
      <c r="K67" s="95"/>
      <c r="L67" s="95"/>
    </row>
    <row r="68" spans="1:12" x14ac:dyDescent="0.25">
      <c r="A68" s="18"/>
      <c r="B68" s="18"/>
      <c r="C68" s="24"/>
      <c r="D68" s="66" t="str">
        <f t="shared" ref="D68:J68" si="27">D27</f>
        <v>2018/19</v>
      </c>
      <c r="E68" s="65" t="str">
        <f t="shared" si="27"/>
        <v>2019/20</v>
      </c>
      <c r="F68" s="65" t="str">
        <f t="shared" si="27"/>
        <v>2020/21</v>
      </c>
      <c r="G68" s="65" t="str">
        <f t="shared" si="27"/>
        <v>2021/22</v>
      </c>
      <c r="H68" s="65" t="str">
        <f t="shared" si="27"/>
        <v>2022/23</v>
      </c>
      <c r="I68" s="65" t="str">
        <f t="shared" si="27"/>
        <v>2023/24</v>
      </c>
      <c r="J68" s="65" t="str">
        <f t="shared" si="27"/>
        <v>2024/25</v>
      </c>
    </row>
    <row r="69" spans="1:12" x14ac:dyDescent="0.25">
      <c r="A69" s="19" t="s">
        <v>132</v>
      </c>
      <c r="B69" s="19"/>
      <c r="C69" s="19"/>
      <c r="D69" s="534">
        <f>D13</f>
        <v>2695210</v>
      </c>
      <c r="E69" s="51">
        <f t="shared" ref="E69:J69" si="28">D73</f>
        <v>2792048</v>
      </c>
      <c r="F69" s="42">
        <f t="shared" si="28"/>
        <v>2674497.1484764968</v>
      </c>
      <c r="G69" s="42">
        <f t="shared" si="28"/>
        <v>2557169.9407461672</v>
      </c>
      <c r="H69" s="42">
        <f t="shared" si="28"/>
        <v>2440077.7241628822</v>
      </c>
      <c r="I69" s="42">
        <f t="shared" si="28"/>
        <v>2323245.2255136878</v>
      </c>
      <c r="J69" s="42">
        <f t="shared" si="28"/>
        <v>2206699.9113421566</v>
      </c>
      <c r="L69" t="s">
        <v>392</v>
      </c>
    </row>
    <row r="70" spans="1:12" x14ac:dyDescent="0.25">
      <c r="A70" s="19" t="s">
        <v>60</v>
      </c>
      <c r="B70" s="19"/>
      <c r="C70" s="19"/>
      <c r="D70" s="41">
        <f t="shared" ref="D70:J70" si="29">D12</f>
        <v>7412</v>
      </c>
      <c r="E70" s="42">
        <f t="shared" si="29"/>
        <v>10769.994983532757</v>
      </c>
      <c r="F70" s="42">
        <f t="shared" si="29"/>
        <v>10974.62488821988</v>
      </c>
      <c r="G70" s="42">
        <f t="shared" si="29"/>
        <v>11194.117385984278</v>
      </c>
      <c r="H70" s="42">
        <f t="shared" si="29"/>
        <v>11417.999733703964</v>
      </c>
      <c r="I70" s="42">
        <f t="shared" si="29"/>
        <v>11646.359728378044</v>
      </c>
      <c r="J70" s="42">
        <f t="shared" si="29"/>
        <v>11879.286922945606</v>
      </c>
      <c r="L70" t="s">
        <v>373</v>
      </c>
    </row>
    <row r="71" spans="1:12" x14ac:dyDescent="0.25">
      <c r="A71" s="19" t="s">
        <v>131</v>
      </c>
      <c r="B71" s="19"/>
      <c r="C71" s="19"/>
      <c r="D71" s="52">
        <f>D14</f>
        <v>99210</v>
      </c>
      <c r="E71" s="51">
        <f t="shared" ref="E71:J71" si="30">E69/E20</f>
        <v>106780.8565399701</v>
      </c>
      <c r="F71" s="42">
        <f t="shared" si="30"/>
        <v>106352.58284210964</v>
      </c>
      <c r="G71" s="42">
        <f t="shared" si="30"/>
        <v>105898.09919730082</v>
      </c>
      <c r="H71" s="42">
        <f t="shared" si="30"/>
        <v>105414.49891549032</v>
      </c>
      <c r="I71" s="42">
        <f t="shared" si="30"/>
        <v>104898.95444315295</v>
      </c>
      <c r="J71" s="42">
        <f t="shared" si="30"/>
        <v>104348.23295548088</v>
      </c>
      <c r="L71" t="s">
        <v>375</v>
      </c>
    </row>
    <row r="72" spans="1:12" x14ac:dyDescent="0.25">
      <c r="A72" s="159" t="s">
        <v>133</v>
      </c>
      <c r="B72" s="159"/>
      <c r="C72" s="159"/>
      <c r="D72" s="41">
        <f>D9</f>
        <v>203460</v>
      </c>
      <c r="E72" s="42"/>
      <c r="F72" s="42"/>
      <c r="G72" s="42"/>
      <c r="H72" s="42"/>
      <c r="I72" s="42"/>
      <c r="J72" s="42"/>
      <c r="L72" t="s">
        <v>373</v>
      </c>
    </row>
    <row r="73" spans="1:12" x14ac:dyDescent="0.25">
      <c r="A73" s="167" t="s">
        <v>134</v>
      </c>
      <c r="B73" s="162"/>
      <c r="C73" s="162"/>
      <c r="D73" s="54">
        <f>D69-D70-D71+D72</f>
        <v>2792048</v>
      </c>
      <c r="E73" s="158">
        <f t="shared" ref="E73:J73" si="31">E69-E70-E71</f>
        <v>2674497.1484764968</v>
      </c>
      <c r="F73" s="41">
        <f t="shared" si="31"/>
        <v>2557169.9407461672</v>
      </c>
      <c r="G73" s="41">
        <f t="shared" si="31"/>
        <v>2440077.7241628822</v>
      </c>
      <c r="H73" s="41">
        <f t="shared" si="31"/>
        <v>2323245.2255136878</v>
      </c>
      <c r="I73" s="41">
        <f t="shared" si="31"/>
        <v>2206699.9113421566</v>
      </c>
      <c r="J73" s="41">
        <f t="shared" si="31"/>
        <v>2090472.39146373</v>
      </c>
      <c r="L73" t="s">
        <v>393</v>
      </c>
    </row>
    <row r="74" spans="1:12" ht="35.1" customHeight="1" x14ac:dyDescent="0.35">
      <c r="A74" s="475" t="s">
        <v>135</v>
      </c>
      <c r="B74" s="541"/>
      <c r="C74" s="542"/>
      <c r="D74" s="476"/>
      <c r="E74" s="476"/>
      <c r="F74" s="476"/>
      <c r="G74" s="476"/>
      <c r="H74" s="476"/>
      <c r="I74" s="476"/>
      <c r="J74" s="476"/>
      <c r="K74" s="95"/>
      <c r="L74" s="95"/>
    </row>
    <row r="75" spans="1:12" x14ac:dyDescent="0.25">
      <c r="A75" s="18"/>
      <c r="B75" s="24"/>
      <c r="C75" s="24" t="s">
        <v>31</v>
      </c>
      <c r="D75" s="65" t="str">
        <f>D68</f>
        <v>2018/19</v>
      </c>
      <c r="E75" s="65" t="str">
        <f t="shared" ref="E75:J75" si="32">E68</f>
        <v>2019/20</v>
      </c>
      <c r="F75" s="65" t="str">
        <f t="shared" si="32"/>
        <v>2020/21</v>
      </c>
      <c r="G75" s="65" t="str">
        <f t="shared" si="32"/>
        <v>2021/22</v>
      </c>
      <c r="H75" s="65" t="str">
        <f t="shared" si="32"/>
        <v>2022/23</v>
      </c>
      <c r="I75" s="65" t="str">
        <f t="shared" si="32"/>
        <v>2023/24</v>
      </c>
      <c r="J75" s="65" t="str">
        <f t="shared" si="32"/>
        <v>2024/25</v>
      </c>
    </row>
    <row r="76" spans="1:12" x14ac:dyDescent="0.25">
      <c r="A76" s="16" t="s">
        <v>136</v>
      </c>
      <c r="B76" s="19"/>
      <c r="C76" s="564">
        <f>D15/D16</f>
        <v>8.4490368427841994E-2</v>
      </c>
      <c r="D76" s="565"/>
      <c r="E76" s="42"/>
      <c r="F76" s="42"/>
      <c r="G76" s="42"/>
      <c r="H76" s="42"/>
      <c r="I76" s="42"/>
      <c r="J76" s="42"/>
      <c r="L76" t="s">
        <v>394</v>
      </c>
    </row>
    <row r="77" spans="1:12" x14ac:dyDescent="0.25">
      <c r="A77" s="16" t="s">
        <v>52</v>
      </c>
      <c r="B77" s="19"/>
      <c r="C77" s="19"/>
      <c r="D77" s="54">
        <f>D16</f>
        <v>1224826</v>
      </c>
      <c r="E77" s="51">
        <f t="shared" ref="E77:J77" si="33">D80</f>
        <v>1324800</v>
      </c>
      <c r="F77" s="42">
        <f t="shared" si="33"/>
        <v>1453628.159906795</v>
      </c>
      <c r="G77" s="42">
        <f t="shared" si="33"/>
        <v>1541930.5529707693</v>
      </c>
      <c r="H77" s="42">
        <f t="shared" si="33"/>
        <v>1621252.2787557179</v>
      </c>
      <c r="I77" s="42">
        <f t="shared" si="33"/>
        <v>1697696.0587372107</v>
      </c>
      <c r="J77" s="42">
        <f t="shared" si="33"/>
        <v>1763775.2771831136</v>
      </c>
      <c r="L77" t="s">
        <v>395</v>
      </c>
    </row>
    <row r="78" spans="1:12" x14ac:dyDescent="0.25">
      <c r="A78" s="16" t="s">
        <v>51</v>
      </c>
      <c r="B78" s="19"/>
      <c r="C78" s="19"/>
      <c r="D78" s="52">
        <f>D15</f>
        <v>103486</v>
      </c>
      <c r="E78" s="51">
        <f t="shared" ref="E78:J78" si="34">E77*$C76</f>
        <v>111932.84009320507</v>
      </c>
      <c r="F78" s="42">
        <f t="shared" si="34"/>
        <v>122817.57878761113</v>
      </c>
      <c r="G78" s="42">
        <f t="shared" si="34"/>
        <v>130278.28051064644</v>
      </c>
      <c r="H78" s="42">
        <f t="shared" si="34"/>
        <v>136980.20234654899</v>
      </c>
      <c r="I78" s="42">
        <f t="shared" si="34"/>
        <v>143438.96548120221</v>
      </c>
      <c r="J78" s="42">
        <f t="shared" si="34"/>
        <v>149022.02299312039</v>
      </c>
      <c r="L78" t="s">
        <v>396</v>
      </c>
    </row>
    <row r="79" spans="1:12" x14ac:dyDescent="0.25">
      <c r="A79" s="16" t="s">
        <v>57</v>
      </c>
      <c r="B79" s="19"/>
      <c r="C79" s="19"/>
      <c r="D79" s="42">
        <f t="shared" ref="D79:J79" si="35">D9</f>
        <v>203460</v>
      </c>
      <c r="E79" s="42">
        <f t="shared" si="35"/>
        <v>240761</v>
      </c>
      <c r="F79" s="42">
        <f t="shared" si="35"/>
        <v>211119.9718515854</v>
      </c>
      <c r="G79" s="42">
        <f t="shared" si="35"/>
        <v>209600.00629559506</v>
      </c>
      <c r="H79" s="42">
        <f t="shared" si="35"/>
        <v>213423.98232804175</v>
      </c>
      <c r="I79" s="42">
        <f t="shared" si="35"/>
        <v>209518.18392710513</v>
      </c>
      <c r="J79" s="42">
        <f t="shared" si="35"/>
        <v>197131.64960191568</v>
      </c>
      <c r="L79" t="s">
        <v>373</v>
      </c>
    </row>
    <row r="80" spans="1:12" x14ac:dyDescent="0.25">
      <c r="A80" s="159" t="s">
        <v>137</v>
      </c>
      <c r="B80" s="19"/>
      <c r="C80" s="19"/>
      <c r="D80" s="41">
        <f t="shared" ref="D80:J80" si="36">D77-D78+D79</f>
        <v>1324800</v>
      </c>
      <c r="E80" s="41">
        <f t="shared" si="36"/>
        <v>1453628.159906795</v>
      </c>
      <c r="F80" s="41">
        <f t="shared" si="36"/>
        <v>1541930.5529707693</v>
      </c>
      <c r="G80" s="41">
        <f>G77-G78+G79</f>
        <v>1621252.2787557179</v>
      </c>
      <c r="H80" s="41">
        <f>H77-H78+H79</f>
        <v>1697696.0587372107</v>
      </c>
      <c r="I80" s="41">
        <f t="shared" si="36"/>
        <v>1763775.2771831136</v>
      </c>
      <c r="J80" s="41">
        <f t="shared" si="36"/>
        <v>1811884.9037919089</v>
      </c>
      <c r="L80" t="s">
        <v>397</v>
      </c>
    </row>
    <row r="81" spans="1:12" ht="35.1" customHeight="1" x14ac:dyDescent="0.35">
      <c r="A81" s="475" t="s">
        <v>138</v>
      </c>
      <c r="B81" s="541"/>
      <c r="C81" s="542"/>
      <c r="D81" s="476"/>
      <c r="E81" s="476"/>
      <c r="F81" s="476"/>
      <c r="G81" s="476"/>
      <c r="H81" s="476"/>
      <c r="I81" s="476"/>
      <c r="J81" s="476"/>
      <c r="K81" s="95"/>
      <c r="L81" s="95"/>
    </row>
    <row r="82" spans="1:12" x14ac:dyDescent="0.25">
      <c r="A82" s="18"/>
      <c r="B82" s="18"/>
      <c r="C82" s="18"/>
      <c r="D82" s="65" t="str">
        <f>D75</f>
        <v>2018/19</v>
      </c>
      <c r="E82" s="65" t="str">
        <f t="shared" ref="E82:J82" si="37">E75</f>
        <v>2019/20</v>
      </c>
      <c r="F82" s="65" t="str">
        <f t="shared" si="37"/>
        <v>2020/21</v>
      </c>
      <c r="G82" s="65" t="str">
        <f t="shared" si="37"/>
        <v>2021/22</v>
      </c>
      <c r="H82" s="65" t="str">
        <f t="shared" si="37"/>
        <v>2022/23</v>
      </c>
      <c r="I82" s="65" t="str">
        <f t="shared" si="37"/>
        <v>2023/24</v>
      </c>
      <c r="J82" s="65" t="str">
        <f t="shared" si="37"/>
        <v>2024/25</v>
      </c>
    </row>
    <row r="83" spans="1:12" x14ac:dyDescent="0.25">
      <c r="A83" s="19" t="s">
        <v>139</v>
      </c>
      <c r="B83" s="19"/>
      <c r="C83" s="19"/>
      <c r="D83" s="42">
        <f t="shared" ref="D83:J83" si="38">D66+D71</f>
        <v>99210</v>
      </c>
      <c r="E83" s="42">
        <f t="shared" si="38"/>
        <v>106780.8565399701</v>
      </c>
      <c r="F83" s="42">
        <f t="shared" si="38"/>
        <v>111824.42375120055</v>
      </c>
      <c r="G83" s="42">
        <f t="shared" si="38"/>
        <v>116168.12128483685</v>
      </c>
      <c r="H83" s="42">
        <f t="shared" si="38"/>
        <v>120448.15750974441</v>
      </c>
      <c r="I83" s="42">
        <f t="shared" si="38"/>
        <v>124783.1580903171</v>
      </c>
      <c r="J83" s="42">
        <f t="shared" si="38"/>
        <v>128994.21351007922</v>
      </c>
      <c r="L83" t="s">
        <v>398</v>
      </c>
    </row>
    <row r="84" spans="1:12" x14ac:dyDescent="0.25">
      <c r="A84" s="19" t="s">
        <v>51</v>
      </c>
      <c r="B84" s="19"/>
      <c r="C84" s="19"/>
      <c r="D84" s="42">
        <f t="shared" ref="D84:J84" si="39">D78</f>
        <v>103486</v>
      </c>
      <c r="E84" s="42">
        <f t="shared" si="39"/>
        <v>111932.84009320507</v>
      </c>
      <c r="F84" s="42">
        <f t="shared" si="39"/>
        <v>122817.57878761113</v>
      </c>
      <c r="G84" s="42">
        <f t="shared" si="39"/>
        <v>130278.28051064644</v>
      </c>
      <c r="H84" s="42">
        <f t="shared" si="39"/>
        <v>136980.20234654899</v>
      </c>
      <c r="I84" s="42">
        <f t="shared" si="39"/>
        <v>143438.96548120221</v>
      </c>
      <c r="J84" s="42">
        <f t="shared" si="39"/>
        <v>149022.02299312039</v>
      </c>
      <c r="L84" t="s">
        <v>373</v>
      </c>
    </row>
    <row r="85" spans="1:12" x14ac:dyDescent="0.25">
      <c r="A85" s="159" t="s">
        <v>138</v>
      </c>
      <c r="B85" s="159"/>
      <c r="C85" s="159"/>
      <c r="D85" s="41">
        <f t="shared" ref="D85:J85" si="40">D83-D84</f>
        <v>-4276</v>
      </c>
      <c r="E85" s="41">
        <f t="shared" si="40"/>
        <v>-5151.983553234968</v>
      </c>
      <c r="F85" s="41">
        <f t="shared" si="40"/>
        <v>-10993.155036410579</v>
      </c>
      <c r="G85" s="41">
        <f t="shared" si="40"/>
        <v>-14110.159225809592</v>
      </c>
      <c r="H85" s="41">
        <f t="shared" si="40"/>
        <v>-16532.044836804576</v>
      </c>
      <c r="I85" s="41">
        <f t="shared" si="40"/>
        <v>-18655.807390885107</v>
      </c>
      <c r="J85" s="41">
        <f t="shared" si="40"/>
        <v>-20027.809483041172</v>
      </c>
      <c r="L85" t="s">
        <v>399</v>
      </c>
    </row>
    <row r="86" spans="1:12" ht="21" x14ac:dyDescent="0.35">
      <c r="A86" s="475" t="s">
        <v>144</v>
      </c>
      <c r="B86" s="476"/>
      <c r="C86" s="477"/>
      <c r="D86" s="476"/>
      <c r="E86" s="476"/>
      <c r="F86" s="476"/>
      <c r="G86" s="476"/>
      <c r="H86" s="476"/>
      <c r="I86" s="476"/>
      <c r="J86" s="476"/>
      <c r="K86" s="95"/>
      <c r="L86" s="95"/>
    </row>
    <row r="87" spans="1:12" x14ac:dyDescent="0.25">
      <c r="A87" s="18"/>
      <c r="B87" s="18"/>
      <c r="C87" s="18"/>
      <c r="D87" s="66" t="str">
        <f>D82</f>
        <v>2018/19</v>
      </c>
      <c r="E87" s="65" t="str">
        <f t="shared" ref="E87:J87" si="41">E82</f>
        <v>2019/20</v>
      </c>
      <c r="F87" s="65" t="str">
        <f t="shared" si="41"/>
        <v>2020/21</v>
      </c>
      <c r="G87" s="65" t="str">
        <f t="shared" si="41"/>
        <v>2021/22</v>
      </c>
      <c r="H87" s="65" t="str">
        <f t="shared" si="41"/>
        <v>2022/23</v>
      </c>
      <c r="I87" s="65" t="str">
        <f t="shared" si="41"/>
        <v>2023/24</v>
      </c>
      <c r="J87" s="65" t="str">
        <f t="shared" si="41"/>
        <v>2024/25</v>
      </c>
    </row>
    <row r="88" spans="1:12" x14ac:dyDescent="0.25">
      <c r="A88" s="16" t="s">
        <v>145</v>
      </c>
      <c r="B88" s="16"/>
      <c r="C88" s="16"/>
      <c r="D88" s="534">
        <f>D17</f>
        <v>-83664</v>
      </c>
      <c r="E88" s="51">
        <f t="shared" ref="E88:J88" si="42">D91</f>
        <v>-94465.469677419358</v>
      </c>
      <c r="F88" s="42">
        <f t="shared" si="42"/>
        <v>-105512.21474974451</v>
      </c>
      <c r="G88" s="42">
        <f t="shared" si="42"/>
        <v>-118194.48783735883</v>
      </c>
      <c r="H88" s="42">
        <f t="shared" si="42"/>
        <v>-131749.52209800488</v>
      </c>
      <c r="I88" s="42">
        <f t="shared" si="42"/>
        <v>-145982.68432972953</v>
      </c>
      <c r="J88" s="42">
        <f t="shared" si="42"/>
        <v>-160810.50007659671</v>
      </c>
      <c r="L88" t="s">
        <v>400</v>
      </c>
    </row>
    <row r="89" spans="1:12" x14ac:dyDescent="0.25">
      <c r="A89" s="16" t="s">
        <v>138</v>
      </c>
      <c r="B89" s="16"/>
      <c r="C89" s="16"/>
      <c r="D89" s="41">
        <f t="shared" ref="D89:J89" si="43">D85</f>
        <v>-4276</v>
      </c>
      <c r="E89" s="42">
        <f t="shared" si="43"/>
        <v>-5151.983553234968</v>
      </c>
      <c r="F89" s="42">
        <f t="shared" si="43"/>
        <v>-10993.155036410579</v>
      </c>
      <c r="G89" s="42">
        <f t="shared" si="43"/>
        <v>-14110.159225809592</v>
      </c>
      <c r="H89" s="42">
        <f t="shared" si="43"/>
        <v>-16532.044836804576</v>
      </c>
      <c r="I89" s="42">
        <f t="shared" si="43"/>
        <v>-18655.807390885107</v>
      </c>
      <c r="J89" s="42">
        <f t="shared" si="43"/>
        <v>-20027.809483041172</v>
      </c>
      <c r="L89" t="s">
        <v>373</v>
      </c>
    </row>
    <row r="90" spans="1:12" x14ac:dyDescent="0.25">
      <c r="A90" s="16" t="s">
        <v>53</v>
      </c>
      <c r="B90" s="16"/>
      <c r="C90" s="16"/>
      <c r="D90" s="52">
        <f>D11</f>
        <v>34300.677419354841</v>
      </c>
      <c r="E90" s="51">
        <f>D90</f>
        <v>34300.677419354841</v>
      </c>
      <c r="F90" s="42">
        <f t="shared" ref="F90:J90" si="44">E90</f>
        <v>34300.677419354841</v>
      </c>
      <c r="G90" s="42">
        <f t="shared" si="44"/>
        <v>34300.677419354841</v>
      </c>
      <c r="H90" s="42">
        <f t="shared" si="44"/>
        <v>34300.677419354841</v>
      </c>
      <c r="I90" s="42">
        <f t="shared" si="44"/>
        <v>34300.677419354841</v>
      </c>
      <c r="J90" s="42">
        <f t="shared" si="44"/>
        <v>34300.677419354841</v>
      </c>
      <c r="L90" t="s">
        <v>401</v>
      </c>
    </row>
    <row r="91" spans="1:12" x14ac:dyDescent="0.25">
      <c r="A91" s="16" t="s">
        <v>146</v>
      </c>
      <c r="B91" s="16"/>
      <c r="C91" s="16"/>
      <c r="D91" s="42">
        <f t="shared" ref="D91:J91" si="45">D88+(D89-D90)*D8</f>
        <v>-94465.469677419358</v>
      </c>
      <c r="E91" s="42">
        <f t="shared" si="45"/>
        <v>-105512.21474974451</v>
      </c>
      <c r="F91" s="42">
        <f t="shared" si="45"/>
        <v>-118194.48783735883</v>
      </c>
      <c r="G91" s="42">
        <f t="shared" si="45"/>
        <v>-131749.52209800488</v>
      </c>
      <c r="H91" s="42">
        <f t="shared" si="45"/>
        <v>-145982.68432972953</v>
      </c>
      <c r="I91" s="42">
        <f t="shared" si="45"/>
        <v>-160810.50007659671</v>
      </c>
      <c r="J91" s="42">
        <f t="shared" si="45"/>
        <v>-176022.47640926761</v>
      </c>
      <c r="L91" t="s">
        <v>402</v>
      </c>
    </row>
    <row r="92" spans="1:12" x14ac:dyDescent="0.25">
      <c r="A92" s="566"/>
      <c r="B92" s="566"/>
      <c r="C92" s="566"/>
      <c r="D92" s="41"/>
      <c r="E92" s="41"/>
      <c r="F92" s="41"/>
      <c r="G92" s="41"/>
      <c r="H92" s="41"/>
      <c r="I92" s="41"/>
      <c r="J92" s="41"/>
    </row>
    <row r="93" spans="1:12" ht="21" x14ac:dyDescent="0.35">
      <c r="A93" s="538" t="s">
        <v>140</v>
      </c>
      <c r="B93" s="541"/>
      <c r="C93" s="567"/>
      <c r="D93" s="135"/>
      <c r="E93" s="135"/>
      <c r="F93" s="135"/>
      <c r="G93" s="135"/>
      <c r="H93" s="135"/>
      <c r="I93" s="135"/>
      <c r="J93" s="135"/>
      <c r="K93" s="95"/>
      <c r="L93" s="95"/>
    </row>
    <row r="94" spans="1:12" x14ac:dyDescent="0.25">
      <c r="A94" s="19" t="s">
        <v>53</v>
      </c>
      <c r="B94" s="18"/>
      <c r="C94" s="19"/>
      <c r="D94" s="42">
        <f t="shared" ref="D94:J94" si="46">D90</f>
        <v>34300.677419354841</v>
      </c>
      <c r="E94" s="42">
        <f t="shared" si="46"/>
        <v>34300.677419354841</v>
      </c>
      <c r="F94" s="42">
        <f t="shared" si="46"/>
        <v>34300.677419354841</v>
      </c>
      <c r="G94" s="42">
        <f t="shared" si="46"/>
        <v>34300.677419354841</v>
      </c>
      <c r="H94" s="42">
        <f t="shared" si="46"/>
        <v>34300.677419354841</v>
      </c>
      <c r="I94" s="42">
        <f t="shared" si="46"/>
        <v>34300.677419354841</v>
      </c>
      <c r="J94" s="42">
        <f t="shared" si="46"/>
        <v>34300.677419354841</v>
      </c>
      <c r="L94" t="s">
        <v>373</v>
      </c>
    </row>
    <row r="95" spans="1:12" x14ac:dyDescent="0.25">
      <c r="A95" s="19" t="s">
        <v>141</v>
      </c>
      <c r="B95" s="16"/>
      <c r="C95" s="19"/>
      <c r="D95" s="42">
        <f t="shared" ref="D95:J95" si="47">(D23*$D$19*$D$18+D22)/(1+$D$18)^0.5</f>
        <v>38598.001094083353</v>
      </c>
      <c r="E95" s="42">
        <f t="shared" si="47"/>
        <v>40128.106300584783</v>
      </c>
      <c r="F95" s="42">
        <f t="shared" si="47"/>
        <v>42200.912633971762</v>
      </c>
      <c r="G95" s="42">
        <f t="shared" si="47"/>
        <v>43882.048126302609</v>
      </c>
      <c r="H95" s="42">
        <f t="shared" si="47"/>
        <v>45517.994611139198</v>
      </c>
      <c r="I95" s="42">
        <f t="shared" si="47"/>
        <v>47135.967571437373</v>
      </c>
      <c r="J95" s="42">
        <f t="shared" si="47"/>
        <v>48630.263689581167</v>
      </c>
      <c r="L95" t="s">
        <v>404</v>
      </c>
    </row>
    <row r="96" spans="1:12" x14ac:dyDescent="0.25">
      <c r="A96" s="19" t="s">
        <v>142</v>
      </c>
      <c r="B96" s="16"/>
      <c r="C96" s="19"/>
      <c r="D96" s="42">
        <f t="shared" ref="D96:J96" si="48">D21-D83</f>
        <v>9519</v>
      </c>
      <c r="E96" s="42">
        <f t="shared" si="48"/>
        <v>10839.409173168926</v>
      </c>
      <c r="F96" s="42">
        <f t="shared" si="48"/>
        <v>12909.10676779873</v>
      </c>
      <c r="G96" s="42">
        <f t="shared" si="48"/>
        <v>15364.305586074333</v>
      </c>
      <c r="H96" s="42">
        <f t="shared" si="48"/>
        <v>18092.324247081895</v>
      </c>
      <c r="I96" s="42">
        <f t="shared" si="48"/>
        <v>20968.815530252032</v>
      </c>
      <c r="J96" s="42">
        <f t="shared" si="48"/>
        <v>23998.569633505656</v>
      </c>
      <c r="L96" t="s">
        <v>405</v>
      </c>
    </row>
    <row r="97" spans="1:12" x14ac:dyDescent="0.25">
      <c r="A97" s="19" t="s">
        <v>143</v>
      </c>
      <c r="B97" s="19"/>
      <c r="C97" s="19"/>
      <c r="D97" s="41">
        <f t="shared" ref="D97:J97" si="49">D94+D96-D95</f>
        <v>5221.6763252714882</v>
      </c>
      <c r="E97" s="41">
        <f t="shared" si="49"/>
        <v>5011.980291938984</v>
      </c>
      <c r="F97" s="41">
        <f t="shared" si="49"/>
        <v>5008.8715531818088</v>
      </c>
      <c r="G97" s="41">
        <f t="shared" si="49"/>
        <v>5782.9348791265656</v>
      </c>
      <c r="H97" s="41">
        <f t="shared" si="49"/>
        <v>6875.0070552975376</v>
      </c>
      <c r="I97" s="41">
        <f t="shared" si="49"/>
        <v>8133.5253781694992</v>
      </c>
      <c r="J97" s="41">
        <f t="shared" si="49"/>
        <v>9668.9833632793307</v>
      </c>
      <c r="L97" t="s">
        <v>406</v>
      </c>
    </row>
    <row r="98" spans="1:12" ht="39.950000000000003" customHeight="1" x14ac:dyDescent="0.35">
      <c r="A98" s="129" t="s">
        <v>83</v>
      </c>
      <c r="B98" s="490"/>
      <c r="C98" s="490"/>
      <c r="D98" s="568"/>
      <c r="E98" s="568"/>
      <c r="F98" s="92"/>
      <c r="G98" s="92"/>
      <c r="H98" s="92"/>
      <c r="I98" s="92"/>
      <c r="J98" s="92"/>
      <c r="K98" s="92"/>
      <c r="L98" s="92"/>
    </row>
    <row r="99" spans="1:12" x14ac:dyDescent="0.25">
      <c r="A99" s="18"/>
      <c r="B99" s="18"/>
      <c r="C99" s="18"/>
      <c r="D99" s="65" t="str">
        <f t="shared" ref="D99:J99" si="50">D87</f>
        <v>2018/19</v>
      </c>
      <c r="E99" s="65" t="str">
        <f t="shared" si="50"/>
        <v>2019/20</v>
      </c>
      <c r="F99" s="65" t="str">
        <f t="shared" si="50"/>
        <v>2020/21</v>
      </c>
      <c r="G99" s="65" t="str">
        <f t="shared" si="50"/>
        <v>2021/22</v>
      </c>
      <c r="H99" s="65" t="str">
        <f t="shared" si="50"/>
        <v>2022/23</v>
      </c>
      <c r="I99" s="65" t="str">
        <f t="shared" si="50"/>
        <v>2023/24</v>
      </c>
      <c r="J99" s="65" t="str">
        <f t="shared" si="50"/>
        <v>2024/25</v>
      </c>
    </row>
    <row r="100" spans="1:12" x14ac:dyDescent="0.25">
      <c r="A100" s="19" t="s">
        <v>130</v>
      </c>
      <c r="B100" s="19"/>
      <c r="C100" s="19"/>
      <c r="D100" s="42">
        <f t="shared" ref="D100:J100" si="51">D66</f>
        <v>0</v>
      </c>
      <c r="E100" s="42">
        <f t="shared" si="51"/>
        <v>0</v>
      </c>
      <c r="F100" s="42">
        <f t="shared" si="51"/>
        <v>5471.840909090909</v>
      </c>
      <c r="G100" s="42">
        <f t="shared" si="51"/>
        <v>10270.022087536032</v>
      </c>
      <c r="H100" s="42">
        <f t="shared" si="51"/>
        <v>15033.658594254102</v>
      </c>
      <c r="I100" s="42">
        <f t="shared" si="51"/>
        <v>19884.20364716414</v>
      </c>
      <c r="J100" s="42">
        <f t="shared" si="51"/>
        <v>24645.980554598347</v>
      </c>
      <c r="L100" t="s">
        <v>373</v>
      </c>
    </row>
    <row r="101" spans="1:12" x14ac:dyDescent="0.25">
      <c r="A101" s="19" t="s">
        <v>145</v>
      </c>
      <c r="B101" s="19"/>
      <c r="C101" s="19"/>
      <c r="D101" s="42">
        <f t="shared" ref="D101:J101" si="52">D88</f>
        <v>-83664</v>
      </c>
      <c r="E101" s="42">
        <f t="shared" si="52"/>
        <v>-94465.469677419358</v>
      </c>
      <c r="F101" s="42">
        <f t="shared" si="52"/>
        <v>-105512.21474974451</v>
      </c>
      <c r="G101" s="42">
        <f t="shared" si="52"/>
        <v>-118194.48783735883</v>
      </c>
      <c r="H101" s="42">
        <f t="shared" si="52"/>
        <v>-131749.52209800488</v>
      </c>
      <c r="I101" s="42">
        <f t="shared" si="52"/>
        <v>-145982.68432972953</v>
      </c>
      <c r="J101" s="42">
        <f t="shared" si="52"/>
        <v>-160810.50007659671</v>
      </c>
      <c r="L101" t="s">
        <v>373</v>
      </c>
    </row>
    <row r="102" spans="1:12" x14ac:dyDescent="0.25">
      <c r="A102" s="19" t="s">
        <v>146</v>
      </c>
      <c r="B102" s="19"/>
      <c r="C102" s="19"/>
      <c r="D102" s="42">
        <f t="shared" ref="D102:J102" si="53">D91</f>
        <v>-94465.469677419358</v>
      </c>
      <c r="E102" s="42">
        <f t="shared" si="53"/>
        <v>-105512.21474974451</v>
      </c>
      <c r="F102" s="42">
        <f t="shared" si="53"/>
        <v>-118194.48783735883</v>
      </c>
      <c r="G102" s="42">
        <f t="shared" si="53"/>
        <v>-131749.52209800488</v>
      </c>
      <c r="H102" s="42">
        <f t="shared" si="53"/>
        <v>-145982.68432972953</v>
      </c>
      <c r="I102" s="42">
        <f t="shared" si="53"/>
        <v>-160810.50007659671</v>
      </c>
      <c r="J102" s="42">
        <f t="shared" si="53"/>
        <v>-176022.47640926761</v>
      </c>
      <c r="L102" t="s">
        <v>373</v>
      </c>
    </row>
    <row r="103" spans="1:12" x14ac:dyDescent="0.25">
      <c r="A103" s="19" t="s">
        <v>143</v>
      </c>
      <c r="B103" s="19"/>
      <c r="C103" s="19"/>
      <c r="D103" s="42">
        <f t="shared" ref="D103:J103" si="54">D97</f>
        <v>5221.6763252714882</v>
      </c>
      <c r="E103" s="42">
        <f t="shared" si="54"/>
        <v>5011.980291938984</v>
      </c>
      <c r="F103" s="42">
        <f t="shared" si="54"/>
        <v>5008.8715531818088</v>
      </c>
      <c r="G103" s="42">
        <f t="shared" si="54"/>
        <v>5782.9348791265656</v>
      </c>
      <c r="H103" s="42">
        <f t="shared" si="54"/>
        <v>6875.0070552975376</v>
      </c>
      <c r="I103" s="42">
        <f t="shared" si="54"/>
        <v>8133.5253781694992</v>
      </c>
      <c r="J103" s="42">
        <f t="shared" si="54"/>
        <v>9668.9833632793307</v>
      </c>
      <c r="L103" t="s">
        <v>373</v>
      </c>
    </row>
    <row r="104" spans="1:12" x14ac:dyDescent="0.25">
      <c r="A104" s="19" t="s">
        <v>49</v>
      </c>
      <c r="B104" s="19"/>
      <c r="C104" s="19"/>
      <c r="D104" s="42">
        <f>D31+D37+D43+D49+D55+D61+D69</f>
        <v>2695210</v>
      </c>
      <c r="E104" s="42">
        <f>E31+E37+E43+E49+E55+E61+E69</f>
        <v>2792048</v>
      </c>
      <c r="F104" s="42">
        <f>F31+F37+F43+F49+F55+F61+F69</f>
        <v>2915258.1484764968</v>
      </c>
      <c r="G104" s="41"/>
      <c r="H104" s="41"/>
      <c r="I104" s="41"/>
      <c r="J104" s="41"/>
      <c r="L104" t="s">
        <v>407</v>
      </c>
    </row>
    <row r="105" spans="1:12" x14ac:dyDescent="0.25">
      <c r="A105" s="19" t="s">
        <v>51</v>
      </c>
      <c r="B105" s="19"/>
      <c r="C105" s="19"/>
      <c r="D105" s="42">
        <f>D78</f>
        <v>103486</v>
      </c>
      <c r="E105" s="42">
        <f>E78</f>
        <v>111932.84009320507</v>
      </c>
      <c r="F105" s="42">
        <f>F78</f>
        <v>122817.57878761113</v>
      </c>
      <c r="G105" s="43"/>
      <c r="H105" s="43"/>
      <c r="I105" s="43"/>
      <c r="J105" s="43"/>
      <c r="L105" t="s">
        <v>373</v>
      </c>
    </row>
    <row r="106" spans="1:12" x14ac:dyDescent="0.25">
      <c r="A106" s="19" t="s">
        <v>52</v>
      </c>
      <c r="B106" s="19"/>
      <c r="C106" s="19"/>
      <c r="D106" s="42">
        <f>D77</f>
        <v>1224826</v>
      </c>
      <c r="E106" s="42">
        <f>E77</f>
        <v>1324800</v>
      </c>
      <c r="F106" s="42">
        <f>F77</f>
        <v>1453628.159906795</v>
      </c>
      <c r="G106" s="43"/>
      <c r="H106" s="43"/>
      <c r="I106" s="43"/>
      <c r="J106" s="43"/>
      <c r="L106" t="s">
        <v>373</v>
      </c>
    </row>
    <row r="107" spans="1:12" x14ac:dyDescent="0.25">
      <c r="A107" s="19" t="s">
        <v>53</v>
      </c>
      <c r="B107" s="19"/>
      <c r="C107" s="19"/>
      <c r="D107" s="42">
        <f>D94</f>
        <v>34300.677419354841</v>
      </c>
      <c r="E107" s="42">
        <f>E94</f>
        <v>34300.677419354841</v>
      </c>
      <c r="F107" s="42">
        <f>F94</f>
        <v>34300.677419354841</v>
      </c>
      <c r="G107" s="43"/>
      <c r="H107" s="43"/>
      <c r="I107" s="43"/>
      <c r="J107" s="43"/>
      <c r="L107" t="s">
        <v>373</v>
      </c>
    </row>
    <row r="108" spans="1:12" x14ac:dyDescent="0.25">
      <c r="A108" s="19" t="s">
        <v>55</v>
      </c>
      <c r="B108" s="19"/>
      <c r="C108" s="19"/>
      <c r="D108" s="42">
        <f>D88</f>
        <v>-83664</v>
      </c>
      <c r="E108" s="42">
        <f>E88</f>
        <v>-94465.469677419358</v>
      </c>
      <c r="F108" s="42">
        <f>F88</f>
        <v>-105512.21474974451</v>
      </c>
      <c r="G108" s="43"/>
      <c r="H108" s="43"/>
      <c r="I108" s="43"/>
      <c r="J108" s="43"/>
      <c r="L108" t="s">
        <v>373</v>
      </c>
    </row>
    <row r="109" spans="1:12" x14ac:dyDescent="0.25">
      <c r="A109" s="19" t="s">
        <v>408</v>
      </c>
      <c r="B109" s="19"/>
      <c r="C109" s="19"/>
      <c r="D109" s="42">
        <f>D66+D71</f>
        <v>99210</v>
      </c>
      <c r="E109" s="42">
        <f>E66+E71</f>
        <v>106780.8565399701</v>
      </c>
      <c r="F109" s="42">
        <f>F66+F71</f>
        <v>111824.42375120055</v>
      </c>
      <c r="G109" s="43"/>
      <c r="H109" s="43"/>
      <c r="I109" s="43"/>
      <c r="J109" s="43"/>
      <c r="L109" t="s">
        <v>407</v>
      </c>
    </row>
    <row r="110" spans="1:12" ht="15" customHeight="1" x14ac:dyDescent="0.25">
      <c r="A110" s="19"/>
      <c r="B110" s="19"/>
      <c r="C110" s="19"/>
      <c r="D110" s="41"/>
      <c r="E110" s="41"/>
      <c r="F110" s="41"/>
    </row>
  </sheetData>
  <pageMargins left="0.23622047244094491" right="0.23622047244094491" top="0.74803149606299213" bottom="0.74803149606299213" header="0.31496062992125984" footer="0.31496062992125984"/>
  <pageSetup paperSize="9" scale="47" fitToHeight="0" orientation="portrait" r:id="rId1"/>
  <rowBreaks count="1" manualBreakCount="1">
    <brk id="66"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F7C4-53F5-42F7-91C1-3322D7D5BF18}">
  <sheetPr codeName="Sheet13">
    <pageSetUpPr fitToPage="1"/>
  </sheetPr>
  <dimension ref="A1:P60"/>
  <sheetViews>
    <sheetView showGridLines="0" view="pageBreakPreview" zoomScaleNormal="100" zoomScaleSheetLayoutView="100" workbookViewId="0">
      <selection activeCell="Q23" sqref="Q23"/>
    </sheetView>
  </sheetViews>
  <sheetFormatPr defaultColWidth="9.140625" defaultRowHeight="15" customHeight="1" x14ac:dyDescent="0.25"/>
  <cols>
    <col min="1" max="1" width="50.5703125" customWidth="1"/>
    <col min="2" max="2" width="12.5703125" customWidth="1"/>
    <col min="3" max="3" width="12" customWidth="1"/>
    <col min="4" max="10" width="13.140625" customWidth="1"/>
    <col min="11" max="11" width="2.85546875" customWidth="1"/>
    <col min="12" max="12" width="10" bestFit="1" customWidth="1"/>
    <col min="13" max="13" width="3.85546875" style="1" customWidth="1"/>
    <col min="17" max="16384" width="9.140625" style="1"/>
  </cols>
  <sheetData>
    <row r="1" spans="1:16" ht="15" customHeight="1" x14ac:dyDescent="0.25">
      <c r="A1" s="97" t="s">
        <v>547</v>
      </c>
      <c r="B1" s="97"/>
      <c r="C1" s="97"/>
      <c r="D1" s="97"/>
      <c r="E1" s="97"/>
      <c r="F1" s="97"/>
      <c r="G1" s="97"/>
      <c r="H1" s="97"/>
      <c r="I1" s="97"/>
      <c r="J1" s="97"/>
      <c r="K1" s="97"/>
      <c r="L1" s="97"/>
      <c r="N1" s="97"/>
      <c r="O1" s="97"/>
      <c r="P1" s="97"/>
    </row>
    <row r="2" spans="1:16" ht="39.950000000000003" customHeight="1" x14ac:dyDescent="0.35">
      <c r="A2" s="514" t="s">
        <v>409</v>
      </c>
      <c r="B2" s="92"/>
      <c r="C2" s="92"/>
      <c r="D2" s="92"/>
      <c r="E2" s="92"/>
      <c r="F2" s="92"/>
      <c r="G2" s="92"/>
      <c r="H2" s="92"/>
      <c r="I2" s="92"/>
      <c r="J2" s="516" t="str">
        <f>EDB_Name</f>
        <v>Vector Lines</v>
      </c>
      <c r="K2" s="92"/>
      <c r="L2" s="92"/>
      <c r="N2" s="92"/>
      <c r="O2" s="92"/>
      <c r="P2" s="92"/>
    </row>
    <row r="3" spans="1:16" ht="20.100000000000001" customHeight="1" x14ac:dyDescent="0.25">
      <c r="A3" s="517" t="s">
        <v>147</v>
      </c>
      <c r="B3" s="486"/>
      <c r="C3" s="569"/>
    </row>
    <row r="4" spans="1:16" ht="39.950000000000003" customHeight="1" x14ac:dyDescent="0.35">
      <c r="A4" s="487" t="s">
        <v>12</v>
      </c>
      <c r="B4" s="570"/>
      <c r="C4" s="571"/>
      <c r="D4" s="572"/>
      <c r="E4" s="572"/>
      <c r="F4" s="572"/>
      <c r="G4" s="572"/>
      <c r="H4" s="572"/>
      <c r="I4" s="572"/>
      <c r="J4" s="572"/>
      <c r="K4" s="92"/>
      <c r="L4" s="92"/>
      <c r="N4" s="92"/>
      <c r="O4" s="92"/>
      <c r="P4" s="92"/>
    </row>
    <row r="5" spans="1:16" x14ac:dyDescent="0.25">
      <c r="A5" s="31"/>
      <c r="B5" s="57" t="s">
        <v>122</v>
      </c>
      <c r="C5" s="440" t="s">
        <v>31</v>
      </c>
      <c r="D5" s="573" t="s">
        <v>424</v>
      </c>
      <c r="E5" s="573" t="s">
        <v>425</v>
      </c>
      <c r="F5" s="573" t="s">
        <v>426</v>
      </c>
      <c r="G5" s="573" t="s">
        <v>427</v>
      </c>
      <c r="H5" s="573" t="s">
        <v>428</v>
      </c>
      <c r="I5" s="573" t="s">
        <v>319</v>
      </c>
      <c r="J5" s="573" t="s">
        <v>320</v>
      </c>
    </row>
    <row r="6" spans="1:16" x14ac:dyDescent="0.25">
      <c r="A6" s="426" t="s">
        <v>33</v>
      </c>
      <c r="B6" s="574" t="s">
        <v>70</v>
      </c>
      <c r="C6" s="426"/>
      <c r="D6" s="472"/>
      <c r="E6" s="472"/>
      <c r="F6" s="314">
        <f>'EDB data (DPP)'!D23</f>
        <v>1</v>
      </c>
      <c r="G6" s="314">
        <f>'EDB data (DPP)'!E23</f>
        <v>2</v>
      </c>
      <c r="H6" s="314">
        <f>'EDB data (DPP)'!F23</f>
        <v>3</v>
      </c>
      <c r="I6" s="314">
        <f>'EDB data (DPP)'!G23</f>
        <v>4</v>
      </c>
      <c r="J6" s="314">
        <f>'EDB data (DPP)'!H23</f>
        <v>5</v>
      </c>
    </row>
    <row r="7" spans="1:16" x14ac:dyDescent="0.25">
      <c r="A7" s="426" t="s">
        <v>123</v>
      </c>
      <c r="B7" s="574" t="s">
        <v>70</v>
      </c>
      <c r="C7" s="472"/>
      <c r="D7" s="575">
        <f>'EDB data (DPP)'!B26</f>
        <v>0.28000000000000003</v>
      </c>
      <c r="E7" s="575">
        <f>'EDB data (DPP)'!C26</f>
        <v>0.28000000000000003</v>
      </c>
      <c r="F7" s="575">
        <f>'EDB data (DPP)'!D26</f>
        <v>0.28000000000000003</v>
      </c>
      <c r="G7" s="575">
        <f>'EDB data (DPP)'!E26</f>
        <v>0.28000000000000003</v>
      </c>
      <c r="H7" s="575">
        <f>'EDB data (DPP)'!F26</f>
        <v>0.28000000000000003</v>
      </c>
      <c r="I7" s="575">
        <f>'EDB data (DPP)'!G26</f>
        <v>0.28000000000000003</v>
      </c>
      <c r="J7" s="575">
        <f>'EDB data (DPP)'!H26</f>
        <v>0.28000000000000003</v>
      </c>
    </row>
    <row r="8" spans="1:16" x14ac:dyDescent="0.25">
      <c r="A8" s="426" t="s">
        <v>54</v>
      </c>
      <c r="B8" s="574" t="s">
        <v>70</v>
      </c>
      <c r="C8" s="314"/>
      <c r="D8" s="61">
        <f>'RAB (DPP)'!D99</f>
        <v>3983.6873940243322</v>
      </c>
      <c r="E8" s="217">
        <f>'RAB (DPP)'!E99</f>
        <v>4150.7093004162352</v>
      </c>
      <c r="F8" s="217">
        <f>'RAB (DPP)'!F99</f>
        <v>4372.6112047275901</v>
      </c>
      <c r="G8" s="217">
        <f>'RAB (DPP)'!G99</f>
        <v>4557.1095951354082</v>
      </c>
      <c r="H8" s="217">
        <f>'RAB (DPP)'!H99</f>
        <v>4738.1242531285889</v>
      </c>
      <c r="I8" s="217">
        <f>'RAB (DPP)'!I99</f>
        <v>4918.1557179782694</v>
      </c>
      <c r="J8" s="245">
        <f>'RAB (DPP)'!J99</f>
        <v>5086.4714623525706</v>
      </c>
    </row>
    <row r="9" spans="1:16" x14ac:dyDescent="0.25">
      <c r="A9" s="577" t="s">
        <v>57</v>
      </c>
      <c r="B9" s="488" t="s">
        <v>70</v>
      </c>
      <c r="C9" s="467"/>
      <c r="D9" s="576">
        <f>'EDB data (DPP)'!$B50</f>
        <v>203460</v>
      </c>
      <c r="E9" s="579">
        <f>'EDB data (DPP)'!$B51</f>
        <v>240761</v>
      </c>
      <c r="F9" s="581">
        <f>'EDB data (DPP)'!$B52</f>
        <v>211119.9718515854</v>
      </c>
      <c r="G9" s="581">
        <f>'EDB data (DPP)'!$B53</f>
        <v>209600.00629559506</v>
      </c>
      <c r="H9" s="581">
        <f>'EDB data (DPP)'!$B54</f>
        <v>213423.98232804175</v>
      </c>
      <c r="I9" s="582">
        <f>'EDB data (DPP)'!$B55</f>
        <v>209518.18392710513</v>
      </c>
      <c r="J9" s="579">
        <f>'EDB data (DPP)'!$B56</f>
        <v>197131.64960191568</v>
      </c>
    </row>
    <row r="10" spans="1:16" x14ac:dyDescent="0.25">
      <c r="A10" s="577" t="s">
        <v>56</v>
      </c>
      <c r="B10" s="488" t="s">
        <v>70</v>
      </c>
      <c r="C10" s="576"/>
      <c r="D10" s="576"/>
      <c r="E10" s="576"/>
      <c r="F10" s="576">
        <f>'EDB data (DPP)'!$B43</f>
        <v>127351.13794047505</v>
      </c>
      <c r="G10" s="579">
        <f>'EDB data (DPP)'!$B44</f>
        <v>132448.68478800423</v>
      </c>
      <c r="H10" s="579">
        <f>'EDB data (DPP)'!$B45</f>
        <v>137800.82316421505</v>
      </c>
      <c r="I10" s="580">
        <f>'EDB data (DPP)'!$B46</f>
        <v>142973.17103060253</v>
      </c>
      <c r="J10" s="579">
        <f>'EDB data (DPP)'!$B47</f>
        <v>148015.88957073344</v>
      </c>
    </row>
    <row r="11" spans="1:16" x14ac:dyDescent="0.25">
      <c r="A11" s="577" t="s">
        <v>41</v>
      </c>
      <c r="B11" s="488" t="s">
        <v>70</v>
      </c>
      <c r="C11" s="583">
        <f>'EDB data (DPP)'!B11</f>
        <v>4.5699999999999998E-2</v>
      </c>
      <c r="D11" s="584"/>
      <c r="E11" s="584"/>
      <c r="F11" s="584"/>
      <c r="G11" s="584"/>
      <c r="H11" s="584"/>
      <c r="I11" s="584"/>
      <c r="J11" s="584"/>
    </row>
    <row r="12" spans="1:16" ht="18" x14ac:dyDescent="0.35">
      <c r="A12" s="577" t="s">
        <v>362</v>
      </c>
      <c r="B12" s="488" t="s">
        <v>148</v>
      </c>
      <c r="C12" s="493">
        <f>'TIMING (DPP)'!C24</f>
        <v>1.0225321432719434</v>
      </c>
    </row>
    <row r="13" spans="1:16" ht="18" x14ac:dyDescent="0.35">
      <c r="A13" s="577" t="s">
        <v>363</v>
      </c>
      <c r="B13" s="488" t="s">
        <v>148</v>
      </c>
      <c r="C13" s="493">
        <f>'TIMING (DPP)'!C25</f>
        <v>1.0225321432719434</v>
      </c>
    </row>
    <row r="14" spans="1:16" ht="18" x14ac:dyDescent="0.35">
      <c r="A14" s="577" t="s">
        <v>364</v>
      </c>
      <c r="B14" s="488" t="s">
        <v>148</v>
      </c>
      <c r="C14" s="493">
        <f>'TIMING (DPP)'!C26</f>
        <v>1.0225321432719434</v>
      </c>
    </row>
    <row r="15" spans="1:16" ht="18" x14ac:dyDescent="0.35">
      <c r="A15" s="577" t="s">
        <v>361</v>
      </c>
      <c r="B15" s="488" t="s">
        <v>148</v>
      </c>
      <c r="C15" s="493">
        <f>'TIMING (DPP)'!C27</f>
        <v>1.0182846181695255</v>
      </c>
      <c r="D15" s="243"/>
      <c r="E15" s="243"/>
      <c r="F15" s="243"/>
      <c r="G15" s="243"/>
      <c r="H15" s="243"/>
      <c r="I15" s="243"/>
      <c r="J15" s="243"/>
    </row>
    <row r="16" spans="1:16" x14ac:dyDescent="0.25">
      <c r="A16" s="426" t="s">
        <v>117</v>
      </c>
      <c r="B16" s="574" t="s">
        <v>124</v>
      </c>
      <c r="C16" s="472"/>
      <c r="D16" s="314">
        <f>'RAB (DPP)'!D96</f>
        <v>2951716</v>
      </c>
      <c r="E16" s="314">
        <f>'RAB (DPP)'!E96</f>
        <v>3075471</v>
      </c>
      <c r="F16" s="314">
        <f>'RAB (DPP)'!F96</f>
        <v>3239889.3733816077</v>
      </c>
      <c r="G16" s="314">
        <f>'RAB (DPP)'!G96</f>
        <v>3376593.5866082534</v>
      </c>
      <c r="H16" s="314">
        <f>'RAB (DPP)'!H96</f>
        <v>3510716.5258314651</v>
      </c>
      <c r="I16" s="314">
        <f>'RAB (DPP)'!I96</f>
        <v>3644110.9673976786</v>
      </c>
      <c r="J16" s="314">
        <f>'RAB (DPP)'!J96</f>
        <v>3768824.6375683807</v>
      </c>
    </row>
    <row r="17" spans="1:16" x14ac:dyDescent="0.25">
      <c r="A17" s="426" t="s">
        <v>118</v>
      </c>
      <c r="B17" s="574" t="s">
        <v>124</v>
      </c>
      <c r="C17" s="472"/>
      <c r="D17" s="314"/>
      <c r="E17" s="314"/>
      <c r="F17" s="314">
        <f>'RAB (DPP)'!F97</f>
        <v>61292.396782279815</v>
      </c>
      <c r="G17" s="314">
        <f>'RAB (DPP)'!G97</f>
        <v>67249.477184512129</v>
      </c>
      <c r="H17" s="314">
        <f>'RAB (DPP)'!H97</f>
        <v>69928.940728702291</v>
      </c>
      <c r="I17" s="314">
        <f>'RAB (DPP)'!I97</f>
        <v>72593.819592544227</v>
      </c>
      <c r="J17" s="314">
        <f>'RAB (DPP)'!J97</f>
        <v>75085.068387997671</v>
      </c>
    </row>
    <row r="18" spans="1:16" x14ac:dyDescent="0.25">
      <c r="A18" s="426" t="s">
        <v>47</v>
      </c>
      <c r="B18" s="574" t="s">
        <v>124</v>
      </c>
      <c r="C18" s="472"/>
      <c r="D18" s="314"/>
      <c r="E18" s="314"/>
      <c r="F18" s="314">
        <f>'RAB (DPP)'!F95</f>
        <v>124733.53051899928</v>
      </c>
      <c r="G18" s="314">
        <f>'RAB (DPP)'!G95</f>
        <v>131532.42687091118</v>
      </c>
      <c r="H18" s="314">
        <f>'RAB (DPP)'!H95</f>
        <v>138540.48175682631</v>
      </c>
      <c r="I18" s="314">
        <f>'RAB (DPP)'!I95</f>
        <v>145751.97362056913</v>
      </c>
      <c r="J18" s="314">
        <f>'RAB (DPP)'!J95</f>
        <v>152992.78314358488</v>
      </c>
    </row>
    <row r="19" spans="1:16" x14ac:dyDescent="0.25">
      <c r="A19" s="426" t="s">
        <v>145</v>
      </c>
      <c r="B19" s="574" t="s">
        <v>149</v>
      </c>
      <c r="C19" s="472"/>
      <c r="D19" s="314">
        <f>'TAX (DPP)'!D101</f>
        <v>-83664</v>
      </c>
      <c r="E19" s="314">
        <f>'TAX (DPP)'!E101</f>
        <v>-94465.469677419358</v>
      </c>
      <c r="F19" s="314">
        <f>'TAX (DPP)'!F101</f>
        <v>-105512.21474974451</v>
      </c>
      <c r="G19" s="314">
        <f>'TAX (DPP)'!G101</f>
        <v>-118194.48783735883</v>
      </c>
      <c r="H19" s="314">
        <f>'TAX (DPP)'!H101</f>
        <v>-131749.52209800488</v>
      </c>
      <c r="I19" s="314">
        <f>'TAX (DPP)'!I101</f>
        <v>-145982.68432972953</v>
      </c>
      <c r="J19" s="314">
        <f>'TAX (DPP)'!J101</f>
        <v>-160810.50007659671</v>
      </c>
    </row>
    <row r="20" spans="1:16" x14ac:dyDescent="0.25">
      <c r="A20" s="426" t="s">
        <v>146</v>
      </c>
      <c r="B20" s="574" t="s">
        <v>149</v>
      </c>
      <c r="C20" s="472"/>
      <c r="D20" s="314"/>
      <c r="E20" s="314"/>
      <c r="F20" s="314">
        <f>'TAX (DPP)'!F102</f>
        <v>-118194.48783735883</v>
      </c>
      <c r="G20" s="314">
        <f>'TAX (DPP)'!G102</f>
        <v>-131749.52209800488</v>
      </c>
      <c r="H20" s="314">
        <f>'TAX (DPP)'!H102</f>
        <v>-145982.68432972953</v>
      </c>
      <c r="I20" s="314">
        <f>'TAX (DPP)'!I102</f>
        <v>-160810.50007659671</v>
      </c>
      <c r="J20" s="314">
        <f>'TAX (DPP)'!J102</f>
        <v>-176022.47640926761</v>
      </c>
    </row>
    <row r="21" spans="1:16" x14ac:dyDescent="0.25">
      <c r="A21" s="426" t="s">
        <v>143</v>
      </c>
      <c r="B21" s="574" t="s">
        <v>149</v>
      </c>
      <c r="C21" s="472"/>
      <c r="D21" s="314"/>
      <c r="E21" s="314"/>
      <c r="F21" s="314">
        <f>'TAX (DPP)'!F103</f>
        <v>5008.8715531818088</v>
      </c>
      <c r="G21" s="314">
        <f>'TAX (DPP)'!G103</f>
        <v>5782.9348791265656</v>
      </c>
      <c r="H21" s="314">
        <f>'TAX (DPP)'!H103</f>
        <v>6875.0070552975376</v>
      </c>
      <c r="I21" s="314">
        <f>'TAX (DPP)'!I103</f>
        <v>8133.5253781694992</v>
      </c>
      <c r="J21" s="314">
        <f>'TAX (DPP)'!J103</f>
        <v>9668.9833632793307</v>
      </c>
    </row>
    <row r="22" spans="1:16" ht="39.950000000000003" customHeight="1" x14ac:dyDescent="0.35">
      <c r="A22" s="129" t="s">
        <v>71</v>
      </c>
      <c r="B22" s="490"/>
      <c r="C22" s="490"/>
      <c r="D22" s="490"/>
      <c r="E22" s="490"/>
      <c r="F22" s="490"/>
      <c r="G22" s="490"/>
      <c r="H22" s="490"/>
      <c r="I22" s="490"/>
      <c r="J22" s="490"/>
      <c r="K22" s="92"/>
      <c r="L22" s="92"/>
      <c r="N22" s="92"/>
      <c r="O22" s="92"/>
      <c r="P22" s="92"/>
    </row>
    <row r="23" spans="1:16" ht="35.1" customHeight="1" x14ac:dyDescent="0.35">
      <c r="A23" s="475" t="s">
        <v>54</v>
      </c>
      <c r="B23" s="476"/>
      <c r="C23" s="477"/>
      <c r="D23" s="476"/>
      <c r="E23" s="476"/>
      <c r="F23" s="476"/>
      <c r="G23" s="476"/>
      <c r="H23" s="476"/>
      <c r="I23" s="476"/>
      <c r="J23" s="476"/>
      <c r="K23" s="95"/>
      <c r="L23" s="95"/>
      <c r="N23" s="95"/>
      <c r="O23" s="95"/>
      <c r="P23" s="95"/>
    </row>
    <row r="24" spans="1:16" x14ac:dyDescent="0.25">
      <c r="A24" s="31"/>
      <c r="B24" s="31"/>
      <c r="C24" s="36"/>
      <c r="D24" s="36" t="s">
        <v>424</v>
      </c>
      <c r="E24" s="36" t="s">
        <v>425</v>
      </c>
      <c r="F24" s="36" t="s">
        <v>426</v>
      </c>
      <c r="G24" s="36" t="s">
        <v>427</v>
      </c>
      <c r="H24" s="36" t="s">
        <v>428</v>
      </c>
      <c r="I24" s="36" t="s">
        <v>319</v>
      </c>
      <c r="J24" s="36" t="s">
        <v>320</v>
      </c>
    </row>
    <row r="25" spans="1:16" x14ac:dyDescent="0.25">
      <c r="A25" s="426" t="s">
        <v>150</v>
      </c>
      <c r="B25" s="426"/>
      <c r="C25" s="302"/>
      <c r="D25" s="586">
        <f t="shared" ref="D25:J25" si="0">D16/$D$16</f>
        <v>1</v>
      </c>
      <c r="E25" s="342">
        <f t="shared" si="0"/>
        <v>1.0419264590495834</v>
      </c>
      <c r="F25" s="342">
        <f t="shared" si="0"/>
        <v>1.0976290989314716</v>
      </c>
      <c r="G25" s="342">
        <f t="shared" si="0"/>
        <v>1.1439425698841803</v>
      </c>
      <c r="H25" s="342">
        <f t="shared" si="0"/>
        <v>1.1893815413920124</v>
      </c>
      <c r="I25" s="342">
        <f t="shared" si="0"/>
        <v>1.234573708106633</v>
      </c>
      <c r="J25" s="342">
        <f t="shared" si="0"/>
        <v>1.2768249511702281</v>
      </c>
    </row>
    <row r="26" spans="1:16" x14ac:dyDescent="0.25">
      <c r="A26" s="359" t="s">
        <v>54</v>
      </c>
      <c r="B26" s="359"/>
      <c r="C26" s="302"/>
      <c r="D26" s="587">
        <f>IF(D8&gt;0,D8,0)</f>
        <v>3983.6873940243322</v>
      </c>
      <c r="E26" s="345">
        <f t="shared" ref="E26:J26" si="1">$D26*E25</f>
        <v>4150.7093004162352</v>
      </c>
      <c r="F26" s="314">
        <f t="shared" si="1"/>
        <v>4372.6112047275901</v>
      </c>
      <c r="G26" s="314">
        <f t="shared" si="1"/>
        <v>4557.1095951354082</v>
      </c>
      <c r="H26" s="314">
        <f t="shared" si="1"/>
        <v>4738.1242531285889</v>
      </c>
      <c r="I26" s="314">
        <f t="shared" si="1"/>
        <v>4918.1557179782694</v>
      </c>
      <c r="J26" s="314">
        <f t="shared" si="1"/>
        <v>5086.4714623525715</v>
      </c>
    </row>
    <row r="27" spans="1:16" ht="35.1" customHeight="1" x14ac:dyDescent="0.35">
      <c r="A27" s="543" t="s">
        <v>151</v>
      </c>
      <c r="B27" s="541"/>
      <c r="C27" s="542"/>
      <c r="D27" s="541"/>
      <c r="E27" s="541"/>
      <c r="F27" s="541"/>
      <c r="G27" s="541"/>
      <c r="H27" s="541"/>
      <c r="I27" s="541"/>
      <c r="J27" s="541"/>
      <c r="K27" s="95"/>
      <c r="L27" s="95"/>
      <c r="N27" s="95"/>
      <c r="O27" s="95"/>
      <c r="P27" s="95"/>
    </row>
    <row r="28" spans="1:16" x14ac:dyDescent="0.25">
      <c r="A28" s="31"/>
      <c r="B28" s="31"/>
      <c r="C28" s="36"/>
      <c r="D28" s="36" t="str">
        <f>D5</f>
        <v>2018/19</v>
      </c>
      <c r="E28" s="36" t="str">
        <f t="shared" ref="E28:J28" si="2">E5</f>
        <v>2019/20</v>
      </c>
      <c r="F28" s="36" t="str">
        <f t="shared" si="2"/>
        <v>2020/21</v>
      </c>
      <c r="G28" s="36" t="str">
        <f t="shared" si="2"/>
        <v>2021/22</v>
      </c>
      <c r="H28" s="36" t="str">
        <f t="shared" si="2"/>
        <v>2022/23</v>
      </c>
      <c r="I28" s="36" t="str">
        <f t="shared" si="2"/>
        <v>2023/24</v>
      </c>
      <c r="J28" s="36" t="str">
        <f t="shared" si="2"/>
        <v>2024/25</v>
      </c>
    </row>
    <row r="29" spans="1:16" x14ac:dyDescent="0.25">
      <c r="A29" s="359" t="s">
        <v>125</v>
      </c>
      <c r="B29" s="359"/>
      <c r="C29" s="302"/>
      <c r="D29" s="314">
        <f t="shared" ref="D29:J29" si="3">D16+D19</f>
        <v>2868052</v>
      </c>
      <c r="E29" s="314">
        <f t="shared" si="3"/>
        <v>2981005.5303225806</v>
      </c>
      <c r="F29" s="314">
        <f t="shared" si="3"/>
        <v>3134377.1586318631</v>
      </c>
      <c r="G29" s="314">
        <f t="shared" si="3"/>
        <v>3258399.0987708946</v>
      </c>
      <c r="H29" s="314">
        <f t="shared" si="3"/>
        <v>3378967.0037334603</v>
      </c>
      <c r="I29" s="314">
        <f t="shared" si="3"/>
        <v>3498128.2830679491</v>
      </c>
      <c r="J29" s="314">
        <f t="shared" si="3"/>
        <v>3608014.1374917841</v>
      </c>
      <c r="L29" t="s">
        <v>403</v>
      </c>
    </row>
    <row r="30" spans="1:16" x14ac:dyDescent="0.25">
      <c r="A30" s="359" t="s">
        <v>57</v>
      </c>
      <c r="B30" s="359"/>
      <c r="C30" s="302"/>
      <c r="D30" s="314"/>
      <c r="E30" s="314"/>
      <c r="F30" s="314">
        <f t="shared" ref="F30:J30" si="4">F9</f>
        <v>211119.9718515854</v>
      </c>
      <c r="G30" s="314">
        <f t="shared" si="4"/>
        <v>209600.00629559506</v>
      </c>
      <c r="H30" s="314">
        <f t="shared" si="4"/>
        <v>213423.98232804175</v>
      </c>
      <c r="I30" s="314">
        <f t="shared" si="4"/>
        <v>209518.18392710513</v>
      </c>
      <c r="J30" s="314">
        <f t="shared" si="4"/>
        <v>197131.64960191568</v>
      </c>
      <c r="L30" t="s">
        <v>373</v>
      </c>
    </row>
    <row r="31" spans="1:16" x14ac:dyDescent="0.25">
      <c r="A31" s="359" t="s">
        <v>54</v>
      </c>
      <c r="B31" s="359"/>
      <c r="C31" s="302"/>
      <c r="D31" s="314"/>
      <c r="E31" s="314"/>
      <c r="F31" s="314">
        <f>F8</f>
        <v>4372.6112047275901</v>
      </c>
      <c r="G31" s="314">
        <f t="shared" ref="G31:J31" si="5">G8</f>
        <v>4557.1095951354082</v>
      </c>
      <c r="H31" s="314">
        <f t="shared" si="5"/>
        <v>4738.1242531285889</v>
      </c>
      <c r="I31" s="314">
        <f t="shared" si="5"/>
        <v>4918.1557179782694</v>
      </c>
      <c r="J31" s="314">
        <f t="shared" si="5"/>
        <v>5086.4714623525706</v>
      </c>
      <c r="L31" t="s">
        <v>373</v>
      </c>
    </row>
    <row r="32" spans="1:16" x14ac:dyDescent="0.25">
      <c r="A32" s="359" t="s">
        <v>118</v>
      </c>
      <c r="B32" s="359"/>
      <c r="C32" s="302"/>
      <c r="D32" s="314"/>
      <c r="E32" s="314"/>
      <c r="F32" s="314">
        <f t="shared" ref="F32:J32" si="6">F17</f>
        <v>61292.396782279815</v>
      </c>
      <c r="G32" s="314">
        <f t="shared" si="6"/>
        <v>67249.477184512129</v>
      </c>
      <c r="H32" s="314">
        <f t="shared" si="6"/>
        <v>69928.940728702291</v>
      </c>
      <c r="I32" s="314">
        <f t="shared" si="6"/>
        <v>72593.819592544227</v>
      </c>
      <c r="J32" s="314">
        <f t="shared" si="6"/>
        <v>75085.068387997671</v>
      </c>
      <c r="L32" t="s">
        <v>373</v>
      </c>
    </row>
    <row r="33" spans="1:16" x14ac:dyDescent="0.25">
      <c r="A33" s="169" t="s">
        <v>151</v>
      </c>
      <c r="B33" s="169"/>
      <c r="C33" s="170"/>
      <c r="D33" s="171"/>
      <c r="E33" s="171"/>
      <c r="F33" s="171">
        <f>F29*$C$11+F30*($C$14-1)+F31-F32</f>
        <v>91078.236025252481</v>
      </c>
      <c r="G33" s="171">
        <f t="shared" ref="G33:J33" si="7">G29*$C$11+G30*($C$14-1)+G31-G32</f>
        <v>90939.208596105746</v>
      </c>
      <c r="H33" s="171">
        <f t="shared" si="7"/>
        <v>94036.875342529587</v>
      </c>
      <c r="I33" s="171">
        <f t="shared" si="7"/>
        <v>96909.692399962252</v>
      </c>
      <c r="J33" s="171">
        <f t="shared" si="7"/>
        <v>99329.447729994325</v>
      </c>
    </row>
    <row r="34" spans="1:16" ht="35.1" customHeight="1" x14ac:dyDescent="0.35">
      <c r="A34" s="475" t="s">
        <v>56</v>
      </c>
      <c r="B34" s="476"/>
      <c r="C34" s="477"/>
      <c r="D34" s="476"/>
      <c r="E34" s="476"/>
      <c r="F34" s="476"/>
      <c r="G34" s="476"/>
      <c r="H34" s="476"/>
      <c r="I34" s="476"/>
      <c r="J34" s="476"/>
      <c r="K34" s="95"/>
      <c r="L34" s="95"/>
      <c r="N34" s="95"/>
      <c r="O34" s="95"/>
      <c r="P34" s="95"/>
    </row>
    <row r="35" spans="1:16" x14ac:dyDescent="0.25">
      <c r="A35" s="31"/>
      <c r="B35" s="31"/>
      <c r="C35" s="36"/>
      <c r="D35" s="36" t="str">
        <f>D28</f>
        <v>2018/19</v>
      </c>
      <c r="E35" s="36" t="str">
        <f t="shared" ref="E35:J35" si="8">E28</f>
        <v>2019/20</v>
      </c>
      <c r="F35" s="36" t="str">
        <f t="shared" si="8"/>
        <v>2020/21</v>
      </c>
      <c r="G35" s="36" t="str">
        <f t="shared" si="8"/>
        <v>2021/22</v>
      </c>
      <c r="H35" s="36" t="str">
        <f t="shared" si="8"/>
        <v>2022/23</v>
      </c>
      <c r="I35" s="36" t="str">
        <f t="shared" si="8"/>
        <v>2023/24</v>
      </c>
      <c r="J35" s="36" t="str">
        <f t="shared" si="8"/>
        <v>2024/25</v>
      </c>
    </row>
    <row r="36" spans="1:16" x14ac:dyDescent="0.25">
      <c r="A36" s="359" t="s">
        <v>56</v>
      </c>
      <c r="B36" s="359"/>
      <c r="C36" s="302"/>
      <c r="D36" s="314"/>
      <c r="E36" s="314"/>
      <c r="F36" s="314">
        <f t="shared" ref="F36:J36" si="9">F10</f>
        <v>127351.13794047505</v>
      </c>
      <c r="G36" s="314">
        <f t="shared" si="9"/>
        <v>132448.68478800423</v>
      </c>
      <c r="H36" s="314">
        <f t="shared" si="9"/>
        <v>137800.82316421505</v>
      </c>
      <c r="I36" s="314">
        <f t="shared" si="9"/>
        <v>142973.17103060253</v>
      </c>
      <c r="J36" s="314">
        <f t="shared" si="9"/>
        <v>148015.88957073344</v>
      </c>
      <c r="L36" t="s">
        <v>373</v>
      </c>
    </row>
    <row r="37" spans="1:16" x14ac:dyDescent="0.25">
      <c r="A37" s="359" t="s">
        <v>152</v>
      </c>
      <c r="B37" s="359"/>
      <c r="C37" s="302"/>
      <c r="D37" s="314"/>
      <c r="E37" s="314"/>
      <c r="F37" s="314">
        <f t="shared" ref="F37:J37" si="10">F36*$C$12</f>
        <v>130220.63202639486</v>
      </c>
      <c r="G37" s="314">
        <f t="shared" si="10"/>
        <v>135433.03752982803</v>
      </c>
      <c r="H37" s="314">
        <f t="shared" si="10"/>
        <v>140905.77105474289</v>
      </c>
      <c r="I37" s="314">
        <f t="shared" si="10"/>
        <v>146194.66300430815</v>
      </c>
      <c r="J37" s="314">
        <f t="shared" si="10"/>
        <v>151351.00480106537</v>
      </c>
    </row>
    <row r="38" spans="1:16" ht="35.1" customHeight="1" x14ac:dyDescent="0.35">
      <c r="A38" s="543" t="s">
        <v>153</v>
      </c>
      <c r="B38" s="541"/>
      <c r="C38" s="542"/>
      <c r="D38" s="541"/>
      <c r="E38" s="541"/>
      <c r="F38" s="541"/>
      <c r="G38" s="541"/>
      <c r="H38" s="541"/>
      <c r="I38" s="541"/>
      <c r="J38" s="541"/>
      <c r="K38" s="95"/>
      <c r="L38" s="95"/>
      <c r="N38" s="95"/>
      <c r="O38" s="95"/>
      <c r="P38" s="95"/>
    </row>
    <row r="39" spans="1:16" x14ac:dyDescent="0.25">
      <c r="A39" s="31"/>
      <c r="B39" s="31"/>
      <c r="C39" s="36"/>
      <c r="D39" s="36" t="str">
        <f>D35</f>
        <v>2018/19</v>
      </c>
      <c r="E39" s="36" t="str">
        <f t="shared" ref="E39:J39" si="11">E35</f>
        <v>2019/20</v>
      </c>
      <c r="F39" s="36" t="str">
        <f t="shared" si="11"/>
        <v>2020/21</v>
      </c>
      <c r="G39" s="36" t="str">
        <f t="shared" si="11"/>
        <v>2021/22</v>
      </c>
      <c r="H39" s="36" t="str">
        <f t="shared" si="11"/>
        <v>2022/23</v>
      </c>
      <c r="I39" s="36" t="str">
        <f t="shared" si="11"/>
        <v>2023/24</v>
      </c>
      <c r="J39" s="36" t="str">
        <f t="shared" si="11"/>
        <v>2024/25</v>
      </c>
    </row>
    <row r="40" spans="1:16" x14ac:dyDescent="0.25">
      <c r="A40" s="359" t="s">
        <v>260</v>
      </c>
      <c r="B40" s="359"/>
      <c r="C40" s="302"/>
      <c r="D40" s="314"/>
      <c r="E40" s="314"/>
      <c r="F40" s="314">
        <f t="shared" ref="F40:J40" si="12">F20-F19</f>
        <v>-12682.273087614318</v>
      </c>
      <c r="G40" s="314">
        <f t="shared" si="12"/>
        <v>-13555.034260646047</v>
      </c>
      <c r="H40" s="314">
        <f t="shared" si="12"/>
        <v>-14233.162231724651</v>
      </c>
      <c r="I40" s="314">
        <f t="shared" si="12"/>
        <v>-14827.815746867185</v>
      </c>
      <c r="J40" s="314">
        <f t="shared" si="12"/>
        <v>-15211.976332670893</v>
      </c>
    </row>
    <row r="41" spans="1:16" x14ac:dyDescent="0.25">
      <c r="A41" s="359" t="s">
        <v>154</v>
      </c>
      <c r="B41" s="359"/>
      <c r="C41" s="302"/>
      <c r="D41" s="314"/>
      <c r="E41" s="314"/>
      <c r="F41" s="314">
        <f>(F33+F18+F37+((F21-F36-F18)*F7+F40)*$C13-F40)/($C15-F7*$C13)</f>
        <v>375704.61177741969</v>
      </c>
      <c r="G41" s="314">
        <f t="shared" ref="G41:J41" si="13">(G33+G18+G37+((G21-G36-G18)*G7+G40)*$C13-G40)/($C15-G7*$C13)</f>
        <v>387546.77095884824</v>
      </c>
      <c r="H41" s="314">
        <f t="shared" si="13"/>
        <v>404401.17251959204</v>
      </c>
      <c r="I41" s="314">
        <f t="shared" si="13"/>
        <v>421033.58773150115</v>
      </c>
      <c r="J41" s="314">
        <f t="shared" si="13"/>
        <v>437060.05255067465</v>
      </c>
    </row>
    <row r="42" spans="1:16" x14ac:dyDescent="0.25">
      <c r="A42" s="359" t="s">
        <v>410</v>
      </c>
      <c r="B42" s="359"/>
      <c r="C42" s="302"/>
      <c r="D42" s="314"/>
      <c r="E42" s="314"/>
      <c r="F42" s="314">
        <f>(F33+F36*($C12-$C15)-F18*($C15-1)+F21*$C15+F40*($C13-1))/(($C15/F7)-$C13)</f>
        <v>36016.068163915603</v>
      </c>
      <c r="G42" s="314">
        <f>(G33+G36*($C12-$C15)-G18*($C15-1)+G21*$C15+G40*($C13-1))/(($C15/G7)-$C13)</f>
        <v>36217.606370136644</v>
      </c>
      <c r="H42" s="314">
        <f>(H33+H36*($C12-$C15)-H18*($C15-1)+H21*$C15+H40*($C13-1))/(($C15/H7)-$C13)</f>
        <v>37781.764903077528</v>
      </c>
      <c r="I42" s="314">
        <f>(I33+I36*($C12-$C15)-I18*($C15-1)+I21*$C15+I40*($C13-1))/(($C15/I7)-$C13)</f>
        <v>39323.751168379698</v>
      </c>
      <c r="J42" s="314">
        <f>(J33+J36*($C12-$C15)-J18*($C15-1)+J21*$C15+J40*($C13-1))/(($C15/J7)-$C13)</f>
        <v>40801.701695897973</v>
      </c>
    </row>
    <row r="43" spans="1:16" x14ac:dyDescent="0.25">
      <c r="A43" s="359" t="s">
        <v>156</v>
      </c>
      <c r="B43" s="359"/>
      <c r="C43" s="302"/>
      <c r="D43" s="314"/>
      <c r="E43" s="314"/>
      <c r="F43" s="314">
        <f t="shared" ref="F43:J43" si="14">IF(F42&lt;0,#N/A,F42)</f>
        <v>36016.068163915603</v>
      </c>
      <c r="G43" s="314">
        <f>IF(G42&lt;0,#N/A,G42)</f>
        <v>36217.606370136644</v>
      </c>
      <c r="H43" s="314">
        <f t="shared" si="14"/>
        <v>37781.764903077528</v>
      </c>
      <c r="I43" s="314">
        <f t="shared" si="14"/>
        <v>39323.751168379698</v>
      </c>
      <c r="J43" s="314">
        <f t="shared" si="14"/>
        <v>40801.701695897973</v>
      </c>
      <c r="L43" t="s">
        <v>411</v>
      </c>
    </row>
    <row r="44" spans="1:16" x14ac:dyDescent="0.25">
      <c r="A44" s="359" t="s">
        <v>412</v>
      </c>
      <c r="B44" s="359"/>
      <c r="C44" s="302"/>
      <c r="D44" s="314"/>
      <c r="E44" s="314"/>
      <c r="F44" s="314">
        <f>F33+F18+F37+F43*$C$13-F40*(1-$C$13)</f>
        <v>382574.22714829963</v>
      </c>
      <c r="G44" s="314">
        <f>G33+G18+G37+G43*$C$13-G40*(1-$C$13)</f>
        <v>394632.91568866343</v>
      </c>
      <c r="H44" s="314">
        <f t="shared" ref="H44:J44" si="15">H33+H18+H37+H43*$C$13-H40*(1-$C$13)</f>
        <v>411795.49354642129</v>
      </c>
      <c r="I44" s="314">
        <f t="shared" si="15"/>
        <v>428732.02611971711</v>
      </c>
      <c r="J44" s="314">
        <f t="shared" si="15"/>
        <v>445051.52872871648</v>
      </c>
    </row>
    <row r="45" spans="1:16" x14ac:dyDescent="0.25">
      <c r="A45" s="359" t="s">
        <v>158</v>
      </c>
      <c r="B45" s="359"/>
      <c r="C45" s="302"/>
      <c r="D45" s="314"/>
      <c r="E45" s="314"/>
      <c r="F45" s="314">
        <f>F44/$C$15</f>
        <v>375704.61177741969</v>
      </c>
      <c r="G45" s="314">
        <f>G44/$C$15</f>
        <v>387546.7709588483</v>
      </c>
      <c r="H45" s="314">
        <f>H44/$C$15</f>
        <v>404401.1725195921</v>
      </c>
      <c r="I45" s="314">
        <f>I44/$C$15</f>
        <v>421033.5877315012</v>
      </c>
      <c r="J45" s="314">
        <f>J44/$C$15</f>
        <v>437060.05255067465</v>
      </c>
    </row>
    <row r="46" spans="1:16" x14ac:dyDescent="0.25">
      <c r="A46" s="359" t="s">
        <v>413</v>
      </c>
      <c r="B46" s="359"/>
      <c r="C46" s="302"/>
      <c r="D46" s="314"/>
      <c r="E46" s="314"/>
      <c r="F46" s="314">
        <f>(F45-F36-F18+F21)*F7</f>
        <v>36016.06816391561</v>
      </c>
      <c r="G46" s="314">
        <f>(G45-G36-G18+G21)*G7</f>
        <v>36217.606370136651</v>
      </c>
      <c r="H46" s="314">
        <f t="shared" ref="H46:J46" si="16">(H45-H36-H18+H21)*H7</f>
        <v>37781.764903077506</v>
      </c>
      <c r="I46" s="314">
        <f t="shared" si="16"/>
        <v>39323.751168379735</v>
      </c>
      <c r="J46" s="314">
        <f t="shared" si="16"/>
        <v>40801.701695898002</v>
      </c>
      <c r="L46" t="s">
        <v>414</v>
      </c>
    </row>
    <row r="47" spans="1:16" x14ac:dyDescent="0.25">
      <c r="A47" s="169" t="s">
        <v>448</v>
      </c>
      <c r="B47" s="169"/>
      <c r="C47" s="170"/>
      <c r="D47" s="171"/>
      <c r="E47" s="171"/>
      <c r="F47" s="171">
        <f>F41-F45</f>
        <v>0</v>
      </c>
      <c r="G47" s="171">
        <f t="shared" ref="G47:J47" si="17">G41-G45</f>
        <v>0</v>
      </c>
      <c r="H47" s="171">
        <f t="shared" si="17"/>
        <v>0</v>
      </c>
      <c r="I47" s="171">
        <f t="shared" si="17"/>
        <v>0</v>
      </c>
      <c r="J47" s="171">
        <f t="shared" si="17"/>
        <v>0</v>
      </c>
    </row>
    <row r="48" spans="1:16" ht="35.1" customHeight="1" x14ac:dyDescent="0.35">
      <c r="A48" s="475" t="s">
        <v>160</v>
      </c>
      <c r="B48" s="476"/>
      <c r="C48" s="537"/>
      <c r="D48" s="476"/>
      <c r="E48" s="476"/>
      <c r="F48" s="476"/>
      <c r="G48" s="476"/>
      <c r="H48" s="476"/>
      <c r="I48" s="476"/>
      <c r="J48" s="476"/>
      <c r="K48" s="95"/>
      <c r="L48" s="95"/>
      <c r="N48" s="95"/>
      <c r="O48" s="95"/>
      <c r="P48" s="95"/>
    </row>
    <row r="49" spans="1:16" x14ac:dyDescent="0.25">
      <c r="A49" s="31"/>
      <c r="B49" s="31"/>
      <c r="C49" s="440" t="s">
        <v>31</v>
      </c>
      <c r="D49" s="36" t="str">
        <f>D39</f>
        <v>2018/19</v>
      </c>
      <c r="E49" s="36" t="str">
        <f t="shared" ref="E49:J49" si="18">E39</f>
        <v>2019/20</v>
      </c>
      <c r="F49" s="36" t="str">
        <f t="shared" si="18"/>
        <v>2020/21</v>
      </c>
      <c r="G49" s="36" t="str">
        <f t="shared" si="18"/>
        <v>2021/22</v>
      </c>
      <c r="H49" s="36" t="str">
        <f t="shared" si="18"/>
        <v>2022/23</v>
      </c>
      <c r="I49" s="36" t="str">
        <f t="shared" si="18"/>
        <v>2023/24</v>
      </c>
      <c r="J49" s="36" t="str">
        <f t="shared" si="18"/>
        <v>2024/25</v>
      </c>
    </row>
    <row r="50" spans="1:16" x14ac:dyDescent="0.25">
      <c r="A50" s="359" t="s">
        <v>161</v>
      </c>
      <c r="B50" s="359"/>
      <c r="C50" s="302"/>
      <c r="D50" s="314"/>
      <c r="E50" s="585"/>
      <c r="F50" s="314">
        <f>F6</f>
        <v>1</v>
      </c>
      <c r="G50" s="314">
        <f>G6</f>
        <v>2</v>
      </c>
      <c r="H50" s="314">
        <f>H6</f>
        <v>3</v>
      </c>
      <c r="I50" s="314">
        <f>I6</f>
        <v>4</v>
      </c>
      <c r="J50" s="314">
        <f>J6</f>
        <v>5</v>
      </c>
      <c r="L50" t="s">
        <v>373</v>
      </c>
    </row>
    <row r="51" spans="1:16" ht="18" x14ac:dyDescent="0.35">
      <c r="A51" s="359" t="s">
        <v>415</v>
      </c>
      <c r="B51" s="359"/>
      <c r="C51" s="302"/>
      <c r="D51" s="314"/>
      <c r="E51" s="585"/>
      <c r="F51" s="314">
        <f>F44</f>
        <v>382574.22714829963</v>
      </c>
      <c r="G51" s="314">
        <f>G44</f>
        <v>394632.91568866343</v>
      </c>
      <c r="H51" s="314">
        <f>H44</f>
        <v>411795.49354642129</v>
      </c>
      <c r="I51" s="314">
        <f>I44</f>
        <v>428732.02611971711</v>
      </c>
      <c r="J51" s="314">
        <f>J44</f>
        <v>445051.52872871648</v>
      </c>
      <c r="L51" t="s">
        <v>373</v>
      </c>
    </row>
    <row r="52" spans="1:16" x14ac:dyDescent="0.25">
      <c r="A52" s="480" t="str">
        <f>"PV at 1 Apr " &amp; LEFT(F49,4) &amp; " of BBAR before tax for each year"</f>
        <v>PV at 1 Apr 2020 of BBAR before tax for each year</v>
      </c>
      <c r="B52" s="359"/>
      <c r="C52" s="302"/>
      <c r="D52" s="314"/>
      <c r="E52" s="585"/>
      <c r="F52" s="314">
        <f>F51/(1+$C$11)^F$50</f>
        <v>365854.66878483276</v>
      </c>
      <c r="G52" s="314">
        <f>G51/(1+$C$11)^G$50</f>
        <v>360893.52498686418</v>
      </c>
      <c r="H52" s="314">
        <f>H51/(1+$C$11)^H$50</f>
        <v>360130.79984379956</v>
      </c>
      <c r="I52" s="314">
        <f>I51/(1+$C$11)^I$50</f>
        <v>358556.41279456683</v>
      </c>
      <c r="J52" s="314">
        <f>J51/(1+$C$11)^J$50</f>
        <v>355938.32883880334</v>
      </c>
    </row>
    <row r="53" spans="1:16" x14ac:dyDescent="0.25">
      <c r="A53" s="480" t="str">
        <f>"PV at 1 Apr " &amp; LEFT(F49,4) &amp; " of BBAR before tax over the regulatory period"</f>
        <v>PV at 1 Apr 2020 of BBAR before tax over the regulatory period</v>
      </c>
      <c r="B53" s="359"/>
      <c r="C53" s="314">
        <f>SUM(F52:J52)</f>
        <v>1801373.7352488665</v>
      </c>
      <c r="D53" s="302"/>
      <c r="E53" s="302"/>
      <c r="F53" s="302"/>
      <c r="G53" s="302"/>
      <c r="H53" s="302"/>
      <c r="I53" s="302"/>
      <c r="J53" s="302"/>
    </row>
    <row r="54" spans="1:16" ht="39.950000000000003" customHeight="1" x14ac:dyDescent="0.35">
      <c r="A54" s="129" t="s">
        <v>83</v>
      </c>
      <c r="B54" s="490"/>
      <c r="C54" s="588"/>
      <c r="D54" s="589"/>
      <c r="E54" s="589"/>
      <c r="F54" s="490"/>
      <c r="G54" s="490"/>
      <c r="H54" s="490"/>
      <c r="I54" s="490"/>
      <c r="J54" s="490"/>
      <c r="K54" s="92"/>
      <c r="L54" s="92"/>
      <c r="N54" s="92"/>
      <c r="O54" s="92"/>
      <c r="P54" s="92"/>
    </row>
    <row r="55" spans="1:16" x14ac:dyDescent="0.25">
      <c r="A55" s="44"/>
      <c r="B55" s="44"/>
      <c r="C55" s="440" t="s">
        <v>31</v>
      </c>
      <c r="D55" s="36" t="str">
        <f>D49</f>
        <v>2018/19</v>
      </c>
      <c r="E55" s="36" t="str">
        <f t="shared" ref="E55:J55" si="19">E49</f>
        <v>2019/20</v>
      </c>
      <c r="F55" s="36" t="str">
        <f t="shared" si="19"/>
        <v>2020/21</v>
      </c>
      <c r="G55" s="36" t="str">
        <f t="shared" si="19"/>
        <v>2021/22</v>
      </c>
      <c r="H55" s="36" t="str">
        <f t="shared" si="19"/>
        <v>2022/23</v>
      </c>
      <c r="I55" s="36" t="str">
        <f t="shared" si="19"/>
        <v>2023/24</v>
      </c>
      <c r="J55" s="36" t="str">
        <f t="shared" si="19"/>
        <v>2024/25</v>
      </c>
    </row>
    <row r="56" spans="1:16" x14ac:dyDescent="0.25">
      <c r="A56" s="59" t="s">
        <v>125</v>
      </c>
      <c r="B56" s="59"/>
      <c r="C56" s="302"/>
      <c r="D56" s="314">
        <f t="shared" ref="D56:J56" si="20">D29</f>
        <v>2868052</v>
      </c>
      <c r="E56" s="314">
        <f t="shared" si="20"/>
        <v>2981005.5303225806</v>
      </c>
      <c r="F56" s="314">
        <f t="shared" si="20"/>
        <v>3134377.1586318631</v>
      </c>
      <c r="G56" s="314">
        <f t="shared" si="20"/>
        <v>3258399.0987708946</v>
      </c>
      <c r="H56" s="314">
        <f t="shared" si="20"/>
        <v>3378967.0037334603</v>
      </c>
      <c r="I56" s="314">
        <f t="shared" si="20"/>
        <v>3498128.2830679491</v>
      </c>
      <c r="J56" s="314">
        <f t="shared" si="20"/>
        <v>3608014.1374917841</v>
      </c>
      <c r="L56" t="s">
        <v>373</v>
      </c>
    </row>
    <row r="57" spans="1:16" x14ac:dyDescent="0.25">
      <c r="A57" s="480" t="str">
        <f>"PV at 1 Apr " &amp; LEFT(F55,4) &amp; " of BBAR before tax over the regulatory period"</f>
        <v>PV at 1 Apr 2020 of BBAR before tax over the regulatory period</v>
      </c>
      <c r="B57" s="359"/>
      <c r="C57" s="314">
        <f>C53</f>
        <v>1801373.7352488665</v>
      </c>
      <c r="D57" s="302"/>
      <c r="E57" s="302"/>
      <c r="F57" s="302"/>
      <c r="G57" s="302"/>
      <c r="H57" s="302"/>
      <c r="I57" s="302"/>
      <c r="J57" s="302"/>
      <c r="L57" t="s">
        <v>373</v>
      </c>
    </row>
    <row r="58" spans="1:16" x14ac:dyDescent="0.25">
      <c r="A58" s="359" t="s">
        <v>54</v>
      </c>
      <c r="B58" s="359"/>
      <c r="C58" s="314"/>
      <c r="D58" s="314">
        <f>D8</f>
        <v>3983.6873940243322</v>
      </c>
      <c r="E58" s="314">
        <f>E8</f>
        <v>4150.7093004162352</v>
      </c>
      <c r="F58" s="314">
        <f>F8</f>
        <v>4372.6112047275901</v>
      </c>
      <c r="G58" s="314">
        <f t="shared" ref="G58:J58" si="21">G8</f>
        <v>4557.1095951354082</v>
      </c>
      <c r="H58" s="314">
        <f t="shared" si="21"/>
        <v>4738.1242531285889</v>
      </c>
      <c r="I58" s="314">
        <f t="shared" si="21"/>
        <v>4918.1557179782694</v>
      </c>
      <c r="J58" s="314">
        <f t="shared" si="21"/>
        <v>5086.4714623525706</v>
      </c>
      <c r="L58" t="s">
        <v>373</v>
      </c>
    </row>
    <row r="59" spans="1:16" x14ac:dyDescent="0.25">
      <c r="A59" s="480" t="s">
        <v>158</v>
      </c>
      <c r="B59" s="359"/>
      <c r="C59" s="314"/>
      <c r="D59" s="302"/>
      <c r="E59" s="302"/>
      <c r="F59" s="172">
        <f>F45</f>
        <v>375704.61177741969</v>
      </c>
      <c r="G59" s="172">
        <f t="shared" ref="G59:J59" si="22">G45</f>
        <v>387546.7709588483</v>
      </c>
      <c r="H59" s="172">
        <f t="shared" si="22"/>
        <v>404401.1725195921</v>
      </c>
      <c r="I59" s="172">
        <f t="shared" si="22"/>
        <v>421033.5877315012</v>
      </c>
      <c r="J59" s="172">
        <f t="shared" si="22"/>
        <v>437060.05255067465</v>
      </c>
      <c r="L59" t="s">
        <v>373</v>
      </c>
    </row>
    <row r="60" spans="1:16" ht="15" customHeight="1" x14ac:dyDescent="0.25">
      <c r="A60" s="169"/>
      <c r="B60" s="169"/>
      <c r="C60" s="171"/>
      <c r="D60" s="171"/>
      <c r="E60" s="171"/>
      <c r="F60" s="171"/>
      <c r="G60" s="171"/>
      <c r="H60" s="171"/>
      <c r="I60" s="171"/>
      <c r="J60" s="171"/>
    </row>
  </sheetData>
  <pageMargins left="0.23622047244094491" right="0.23622047244094491" top="0.74803149606299213" bottom="0.74803149606299213" header="0.31496062992125984" footer="0.31496062992125984"/>
  <pageSetup paperSize="9" scale="5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D97C-8DB6-4330-9C05-B1DEAC76C092}">
  <sheetPr codeName="Sheet14">
    <tabColor rgb="FFECA68B"/>
    <pageSetUpPr fitToPage="1"/>
  </sheetPr>
  <dimension ref="A1:H99"/>
  <sheetViews>
    <sheetView showGridLines="0" view="pageBreakPreview" zoomScaleNormal="100" zoomScaleSheetLayoutView="100" workbookViewId="0">
      <selection activeCell="Q23" sqref="Q23"/>
    </sheetView>
  </sheetViews>
  <sheetFormatPr defaultColWidth="9.140625" defaultRowHeight="15" customHeight="1" x14ac:dyDescent="0.25"/>
  <cols>
    <col min="1" max="1" width="65" customWidth="1"/>
    <col min="2" max="8" width="11.140625" customWidth="1"/>
    <col min="9" max="9" width="2.85546875" style="1" customWidth="1"/>
    <col min="10" max="16384" width="9.140625" style="1"/>
  </cols>
  <sheetData>
    <row r="1" spans="1:8" ht="15" customHeight="1" x14ac:dyDescent="0.25">
      <c r="A1" s="97" t="s">
        <v>549</v>
      </c>
      <c r="B1" s="97"/>
      <c r="C1" s="97"/>
      <c r="D1" s="97"/>
      <c r="E1" s="97"/>
      <c r="F1" s="97"/>
      <c r="G1" s="97"/>
      <c r="H1" s="97"/>
    </row>
    <row r="2" spans="1:8" s="38" customFormat="1" ht="39.950000000000003" customHeight="1" x14ac:dyDescent="0.35">
      <c r="A2" s="374" t="s">
        <v>354</v>
      </c>
      <c r="B2" s="113"/>
      <c r="C2" s="113"/>
      <c r="D2" s="113"/>
      <c r="E2" s="113"/>
      <c r="F2" s="113"/>
      <c r="G2" s="113"/>
      <c r="H2" s="516" t="str">
        <f>EDB_Name</f>
        <v>Vector Lines</v>
      </c>
    </row>
    <row r="3" spans="1:8" ht="39.950000000000003" customHeight="1" x14ac:dyDescent="0.25">
      <c r="A3" s="357" t="s">
        <v>355</v>
      </c>
      <c r="B3" s="464"/>
      <c r="C3" s="465"/>
      <c r="D3" s="466"/>
      <c r="E3" s="466"/>
      <c r="F3" s="466"/>
      <c r="G3" s="466"/>
      <c r="H3" s="466"/>
    </row>
    <row r="4" spans="1:8" ht="15" customHeight="1" x14ac:dyDescent="0.25">
      <c r="A4" s="441" t="s">
        <v>356</v>
      </c>
      <c r="B4" s="286"/>
      <c r="C4" s="286" t="s">
        <v>27</v>
      </c>
    </row>
    <row r="5" spans="1:8" x14ac:dyDescent="0.25">
      <c r="A5" s="467" t="s">
        <v>28</v>
      </c>
      <c r="B5" s="245"/>
      <c r="C5" s="360" t="str">
        <f>'EDB select'!B5</f>
        <v>Vector Lines</v>
      </c>
    </row>
    <row r="6" spans="1:8" x14ac:dyDescent="0.25">
      <c r="A6" s="467" t="s">
        <v>335</v>
      </c>
      <c r="B6" s="245"/>
      <c r="C6" s="590">
        <f>'EDB select'!B6</f>
        <v>15</v>
      </c>
    </row>
    <row r="7" spans="1:8" x14ac:dyDescent="0.25">
      <c r="A7" s="467" t="s">
        <v>357</v>
      </c>
      <c r="B7" s="245"/>
      <c r="C7" s="590">
        <f>'EDB select'!B7</f>
        <v>15</v>
      </c>
      <c r="D7" s="469"/>
    </row>
    <row r="8" spans="1:8" ht="32.25" customHeight="1" x14ac:dyDescent="0.35">
      <c r="A8" s="591" t="s">
        <v>63</v>
      </c>
      <c r="B8" s="588"/>
      <c r="C8" s="490"/>
      <c r="D8" s="92"/>
      <c r="E8" s="92"/>
      <c r="F8" s="92"/>
      <c r="G8" s="92"/>
      <c r="H8" s="92"/>
    </row>
    <row r="9" spans="1:8" x14ac:dyDescent="0.25">
      <c r="A9" s="441" t="s">
        <v>64</v>
      </c>
      <c r="B9" s="286" t="s">
        <v>31</v>
      </c>
    </row>
    <row r="10" spans="1:8" x14ac:dyDescent="0.25">
      <c r="A10" s="359" t="s">
        <v>41</v>
      </c>
      <c r="B10" s="332">
        <f>'Inputs (DPP)'!B15</f>
        <v>4.5699999999999998E-2</v>
      </c>
      <c r="C10" s="268"/>
      <c r="D10" s="1"/>
      <c r="E10" s="1"/>
      <c r="F10" s="1"/>
      <c r="G10" s="1"/>
      <c r="H10" s="1"/>
    </row>
    <row r="11" spans="1:8" x14ac:dyDescent="0.25">
      <c r="A11" s="359" t="s">
        <v>13</v>
      </c>
      <c r="B11" s="332">
        <f>'Inputs (DPP)'!B16</f>
        <v>2.92E-2</v>
      </c>
      <c r="C11" s="268"/>
      <c r="D11" s="1"/>
      <c r="E11" s="1"/>
      <c r="F11" s="1"/>
      <c r="G11" s="1"/>
      <c r="H11" s="1"/>
    </row>
    <row r="12" spans="1:8" x14ac:dyDescent="0.25">
      <c r="A12" s="359" t="s">
        <v>42</v>
      </c>
      <c r="B12" s="332">
        <f>'Inputs (DPP)'!B17</f>
        <v>0.42</v>
      </c>
      <c r="C12" s="268"/>
      <c r="D12" s="1"/>
      <c r="E12" s="1"/>
      <c r="F12" s="1"/>
      <c r="G12" s="1"/>
      <c r="H12" s="1"/>
    </row>
    <row r="13" spans="1:8" x14ac:dyDescent="0.25">
      <c r="A13" s="592" t="s">
        <v>43</v>
      </c>
      <c r="B13" s="593">
        <f>'Inputs (DPP)'!B18</f>
        <v>44</v>
      </c>
      <c r="C13" s="268" t="s">
        <v>65</v>
      </c>
      <c r="D13" s="1"/>
      <c r="E13" s="1"/>
      <c r="F13" s="1"/>
      <c r="G13" s="1"/>
      <c r="H13" s="1"/>
    </row>
    <row r="14" spans="1:8" x14ac:dyDescent="0.25">
      <c r="A14" s="359" t="s">
        <v>44</v>
      </c>
      <c r="B14" s="473">
        <f>'Inputs (DPP)'!B19</f>
        <v>0</v>
      </c>
      <c r="C14" s="268"/>
      <c r="D14" s="1"/>
      <c r="E14" s="1"/>
      <c r="F14" s="1"/>
      <c r="G14" s="1"/>
      <c r="H14" s="1"/>
    </row>
    <row r="15" spans="1:8" x14ac:dyDescent="0.25">
      <c r="A15" s="359" t="s">
        <v>37</v>
      </c>
      <c r="B15" s="314">
        <f>'Inputs (DPP)'!B11</f>
        <v>365</v>
      </c>
      <c r="C15" s="268" t="s">
        <v>66</v>
      </c>
      <c r="D15" s="1"/>
      <c r="E15" s="1"/>
      <c r="F15" s="1"/>
      <c r="G15" s="1"/>
      <c r="H15" s="1"/>
    </row>
    <row r="16" spans="1:8" x14ac:dyDescent="0.25">
      <c r="A16" s="359" t="s">
        <v>38</v>
      </c>
      <c r="B16" s="314">
        <f>'Inputs (DPP)'!B12</f>
        <v>182</v>
      </c>
      <c r="C16" s="268" t="s">
        <v>66</v>
      </c>
      <c r="D16" s="1"/>
      <c r="E16" s="1"/>
      <c r="F16" s="1"/>
      <c r="G16" s="1"/>
      <c r="H16" s="1"/>
    </row>
    <row r="17" spans="1:8" x14ac:dyDescent="0.25">
      <c r="A17" s="359" t="s">
        <v>39</v>
      </c>
      <c r="B17" s="314">
        <f>'Inputs (DPP)'!B13</f>
        <v>148</v>
      </c>
      <c r="C17" s="268" t="s">
        <v>66</v>
      </c>
      <c r="D17" s="1"/>
      <c r="E17" s="1"/>
      <c r="F17" s="1"/>
      <c r="G17" s="1"/>
      <c r="H17" s="1"/>
    </row>
    <row r="18" spans="1:8" x14ac:dyDescent="0.25">
      <c r="A18" s="359" t="s">
        <v>318</v>
      </c>
      <c r="B18" s="489">
        <f>'Inputs (DPP)'!B14</f>
        <v>44286</v>
      </c>
      <c r="C18" s="268"/>
      <c r="D18" s="1"/>
      <c r="E18" s="1"/>
      <c r="F18" s="1"/>
      <c r="G18" s="1"/>
      <c r="H18" s="1"/>
    </row>
    <row r="19" spans="1:8" ht="27.75" customHeight="1" x14ac:dyDescent="0.35">
      <c r="A19" s="591" t="s">
        <v>67</v>
      </c>
      <c r="B19" s="588"/>
      <c r="C19" s="572"/>
      <c r="D19" s="572"/>
      <c r="E19" s="572"/>
      <c r="F19" s="572"/>
      <c r="G19" s="572"/>
      <c r="H19" s="572"/>
    </row>
    <row r="20" spans="1:8" x14ac:dyDescent="0.25">
      <c r="A20" s="594" t="s">
        <v>548</v>
      </c>
      <c r="B20" s="595"/>
      <c r="C20" s="595"/>
      <c r="D20" s="595"/>
      <c r="E20" s="595"/>
      <c r="F20" s="595"/>
      <c r="G20" s="595"/>
      <c r="H20" s="595"/>
    </row>
    <row r="21" spans="1:8" x14ac:dyDescent="0.25">
      <c r="A21" s="596"/>
      <c r="B21" s="334" t="s">
        <v>424</v>
      </c>
      <c r="C21" s="334" t="s">
        <v>441</v>
      </c>
      <c r="D21" s="334" t="s">
        <v>426</v>
      </c>
      <c r="E21" s="334" t="s">
        <v>427</v>
      </c>
      <c r="F21" s="334" t="s">
        <v>428</v>
      </c>
      <c r="G21" s="334" t="s">
        <v>319</v>
      </c>
      <c r="H21" s="334" t="s">
        <v>320</v>
      </c>
    </row>
    <row r="22" spans="1:8" x14ac:dyDescent="0.25">
      <c r="A22" s="467" t="s">
        <v>32</v>
      </c>
      <c r="B22" s="335">
        <f>'Inputs (DPP)'!C6</f>
        <v>1</v>
      </c>
      <c r="C22" s="335">
        <f>'Inputs (DPP)'!D6</f>
        <v>2</v>
      </c>
      <c r="D22" s="335">
        <f>'Inputs (DPP)'!E6</f>
        <v>3</v>
      </c>
      <c r="E22" s="335">
        <f>'Inputs (DPP)'!F6</f>
        <v>4</v>
      </c>
      <c r="F22" s="335">
        <f>'Inputs (DPP)'!G6</f>
        <v>5</v>
      </c>
      <c r="G22" s="335">
        <f>'Inputs (DPP)'!H6</f>
        <v>6</v>
      </c>
      <c r="H22" s="335">
        <f>'Inputs (DPP)'!I6</f>
        <v>7</v>
      </c>
    </row>
    <row r="23" spans="1:8" x14ac:dyDescent="0.25">
      <c r="A23" s="467" t="s">
        <v>33</v>
      </c>
      <c r="B23" s="335"/>
      <c r="C23" s="335"/>
      <c r="D23" s="335">
        <f>'Inputs (DPP)'!E7</f>
        <v>1</v>
      </c>
      <c r="E23" s="335">
        <f>'Inputs (DPP)'!F7</f>
        <v>2</v>
      </c>
      <c r="F23" s="335">
        <f>'Inputs (DPP)'!G7</f>
        <v>3</v>
      </c>
      <c r="G23" s="335">
        <f>'Inputs (DPP)'!H7</f>
        <v>4</v>
      </c>
      <c r="H23" s="335">
        <f>'Inputs (DPP)'!I7</f>
        <v>5</v>
      </c>
    </row>
    <row r="24" spans="1:8" x14ac:dyDescent="0.25">
      <c r="A24" s="467" t="s">
        <v>34</v>
      </c>
      <c r="B24" s="355">
        <f>'Inputs (DPP)'!C8</f>
        <v>1.4836795252225476E-2</v>
      </c>
      <c r="C24" s="355">
        <f>'Inputs (DPP)'!D8</f>
        <v>1.6999999999999904E-2</v>
      </c>
      <c r="D24" s="355">
        <f>'Inputs (DPP)'!E8</f>
        <v>1.8999999999999906E-2</v>
      </c>
      <c r="E24" s="355">
        <f>'Inputs (DPP)'!F8</f>
        <v>2.0000000000000018E-2</v>
      </c>
      <c r="F24" s="355">
        <f>'Inputs (DPP)'!G8</f>
        <v>2.0000000000000018E-2</v>
      </c>
      <c r="G24" s="355">
        <f>'Inputs (DPP)'!H8</f>
        <v>2.0000000000000018E-2</v>
      </c>
      <c r="H24" s="355">
        <f>'Inputs (DPP)'!I8</f>
        <v>2.0000000000000018E-2</v>
      </c>
    </row>
    <row r="25" spans="1:8" x14ac:dyDescent="0.25">
      <c r="A25" s="467" t="s">
        <v>35</v>
      </c>
      <c r="B25" s="355"/>
      <c r="C25" s="355"/>
      <c r="D25" s="355">
        <f>'Inputs (DPP)'!E9</f>
        <v>1.7504378984726898E-2</v>
      </c>
      <c r="E25" s="355">
        <f>'Inputs (DPP)'!F9</f>
        <v>1.9502114592602871E-2</v>
      </c>
      <c r="F25" s="355">
        <f>'Inputs (DPP)'!G9</f>
        <v>2.0248058977042183E-2</v>
      </c>
      <c r="G25" s="355">
        <f>'Inputs (DPP)'!H9</f>
        <v>2.0000000000000018E-2</v>
      </c>
      <c r="H25" s="355">
        <f>'Inputs (DPP)'!I9</f>
        <v>2.0000000000000018E-2</v>
      </c>
    </row>
    <row r="26" spans="1:8" x14ac:dyDescent="0.25">
      <c r="A26" s="467" t="s">
        <v>36</v>
      </c>
      <c r="B26" s="597">
        <f>'Inputs (DPP)'!C10</f>
        <v>0.28000000000000003</v>
      </c>
      <c r="C26" s="597">
        <f>'Inputs (DPP)'!D10</f>
        <v>0.28000000000000003</v>
      </c>
      <c r="D26" s="597">
        <f>'Inputs (DPP)'!E10</f>
        <v>0.28000000000000003</v>
      </c>
      <c r="E26" s="597">
        <f>'Inputs (DPP)'!F10</f>
        <v>0.28000000000000003</v>
      </c>
      <c r="F26" s="597">
        <f>'Inputs (DPP)'!G10</f>
        <v>0.28000000000000003</v>
      </c>
      <c r="G26" s="597">
        <f>'Inputs (DPP)'!H10</f>
        <v>0.28000000000000003</v>
      </c>
      <c r="H26" s="597">
        <f>'Inputs (DPP)'!I10</f>
        <v>0.28000000000000003</v>
      </c>
    </row>
    <row r="27" spans="1:8" x14ac:dyDescent="0.25">
      <c r="A27" s="592" t="s">
        <v>43</v>
      </c>
      <c r="B27" s="593"/>
      <c r="C27" s="593"/>
      <c r="D27" s="593">
        <f>'Capex incentives'!E28</f>
        <v>45</v>
      </c>
      <c r="E27" s="593">
        <f>'Capex incentives'!F28</f>
        <v>45</v>
      </c>
      <c r="F27" s="593">
        <f>'Capex incentives'!G28</f>
        <v>45</v>
      </c>
      <c r="G27" s="593">
        <f>'Capex incentives'!H28</f>
        <v>45</v>
      </c>
      <c r="H27" s="593">
        <f>'Capex incentives'!I28</f>
        <v>45</v>
      </c>
    </row>
    <row r="28" spans="1:8" ht="29.25" customHeight="1" x14ac:dyDescent="0.35">
      <c r="A28" s="598" t="s">
        <v>68</v>
      </c>
      <c r="B28" s="490"/>
      <c r="C28" s="490"/>
      <c r="D28" s="490"/>
      <c r="E28" s="490"/>
      <c r="F28" s="490"/>
      <c r="G28" s="490"/>
      <c r="H28" s="490"/>
    </row>
    <row r="29" spans="1:8" ht="21" x14ac:dyDescent="0.35">
      <c r="A29" s="599" t="s">
        <v>45</v>
      </c>
      <c r="B29" s="600"/>
      <c r="C29" s="601"/>
      <c r="D29" s="526"/>
      <c r="E29" s="526"/>
      <c r="F29" s="526"/>
      <c r="G29" s="526"/>
      <c r="H29" s="526"/>
    </row>
    <row r="30" spans="1:8" x14ac:dyDescent="0.25">
      <c r="A30" s="467" t="s">
        <v>46</v>
      </c>
      <c r="B30" s="314">
        <f>'EDB data (DPP)'!B29</f>
        <v>2951716</v>
      </c>
      <c r="C30" s="1"/>
      <c r="D30" s="1"/>
      <c r="E30" s="1"/>
      <c r="F30" s="1"/>
      <c r="G30" s="1"/>
      <c r="H30" s="1"/>
    </row>
    <row r="31" spans="1:8" x14ac:dyDescent="0.25">
      <c r="A31" s="467" t="s">
        <v>47</v>
      </c>
      <c r="B31" s="314">
        <f>'EDB data (DPP)'!B30</f>
        <v>108729</v>
      </c>
      <c r="C31" s="1"/>
      <c r="D31" s="1"/>
      <c r="E31" s="1"/>
      <c r="F31" s="1"/>
      <c r="G31" s="1"/>
      <c r="H31" s="1"/>
    </row>
    <row r="32" spans="1:8" x14ac:dyDescent="0.25">
      <c r="A32" s="467" t="s">
        <v>48</v>
      </c>
      <c r="B32" s="314">
        <f>'EDB data (DPP)'!B31</f>
        <v>3075471</v>
      </c>
      <c r="C32" s="1"/>
      <c r="D32" s="1"/>
      <c r="E32" s="1"/>
      <c r="F32" s="1"/>
      <c r="G32" s="1"/>
      <c r="H32" s="1"/>
    </row>
    <row r="33" spans="1:8" x14ac:dyDescent="0.25">
      <c r="A33" s="467" t="s">
        <v>49</v>
      </c>
      <c r="B33" s="314">
        <f>'EDB data (DPP)'!B32</f>
        <v>2695210</v>
      </c>
      <c r="C33" s="1"/>
      <c r="D33" s="1"/>
      <c r="E33" s="1"/>
      <c r="F33" s="1"/>
      <c r="G33" s="1"/>
      <c r="H33" s="1"/>
    </row>
    <row r="34" spans="1:8" x14ac:dyDescent="0.25">
      <c r="A34" s="467" t="s">
        <v>50</v>
      </c>
      <c r="B34" s="314">
        <f>'EDB data (DPP)'!B33</f>
        <v>99210</v>
      </c>
      <c r="C34" s="1"/>
      <c r="D34" s="1"/>
      <c r="E34" s="1"/>
      <c r="F34" s="1"/>
      <c r="G34" s="1"/>
      <c r="H34" s="1"/>
    </row>
    <row r="35" spans="1:8" x14ac:dyDescent="0.25">
      <c r="A35" s="467" t="s">
        <v>51</v>
      </c>
      <c r="B35" s="314">
        <f>'EDB data (DPP)'!B34</f>
        <v>103486</v>
      </c>
      <c r="C35" s="1"/>
      <c r="D35" s="1"/>
      <c r="E35" s="1"/>
      <c r="F35" s="1"/>
      <c r="G35" s="1"/>
      <c r="H35" s="1"/>
    </row>
    <row r="36" spans="1:8" x14ac:dyDescent="0.25">
      <c r="A36" s="467" t="s">
        <v>52</v>
      </c>
      <c r="B36" s="314">
        <f>'EDB data (DPP)'!B35</f>
        <v>1224826</v>
      </c>
      <c r="C36" s="1"/>
      <c r="D36" s="1"/>
      <c r="E36" s="1"/>
      <c r="F36" s="1"/>
      <c r="G36" s="1"/>
      <c r="H36" s="1"/>
    </row>
    <row r="37" spans="1:8" x14ac:dyDescent="0.25">
      <c r="A37" s="467" t="s">
        <v>53</v>
      </c>
      <c r="B37" s="314">
        <f>'EDB data (DPP)'!B36</f>
        <v>34300.677419354841</v>
      </c>
      <c r="C37" s="1"/>
      <c r="D37" s="1"/>
      <c r="E37" s="1"/>
      <c r="F37" s="1"/>
      <c r="G37" s="1"/>
      <c r="H37" s="1"/>
    </row>
    <row r="38" spans="1:8" x14ac:dyDescent="0.25">
      <c r="A38" s="467" t="s">
        <v>54</v>
      </c>
      <c r="B38" s="314">
        <f>'EDB data (DPP)'!B37</f>
        <v>3983.6873940243322</v>
      </c>
      <c r="C38" s="1"/>
      <c r="D38" s="1"/>
      <c r="E38" s="1"/>
      <c r="F38" s="1"/>
      <c r="G38" s="1"/>
      <c r="H38" s="1"/>
    </row>
    <row r="39" spans="1:8" x14ac:dyDescent="0.25">
      <c r="A39" s="467" t="s">
        <v>55</v>
      </c>
      <c r="B39" s="314">
        <f>'EDB data (DPP)'!B38</f>
        <v>-83664</v>
      </c>
      <c r="C39" s="1"/>
      <c r="D39" s="1"/>
      <c r="E39" s="1"/>
      <c r="F39" s="1"/>
      <c r="G39" s="1"/>
      <c r="H39" s="1"/>
    </row>
    <row r="40" spans="1:8" x14ac:dyDescent="0.25">
      <c r="A40" s="467" t="s">
        <v>352</v>
      </c>
      <c r="B40" s="314">
        <f>'EDB data (DPP)'!B39</f>
        <v>1</v>
      </c>
      <c r="C40" s="1"/>
      <c r="D40" s="1"/>
      <c r="E40" s="1"/>
      <c r="F40" s="1"/>
      <c r="G40" s="1"/>
      <c r="H40" s="1"/>
    </row>
    <row r="41" spans="1:8" x14ac:dyDescent="0.25">
      <c r="A41" s="480" t="s">
        <v>429</v>
      </c>
      <c r="B41" s="314">
        <f>'EDB data (DPP)'!B40</f>
        <v>0</v>
      </c>
      <c r="C41" s="1"/>
      <c r="D41" s="1"/>
      <c r="E41" s="1"/>
      <c r="F41" s="1"/>
      <c r="G41" s="1"/>
      <c r="H41" s="1"/>
    </row>
    <row r="42" spans="1:8" x14ac:dyDescent="0.25">
      <c r="A42" s="467" t="s">
        <v>353</v>
      </c>
      <c r="B42" s="314">
        <f>'EDB data (DPP)'!B41</f>
        <v>0</v>
      </c>
      <c r="C42" s="1"/>
      <c r="D42" s="1"/>
      <c r="E42" s="1"/>
      <c r="F42" s="1"/>
      <c r="G42" s="1"/>
      <c r="H42" s="1"/>
    </row>
    <row r="43" spans="1:8" ht="21" x14ac:dyDescent="0.35">
      <c r="A43" s="538" t="s">
        <v>56</v>
      </c>
      <c r="B43" s="539"/>
      <c r="C43" s="477"/>
      <c r="D43" s="476"/>
      <c r="E43" s="476"/>
      <c r="F43" s="476"/>
      <c r="G43" s="476"/>
      <c r="H43" s="476"/>
    </row>
    <row r="44" spans="1:8" x14ac:dyDescent="0.25">
      <c r="A44" s="602" t="s">
        <v>430</v>
      </c>
      <c r="B44" s="314">
        <f>'EDB data (DPP)'!B43</f>
        <v>127351.13794047505</v>
      </c>
      <c r="C44" s="1"/>
      <c r="D44" s="1"/>
      <c r="E44" s="1"/>
      <c r="F44" s="1"/>
      <c r="G44" s="1"/>
      <c r="H44" s="1"/>
    </row>
    <row r="45" spans="1:8" x14ac:dyDescent="0.25">
      <c r="A45" s="602" t="s">
        <v>431</v>
      </c>
      <c r="B45" s="314">
        <f>'EDB data (DPP)'!B44</f>
        <v>132448.68478800423</v>
      </c>
      <c r="C45" s="1"/>
      <c r="D45" s="1"/>
      <c r="E45" s="1"/>
      <c r="F45" s="1"/>
      <c r="G45" s="1"/>
      <c r="H45" s="1"/>
    </row>
    <row r="46" spans="1:8" x14ac:dyDescent="0.25">
      <c r="A46" s="602" t="s">
        <v>432</v>
      </c>
      <c r="B46" s="314">
        <f>'EDB data (DPP)'!B45</f>
        <v>137800.82316421505</v>
      </c>
      <c r="C46" s="1"/>
      <c r="D46" s="1"/>
      <c r="E46" s="1"/>
      <c r="F46" s="1"/>
      <c r="G46" s="1"/>
      <c r="H46" s="1"/>
    </row>
    <row r="47" spans="1:8" x14ac:dyDescent="0.25">
      <c r="A47" s="602" t="s">
        <v>434</v>
      </c>
      <c r="B47" s="314">
        <f>'EDB data (DPP)'!B46</f>
        <v>142973.17103060253</v>
      </c>
      <c r="C47" s="1"/>
      <c r="D47" s="1"/>
      <c r="E47" s="1"/>
      <c r="F47" s="1"/>
      <c r="G47" s="1"/>
      <c r="H47" s="1"/>
    </row>
    <row r="48" spans="1:8" x14ac:dyDescent="0.25">
      <c r="A48" s="602" t="s">
        <v>433</v>
      </c>
      <c r="B48" s="314">
        <f>'EDB data (DPP)'!B47</f>
        <v>148015.88957073344</v>
      </c>
      <c r="C48" s="1"/>
      <c r="D48" s="1"/>
      <c r="E48" s="1"/>
      <c r="F48" s="1"/>
      <c r="G48" s="1"/>
      <c r="H48" s="1"/>
    </row>
    <row r="49" spans="1:8" x14ac:dyDescent="0.25">
      <c r="A49" s="467"/>
      <c r="B49" s="314"/>
      <c r="C49" s="1"/>
      <c r="D49" s="1"/>
      <c r="E49" s="1"/>
      <c r="F49" s="1"/>
      <c r="G49" s="1"/>
      <c r="H49" s="1"/>
    </row>
    <row r="50" spans="1:8" ht="21" x14ac:dyDescent="0.35">
      <c r="A50" s="538" t="s">
        <v>57</v>
      </c>
      <c r="B50" s="539"/>
      <c r="C50" s="477"/>
      <c r="D50" s="476"/>
      <c r="E50" s="476"/>
      <c r="F50" s="476"/>
      <c r="G50" s="476"/>
      <c r="H50" s="476"/>
    </row>
    <row r="51" spans="1:8" x14ac:dyDescent="0.25">
      <c r="A51" s="603" t="s">
        <v>550</v>
      </c>
      <c r="B51" s="604"/>
      <c r="C51" s="97"/>
      <c r="D51" s="97"/>
      <c r="E51" s="97"/>
      <c r="F51" s="97"/>
      <c r="G51" s="97"/>
      <c r="H51" s="97"/>
    </row>
    <row r="52" spans="1:8" x14ac:dyDescent="0.25">
      <c r="A52" s="602" t="s">
        <v>58</v>
      </c>
      <c r="B52" s="314">
        <f>'EDB data (DPP)'!B50</f>
        <v>203460</v>
      </c>
      <c r="C52" s="1"/>
      <c r="D52" s="1"/>
      <c r="E52" s="1"/>
      <c r="F52" s="1"/>
      <c r="G52" s="1"/>
      <c r="H52" s="1"/>
    </row>
    <row r="53" spans="1:8" x14ac:dyDescent="0.25">
      <c r="A53" s="602" t="s">
        <v>59</v>
      </c>
      <c r="B53" s="314">
        <f>'EDB data (DPP)'!B51</f>
        <v>240761</v>
      </c>
      <c r="C53" s="1"/>
      <c r="D53" s="1"/>
      <c r="E53" s="1"/>
      <c r="F53" s="1"/>
      <c r="G53" s="1"/>
      <c r="H53" s="1"/>
    </row>
    <row r="54" spans="1:8" x14ac:dyDescent="0.25">
      <c r="A54" s="605" t="s">
        <v>435</v>
      </c>
      <c r="B54" s="593">
        <f>'Capex incentives'!E37</f>
        <v>215221.23517623401</v>
      </c>
      <c r="C54" s="1"/>
      <c r="D54" s="1"/>
      <c r="E54" s="1"/>
      <c r="F54" s="1"/>
      <c r="G54" s="1"/>
      <c r="H54" s="1"/>
    </row>
    <row r="55" spans="1:8" x14ac:dyDescent="0.25">
      <c r="A55" s="605" t="s">
        <v>436</v>
      </c>
      <c r="B55" s="593">
        <f>'Capex incentives'!F37</f>
        <v>171903</v>
      </c>
      <c r="C55" s="1"/>
      <c r="D55" s="1"/>
      <c r="E55" s="1"/>
      <c r="F55" s="1"/>
      <c r="G55" s="1"/>
      <c r="H55" s="1"/>
    </row>
    <row r="56" spans="1:8" x14ac:dyDescent="0.25">
      <c r="A56" s="605" t="s">
        <v>437</v>
      </c>
      <c r="B56" s="593">
        <f>'Capex incentives'!G37</f>
        <v>169286.63359466099</v>
      </c>
      <c r="C56" s="1"/>
      <c r="D56" s="1"/>
      <c r="E56" s="1"/>
      <c r="F56" s="1"/>
      <c r="G56" s="1"/>
      <c r="H56" s="1"/>
    </row>
    <row r="57" spans="1:8" x14ac:dyDescent="0.25">
      <c r="A57" s="605" t="s">
        <v>417</v>
      </c>
      <c r="B57" s="593">
        <f>'Capex incentives'!H37</f>
        <v>308324</v>
      </c>
      <c r="C57" s="1"/>
      <c r="D57" s="1"/>
      <c r="E57" s="1"/>
      <c r="F57" s="1"/>
      <c r="G57" s="1"/>
      <c r="H57" s="1"/>
    </row>
    <row r="58" spans="1:8" x14ac:dyDescent="0.25">
      <c r="A58" s="605" t="s">
        <v>418</v>
      </c>
      <c r="B58" s="593">
        <f>'Capex incentives'!I37</f>
        <v>382111</v>
      </c>
      <c r="C58" s="1"/>
      <c r="D58" s="1"/>
      <c r="E58" s="1"/>
      <c r="F58" s="1"/>
      <c r="G58" s="1"/>
      <c r="H58" s="1"/>
    </row>
    <row r="59" spans="1:8" x14ac:dyDescent="0.25">
      <c r="A59" s="467"/>
      <c r="B59" s="606"/>
      <c r="C59" s="1"/>
      <c r="D59" s="1"/>
      <c r="E59" s="1"/>
      <c r="F59" s="1"/>
      <c r="G59" s="1"/>
      <c r="H59" s="1"/>
    </row>
    <row r="60" spans="1:8" ht="21" x14ac:dyDescent="0.35">
      <c r="A60" s="538" t="s">
        <v>60</v>
      </c>
      <c r="B60" s="539"/>
      <c r="C60" s="477"/>
      <c r="D60" s="476"/>
      <c r="E60" s="476"/>
      <c r="F60" s="476"/>
      <c r="G60" s="476"/>
      <c r="H60" s="476"/>
    </row>
    <row r="61" spans="1:8" x14ac:dyDescent="0.25">
      <c r="A61" s="480" t="s">
        <v>61</v>
      </c>
      <c r="B61" s="314">
        <f>'EDB data (DPP)'!B59</f>
        <v>7412</v>
      </c>
      <c r="C61" s="1"/>
      <c r="D61" s="1"/>
      <c r="E61" s="1"/>
      <c r="F61" s="1"/>
      <c r="G61" s="1"/>
      <c r="H61" s="1"/>
    </row>
    <row r="62" spans="1:8" x14ac:dyDescent="0.25">
      <c r="A62" s="480" t="s">
        <v>62</v>
      </c>
      <c r="B62" s="314">
        <f>'EDB data (DPP)'!B60</f>
        <v>10769.994983532757</v>
      </c>
      <c r="C62" s="1"/>
      <c r="D62" s="1"/>
      <c r="E62" s="1"/>
      <c r="F62" s="1"/>
      <c r="G62" s="1"/>
      <c r="H62" s="1"/>
    </row>
    <row r="63" spans="1:8" x14ac:dyDescent="0.25">
      <c r="A63" s="480" t="s">
        <v>438</v>
      </c>
      <c r="B63" s="314">
        <f>'EDB data (DPP)'!B61</f>
        <v>10974.62488821988</v>
      </c>
      <c r="C63" s="1"/>
      <c r="D63" s="1"/>
      <c r="E63" s="1"/>
      <c r="F63" s="1"/>
      <c r="G63" s="1"/>
      <c r="H63" s="1"/>
    </row>
    <row r="64" spans="1:8" x14ac:dyDescent="0.25">
      <c r="A64" s="480" t="s">
        <v>439</v>
      </c>
      <c r="B64" s="314">
        <f>'EDB data (DPP)'!B62</f>
        <v>11194.117385984278</v>
      </c>
      <c r="C64" s="1"/>
      <c r="D64" s="1"/>
      <c r="E64" s="1"/>
      <c r="F64" s="1"/>
      <c r="G64" s="1"/>
      <c r="H64" s="1"/>
    </row>
    <row r="65" spans="1:8" x14ac:dyDescent="0.25">
      <c r="A65" s="480" t="s">
        <v>440</v>
      </c>
      <c r="B65" s="314">
        <f>'EDB data (DPP)'!B63</f>
        <v>11417.999733703964</v>
      </c>
      <c r="C65" s="1"/>
      <c r="D65" s="1"/>
      <c r="E65" s="1"/>
      <c r="F65" s="1"/>
      <c r="G65" s="1"/>
      <c r="H65" s="1"/>
    </row>
    <row r="66" spans="1:8" x14ac:dyDescent="0.25">
      <c r="A66" s="480" t="s">
        <v>419</v>
      </c>
      <c r="B66" s="314">
        <f>'EDB data (DPP)'!B64</f>
        <v>11646.359728378044</v>
      </c>
      <c r="C66" s="1"/>
      <c r="D66" s="1"/>
      <c r="E66" s="1"/>
      <c r="F66" s="1"/>
      <c r="G66" s="1"/>
      <c r="H66" s="1"/>
    </row>
    <row r="67" spans="1:8" x14ac:dyDescent="0.25">
      <c r="A67" s="480" t="s">
        <v>420</v>
      </c>
      <c r="B67" s="314">
        <f>'EDB data (DPP)'!B65</f>
        <v>11879.286922945606</v>
      </c>
      <c r="C67" s="1"/>
      <c r="D67" s="1"/>
      <c r="E67" s="1"/>
      <c r="F67" s="1"/>
      <c r="G67" s="1"/>
      <c r="H67" s="1"/>
    </row>
    <row r="68" spans="1:8" ht="15" customHeight="1" x14ac:dyDescent="0.25">
      <c r="A68" s="467"/>
      <c r="B68" s="576"/>
      <c r="C68" s="1"/>
      <c r="D68" s="1"/>
      <c r="E68" s="1"/>
      <c r="F68" s="1"/>
      <c r="G68" s="1"/>
      <c r="H68" s="1"/>
    </row>
    <row r="69" spans="1:8" ht="15" customHeight="1" x14ac:dyDescent="0.25">
      <c r="A69" s="60"/>
      <c r="B69" s="61"/>
    </row>
    <row r="70" spans="1:8" ht="15" customHeight="1" x14ac:dyDescent="0.25">
      <c r="A70" s="62"/>
      <c r="B70" s="63"/>
    </row>
    <row r="71" spans="1:8" ht="15" customHeight="1" x14ac:dyDescent="0.25">
      <c r="A71" s="62"/>
      <c r="B71" s="63"/>
    </row>
    <row r="72" spans="1:8" ht="15" customHeight="1" x14ac:dyDescent="0.25">
      <c r="A72" s="62"/>
      <c r="B72" s="63"/>
    </row>
    <row r="73" spans="1:8" ht="15" customHeight="1" x14ac:dyDescent="0.25">
      <c r="A73" s="62"/>
      <c r="B73" s="63"/>
    </row>
    <row r="75" spans="1:8" ht="15" customHeight="1" x14ac:dyDescent="0.35">
      <c r="A75" s="481"/>
      <c r="B75" s="482"/>
      <c r="C75" s="483"/>
      <c r="D75" s="482"/>
      <c r="E75" s="482"/>
      <c r="F75" s="482"/>
      <c r="G75" s="482"/>
      <c r="H75" s="482"/>
    </row>
    <row r="76" spans="1:8" ht="15" customHeight="1" x14ac:dyDescent="0.25">
      <c r="A76" s="62"/>
      <c r="B76" s="63"/>
    </row>
    <row r="77" spans="1:8" ht="15" customHeight="1" x14ac:dyDescent="0.25">
      <c r="A77" s="62"/>
      <c r="B77" s="63"/>
    </row>
    <row r="78" spans="1:8" ht="15" customHeight="1" x14ac:dyDescent="0.25">
      <c r="A78" s="62"/>
      <c r="B78" s="63"/>
    </row>
    <row r="79" spans="1:8" ht="15" customHeight="1" x14ac:dyDescent="0.25">
      <c r="A79" s="62"/>
      <c r="B79" s="63"/>
    </row>
    <row r="80" spans="1:8" ht="15" customHeight="1" x14ac:dyDescent="0.25">
      <c r="A80" s="62"/>
      <c r="B80" s="63"/>
    </row>
    <row r="81" spans="1:8" ht="15" customHeight="1" x14ac:dyDescent="0.25">
      <c r="A81" s="62"/>
      <c r="B81" s="63"/>
    </row>
    <row r="82" spans="1:8" ht="15" customHeight="1" x14ac:dyDescent="0.25">
      <c r="A82" s="62"/>
      <c r="B82" s="63"/>
    </row>
    <row r="84" spans="1:8" ht="15" customHeight="1" x14ac:dyDescent="0.35">
      <c r="A84" s="481"/>
      <c r="B84" s="482"/>
      <c r="C84" s="483"/>
      <c r="D84" s="482"/>
      <c r="E84" s="482"/>
      <c r="F84" s="482"/>
      <c r="G84" s="482"/>
      <c r="H84" s="482"/>
    </row>
    <row r="85" spans="1:8" ht="15" customHeight="1" x14ac:dyDescent="0.25">
      <c r="A85" s="62"/>
      <c r="B85" s="63"/>
    </row>
    <row r="86" spans="1:8" ht="15" customHeight="1" x14ac:dyDescent="0.25">
      <c r="A86" s="62"/>
      <c r="B86" s="63"/>
    </row>
    <row r="87" spans="1:8" ht="15" customHeight="1" x14ac:dyDescent="0.25">
      <c r="A87" s="62"/>
      <c r="B87" s="63"/>
    </row>
    <row r="88" spans="1:8" ht="15" customHeight="1" x14ac:dyDescent="0.25">
      <c r="A88" s="62"/>
      <c r="B88" s="63"/>
    </row>
    <row r="89" spans="1:8" ht="15" customHeight="1" x14ac:dyDescent="0.25">
      <c r="A89" s="62"/>
      <c r="B89" s="63"/>
    </row>
    <row r="90" spans="1:8" ht="15" customHeight="1" x14ac:dyDescent="0.25">
      <c r="A90" s="62"/>
      <c r="B90" s="63"/>
    </row>
    <row r="91" spans="1:8" ht="15" customHeight="1" x14ac:dyDescent="0.25">
      <c r="A91" s="62"/>
      <c r="B91" s="63"/>
    </row>
    <row r="93" spans="1:8" ht="15" customHeight="1" x14ac:dyDescent="0.35">
      <c r="A93" s="481"/>
      <c r="B93" s="482"/>
    </row>
    <row r="94" spans="1:8" ht="15" customHeight="1" x14ac:dyDescent="0.25">
      <c r="A94" s="64"/>
      <c r="B94" s="63"/>
      <c r="C94" s="1"/>
      <c r="D94" s="1"/>
      <c r="E94" s="1"/>
      <c r="F94" s="1"/>
      <c r="G94" s="1"/>
      <c r="H94" s="1"/>
    </row>
    <row r="95" spans="1:8" ht="15" customHeight="1" x14ac:dyDescent="0.25">
      <c r="A95" s="64"/>
      <c r="B95" s="63"/>
      <c r="C95" s="1"/>
      <c r="D95" s="1"/>
      <c r="E95" s="1"/>
      <c r="F95" s="1"/>
      <c r="G95" s="1"/>
      <c r="H95" s="1"/>
    </row>
    <row r="96" spans="1:8" ht="15" customHeight="1" x14ac:dyDescent="0.25">
      <c r="A96" s="481"/>
      <c r="B96" s="1"/>
      <c r="C96" s="1"/>
      <c r="D96" s="1"/>
      <c r="E96" s="1"/>
      <c r="F96" s="1"/>
      <c r="G96" s="1"/>
      <c r="H96" s="1"/>
    </row>
    <row r="97" spans="1:8" ht="15" customHeight="1" x14ac:dyDescent="0.25">
      <c r="A97" s="481"/>
      <c r="B97" s="1"/>
      <c r="C97" s="1"/>
      <c r="D97" s="1"/>
      <c r="E97" s="1"/>
      <c r="F97" s="1"/>
      <c r="G97" s="1"/>
      <c r="H97" s="1"/>
    </row>
    <row r="98" spans="1:8" ht="15" customHeight="1" x14ac:dyDescent="0.25">
      <c r="A98" s="64"/>
      <c r="B98" s="63"/>
      <c r="C98" s="1"/>
      <c r="D98" s="1"/>
      <c r="E98" s="1"/>
      <c r="F98" s="1"/>
      <c r="G98" s="1"/>
      <c r="H98" s="1"/>
    </row>
    <row r="99" spans="1:8" ht="15" customHeight="1" x14ac:dyDescent="0.25">
      <c r="A99" s="64"/>
      <c r="B99" s="63"/>
      <c r="C99" s="1"/>
      <c r="D99" s="1"/>
      <c r="E99" s="1"/>
      <c r="F99" s="1"/>
      <c r="G99" s="1"/>
      <c r="H99" s="1"/>
    </row>
  </sheetData>
  <pageMargins left="0.23622047244094491" right="0.23622047244094491" top="0.74803149606299213" bottom="0.74803149606299213" header="0.31496062992125984" footer="0.31496062992125984"/>
  <pageSetup paperSize="9" scale="6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6E96-E4E4-4C46-A60C-9819D424E96D}">
  <sheetPr codeName="Sheet15">
    <pageSetUpPr fitToPage="1"/>
  </sheetPr>
  <dimension ref="A1:O44"/>
  <sheetViews>
    <sheetView showGridLines="0" view="pageBreakPreview" zoomScaleNormal="100" zoomScaleSheetLayoutView="100" workbookViewId="0">
      <selection activeCell="Q23" sqref="Q23"/>
    </sheetView>
  </sheetViews>
  <sheetFormatPr defaultColWidth="9.140625" defaultRowHeight="15" customHeight="1" x14ac:dyDescent="0.25"/>
  <cols>
    <col min="1" max="1" width="42.85546875" customWidth="1"/>
    <col min="2" max="2" width="10.140625" customWidth="1"/>
    <col min="3" max="3" width="13" customWidth="1"/>
    <col min="4" max="4" width="15.5703125" customWidth="1"/>
    <col min="5" max="15" width="10.85546875" customWidth="1"/>
    <col min="16" max="16" width="2.85546875" style="1" customWidth="1"/>
    <col min="17" max="16384" width="9.140625" style="1"/>
  </cols>
  <sheetData>
    <row r="1" spans="1:15" ht="15" customHeight="1" x14ac:dyDescent="0.25">
      <c r="A1" s="97" t="s">
        <v>551</v>
      </c>
      <c r="B1" s="97"/>
      <c r="C1" s="97"/>
      <c r="D1" s="97"/>
      <c r="E1" s="97"/>
      <c r="F1" s="97"/>
      <c r="G1" s="97"/>
      <c r="H1" s="97"/>
      <c r="I1" s="97"/>
      <c r="J1" s="97"/>
      <c r="K1" s="97"/>
      <c r="L1" s="97"/>
      <c r="M1" s="97"/>
      <c r="N1" s="97"/>
      <c r="O1" s="97"/>
    </row>
    <row r="2" spans="1:15" ht="39.950000000000003" customHeight="1" x14ac:dyDescent="0.25">
      <c r="A2" s="484" t="s">
        <v>358</v>
      </c>
      <c r="B2" s="92"/>
      <c r="C2" s="92"/>
      <c r="D2" s="92"/>
      <c r="E2" s="92"/>
      <c r="F2" s="92"/>
      <c r="G2" s="92"/>
      <c r="H2" s="92"/>
      <c r="I2" s="92"/>
      <c r="J2" s="92"/>
      <c r="K2" s="92"/>
      <c r="L2" s="92"/>
      <c r="M2" s="92"/>
      <c r="N2" s="92"/>
      <c r="O2" s="92"/>
    </row>
    <row r="3" spans="1:15" ht="20.100000000000001" customHeight="1" x14ac:dyDescent="0.25">
      <c r="A3" s="485" t="s">
        <v>359</v>
      </c>
      <c r="B3" s="486"/>
    </row>
    <row r="4" spans="1:15" ht="39.950000000000003" customHeight="1" x14ac:dyDescent="0.35">
      <c r="A4" s="487" t="s">
        <v>12</v>
      </c>
      <c r="B4" s="92"/>
      <c r="C4" s="92"/>
      <c r="D4" s="92"/>
      <c r="E4" s="92"/>
      <c r="F4" s="92"/>
      <c r="G4" s="92"/>
      <c r="H4" s="92"/>
      <c r="I4" s="92"/>
      <c r="J4" s="92"/>
      <c r="K4" s="92"/>
      <c r="L4" s="92"/>
      <c r="M4" s="92"/>
      <c r="N4" s="92"/>
      <c r="O4" s="92"/>
    </row>
    <row r="5" spans="1:15" x14ac:dyDescent="0.25">
      <c r="A5" s="243"/>
      <c r="B5" s="3" t="s">
        <v>69</v>
      </c>
      <c r="C5" s="32" t="s">
        <v>31</v>
      </c>
      <c r="D5" s="1"/>
      <c r="E5" s="1"/>
      <c r="F5" s="1"/>
      <c r="G5" s="1"/>
      <c r="H5" s="1"/>
      <c r="I5" s="1"/>
      <c r="J5" s="1"/>
      <c r="K5" s="1"/>
      <c r="L5" s="1"/>
      <c r="M5" s="1"/>
      <c r="N5" s="1"/>
      <c r="O5" s="1"/>
    </row>
    <row r="6" spans="1:15" x14ac:dyDescent="0.25">
      <c r="A6" s="467" t="s">
        <v>40</v>
      </c>
      <c r="B6" s="488" t="s">
        <v>70</v>
      </c>
      <c r="C6" s="489">
        <f>'EDB data (update)'!B18</f>
        <v>44286</v>
      </c>
      <c r="D6" s="1"/>
      <c r="E6" s="1"/>
      <c r="F6" s="1"/>
      <c r="G6" s="1"/>
      <c r="H6" s="1"/>
      <c r="I6" s="1"/>
      <c r="J6" s="1"/>
      <c r="K6" s="1"/>
      <c r="L6" s="1"/>
      <c r="M6" s="1"/>
      <c r="N6" s="1"/>
      <c r="O6" s="1"/>
    </row>
    <row r="7" spans="1:15" x14ac:dyDescent="0.25">
      <c r="A7" s="467" t="s">
        <v>37</v>
      </c>
      <c r="B7" s="488" t="s">
        <v>70</v>
      </c>
      <c r="C7" s="314">
        <f>'EDB data (update)'!B15</f>
        <v>365</v>
      </c>
      <c r="D7" s="1"/>
      <c r="E7" s="1"/>
      <c r="F7" s="1"/>
      <c r="G7" s="1"/>
      <c r="H7" s="1"/>
      <c r="I7" s="1"/>
      <c r="J7" s="1"/>
      <c r="K7" s="1"/>
      <c r="L7" s="1"/>
      <c r="M7" s="1"/>
      <c r="N7" s="1"/>
      <c r="O7" s="1"/>
    </row>
    <row r="8" spans="1:15" x14ac:dyDescent="0.25">
      <c r="A8" s="467" t="s">
        <v>38</v>
      </c>
      <c r="B8" s="488" t="s">
        <v>70</v>
      </c>
      <c r="C8" s="314">
        <f>'EDB data (update)'!B16</f>
        <v>182</v>
      </c>
      <c r="D8" s="1"/>
      <c r="E8" s="1"/>
      <c r="F8" s="1"/>
      <c r="G8" s="1"/>
      <c r="H8" s="1"/>
      <c r="I8" s="1"/>
      <c r="J8" s="1"/>
      <c r="K8" s="1"/>
      <c r="L8" s="1"/>
      <c r="M8" s="1"/>
      <c r="N8" s="1"/>
      <c r="O8" s="1"/>
    </row>
    <row r="9" spans="1:15" x14ac:dyDescent="0.25">
      <c r="A9" s="467" t="s">
        <v>39</v>
      </c>
      <c r="B9" s="488" t="s">
        <v>70</v>
      </c>
      <c r="C9" s="314">
        <f>'EDB data (update)'!B17</f>
        <v>148</v>
      </c>
      <c r="D9" s="1"/>
      <c r="E9" s="1"/>
      <c r="F9" s="1"/>
      <c r="G9" s="1"/>
      <c r="H9" s="1"/>
      <c r="I9" s="1"/>
      <c r="J9" s="1"/>
      <c r="K9" s="1"/>
      <c r="L9" s="1"/>
      <c r="M9" s="1"/>
      <c r="N9" s="1"/>
      <c r="O9" s="1"/>
    </row>
    <row r="10" spans="1:15" x14ac:dyDescent="0.25">
      <c r="A10" s="467" t="s">
        <v>41</v>
      </c>
      <c r="B10" s="488" t="s">
        <v>70</v>
      </c>
      <c r="C10" s="332">
        <f>'EDB data (update)'!B10</f>
        <v>4.5699999999999998E-2</v>
      </c>
      <c r="D10" s="1"/>
      <c r="E10" s="1"/>
      <c r="F10" s="1"/>
      <c r="G10" s="1"/>
      <c r="H10" s="1"/>
      <c r="I10" s="1"/>
      <c r="J10" s="1"/>
      <c r="K10" s="1"/>
      <c r="L10" s="1"/>
      <c r="M10" s="1"/>
      <c r="N10" s="1"/>
      <c r="O10" s="1"/>
    </row>
    <row r="11" spans="1:15" ht="39.950000000000003" customHeight="1" x14ac:dyDescent="0.35">
      <c r="A11" s="129" t="s">
        <v>71</v>
      </c>
      <c r="B11" s="490"/>
      <c r="C11" s="490"/>
      <c r="D11" s="92"/>
      <c r="E11" s="92"/>
      <c r="F11" s="92"/>
      <c r="G11" s="92"/>
      <c r="H11" s="92"/>
      <c r="I11" s="92"/>
      <c r="J11" s="92"/>
      <c r="K11" s="92"/>
      <c r="L11" s="92"/>
      <c r="M11" s="92"/>
      <c r="N11" s="92"/>
      <c r="O11" s="92"/>
    </row>
    <row r="12" spans="1:15" x14ac:dyDescent="0.25">
      <c r="A12" s="3"/>
      <c r="B12" s="3"/>
      <c r="C12" s="32" t="s">
        <v>31</v>
      </c>
      <c r="D12" s="33"/>
      <c r="E12" s="33"/>
      <c r="F12" s="33"/>
      <c r="G12" s="33"/>
      <c r="H12" s="33"/>
      <c r="I12" s="33"/>
      <c r="J12" s="33"/>
      <c r="K12" s="33"/>
      <c r="L12" s="1"/>
      <c r="M12" s="1"/>
      <c r="N12" s="1"/>
      <c r="O12" s="1"/>
    </row>
    <row r="13" spans="1:15" x14ac:dyDescent="0.25">
      <c r="A13" s="467" t="s">
        <v>72</v>
      </c>
      <c r="B13" s="467"/>
      <c r="C13" s="489">
        <f>EOMONTH(C6,-6)</f>
        <v>44104</v>
      </c>
      <c r="D13" s="268"/>
      <c r="E13" s="1"/>
      <c r="F13" s="1"/>
      <c r="G13" s="1"/>
      <c r="H13" s="1"/>
      <c r="I13" s="1"/>
      <c r="J13" s="1"/>
      <c r="K13" s="1"/>
      <c r="L13" s="1"/>
      <c r="M13" s="1"/>
      <c r="N13" s="1"/>
      <c r="O13" s="1"/>
    </row>
    <row r="14" spans="1:15" x14ac:dyDescent="0.25">
      <c r="A14" s="467" t="s">
        <v>73</v>
      </c>
      <c r="B14" s="467"/>
      <c r="C14" s="489">
        <f>C6-C9</f>
        <v>44138</v>
      </c>
      <c r="D14" s="268" t="s">
        <v>74</v>
      </c>
      <c r="E14" s="1"/>
      <c r="F14" s="1"/>
      <c r="G14" s="1"/>
      <c r="H14" s="1"/>
      <c r="I14" s="1"/>
      <c r="J14" s="1"/>
      <c r="K14" s="1"/>
      <c r="L14" s="1"/>
      <c r="M14" s="1"/>
      <c r="N14" s="1"/>
      <c r="O14" s="1"/>
    </row>
    <row r="15" spans="1:15" x14ac:dyDescent="0.25">
      <c r="A15" s="467" t="s">
        <v>75</v>
      </c>
      <c r="B15" s="467"/>
      <c r="C15" s="489">
        <f>C13</f>
        <v>44104</v>
      </c>
      <c r="D15" s="268" t="s">
        <v>360</v>
      </c>
      <c r="E15" s="1"/>
      <c r="F15" s="1"/>
      <c r="G15" s="1"/>
      <c r="H15" s="1"/>
      <c r="I15" s="1"/>
      <c r="J15" s="1"/>
      <c r="K15" s="1"/>
      <c r="L15" s="1"/>
      <c r="M15" s="1"/>
      <c r="N15" s="1"/>
      <c r="O15" s="1"/>
    </row>
    <row r="16" spans="1:15" x14ac:dyDescent="0.25">
      <c r="A16" s="467" t="s">
        <v>76</v>
      </c>
      <c r="B16" s="467"/>
      <c r="C16" s="489">
        <f>C13</f>
        <v>44104</v>
      </c>
      <c r="D16" s="268" t="s">
        <v>360</v>
      </c>
      <c r="E16" s="1"/>
      <c r="F16" s="1"/>
      <c r="G16" s="1"/>
      <c r="H16" s="1"/>
      <c r="I16" s="1"/>
      <c r="J16" s="1"/>
      <c r="K16" s="1"/>
      <c r="L16" s="1"/>
      <c r="M16" s="1"/>
      <c r="N16" s="1"/>
      <c r="O16" s="1"/>
    </row>
    <row r="17" spans="1:15" x14ac:dyDescent="0.25">
      <c r="A17" s="467" t="s">
        <v>77</v>
      </c>
      <c r="B17" s="467"/>
      <c r="C17" s="489">
        <f>C13</f>
        <v>44104</v>
      </c>
      <c r="D17" s="268" t="s">
        <v>360</v>
      </c>
      <c r="E17" s="1"/>
      <c r="F17" s="1"/>
      <c r="G17" s="1"/>
      <c r="H17" s="1"/>
      <c r="I17" s="1"/>
      <c r="J17" s="1"/>
      <c r="K17" s="1"/>
      <c r="L17" s="1"/>
      <c r="M17" s="1"/>
      <c r="N17" s="1"/>
      <c r="O17" s="1"/>
    </row>
    <row r="18" spans="1:15" x14ac:dyDescent="0.25">
      <c r="A18" s="467" t="s">
        <v>78</v>
      </c>
      <c r="B18" s="467"/>
      <c r="C18" s="489">
        <f>C13</f>
        <v>44104</v>
      </c>
      <c r="D18" s="268" t="s">
        <v>360</v>
      </c>
      <c r="E18" s="1"/>
      <c r="F18" s="1"/>
      <c r="G18" s="1"/>
      <c r="H18" s="1"/>
      <c r="I18" s="1"/>
      <c r="J18" s="1"/>
      <c r="K18" s="1"/>
      <c r="L18" s="1"/>
      <c r="M18" s="1"/>
      <c r="N18" s="1"/>
      <c r="O18" s="1"/>
    </row>
    <row r="19" spans="1:15" x14ac:dyDescent="0.25">
      <c r="A19" s="467" t="s">
        <v>79</v>
      </c>
      <c r="B19" s="467"/>
      <c r="C19" s="489">
        <f>C13</f>
        <v>44104</v>
      </c>
      <c r="D19" s="268" t="s">
        <v>360</v>
      </c>
      <c r="E19" s="1"/>
      <c r="F19" s="1"/>
      <c r="G19" s="1"/>
      <c r="H19" s="1"/>
      <c r="I19" s="1"/>
      <c r="J19" s="1"/>
      <c r="K19" s="1"/>
      <c r="L19" s="1"/>
      <c r="M19" s="1"/>
      <c r="N19" s="1"/>
      <c r="O19" s="1"/>
    </row>
    <row r="20" spans="1:15" x14ac:dyDescent="0.25">
      <c r="A20" s="467" t="s">
        <v>80</v>
      </c>
      <c r="B20" s="467"/>
      <c r="C20" s="323">
        <f>(1+$C$10)^(C8/C7)</f>
        <v>1.0225321432719434</v>
      </c>
      <c r="D20" s="268" t="s">
        <v>81</v>
      </c>
      <c r="E20" s="1"/>
      <c r="F20" s="1"/>
      <c r="G20" s="1"/>
      <c r="H20" s="1"/>
      <c r="I20" s="1"/>
      <c r="J20" s="1"/>
      <c r="K20" s="1"/>
      <c r="L20" s="1"/>
      <c r="M20" s="1"/>
      <c r="N20" s="1"/>
      <c r="O20" s="1"/>
    </row>
    <row r="21" spans="1:15" ht="18" x14ac:dyDescent="0.35">
      <c r="A21" s="467" t="s">
        <v>361</v>
      </c>
      <c r="B21" s="467"/>
      <c r="C21" s="323">
        <f>(1+$C$10)^(C9/C7)</f>
        <v>1.0182846181695255</v>
      </c>
      <c r="D21" s="268" t="s">
        <v>82</v>
      </c>
      <c r="E21" s="1"/>
      <c r="F21" s="1"/>
      <c r="G21" s="1"/>
      <c r="H21" s="1"/>
      <c r="I21" s="1"/>
      <c r="J21" s="1"/>
      <c r="K21" s="1"/>
      <c r="L21" s="1"/>
      <c r="M21" s="1"/>
      <c r="N21" s="1"/>
      <c r="O21" s="1"/>
    </row>
    <row r="22" spans="1:15" ht="39.950000000000003" customHeight="1" x14ac:dyDescent="0.35">
      <c r="A22" s="129" t="s">
        <v>83</v>
      </c>
      <c r="B22" s="490"/>
      <c r="C22" s="490"/>
      <c r="D22" s="92"/>
      <c r="E22" s="92"/>
      <c r="F22" s="92"/>
      <c r="G22" s="92"/>
      <c r="H22" s="92"/>
      <c r="I22" s="92"/>
      <c r="J22" s="92"/>
      <c r="K22" s="92"/>
      <c r="L22" s="92"/>
      <c r="M22" s="92"/>
      <c r="N22" s="92"/>
      <c r="O22" s="92"/>
    </row>
    <row r="23" spans="1:15" x14ac:dyDescent="0.25">
      <c r="A23" s="6"/>
      <c r="B23" s="6"/>
      <c r="C23" s="32" t="s">
        <v>31</v>
      </c>
      <c r="D23" s="1"/>
      <c r="E23" s="1"/>
      <c r="F23" s="1"/>
      <c r="G23" s="1"/>
      <c r="H23" s="1"/>
      <c r="I23" s="1"/>
      <c r="J23" s="1"/>
      <c r="K23" s="1"/>
      <c r="L23" s="1"/>
      <c r="M23" s="1"/>
      <c r="N23" s="1"/>
      <c r="O23" s="1"/>
    </row>
    <row r="24" spans="1:15" ht="18" x14ac:dyDescent="0.35">
      <c r="A24" s="467" t="s">
        <v>362</v>
      </c>
      <c r="B24" s="467"/>
      <c r="C24" s="323">
        <f>$C$20</f>
        <v>1.0225321432719434</v>
      </c>
      <c r="D24" s="492"/>
      <c r="E24" s="1"/>
      <c r="F24" s="1"/>
      <c r="G24" s="1"/>
      <c r="H24" s="1"/>
      <c r="I24" s="1"/>
      <c r="J24" s="1"/>
      <c r="K24" s="1"/>
      <c r="L24" s="1"/>
      <c r="M24" s="1"/>
      <c r="N24" s="1"/>
      <c r="O24" s="1"/>
    </row>
    <row r="25" spans="1:15" ht="18" x14ac:dyDescent="0.35">
      <c r="A25" s="467" t="s">
        <v>363</v>
      </c>
      <c r="B25" s="467"/>
      <c r="C25" s="323">
        <f>$C$20</f>
        <v>1.0225321432719434</v>
      </c>
      <c r="D25" s="492"/>
      <c r="E25" s="1"/>
      <c r="F25" s="1"/>
      <c r="G25" s="1"/>
      <c r="H25" s="1"/>
      <c r="I25" s="1"/>
      <c r="J25" s="1"/>
      <c r="K25" s="1"/>
      <c r="L25" s="1"/>
      <c r="M25" s="1"/>
      <c r="N25" s="1"/>
      <c r="O25" s="1"/>
    </row>
    <row r="26" spans="1:15" ht="18" x14ac:dyDescent="0.35">
      <c r="A26" s="467" t="s">
        <v>364</v>
      </c>
      <c r="B26" s="467"/>
      <c r="C26" s="323">
        <f>$C$20</f>
        <v>1.0225321432719434</v>
      </c>
      <c r="D26" s="492"/>
      <c r="E26" s="1"/>
      <c r="F26" s="1"/>
      <c r="G26" s="1"/>
      <c r="H26" s="1"/>
      <c r="I26" s="1"/>
      <c r="J26" s="1"/>
      <c r="K26" s="1"/>
      <c r="L26" s="1"/>
      <c r="M26" s="1"/>
      <c r="N26" s="1"/>
      <c r="O26" s="1"/>
    </row>
    <row r="27" spans="1:15" ht="18" x14ac:dyDescent="0.35">
      <c r="A27" s="467" t="s">
        <v>361</v>
      </c>
      <c r="B27" s="467"/>
      <c r="C27" s="323">
        <f>$C$21</f>
        <v>1.0182846181695255</v>
      </c>
      <c r="D27" s="492"/>
      <c r="E27" s="1"/>
      <c r="F27" s="1"/>
      <c r="G27" s="1"/>
      <c r="H27" s="1"/>
      <c r="I27" s="1"/>
      <c r="J27" s="1"/>
      <c r="K27" s="1"/>
      <c r="L27" s="1"/>
      <c r="M27" s="1"/>
      <c r="N27" s="1"/>
      <c r="O27" s="1"/>
    </row>
    <row r="28" spans="1:15" ht="39.950000000000003" customHeight="1" x14ac:dyDescent="0.25">
      <c r="A28" s="467" t="s">
        <v>85</v>
      </c>
      <c r="B28" s="467"/>
      <c r="C28" s="323"/>
      <c r="D28" s="607"/>
      <c r="E28" s="1"/>
      <c r="F28" s="34"/>
      <c r="G28" s="1"/>
      <c r="H28" s="1"/>
      <c r="I28" s="1"/>
      <c r="J28" s="1"/>
      <c r="K28" s="1"/>
      <c r="L28" s="1"/>
      <c r="M28" s="1"/>
      <c r="N28" s="1"/>
      <c r="O28" s="1"/>
    </row>
    <row r="29" spans="1:15" ht="23.25" x14ac:dyDescent="0.35">
      <c r="A29" s="608" t="s">
        <v>86</v>
      </c>
      <c r="B29" s="609"/>
      <c r="C29" s="609"/>
      <c r="D29" s="610"/>
      <c r="E29" s="610"/>
      <c r="F29" s="610"/>
      <c r="G29" s="610"/>
      <c r="H29" s="610"/>
      <c r="I29" s="610"/>
      <c r="J29" s="610"/>
      <c r="K29" s="610"/>
      <c r="L29" s="610"/>
      <c r="M29" s="610"/>
      <c r="N29" s="610"/>
      <c r="O29" s="610"/>
    </row>
    <row r="30" spans="1:15" ht="15.75" x14ac:dyDescent="0.25">
      <c r="A30" s="471" t="s">
        <v>87</v>
      </c>
      <c r="B30" s="498"/>
      <c r="C30" s="611"/>
      <c r="D30" s="611"/>
      <c r="E30" s="611"/>
      <c r="F30" s="611"/>
      <c r="G30" s="611"/>
      <c r="H30" s="611"/>
      <c r="I30" s="611"/>
      <c r="J30" s="611"/>
      <c r="K30" s="611"/>
      <c r="L30" s="611"/>
      <c r="M30" s="611"/>
      <c r="N30" s="611"/>
      <c r="O30" s="611"/>
    </row>
    <row r="31" spans="1:15" ht="18.75" x14ac:dyDescent="0.3">
      <c r="A31" s="499" t="s">
        <v>88</v>
      </c>
      <c r="B31" s="500"/>
      <c r="C31" s="505"/>
      <c r="D31" s="505"/>
      <c r="E31" s="501"/>
      <c r="F31" s="501"/>
      <c r="G31" s="501"/>
      <c r="H31" s="501"/>
      <c r="I31" s="501"/>
      <c r="J31" s="501"/>
      <c r="K31" s="501"/>
      <c r="L31" s="501"/>
      <c r="M31" s="501"/>
      <c r="N31" s="501"/>
      <c r="O31" s="501"/>
    </row>
    <row r="32" spans="1:15" x14ac:dyDescent="0.25">
      <c r="A32" s="502" t="s">
        <v>89</v>
      </c>
      <c r="B32" s="503"/>
      <c r="C32" s="504">
        <f>EDATE(C6,-12)</f>
        <v>43921</v>
      </c>
      <c r="D32" s="508">
        <f>EOMONTH(C32,1)+20</f>
        <v>43971</v>
      </c>
      <c r="E32" s="507">
        <f t="shared" ref="E32:O32" si="0">EDATE(D32,1)</f>
        <v>44002</v>
      </c>
      <c r="F32" s="504">
        <f t="shared" si="0"/>
        <v>44032</v>
      </c>
      <c r="G32" s="504">
        <f t="shared" si="0"/>
        <v>44063</v>
      </c>
      <c r="H32" s="504">
        <f t="shared" si="0"/>
        <v>44094</v>
      </c>
      <c r="I32" s="504">
        <f t="shared" si="0"/>
        <v>44124</v>
      </c>
      <c r="J32" s="504">
        <f t="shared" si="0"/>
        <v>44155</v>
      </c>
      <c r="K32" s="504">
        <f t="shared" si="0"/>
        <v>44185</v>
      </c>
      <c r="L32" s="504">
        <f t="shared" si="0"/>
        <v>44216</v>
      </c>
      <c r="M32" s="504">
        <f t="shared" si="0"/>
        <v>44247</v>
      </c>
      <c r="N32" s="504">
        <f t="shared" si="0"/>
        <v>44275</v>
      </c>
      <c r="O32" s="504">
        <f t="shared" si="0"/>
        <v>44306</v>
      </c>
    </row>
    <row r="33" spans="1:15" x14ac:dyDescent="0.25">
      <c r="A33" s="467" t="s">
        <v>90</v>
      </c>
      <c r="B33" s="502"/>
      <c r="C33" s="325">
        <v>0</v>
      </c>
      <c r="D33" s="325">
        <v>1</v>
      </c>
      <c r="E33" s="325">
        <v>1</v>
      </c>
      <c r="F33" s="325">
        <v>1</v>
      </c>
      <c r="G33" s="325">
        <v>1</v>
      </c>
      <c r="H33" s="325">
        <v>1</v>
      </c>
      <c r="I33" s="325">
        <v>1</v>
      </c>
      <c r="J33" s="325">
        <v>1</v>
      </c>
      <c r="K33" s="325">
        <v>1</v>
      </c>
      <c r="L33" s="325">
        <v>1</v>
      </c>
      <c r="M33" s="325">
        <v>1</v>
      </c>
      <c r="N33" s="325">
        <v>1</v>
      </c>
      <c r="O33" s="325">
        <v>1</v>
      </c>
    </row>
    <row r="34" spans="1:15" x14ac:dyDescent="0.25">
      <c r="A34" s="496"/>
      <c r="B34" s="612"/>
      <c r="C34" s="612"/>
      <c r="D34" s="612"/>
      <c r="E34" s="612"/>
      <c r="F34" s="612"/>
      <c r="G34" s="612"/>
      <c r="H34" s="612"/>
      <c r="I34" s="612"/>
      <c r="J34" s="612"/>
      <c r="K34" s="612"/>
      <c r="L34" s="612"/>
      <c r="M34" s="612"/>
      <c r="N34" s="612"/>
      <c r="O34" s="612"/>
    </row>
    <row r="35" spans="1:15" ht="18.75" x14ac:dyDescent="0.3">
      <c r="A35" s="613" t="s">
        <v>91</v>
      </c>
      <c r="B35" s="614"/>
      <c r="C35" s="611"/>
      <c r="D35" s="614"/>
      <c r="E35" s="611"/>
      <c r="F35" s="611"/>
      <c r="G35" s="611"/>
      <c r="H35" s="611"/>
      <c r="I35" s="611"/>
      <c r="J35" s="611"/>
      <c r="K35" s="611"/>
      <c r="L35" s="611"/>
      <c r="M35" s="611"/>
      <c r="N35" s="611"/>
      <c r="O35" s="611"/>
    </row>
    <row r="36" spans="1:15" x14ac:dyDescent="0.25">
      <c r="A36" s="502"/>
      <c r="B36" s="502"/>
      <c r="C36" s="506">
        <f>C32</f>
        <v>43921</v>
      </c>
      <c r="D36" s="507">
        <f>C14</f>
        <v>44138</v>
      </c>
      <c r="E36" s="611"/>
      <c r="F36" s="611"/>
      <c r="G36" s="611"/>
      <c r="H36" s="611"/>
      <c r="I36" s="611"/>
      <c r="J36" s="611"/>
      <c r="K36" s="611"/>
      <c r="L36" s="611"/>
      <c r="M36" s="611"/>
      <c r="N36" s="611"/>
      <c r="O36" s="611"/>
    </row>
    <row r="37" spans="1:15" x14ac:dyDescent="0.25">
      <c r="A37" s="467" t="s">
        <v>90</v>
      </c>
      <c r="B37" s="502"/>
      <c r="C37" s="325">
        <v>0</v>
      </c>
      <c r="D37" s="325">
        <v>12</v>
      </c>
      <c r="E37" s="611"/>
      <c r="F37" s="611"/>
      <c r="G37" s="611"/>
      <c r="H37" s="611"/>
      <c r="I37" s="611"/>
      <c r="J37" s="611"/>
      <c r="K37" s="611"/>
      <c r="L37" s="611"/>
      <c r="M37" s="611"/>
      <c r="N37" s="611"/>
      <c r="O37" s="611"/>
    </row>
    <row r="38" spans="1:15" x14ac:dyDescent="0.25">
      <c r="A38" s="496"/>
      <c r="B38" s="467"/>
      <c r="C38" s="615"/>
      <c r="D38" s="612"/>
      <c r="E38" s="611"/>
      <c r="F38" s="611"/>
      <c r="G38" s="611"/>
      <c r="H38" s="611"/>
      <c r="I38" s="611"/>
      <c r="J38" s="611"/>
      <c r="K38" s="611"/>
      <c r="L38" s="611"/>
      <c r="M38" s="611"/>
      <c r="N38" s="611"/>
      <c r="O38" s="611"/>
    </row>
    <row r="39" spans="1:15" ht="18.75" x14ac:dyDescent="0.3">
      <c r="A39" s="499" t="s">
        <v>92</v>
      </c>
      <c r="B39" s="509"/>
      <c r="C39" s="339" t="s">
        <v>31</v>
      </c>
      <c r="D39" s="505"/>
      <c r="E39" s="505"/>
      <c r="F39" s="505"/>
      <c r="G39" s="505"/>
      <c r="H39" s="505"/>
      <c r="I39" s="505"/>
      <c r="J39" s="505"/>
      <c r="K39" s="505"/>
      <c r="L39" s="505"/>
      <c r="M39" s="505"/>
      <c r="N39" s="505"/>
      <c r="O39" s="505"/>
    </row>
    <row r="40" spans="1:15" x14ac:dyDescent="0.25">
      <c r="A40" s="359" t="str">
        <f>"PV as at "&amp;TEXT(EOMONTH(C6,-12),"dd mmm yy")&amp;" of the series of unit amounts"</f>
        <v>PV as at 31 Mar 20 of the series of unit amounts</v>
      </c>
      <c r="B40" s="503"/>
      <c r="C40" s="323">
        <f>XNPV(C10,C33:O33,C32:O32)</f>
        <v>11.68469323458495</v>
      </c>
      <c r="D40" s="611"/>
      <c r="E40" s="611"/>
      <c r="F40" s="611"/>
      <c r="G40" s="611"/>
      <c r="H40" s="611"/>
      <c r="I40" s="611"/>
      <c r="J40" s="611"/>
      <c r="K40" s="611"/>
      <c r="L40" s="611"/>
      <c r="M40" s="611"/>
      <c r="N40" s="611"/>
      <c r="O40" s="611"/>
    </row>
    <row r="41" spans="1:15" x14ac:dyDescent="0.25">
      <c r="A41" s="467" t="s">
        <v>93</v>
      </c>
      <c r="B41" s="467"/>
      <c r="C41" s="323">
        <f>XNPV(C10,C37:D37,C36:D36)</f>
        <v>11.685392959772692</v>
      </c>
      <c r="D41" s="611"/>
      <c r="E41" s="611"/>
      <c r="F41" s="611"/>
      <c r="G41" s="611"/>
      <c r="H41" s="611"/>
      <c r="I41" s="611"/>
      <c r="J41" s="611"/>
      <c r="K41" s="611"/>
      <c r="L41" s="611"/>
      <c r="M41" s="611"/>
      <c r="N41" s="611"/>
      <c r="O41" s="611"/>
    </row>
    <row r="42" spans="1:15" x14ac:dyDescent="0.25">
      <c r="A42" s="467" t="str">
        <f>"Difference in PV for a date of " &amp; TEXT(D36,"d mmm")</f>
        <v>Difference in PV for a date of 3 Nov</v>
      </c>
      <c r="B42" s="467"/>
      <c r="C42" s="323">
        <f>C40-C41</f>
        <v>-6.9972518774186199E-4</v>
      </c>
      <c r="D42" s="611"/>
      <c r="E42" s="611"/>
      <c r="F42" s="611"/>
      <c r="G42" s="611"/>
      <c r="H42" s="611"/>
      <c r="I42" s="611"/>
      <c r="J42" s="611"/>
      <c r="K42" s="611"/>
      <c r="L42" s="611"/>
      <c r="M42" s="611"/>
      <c r="N42" s="611"/>
      <c r="O42" s="611"/>
    </row>
    <row r="43" spans="1:15" x14ac:dyDescent="0.25">
      <c r="A43" s="467" t="s">
        <v>94</v>
      </c>
      <c r="B43" s="467"/>
      <c r="C43" s="35">
        <f>C42/C40</f>
        <v>-5.9883915965442697E-5</v>
      </c>
      <c r="D43" s="611"/>
      <c r="E43" s="611"/>
      <c r="F43" s="611"/>
      <c r="G43" s="611"/>
      <c r="H43" s="611"/>
      <c r="I43" s="611"/>
      <c r="J43" s="611"/>
      <c r="K43" s="611"/>
      <c r="L43" s="611"/>
      <c r="M43" s="611"/>
      <c r="N43" s="611"/>
      <c r="O43" s="611"/>
    </row>
    <row r="44" spans="1:15" ht="15" customHeight="1" x14ac:dyDescent="0.25">
      <c r="A44" s="467"/>
      <c r="B44" s="467"/>
      <c r="C44" s="513"/>
      <c r="D44" s="497"/>
      <c r="E44" s="497"/>
      <c r="F44" s="497"/>
      <c r="G44" s="497"/>
      <c r="H44" s="497"/>
      <c r="I44" s="497"/>
      <c r="J44" s="497"/>
      <c r="K44" s="497"/>
      <c r="L44" s="497"/>
      <c r="M44" s="497"/>
      <c r="N44" s="497"/>
      <c r="O44" s="497"/>
    </row>
  </sheetData>
  <pageMargins left="0.23622047244094491" right="0.23622047244094491"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4B29-B229-41B4-BC8F-E29C1AB05DE7}">
  <sheetPr codeName="Sheet18">
    <pageSetUpPr fitToPage="1"/>
  </sheetPr>
  <dimension ref="A1:N95"/>
  <sheetViews>
    <sheetView showGridLines="0" view="pageBreakPreview" zoomScaleNormal="100" zoomScaleSheetLayoutView="100" workbookViewId="0">
      <selection activeCell="Q23" sqref="Q23"/>
    </sheetView>
  </sheetViews>
  <sheetFormatPr defaultColWidth="9" defaultRowHeight="15" customHeight="1" x14ac:dyDescent="0.25"/>
  <cols>
    <col min="1" max="1" width="50.5703125" customWidth="1"/>
    <col min="2" max="2" width="12.5703125" customWidth="1"/>
    <col min="3" max="3" width="12" customWidth="1"/>
    <col min="4" max="10" width="11" customWidth="1"/>
    <col min="11" max="11" width="2.85546875" style="1" customWidth="1"/>
    <col min="12" max="12" width="9.140625" customWidth="1"/>
    <col min="13" max="16384" width="9" style="1"/>
  </cols>
  <sheetData>
    <row r="1" spans="1:14" ht="15" customHeight="1" x14ac:dyDescent="0.25">
      <c r="A1" s="97" t="s">
        <v>552</v>
      </c>
      <c r="B1" s="97"/>
      <c r="C1" s="97"/>
      <c r="D1" s="97"/>
      <c r="E1" s="97"/>
      <c r="F1" s="97"/>
      <c r="G1" s="97"/>
      <c r="H1" s="97"/>
      <c r="I1" s="97"/>
      <c r="J1" s="97"/>
      <c r="L1" s="97"/>
    </row>
    <row r="2" spans="1:14" s="38" customFormat="1" ht="39.950000000000003" customHeight="1" x14ac:dyDescent="0.35">
      <c r="A2" s="374" t="s">
        <v>217</v>
      </c>
      <c r="B2" s="113"/>
      <c r="C2" s="616"/>
      <c r="D2" s="113"/>
      <c r="E2" s="113"/>
      <c r="F2" s="113"/>
      <c r="G2" s="113"/>
      <c r="H2" s="113"/>
      <c r="I2" s="113"/>
      <c r="J2" s="516" t="str">
        <f>EDB_Name</f>
        <v>Vector Lines</v>
      </c>
      <c r="L2" s="113"/>
    </row>
    <row r="3" spans="1:14" ht="20.100000000000001" customHeight="1" x14ac:dyDescent="0.25">
      <c r="A3" s="517" t="s">
        <v>95</v>
      </c>
      <c r="B3" s="486"/>
    </row>
    <row r="4" spans="1:14" ht="39.950000000000003" customHeight="1" x14ac:dyDescent="0.35">
      <c r="A4" s="519" t="s">
        <v>12</v>
      </c>
      <c r="B4" s="121"/>
      <c r="C4" s="122"/>
      <c r="D4" s="123"/>
      <c r="E4" s="123"/>
      <c r="F4" s="123"/>
      <c r="G4" s="123"/>
      <c r="H4" s="123"/>
      <c r="I4" s="123"/>
      <c r="J4" s="123"/>
      <c r="L4" s="92"/>
      <c r="N4" s="549"/>
    </row>
    <row r="5" spans="1:14" x14ac:dyDescent="0.25">
      <c r="A5" s="16"/>
      <c r="B5" s="547" t="s">
        <v>69</v>
      </c>
      <c r="C5" s="521" t="s">
        <v>31</v>
      </c>
      <c r="D5" s="522" t="s">
        <v>424</v>
      </c>
      <c r="E5" s="522" t="s">
        <v>425</v>
      </c>
      <c r="F5" s="522" t="s">
        <v>426</v>
      </c>
      <c r="G5" s="522" t="s">
        <v>427</v>
      </c>
      <c r="H5" s="522" t="s">
        <v>428</v>
      </c>
      <c r="I5" s="522" t="s">
        <v>319</v>
      </c>
      <c r="J5" s="522" t="s">
        <v>320</v>
      </c>
      <c r="N5" s="44"/>
    </row>
    <row r="6" spans="1:14" x14ac:dyDescent="0.25">
      <c r="A6" s="16" t="s">
        <v>46</v>
      </c>
      <c r="B6" s="16" t="s">
        <v>70</v>
      </c>
      <c r="C6" s="42">
        <f>'EDB data (update)'!B30</f>
        <v>2951716</v>
      </c>
      <c r="N6" s="46"/>
    </row>
    <row r="7" spans="1:14" x14ac:dyDescent="0.25">
      <c r="A7" s="16" t="s">
        <v>47</v>
      </c>
      <c r="B7" s="16" t="s">
        <v>70</v>
      </c>
      <c r="C7" s="42">
        <f>'EDB data (update)'!B31</f>
        <v>108729</v>
      </c>
      <c r="D7" s="243"/>
      <c r="E7" s="243"/>
      <c r="F7" s="243"/>
      <c r="G7" s="243"/>
      <c r="H7" s="243"/>
      <c r="I7" s="243"/>
      <c r="J7" s="243"/>
      <c r="N7" s="46"/>
    </row>
    <row r="8" spans="1:14" x14ac:dyDescent="0.25">
      <c r="A8" s="16" t="s">
        <v>48</v>
      </c>
      <c r="B8" s="16" t="s">
        <v>70</v>
      </c>
      <c r="C8" s="42">
        <f>'EDB data (update)'!B32</f>
        <v>3075471</v>
      </c>
      <c r="D8" s="53"/>
      <c r="E8" s="41"/>
      <c r="F8" s="41"/>
      <c r="G8" s="41"/>
      <c r="H8" s="41"/>
      <c r="I8" s="41"/>
      <c r="J8" s="42"/>
      <c r="N8" s="46"/>
    </row>
    <row r="9" spans="1:14" x14ac:dyDescent="0.25">
      <c r="A9" s="16" t="s">
        <v>60</v>
      </c>
      <c r="B9" s="16" t="s">
        <v>70</v>
      </c>
      <c r="C9" s="42"/>
      <c r="D9" s="53">
        <f>'EDB data (update)'!B61</f>
        <v>7412</v>
      </c>
      <c r="E9" s="158">
        <f>'EDB data (update)'!B62</f>
        <v>10769.994983532757</v>
      </c>
      <c r="F9" s="158">
        <f>'EDB data (update)'!B63</f>
        <v>10974.62488821988</v>
      </c>
      <c r="G9" s="158">
        <f>'EDB data (update)'!B64</f>
        <v>11194.117385984278</v>
      </c>
      <c r="H9" s="158">
        <f>'EDB data (update)'!B65</f>
        <v>11417.999733703964</v>
      </c>
      <c r="I9" s="617">
        <f>'EDB data (update)'!B66</f>
        <v>11646.359728378044</v>
      </c>
      <c r="J9" s="51">
        <f>'EDB data (update)'!B67</f>
        <v>11879.286922945606</v>
      </c>
      <c r="N9" s="46"/>
    </row>
    <row r="10" spans="1:14" x14ac:dyDescent="0.25">
      <c r="A10" s="16" t="s">
        <v>57</v>
      </c>
      <c r="B10" s="16" t="s">
        <v>70</v>
      </c>
      <c r="C10" s="42"/>
      <c r="D10" s="56">
        <f>'EDB data (update)'!B52</f>
        <v>203460</v>
      </c>
      <c r="E10" s="51">
        <f>'EDB data (update)'!B53</f>
        <v>240761</v>
      </c>
      <c r="F10" s="51">
        <f>'EDB data (update)'!B54</f>
        <v>215221.23517623401</v>
      </c>
      <c r="G10" s="51">
        <f>'EDB data (update)'!B55</f>
        <v>171903</v>
      </c>
      <c r="H10" s="51">
        <f>'EDB data (update)'!B56</f>
        <v>169286.63359466099</v>
      </c>
      <c r="I10" s="552">
        <f>'EDB data (update)'!B57</f>
        <v>308324</v>
      </c>
      <c r="J10" s="51">
        <f>'EDB data (update)'!B58</f>
        <v>382111</v>
      </c>
      <c r="N10" s="46"/>
    </row>
    <row r="11" spans="1:14" x14ac:dyDescent="0.25">
      <c r="A11" s="16" t="s">
        <v>96</v>
      </c>
      <c r="B11" s="16" t="s">
        <v>70</v>
      </c>
      <c r="C11" s="42"/>
      <c r="D11" s="56"/>
      <c r="E11" s="42"/>
      <c r="F11" s="42">
        <f>'EDB data (update)'!D27</f>
        <v>45</v>
      </c>
      <c r="G11" s="42">
        <f>'EDB data (update)'!E27</f>
        <v>45</v>
      </c>
      <c r="H11" s="42">
        <f>'EDB data (update)'!F27</f>
        <v>45</v>
      </c>
      <c r="I11" s="42">
        <f>'EDB data (update)'!G27</f>
        <v>45</v>
      </c>
      <c r="J11" s="42">
        <f>'EDB data (update)'!H27</f>
        <v>45</v>
      </c>
      <c r="N11" s="46"/>
    </row>
    <row r="12" spans="1:14" x14ac:dyDescent="0.25">
      <c r="A12" s="16" t="s">
        <v>366</v>
      </c>
      <c r="B12" s="16" t="s">
        <v>70</v>
      </c>
      <c r="C12" s="42">
        <f>'EDB data (DPP)'!B37</f>
        <v>3983.6873940243322</v>
      </c>
      <c r="D12" s="56"/>
      <c r="E12" s="42"/>
      <c r="F12" s="42"/>
      <c r="G12" s="42"/>
      <c r="H12" s="42"/>
      <c r="I12" s="42"/>
      <c r="J12" s="42"/>
      <c r="N12" s="46"/>
    </row>
    <row r="13" spans="1:14" x14ac:dyDescent="0.25">
      <c r="A13" s="359" t="s">
        <v>34</v>
      </c>
      <c r="B13" s="16" t="s">
        <v>70</v>
      </c>
      <c r="C13" s="618"/>
      <c r="D13" s="619">
        <f>'EDB data (update)'!B24</f>
        <v>1.4836795252225476E-2</v>
      </c>
      <c r="E13" s="619">
        <f>'EDB data (update)'!C24</f>
        <v>1.6999999999999904E-2</v>
      </c>
      <c r="F13" s="619">
        <f>'EDB data (update)'!D24</f>
        <v>1.8999999999999906E-2</v>
      </c>
      <c r="G13" s="619">
        <f>'EDB data (update)'!E24</f>
        <v>2.0000000000000018E-2</v>
      </c>
      <c r="H13" s="619">
        <f>'EDB data (update)'!F24</f>
        <v>2.0000000000000018E-2</v>
      </c>
      <c r="I13" s="619">
        <f>'EDB data (update)'!G24</f>
        <v>2.0000000000000018E-2</v>
      </c>
      <c r="J13" s="619">
        <f>'EDB data (update)'!H24</f>
        <v>2.0000000000000018E-2</v>
      </c>
      <c r="N13" s="46"/>
    </row>
    <row r="14" spans="1:14" ht="39.950000000000003" customHeight="1" x14ac:dyDescent="0.35">
      <c r="A14" s="129" t="s">
        <v>71</v>
      </c>
      <c r="B14" s="490"/>
      <c r="C14" s="620"/>
      <c r="D14" s="621"/>
      <c r="E14" s="621"/>
      <c r="F14" s="490"/>
      <c r="G14" s="490"/>
      <c r="H14" s="490"/>
      <c r="I14" s="490"/>
      <c r="J14" s="490"/>
      <c r="L14" s="92"/>
      <c r="N14" s="549"/>
    </row>
    <row r="15" spans="1:14" ht="21" x14ac:dyDescent="0.35">
      <c r="A15" s="526"/>
      <c r="B15" s="526"/>
      <c r="C15" s="601"/>
      <c r="D15" s="526"/>
      <c r="E15" s="526"/>
      <c r="F15" s="526"/>
      <c r="G15" s="526"/>
      <c r="H15" s="526"/>
      <c r="I15" s="526"/>
      <c r="J15" s="526"/>
      <c r="N15" s="622"/>
    </row>
    <row r="16" spans="1:14" ht="21" x14ac:dyDescent="0.35">
      <c r="A16" s="134" t="s">
        <v>97</v>
      </c>
      <c r="B16" s="536"/>
      <c r="C16" s="537"/>
      <c r="D16" s="476"/>
      <c r="E16" s="476"/>
      <c r="F16" s="476"/>
      <c r="G16" s="476"/>
      <c r="H16" s="476"/>
      <c r="I16" s="476"/>
      <c r="J16" s="476"/>
      <c r="L16" s="95"/>
    </row>
    <row r="17" spans="1:14" x14ac:dyDescent="0.25">
      <c r="A17" s="16"/>
      <c r="B17" s="16"/>
      <c r="C17" s="16"/>
      <c r="D17" s="623" t="str">
        <f t="shared" ref="D17:J17" si="0">D5</f>
        <v>2018/19</v>
      </c>
      <c r="E17" s="148" t="str">
        <f t="shared" si="0"/>
        <v>2019/20</v>
      </c>
      <c r="F17" s="148" t="str">
        <f t="shared" si="0"/>
        <v>2020/21</v>
      </c>
      <c r="G17" s="148" t="str">
        <f t="shared" si="0"/>
        <v>2021/22</v>
      </c>
      <c r="H17" s="148" t="str">
        <f t="shared" si="0"/>
        <v>2022/23</v>
      </c>
      <c r="I17" s="148" t="str">
        <f t="shared" si="0"/>
        <v>2023/24</v>
      </c>
      <c r="J17" s="148" t="str">
        <f t="shared" si="0"/>
        <v>2024/25</v>
      </c>
      <c r="N17" s="46"/>
    </row>
    <row r="18" spans="1:14" x14ac:dyDescent="0.25">
      <c r="A18" s="16" t="s">
        <v>98</v>
      </c>
      <c r="B18" s="16"/>
      <c r="C18" s="16"/>
      <c r="D18" s="534">
        <f>C6/C7</f>
        <v>27.147458359775221</v>
      </c>
      <c r="E18" s="51">
        <f t="shared" ref="E18:J18" si="1">D18-1</f>
        <v>26.147458359775221</v>
      </c>
      <c r="F18" s="42">
        <f t="shared" si="1"/>
        <v>25.147458359775221</v>
      </c>
      <c r="G18" s="42">
        <f t="shared" si="1"/>
        <v>24.147458359775221</v>
      </c>
      <c r="H18" s="42">
        <f t="shared" si="1"/>
        <v>23.147458359775221</v>
      </c>
      <c r="I18" s="42">
        <f t="shared" si="1"/>
        <v>22.147458359775221</v>
      </c>
      <c r="J18" s="42">
        <f t="shared" si="1"/>
        <v>21.147458359775221</v>
      </c>
    </row>
    <row r="19" spans="1:14" x14ac:dyDescent="0.25">
      <c r="A19" s="16" t="s">
        <v>99</v>
      </c>
      <c r="B19" s="16"/>
      <c r="C19" s="16"/>
      <c r="D19" s="56"/>
      <c r="E19" s="42">
        <f t="shared" ref="E19:J19" si="2">D23</f>
        <v>3075471</v>
      </c>
      <c r="F19" s="42">
        <f t="shared" si="2"/>
        <v>2999128.3733816077</v>
      </c>
      <c r="G19" s="42">
        <f t="shared" si="2"/>
        <v>2925609.996665759</v>
      </c>
      <c r="H19" s="42">
        <f t="shared" si="2"/>
        <v>2851489.6626495034</v>
      </c>
      <c r="I19" s="42">
        <f t="shared" si="2"/>
        <v>2773628.0420919964</v>
      </c>
      <c r="J19" s="42">
        <f t="shared" si="2"/>
        <v>2691931.2455546292</v>
      </c>
    </row>
    <row r="20" spans="1:14" x14ac:dyDescent="0.25">
      <c r="A20" s="16" t="s">
        <v>60</v>
      </c>
      <c r="B20" s="16"/>
      <c r="C20" s="16"/>
      <c r="D20" s="56"/>
      <c r="E20" s="42">
        <f t="shared" ref="E20:J20" si="3">E9</f>
        <v>10769.994983532757</v>
      </c>
      <c r="F20" s="42">
        <f t="shared" si="3"/>
        <v>10974.62488821988</v>
      </c>
      <c r="G20" s="42">
        <f t="shared" si="3"/>
        <v>11194.117385984278</v>
      </c>
      <c r="H20" s="42">
        <f t="shared" si="3"/>
        <v>11417.999733703964</v>
      </c>
      <c r="I20" s="42">
        <f t="shared" si="3"/>
        <v>11646.359728378044</v>
      </c>
      <c r="J20" s="42">
        <f t="shared" si="3"/>
        <v>11879.286922945606</v>
      </c>
    </row>
    <row r="21" spans="1:14" x14ac:dyDescent="0.25">
      <c r="A21" s="16" t="s">
        <v>100</v>
      </c>
      <c r="B21" s="16"/>
      <c r="C21" s="16"/>
      <c r="D21" s="56"/>
      <c r="E21" s="42">
        <f t="shared" ref="E21:J21" si="4">(E19*0.999-E20)*E29</f>
        <v>52047.634078279647</v>
      </c>
      <c r="F21" s="42">
        <f t="shared" si="4"/>
        <v>56717.937782279834</v>
      </c>
      <c r="G21" s="42">
        <f t="shared" si="4"/>
        <v>58229.805385662228</v>
      </c>
      <c r="H21" s="42">
        <f t="shared" si="4"/>
        <v>56744.403465063042</v>
      </c>
      <c r="I21" s="42">
        <f t="shared" si="4"/>
        <v>55184.161086430569</v>
      </c>
      <c r="J21" s="42">
        <f t="shared" si="4"/>
        <v>53547.200547722627</v>
      </c>
    </row>
    <row r="22" spans="1:14" x14ac:dyDescent="0.25">
      <c r="A22" s="16" t="s">
        <v>101</v>
      </c>
      <c r="B22" s="16"/>
      <c r="C22" s="16"/>
      <c r="D22" s="53"/>
      <c r="E22" s="42">
        <f t="shared" ref="E22:J22" si="5">E19/E18</f>
        <v>117620.26571313903</v>
      </c>
      <c r="F22" s="42">
        <f t="shared" si="5"/>
        <v>119261.68960990837</v>
      </c>
      <c r="G22" s="42">
        <f t="shared" si="5"/>
        <v>121156.02201593328</v>
      </c>
      <c r="H22" s="42">
        <f t="shared" si="5"/>
        <v>123188.02428886596</v>
      </c>
      <c r="I22" s="42">
        <f t="shared" si="5"/>
        <v>125234.59789541947</v>
      </c>
      <c r="J22" s="42">
        <f t="shared" si="5"/>
        <v>127293.37018934517</v>
      </c>
    </row>
    <row r="23" spans="1:14" x14ac:dyDescent="0.25">
      <c r="A23" s="16" t="s">
        <v>102</v>
      </c>
      <c r="B23" s="16"/>
      <c r="C23" s="16"/>
      <c r="D23" s="52">
        <f>C8</f>
        <v>3075471</v>
      </c>
      <c r="E23" s="51">
        <f t="shared" ref="E23:J23" si="6">E19-E20+E21-E22</f>
        <v>2999128.3733816077</v>
      </c>
      <c r="F23" s="42">
        <f t="shared" si="6"/>
        <v>2925609.996665759</v>
      </c>
      <c r="G23" s="42">
        <f t="shared" si="6"/>
        <v>2851489.6626495034</v>
      </c>
      <c r="H23" s="42">
        <f t="shared" si="6"/>
        <v>2773628.0420919964</v>
      </c>
      <c r="I23" s="42">
        <f t="shared" si="6"/>
        <v>2691931.2455546292</v>
      </c>
      <c r="J23" s="42">
        <f t="shared" si="6"/>
        <v>2606305.7889900613</v>
      </c>
    </row>
    <row r="24" spans="1:14" ht="15.75" x14ac:dyDescent="0.25">
      <c r="A24" s="40"/>
      <c r="B24" s="17"/>
      <c r="C24" s="17"/>
      <c r="D24" s="53"/>
      <c r="E24" s="41"/>
      <c r="F24" s="41"/>
      <c r="G24" s="41"/>
      <c r="H24" s="41"/>
      <c r="I24" s="41"/>
      <c r="J24" s="41"/>
      <c r="N24" s="622"/>
    </row>
    <row r="25" spans="1:14" ht="15.75" x14ac:dyDescent="0.25">
      <c r="A25" s="475" t="s">
        <v>103</v>
      </c>
      <c r="B25" s="95"/>
      <c r="C25" s="562"/>
      <c r="D25" s="95"/>
      <c r="E25" s="95"/>
      <c r="F25" s="95"/>
      <c r="G25" s="95"/>
      <c r="H25" s="95"/>
      <c r="I25" s="95"/>
      <c r="J25" s="95"/>
      <c r="L25" s="95"/>
      <c r="N25" s="44"/>
    </row>
    <row r="26" spans="1:14" ht="14.45" customHeight="1" x14ac:dyDescent="0.35">
      <c r="A26" s="624" t="s">
        <v>555</v>
      </c>
      <c r="B26" s="625"/>
      <c r="C26" s="626"/>
      <c r="D26" s="625"/>
      <c r="E26" s="625"/>
      <c r="F26" s="625"/>
      <c r="G26" s="625"/>
      <c r="H26" s="625"/>
      <c r="I26" s="625"/>
      <c r="J26" s="625"/>
      <c r="L26" s="97"/>
    </row>
    <row r="27" spans="1:14" x14ac:dyDescent="0.25">
      <c r="A27" s="31"/>
      <c r="B27" s="31"/>
      <c r="C27" s="39"/>
      <c r="D27" s="627" t="str">
        <f>D17</f>
        <v>2018/19</v>
      </c>
      <c r="E27" s="67" t="str">
        <f t="shared" ref="E27:J27" si="7">E17</f>
        <v>2019/20</v>
      </c>
      <c r="F27" s="67" t="str">
        <f t="shared" si="7"/>
        <v>2020/21</v>
      </c>
      <c r="G27" s="67" t="str">
        <f t="shared" si="7"/>
        <v>2021/22</v>
      </c>
      <c r="H27" s="67" t="str">
        <f t="shared" si="7"/>
        <v>2022/23</v>
      </c>
      <c r="I27" s="67" t="str">
        <f t="shared" si="7"/>
        <v>2023/24</v>
      </c>
      <c r="J27" s="67" t="str">
        <f t="shared" si="7"/>
        <v>2024/25</v>
      </c>
    </row>
    <row r="28" spans="1:14" x14ac:dyDescent="0.25">
      <c r="A28" s="16" t="s">
        <v>32</v>
      </c>
      <c r="B28" s="16"/>
      <c r="C28" s="16"/>
      <c r="D28" s="534">
        <v>1</v>
      </c>
      <c r="E28" s="51">
        <f t="shared" ref="E28:J28" si="8">D28+1</f>
        <v>2</v>
      </c>
      <c r="F28" s="42">
        <f t="shared" si="8"/>
        <v>3</v>
      </c>
      <c r="G28" s="42">
        <f t="shared" si="8"/>
        <v>4</v>
      </c>
      <c r="H28" s="42">
        <f t="shared" si="8"/>
        <v>5</v>
      </c>
      <c r="I28" s="42">
        <f t="shared" si="8"/>
        <v>6</v>
      </c>
      <c r="J28" s="42">
        <f t="shared" si="8"/>
        <v>7</v>
      </c>
      <c r="N28" s="46"/>
    </row>
    <row r="29" spans="1:14" x14ac:dyDescent="0.25">
      <c r="A29" s="16" t="s">
        <v>104</v>
      </c>
      <c r="B29" s="16"/>
      <c r="C29" s="16"/>
      <c r="D29" s="152">
        <f t="shared" ref="D29:J29" si="9">D13</f>
        <v>1.4836795252225476E-2</v>
      </c>
      <c r="E29" s="152">
        <f t="shared" si="9"/>
        <v>1.6999999999999904E-2</v>
      </c>
      <c r="F29" s="152">
        <f t="shared" si="9"/>
        <v>1.8999999999999906E-2</v>
      </c>
      <c r="G29" s="152">
        <f t="shared" si="9"/>
        <v>2.0000000000000018E-2</v>
      </c>
      <c r="H29" s="152">
        <f t="shared" si="9"/>
        <v>2.0000000000000018E-2</v>
      </c>
      <c r="I29" s="152">
        <f t="shared" si="9"/>
        <v>2.0000000000000018E-2</v>
      </c>
      <c r="J29" s="152">
        <f t="shared" si="9"/>
        <v>2.0000000000000018E-2</v>
      </c>
      <c r="N29" s="46"/>
    </row>
    <row r="30" spans="1:14" x14ac:dyDescent="0.25">
      <c r="A30" s="16" t="s">
        <v>105</v>
      </c>
      <c r="B30" s="16"/>
      <c r="C30" s="16"/>
      <c r="D30" s="42">
        <f>D$10</f>
        <v>203460</v>
      </c>
      <c r="E30" s="42">
        <f>E$10</f>
        <v>240761</v>
      </c>
      <c r="F30" s="42">
        <f>F$10</f>
        <v>215221.23517623401</v>
      </c>
      <c r="G30" s="42">
        <f>G$10</f>
        <v>171903</v>
      </c>
      <c r="H30" s="42">
        <f t="shared" ref="H30:J30" si="10">H$10</f>
        <v>169286.63359466099</v>
      </c>
      <c r="I30" s="42">
        <f t="shared" si="10"/>
        <v>308324</v>
      </c>
      <c r="J30" s="42">
        <f t="shared" si="10"/>
        <v>382111</v>
      </c>
      <c r="N30" s="47"/>
    </row>
    <row r="31" spans="1:14" ht="24.95" customHeight="1" x14ac:dyDescent="0.35">
      <c r="A31" s="538" t="s">
        <v>110</v>
      </c>
      <c r="B31" s="539"/>
      <c r="C31" s="540"/>
      <c r="D31" s="539"/>
      <c r="E31" s="539"/>
      <c r="F31" s="539"/>
      <c r="G31" s="539"/>
      <c r="H31" s="539"/>
      <c r="I31" s="539"/>
      <c r="J31" s="539"/>
      <c r="L31" s="95"/>
      <c r="N31" s="337"/>
    </row>
    <row r="32" spans="1:14" x14ac:dyDescent="0.25">
      <c r="A32" s="16" t="s">
        <v>106</v>
      </c>
      <c r="B32" s="16"/>
      <c r="C32" s="16"/>
      <c r="D32" s="42">
        <f>'RAB (DPP)'!C34</f>
        <v>2</v>
      </c>
      <c r="E32" s="42"/>
      <c r="F32" s="42"/>
      <c r="G32" s="42"/>
      <c r="H32" s="42"/>
      <c r="I32" s="42"/>
      <c r="J32" s="42"/>
      <c r="N32" s="337"/>
    </row>
    <row r="33" spans="1:14" x14ac:dyDescent="0.25">
      <c r="A33" s="16" t="s">
        <v>46</v>
      </c>
      <c r="B33" s="16"/>
      <c r="C33" s="16"/>
      <c r="D33" s="16"/>
      <c r="E33" s="41">
        <f t="shared" ref="E33:J33" si="11">D37</f>
        <v>0</v>
      </c>
      <c r="F33" s="42">
        <f t="shared" si="11"/>
        <v>240761</v>
      </c>
      <c r="G33" s="42">
        <f t="shared" si="11"/>
        <v>239863.61809090906</v>
      </c>
      <c r="H33" s="42">
        <f t="shared" si="11"/>
        <v>239082.66677619447</v>
      </c>
      <c r="I33" s="42">
        <f t="shared" si="11"/>
        <v>238171.87566466612</v>
      </c>
      <c r="J33" s="42">
        <f t="shared" si="11"/>
        <v>237126.24303979686</v>
      </c>
      <c r="N33" s="337"/>
    </row>
    <row r="34" spans="1:14" x14ac:dyDescent="0.25">
      <c r="A34" s="16" t="s">
        <v>107</v>
      </c>
      <c r="B34" s="16"/>
      <c r="C34" s="16"/>
      <c r="D34" s="16"/>
      <c r="E34" s="560">
        <f>'RAB (DPP)'!E36</f>
        <v>45</v>
      </c>
      <c r="F34" s="51">
        <f>E34-1</f>
        <v>44</v>
      </c>
      <c r="G34" s="42">
        <f t="shared" ref="G34:J34" si="12">F34-1</f>
        <v>43</v>
      </c>
      <c r="H34" s="42">
        <f t="shared" si="12"/>
        <v>42</v>
      </c>
      <c r="I34" s="42">
        <f t="shared" si="12"/>
        <v>41</v>
      </c>
      <c r="J34" s="42">
        <f t="shared" si="12"/>
        <v>40</v>
      </c>
      <c r="N34" s="337"/>
    </row>
    <row r="35" spans="1:14" x14ac:dyDescent="0.25">
      <c r="A35" s="16" t="s">
        <v>108</v>
      </c>
      <c r="B35" s="16"/>
      <c r="C35" s="16"/>
      <c r="D35" s="42"/>
      <c r="E35" s="42">
        <f>E33*E$29</f>
        <v>0</v>
      </c>
      <c r="F35" s="42">
        <f t="shared" ref="F35:J35" si="13">F33*F$29</f>
        <v>4574.4589999999771</v>
      </c>
      <c r="G35" s="42">
        <f t="shared" si="13"/>
        <v>4797.2723618181853</v>
      </c>
      <c r="H35" s="42">
        <f t="shared" si="13"/>
        <v>4781.6533355238935</v>
      </c>
      <c r="I35" s="42">
        <f t="shared" si="13"/>
        <v>4763.4375132933264</v>
      </c>
      <c r="J35" s="42">
        <f t="shared" si="13"/>
        <v>4742.5248607959411</v>
      </c>
      <c r="N35" s="337"/>
    </row>
    <row r="36" spans="1:14" x14ac:dyDescent="0.25">
      <c r="A36" s="16" t="s">
        <v>109</v>
      </c>
      <c r="B36" s="16"/>
      <c r="C36" s="16"/>
      <c r="D36" s="42"/>
      <c r="E36" s="41">
        <f>E33/E34</f>
        <v>0</v>
      </c>
      <c r="F36" s="42">
        <f t="shared" ref="F36:J36" si="14">F33/F34</f>
        <v>5471.840909090909</v>
      </c>
      <c r="G36" s="42">
        <f t="shared" si="14"/>
        <v>5578.2236765327689</v>
      </c>
      <c r="H36" s="42">
        <f t="shared" si="14"/>
        <v>5692.4444470522494</v>
      </c>
      <c r="I36" s="42">
        <f t="shared" si="14"/>
        <v>5809.0701381625886</v>
      </c>
      <c r="J36" s="42">
        <f t="shared" si="14"/>
        <v>5928.1560759949216</v>
      </c>
      <c r="N36" s="48"/>
    </row>
    <row r="37" spans="1:14" x14ac:dyDescent="0.25">
      <c r="A37" s="16" t="s">
        <v>48</v>
      </c>
      <c r="B37" s="16"/>
      <c r="C37" s="16"/>
      <c r="D37" s="42"/>
      <c r="E37" s="560">
        <f>E33+E35-E36+E10</f>
        <v>240761</v>
      </c>
      <c r="F37" s="51">
        <f>F33+F35-F36</f>
        <v>239863.61809090906</v>
      </c>
      <c r="G37" s="42">
        <f>G33+G35-G36</f>
        <v>239082.66677619447</v>
      </c>
      <c r="H37" s="42">
        <f t="shared" ref="H37:J37" si="15">H33+H35-H36</f>
        <v>238171.87566466612</v>
      </c>
      <c r="I37" s="42">
        <f t="shared" si="15"/>
        <v>237126.24303979686</v>
      </c>
      <c r="J37" s="42">
        <f t="shared" si="15"/>
        <v>235940.61182459787</v>
      </c>
      <c r="N37" s="47"/>
    </row>
    <row r="38" spans="1:14" ht="24.95" customHeight="1" x14ac:dyDescent="0.35">
      <c r="A38" s="538" t="s">
        <v>442</v>
      </c>
      <c r="B38" s="539"/>
      <c r="C38" s="540"/>
      <c r="D38" s="539"/>
      <c r="E38" s="539"/>
      <c r="F38" s="539"/>
      <c r="G38" s="539"/>
      <c r="H38" s="539"/>
      <c r="I38" s="539"/>
      <c r="J38" s="539"/>
      <c r="L38" s="95"/>
      <c r="N38" s="337"/>
    </row>
    <row r="39" spans="1:14" x14ac:dyDescent="0.25">
      <c r="A39" s="16" t="s">
        <v>106</v>
      </c>
      <c r="B39" s="16"/>
      <c r="C39" s="16"/>
      <c r="D39" s="42">
        <v>3</v>
      </c>
      <c r="E39" s="42"/>
      <c r="F39" s="41"/>
      <c r="G39" s="42"/>
      <c r="H39" s="42"/>
      <c r="I39" s="42"/>
      <c r="J39" s="42"/>
      <c r="N39" s="337"/>
    </row>
    <row r="40" spans="1:14" x14ac:dyDescent="0.25">
      <c r="A40" s="16" t="s">
        <v>46</v>
      </c>
      <c r="B40" s="16"/>
      <c r="C40" s="16"/>
      <c r="D40" s="42"/>
      <c r="E40" s="42"/>
      <c r="F40" s="561">
        <v>0</v>
      </c>
      <c r="G40" s="51">
        <f t="shared" ref="G40:J40" si="16">F44</f>
        <v>215221.23517623401</v>
      </c>
      <c r="H40" s="42">
        <f t="shared" si="16"/>
        <v>214634.26817120792</v>
      </c>
      <c r="I40" s="42">
        <f t="shared" si="16"/>
        <v>213935.45892599932</v>
      </c>
      <c r="J40" s="42">
        <f t="shared" si="16"/>
        <v>213120.46670151933</v>
      </c>
      <c r="N40" s="337"/>
    </row>
    <row r="41" spans="1:14" x14ac:dyDescent="0.25">
      <c r="A41" s="16" t="s">
        <v>107</v>
      </c>
      <c r="B41" s="16"/>
      <c r="C41" s="16"/>
      <c r="D41" s="42"/>
      <c r="E41" s="42"/>
      <c r="F41" s="560">
        <f>F11</f>
        <v>45</v>
      </c>
      <c r="G41" s="51">
        <f>F41-1</f>
        <v>44</v>
      </c>
      <c r="H41" s="42">
        <f t="shared" ref="H41:J41" si="17">G41-1</f>
        <v>43</v>
      </c>
      <c r="I41" s="42">
        <f t="shared" si="17"/>
        <v>42</v>
      </c>
      <c r="J41" s="42">
        <f t="shared" si="17"/>
        <v>41</v>
      </c>
      <c r="N41" s="337"/>
    </row>
    <row r="42" spans="1:14" x14ac:dyDescent="0.25">
      <c r="A42" s="16" t="s">
        <v>108</v>
      </c>
      <c r="B42" s="16"/>
      <c r="C42" s="16"/>
      <c r="D42" s="42"/>
      <c r="E42" s="42"/>
      <c r="F42" s="42">
        <f t="shared" ref="F42:J42" si="18">F40*F$29</f>
        <v>0</v>
      </c>
      <c r="G42" s="42">
        <f t="shared" si="18"/>
        <v>4304.4247035246844</v>
      </c>
      <c r="H42" s="42">
        <f t="shared" si="18"/>
        <v>4292.6853634241625</v>
      </c>
      <c r="I42" s="42">
        <f t="shared" si="18"/>
        <v>4278.70917851999</v>
      </c>
      <c r="J42" s="42">
        <f t="shared" si="18"/>
        <v>4262.4093340303907</v>
      </c>
      <c r="N42" s="337"/>
    </row>
    <row r="43" spans="1:14" x14ac:dyDescent="0.25">
      <c r="A43" s="16" t="s">
        <v>109</v>
      </c>
      <c r="B43" s="16"/>
      <c r="C43" s="16"/>
      <c r="D43" s="42"/>
      <c r="E43" s="42"/>
      <c r="F43" s="41">
        <f t="shared" ref="F43:J43" si="19">F40/F41</f>
        <v>0</v>
      </c>
      <c r="G43" s="42">
        <f>G40/G41</f>
        <v>4891.3917085507728</v>
      </c>
      <c r="H43" s="42">
        <f t="shared" si="19"/>
        <v>4991.4946086327427</v>
      </c>
      <c r="I43" s="42">
        <f t="shared" si="19"/>
        <v>5093.7014029999837</v>
      </c>
      <c r="J43" s="42">
        <f t="shared" si="19"/>
        <v>5198.0601634516906</v>
      </c>
      <c r="N43" s="48"/>
    </row>
    <row r="44" spans="1:14" x14ac:dyDescent="0.25">
      <c r="A44" s="16" t="s">
        <v>48</v>
      </c>
      <c r="B44" s="16"/>
      <c r="C44" s="16"/>
      <c r="D44" s="42"/>
      <c r="E44" s="42"/>
      <c r="F44" s="560">
        <f>F40+F42-F43+F30</f>
        <v>215221.23517623401</v>
      </c>
      <c r="G44" s="51">
        <f>G40+G42-G43</f>
        <v>214634.26817120792</v>
      </c>
      <c r="H44" s="42">
        <f t="shared" ref="H44:J44" si="20">H40+H42-H43</f>
        <v>213935.45892599932</v>
      </c>
      <c r="I44" s="42">
        <f t="shared" si="20"/>
        <v>213120.46670151933</v>
      </c>
      <c r="J44" s="42">
        <f t="shared" si="20"/>
        <v>212184.81587209803</v>
      </c>
      <c r="N44" s="47"/>
    </row>
    <row r="45" spans="1:14" ht="24.95" customHeight="1" x14ac:dyDescent="0.35">
      <c r="A45" s="538" t="s">
        <v>443</v>
      </c>
      <c r="B45" s="539"/>
      <c r="C45" s="540"/>
      <c r="D45" s="539"/>
      <c r="E45" s="539"/>
      <c r="F45" s="539"/>
      <c r="G45" s="539"/>
      <c r="H45" s="539"/>
      <c r="I45" s="539"/>
      <c r="J45" s="539"/>
      <c r="L45" s="95"/>
      <c r="N45" s="337"/>
    </row>
    <row r="46" spans="1:14" x14ac:dyDescent="0.25">
      <c r="A46" s="16" t="s">
        <v>106</v>
      </c>
      <c r="B46" s="16"/>
      <c r="C46" s="16"/>
      <c r="D46" s="42">
        <v>4</v>
      </c>
      <c r="E46" s="42"/>
      <c r="F46" s="42"/>
      <c r="G46" s="41"/>
      <c r="H46" s="42"/>
      <c r="I46" s="42"/>
      <c r="J46" s="42"/>
      <c r="N46" s="337"/>
    </row>
    <row r="47" spans="1:14" x14ac:dyDescent="0.25">
      <c r="A47" s="16" t="s">
        <v>46</v>
      </c>
      <c r="B47" s="16"/>
      <c r="C47" s="16"/>
      <c r="D47" s="42"/>
      <c r="E47" s="42"/>
      <c r="F47" s="42"/>
      <c r="G47" s="561">
        <v>0</v>
      </c>
      <c r="H47" s="51">
        <f>G51</f>
        <v>171903</v>
      </c>
      <c r="I47" s="42">
        <f t="shared" ref="I47:J47" si="21">H51</f>
        <v>171434.17363636364</v>
      </c>
      <c r="J47" s="42">
        <f t="shared" si="21"/>
        <v>170876.01586173364</v>
      </c>
      <c r="N47" s="337"/>
    </row>
    <row r="48" spans="1:14" x14ac:dyDescent="0.25">
      <c r="A48" s="16" t="s">
        <v>107</v>
      </c>
      <c r="B48" s="16"/>
      <c r="C48" s="16"/>
      <c r="D48" s="42"/>
      <c r="E48" s="42"/>
      <c r="F48" s="42"/>
      <c r="G48" s="560">
        <f>G11</f>
        <v>45</v>
      </c>
      <c r="H48" s="51">
        <f>G48-1</f>
        <v>44</v>
      </c>
      <c r="I48" s="42">
        <f t="shared" ref="I48:J48" si="22">H48-1</f>
        <v>43</v>
      </c>
      <c r="J48" s="42">
        <f t="shared" si="22"/>
        <v>42</v>
      </c>
      <c r="N48" s="337"/>
    </row>
    <row r="49" spans="1:14" x14ac:dyDescent="0.25">
      <c r="A49" s="16" t="s">
        <v>108</v>
      </c>
      <c r="B49" s="16"/>
      <c r="C49" s="16"/>
      <c r="D49" s="42"/>
      <c r="E49" s="42"/>
      <c r="F49" s="42"/>
      <c r="G49" s="42">
        <f t="shared" ref="G49:J49" si="23">G47*G$29</f>
        <v>0</v>
      </c>
      <c r="H49" s="42">
        <f t="shared" si="23"/>
        <v>3438.0600000000031</v>
      </c>
      <c r="I49" s="42">
        <f t="shared" si="23"/>
        <v>3428.6834727272758</v>
      </c>
      <c r="J49" s="42">
        <f t="shared" si="23"/>
        <v>3417.520317234676</v>
      </c>
      <c r="N49" s="337"/>
    </row>
    <row r="50" spans="1:14" x14ac:dyDescent="0.25">
      <c r="A50" s="16" t="s">
        <v>109</v>
      </c>
      <c r="B50" s="16"/>
      <c r="C50" s="16"/>
      <c r="D50" s="42"/>
      <c r="E50" s="42"/>
      <c r="F50" s="42"/>
      <c r="G50" s="41">
        <f t="shared" ref="G50:J50" si="24">G47/G48</f>
        <v>0</v>
      </c>
      <c r="H50" s="42">
        <f t="shared" si="24"/>
        <v>3906.8863636363635</v>
      </c>
      <c r="I50" s="42">
        <f t="shared" si="24"/>
        <v>3986.8412473572939</v>
      </c>
      <c r="J50" s="42">
        <f t="shared" si="24"/>
        <v>4068.4765681365152</v>
      </c>
      <c r="N50" s="48"/>
    </row>
    <row r="51" spans="1:14" x14ac:dyDescent="0.25">
      <c r="A51" s="16" t="s">
        <v>48</v>
      </c>
      <c r="B51" s="16"/>
      <c r="C51" s="16"/>
      <c r="D51" s="42"/>
      <c r="E51" s="42"/>
      <c r="F51" s="42"/>
      <c r="G51" s="560">
        <f>G47+G49-G50+G30</f>
        <v>171903</v>
      </c>
      <c r="H51" s="51">
        <f>H47+H49-H50</f>
        <v>171434.17363636364</v>
      </c>
      <c r="I51" s="42">
        <f t="shared" ref="I51:J51" si="25">I47+I49-I50</f>
        <v>170876.01586173364</v>
      </c>
      <c r="J51" s="42">
        <f t="shared" si="25"/>
        <v>170225.05961083181</v>
      </c>
      <c r="N51" s="47"/>
    </row>
    <row r="52" spans="1:14" ht="24.95" customHeight="1" x14ac:dyDescent="0.35">
      <c r="A52" s="538" t="s">
        <v>444</v>
      </c>
      <c r="B52" s="539"/>
      <c r="C52" s="540"/>
      <c r="D52" s="539"/>
      <c r="E52" s="539"/>
      <c r="F52" s="539"/>
      <c r="G52" s="539"/>
      <c r="H52" s="539"/>
      <c r="I52" s="539"/>
      <c r="J52" s="539"/>
      <c r="L52" s="95"/>
      <c r="N52" s="337"/>
    </row>
    <row r="53" spans="1:14" x14ac:dyDescent="0.25">
      <c r="A53" s="16" t="s">
        <v>106</v>
      </c>
      <c r="B53" s="16"/>
      <c r="C53" s="16"/>
      <c r="D53" s="42">
        <v>5</v>
      </c>
      <c r="E53" s="42"/>
      <c r="F53" s="42"/>
      <c r="G53" s="42"/>
      <c r="H53" s="41"/>
      <c r="I53" s="42"/>
      <c r="J53" s="42"/>
      <c r="N53" s="337"/>
    </row>
    <row r="54" spans="1:14" x14ac:dyDescent="0.25">
      <c r="A54" s="16" t="s">
        <v>46</v>
      </c>
      <c r="B54" s="16"/>
      <c r="C54" s="16"/>
      <c r="D54" s="42"/>
      <c r="E54" s="42"/>
      <c r="F54" s="42"/>
      <c r="G54" s="42"/>
      <c r="H54" s="561">
        <v>0</v>
      </c>
      <c r="I54" s="51">
        <f t="shared" ref="I54:J54" si="26">H58</f>
        <v>169286.63359466099</v>
      </c>
      <c r="J54" s="42">
        <f t="shared" si="26"/>
        <v>168824.94277576648</v>
      </c>
      <c r="N54" s="337"/>
    </row>
    <row r="55" spans="1:14" x14ac:dyDescent="0.25">
      <c r="A55" s="16" t="s">
        <v>107</v>
      </c>
      <c r="B55" s="16"/>
      <c r="C55" s="16"/>
      <c r="D55" s="42"/>
      <c r="E55" s="42"/>
      <c r="F55" s="42"/>
      <c r="G55" s="42"/>
      <c r="H55" s="560">
        <f>H11</f>
        <v>45</v>
      </c>
      <c r="I55" s="51">
        <f>H55-1</f>
        <v>44</v>
      </c>
      <c r="J55" s="42">
        <f>I55-1</f>
        <v>43</v>
      </c>
      <c r="N55" s="337"/>
    </row>
    <row r="56" spans="1:14" x14ac:dyDescent="0.25">
      <c r="A56" s="16" t="s">
        <v>108</v>
      </c>
      <c r="B56" s="16"/>
      <c r="C56" s="16"/>
      <c r="D56" s="42"/>
      <c r="E56" s="42"/>
      <c r="F56" s="42"/>
      <c r="G56" s="42"/>
      <c r="H56" s="42">
        <f t="shared" ref="H56:J56" si="27">H54*H$29</f>
        <v>0</v>
      </c>
      <c r="I56" s="42">
        <f t="shared" si="27"/>
        <v>3385.7326718932227</v>
      </c>
      <c r="J56" s="42">
        <f t="shared" si="27"/>
        <v>3376.4988555153327</v>
      </c>
      <c r="N56" s="337"/>
    </row>
    <row r="57" spans="1:14" x14ac:dyDescent="0.25">
      <c r="A57" s="16" t="s">
        <v>109</v>
      </c>
      <c r="B57" s="16"/>
      <c r="C57" s="16"/>
      <c r="D57" s="42"/>
      <c r="E57" s="42"/>
      <c r="F57" s="42"/>
      <c r="G57" s="42"/>
      <c r="H57" s="41">
        <f t="shared" ref="H57:J57" si="28">H54/H55</f>
        <v>0</v>
      </c>
      <c r="I57" s="42">
        <f t="shared" si="28"/>
        <v>3847.4234907877499</v>
      </c>
      <c r="J57" s="42">
        <f t="shared" si="28"/>
        <v>3926.1614599015461</v>
      </c>
      <c r="N57" s="48"/>
    </row>
    <row r="58" spans="1:14" x14ac:dyDescent="0.25">
      <c r="A58" s="16" t="s">
        <v>48</v>
      </c>
      <c r="B58" s="16"/>
      <c r="C58" s="16"/>
      <c r="D58" s="42"/>
      <c r="E58" s="42"/>
      <c r="F58" s="42"/>
      <c r="G58" s="42"/>
      <c r="H58" s="560">
        <f>H54+H56-H57+H30</f>
        <v>169286.63359466099</v>
      </c>
      <c r="I58" s="51">
        <f>I54+I56-I57</f>
        <v>168824.94277576648</v>
      </c>
      <c r="J58" s="42">
        <f>J54+J56-J57</f>
        <v>168275.28017138026</v>
      </c>
      <c r="N58" s="47"/>
    </row>
    <row r="59" spans="1:14" ht="24.95" customHeight="1" x14ac:dyDescent="0.35">
      <c r="A59" s="538" t="s">
        <v>445</v>
      </c>
      <c r="B59" s="539"/>
      <c r="C59" s="540"/>
      <c r="D59" s="539"/>
      <c r="E59" s="539"/>
      <c r="F59" s="539"/>
      <c r="G59" s="539"/>
      <c r="H59" s="539"/>
      <c r="I59" s="539"/>
      <c r="J59" s="539"/>
      <c r="L59" s="95"/>
      <c r="N59" s="337"/>
    </row>
    <row r="60" spans="1:14" x14ac:dyDescent="0.25">
      <c r="A60" s="16" t="s">
        <v>106</v>
      </c>
      <c r="B60" s="16"/>
      <c r="C60" s="16"/>
      <c r="D60" s="42">
        <v>6</v>
      </c>
      <c r="E60" s="42"/>
      <c r="F60" s="42"/>
      <c r="G60" s="42"/>
      <c r="H60" s="42"/>
      <c r="I60" s="41"/>
      <c r="J60" s="42"/>
      <c r="N60" s="337"/>
    </row>
    <row r="61" spans="1:14" x14ac:dyDescent="0.25">
      <c r="A61" s="16" t="s">
        <v>46</v>
      </c>
      <c r="B61" s="16"/>
      <c r="C61" s="16"/>
      <c r="D61" s="42"/>
      <c r="E61" s="42"/>
      <c r="F61" s="42"/>
      <c r="G61" s="42"/>
      <c r="H61" s="42"/>
      <c r="I61" s="561">
        <v>0</v>
      </c>
      <c r="J61" s="51">
        <f t="shared" ref="J61" si="29">I65</f>
        <v>308324</v>
      </c>
      <c r="N61" s="337"/>
    </row>
    <row r="62" spans="1:14" x14ac:dyDescent="0.25">
      <c r="A62" s="16" t="s">
        <v>107</v>
      </c>
      <c r="B62" s="16"/>
      <c r="C62" s="16"/>
      <c r="D62" s="42"/>
      <c r="E62" s="42"/>
      <c r="F62" s="42"/>
      <c r="G62" s="42"/>
      <c r="H62" s="42"/>
      <c r="I62" s="560">
        <f>I11</f>
        <v>45</v>
      </c>
      <c r="J62" s="51">
        <f>I62-1</f>
        <v>44</v>
      </c>
      <c r="N62" s="337"/>
    </row>
    <row r="63" spans="1:14" x14ac:dyDescent="0.25">
      <c r="A63" s="16" t="s">
        <v>108</v>
      </c>
      <c r="B63" s="16"/>
      <c r="C63" s="16"/>
      <c r="D63" s="42"/>
      <c r="E63" s="42"/>
      <c r="F63" s="42"/>
      <c r="G63" s="42"/>
      <c r="H63" s="42"/>
      <c r="I63" s="42">
        <f t="shared" ref="I63:J63" si="30">I61*I$29</f>
        <v>0</v>
      </c>
      <c r="J63" s="42">
        <f t="shared" si="30"/>
        <v>6166.4800000000059</v>
      </c>
      <c r="N63" s="337"/>
    </row>
    <row r="64" spans="1:14" x14ac:dyDescent="0.25">
      <c r="A64" s="16" t="s">
        <v>109</v>
      </c>
      <c r="B64" s="16"/>
      <c r="C64" s="16"/>
      <c r="D64" s="42"/>
      <c r="E64" s="42"/>
      <c r="F64" s="42"/>
      <c r="G64" s="42"/>
      <c r="H64" s="42"/>
      <c r="I64" s="41">
        <f t="shared" ref="I64:J64" si="31">I61/I62</f>
        <v>0</v>
      </c>
      <c r="J64" s="42">
        <f t="shared" si="31"/>
        <v>7007.363636363636</v>
      </c>
      <c r="N64" s="48"/>
    </row>
    <row r="65" spans="1:14" x14ac:dyDescent="0.25">
      <c r="A65" s="16" t="s">
        <v>48</v>
      </c>
      <c r="B65" s="16"/>
      <c r="C65" s="16"/>
      <c r="D65" s="42"/>
      <c r="E65" s="42"/>
      <c r="F65" s="42"/>
      <c r="G65" s="42"/>
      <c r="H65" s="42"/>
      <c r="I65" s="560">
        <f>I61+I63-I64+I30</f>
        <v>308324</v>
      </c>
      <c r="J65" s="51">
        <f>J61+J63-J64</f>
        <v>307483.11636363633</v>
      </c>
      <c r="N65" s="47"/>
    </row>
    <row r="66" spans="1:14" ht="24.95" customHeight="1" x14ac:dyDescent="0.35">
      <c r="A66" s="538" t="s">
        <v>422</v>
      </c>
      <c r="B66" s="539"/>
      <c r="C66" s="540"/>
      <c r="D66" s="539"/>
      <c r="E66" s="539"/>
      <c r="F66" s="539"/>
      <c r="G66" s="539"/>
      <c r="H66" s="539"/>
      <c r="I66" s="539"/>
      <c r="J66" s="539"/>
      <c r="L66" s="95"/>
      <c r="N66" s="337"/>
    </row>
    <row r="67" spans="1:14" x14ac:dyDescent="0.25">
      <c r="A67" s="16" t="s">
        <v>106</v>
      </c>
      <c r="B67" s="16"/>
      <c r="C67" s="16"/>
      <c r="D67" s="42">
        <v>7</v>
      </c>
      <c r="E67" s="42"/>
      <c r="F67" s="42"/>
      <c r="G67" s="42"/>
      <c r="H67" s="42"/>
      <c r="I67" s="42"/>
      <c r="J67" s="42"/>
      <c r="N67" s="337"/>
    </row>
    <row r="68" spans="1:14" x14ac:dyDescent="0.25">
      <c r="A68" s="16" t="s">
        <v>46</v>
      </c>
      <c r="B68" s="16"/>
      <c r="C68" s="16"/>
      <c r="D68" s="42"/>
      <c r="E68" s="42"/>
      <c r="F68" s="42"/>
      <c r="G68" s="42"/>
      <c r="H68" s="42"/>
      <c r="I68" s="42"/>
      <c r="J68" s="42"/>
      <c r="N68" s="337"/>
    </row>
    <row r="69" spans="1:14" x14ac:dyDescent="0.25">
      <c r="A69" s="16" t="s">
        <v>107</v>
      </c>
      <c r="B69" s="16"/>
      <c r="C69" s="16"/>
      <c r="D69" s="42"/>
      <c r="E69" s="42"/>
      <c r="F69" s="42"/>
      <c r="G69" s="42"/>
      <c r="H69" s="42"/>
      <c r="I69" s="42"/>
      <c r="J69" s="42">
        <f>J11</f>
        <v>45</v>
      </c>
      <c r="N69" s="337"/>
    </row>
    <row r="70" spans="1:14" x14ac:dyDescent="0.25">
      <c r="A70" s="16" t="s">
        <v>108</v>
      </c>
      <c r="B70" s="16"/>
      <c r="C70" s="16"/>
      <c r="D70" s="42"/>
      <c r="E70" s="42"/>
      <c r="F70" s="42"/>
      <c r="G70" s="42"/>
      <c r="H70" s="42"/>
      <c r="I70" s="42"/>
      <c r="J70" s="42">
        <f t="shared" ref="J70" si="32">J68*J$29</f>
        <v>0</v>
      </c>
      <c r="N70" s="337"/>
    </row>
    <row r="71" spans="1:14" x14ac:dyDescent="0.25">
      <c r="A71" s="16" t="s">
        <v>109</v>
      </c>
      <c r="B71" s="16"/>
      <c r="C71" s="16"/>
      <c r="D71" s="42"/>
      <c r="E71" s="42"/>
      <c r="F71" s="42"/>
      <c r="G71" s="42"/>
      <c r="H71" s="42"/>
      <c r="I71" s="42"/>
      <c r="J71" s="42">
        <f t="shared" ref="J71" si="33">J68/J69</f>
        <v>0</v>
      </c>
      <c r="N71" s="48"/>
    </row>
    <row r="72" spans="1:14" x14ac:dyDescent="0.25">
      <c r="A72" s="16" t="s">
        <v>48</v>
      </c>
      <c r="B72" s="16"/>
      <c r="C72" s="16"/>
      <c r="D72" s="42"/>
      <c r="E72" s="42"/>
      <c r="F72" s="42"/>
      <c r="G72" s="42"/>
      <c r="H72" s="42"/>
      <c r="I72" s="42"/>
      <c r="J72" s="42">
        <f>J68+J70-J71+J30</f>
        <v>382111</v>
      </c>
      <c r="N72" s="48"/>
    </row>
    <row r="73" spans="1:14" ht="15.75" x14ac:dyDescent="0.25">
      <c r="A73" s="16"/>
      <c r="B73" s="16"/>
      <c r="C73" s="16"/>
      <c r="D73" s="42"/>
      <c r="E73" s="41"/>
      <c r="F73" s="41"/>
      <c r="G73" s="41"/>
      <c r="H73" s="41"/>
      <c r="I73" s="41"/>
      <c r="J73" s="41"/>
      <c r="N73" s="622"/>
    </row>
    <row r="74" spans="1:14" ht="21" x14ac:dyDescent="0.35">
      <c r="A74" s="538" t="s">
        <v>111</v>
      </c>
      <c r="B74" s="539"/>
      <c r="C74" s="540"/>
      <c r="D74" s="539"/>
      <c r="E74" s="536"/>
      <c r="F74" s="536"/>
      <c r="G74" s="536"/>
      <c r="H74" s="536"/>
      <c r="I74" s="536"/>
      <c r="J74" s="536"/>
      <c r="L74" s="95"/>
      <c r="N74" s="49"/>
    </row>
    <row r="75" spans="1:14" ht="24.95" customHeight="1" x14ac:dyDescent="0.25">
      <c r="A75" s="16"/>
      <c r="B75" s="16"/>
      <c r="C75" s="16"/>
      <c r="D75" s="42"/>
      <c r="E75" s="42"/>
      <c r="F75" s="42"/>
      <c r="G75" s="42"/>
      <c r="H75" s="42"/>
      <c r="I75" s="42"/>
      <c r="J75" s="42"/>
      <c r="N75" s="46"/>
    </row>
    <row r="76" spans="1:14" x14ac:dyDescent="0.25">
      <c r="A76" s="16" t="s">
        <v>112</v>
      </c>
      <c r="B76" s="16"/>
      <c r="C76" s="16"/>
      <c r="D76" s="42">
        <f>D33+D40+D47+D54+D61+D68</f>
        <v>0</v>
      </c>
      <c r="E76" s="42">
        <f t="shared" ref="E76:J76" si="34">E33+E40+E47+E54+E61+E68</f>
        <v>0</v>
      </c>
      <c r="F76" s="42">
        <f>F33+F40+F47+F54+F61+F68</f>
        <v>240761</v>
      </c>
      <c r="G76" s="42">
        <f>G33+G40+G47+G54+G61+G68</f>
        <v>455084.85326714307</v>
      </c>
      <c r="H76" s="42">
        <f>H33+H40+H47+H54+H61+H68</f>
        <v>625619.93494740245</v>
      </c>
      <c r="I76" s="42">
        <f t="shared" si="34"/>
        <v>792828.14182169014</v>
      </c>
      <c r="J76" s="42">
        <f t="shared" si="34"/>
        <v>1098271.6683788165</v>
      </c>
      <c r="N76" s="46"/>
    </row>
    <row r="77" spans="1:14" x14ac:dyDescent="0.25">
      <c r="A77" s="16" t="s">
        <v>113</v>
      </c>
      <c r="B77" s="16"/>
      <c r="C77" s="16"/>
      <c r="D77" s="42">
        <f t="shared" ref="D77:J79" si="35">D35+D42+D49+D56+D63+D70</f>
        <v>0</v>
      </c>
      <c r="E77" s="42">
        <f t="shared" si="35"/>
        <v>0</v>
      </c>
      <c r="F77" s="42">
        <f t="shared" ref="F77:G79" si="36">F35+F42+F49+F56+F63+F70</f>
        <v>4574.4589999999771</v>
      </c>
      <c r="G77" s="42">
        <f t="shared" si="36"/>
        <v>9101.6970653428689</v>
      </c>
      <c r="H77" s="42">
        <f t="shared" si="35"/>
        <v>12512.39869894806</v>
      </c>
      <c r="I77" s="42">
        <f t="shared" si="35"/>
        <v>15856.562836433815</v>
      </c>
      <c r="J77" s="42">
        <f t="shared" si="35"/>
        <v>21965.433367576345</v>
      </c>
      <c r="N77" s="46"/>
    </row>
    <row r="78" spans="1:14" x14ac:dyDescent="0.25">
      <c r="A78" s="16" t="s">
        <v>114</v>
      </c>
      <c r="B78" s="16"/>
      <c r="C78" s="16"/>
      <c r="D78" s="42">
        <f t="shared" si="35"/>
        <v>0</v>
      </c>
      <c r="E78" s="42">
        <f t="shared" si="35"/>
        <v>0</v>
      </c>
      <c r="F78" s="42">
        <f t="shared" si="36"/>
        <v>5471.840909090909</v>
      </c>
      <c r="G78" s="42">
        <f t="shared" si="36"/>
        <v>10469.615385083542</v>
      </c>
      <c r="H78" s="42">
        <f t="shared" si="35"/>
        <v>14590.825419321356</v>
      </c>
      <c r="I78" s="42">
        <f t="shared" si="35"/>
        <v>18737.036279307616</v>
      </c>
      <c r="J78" s="42">
        <f t="shared" si="35"/>
        <v>26128.217903848308</v>
      </c>
      <c r="N78" s="46"/>
    </row>
    <row r="79" spans="1:14" x14ac:dyDescent="0.25">
      <c r="A79" s="359" t="s">
        <v>115</v>
      </c>
      <c r="B79" s="302"/>
      <c r="C79" s="628"/>
      <c r="D79" s="314">
        <f t="shared" si="35"/>
        <v>0</v>
      </c>
      <c r="E79" s="314">
        <f t="shared" si="35"/>
        <v>240761</v>
      </c>
      <c r="F79" s="314">
        <f t="shared" si="36"/>
        <v>455084.85326714307</v>
      </c>
      <c r="G79" s="314">
        <f t="shared" si="36"/>
        <v>625619.93494740245</v>
      </c>
      <c r="H79" s="314">
        <f t="shared" si="35"/>
        <v>792828.14182169014</v>
      </c>
      <c r="I79" s="314">
        <f t="shared" si="35"/>
        <v>1098271.6683788165</v>
      </c>
      <c r="J79" s="314">
        <f t="shared" si="35"/>
        <v>1476219.8838425442</v>
      </c>
    </row>
    <row r="80" spans="1:14" ht="21" x14ac:dyDescent="0.35">
      <c r="A80" s="40"/>
      <c r="B80" s="306"/>
      <c r="C80" s="629"/>
      <c r="D80" s="306"/>
      <c r="E80" s="306"/>
      <c r="F80" s="306"/>
      <c r="G80" s="306"/>
      <c r="H80" s="306"/>
      <c r="I80" s="630"/>
      <c r="J80" s="306"/>
      <c r="N80" s="631"/>
    </row>
    <row r="81" spans="1:14" ht="21" x14ac:dyDescent="0.35">
      <c r="A81" s="632" t="s">
        <v>116</v>
      </c>
      <c r="B81" s="126"/>
      <c r="C81" s="127"/>
      <c r="D81" s="128"/>
      <c r="E81" s="545"/>
      <c r="F81" s="545"/>
      <c r="G81" s="545"/>
      <c r="H81" s="545"/>
      <c r="I81" s="545"/>
      <c r="J81" s="545"/>
      <c r="L81" s="92"/>
      <c r="N81" s="44"/>
    </row>
    <row r="82" spans="1:14" x14ac:dyDescent="0.25">
      <c r="A82" s="16" t="s">
        <v>117</v>
      </c>
      <c r="B82" s="16"/>
      <c r="C82" s="16"/>
      <c r="D82" s="633">
        <f>C6</f>
        <v>2951716</v>
      </c>
      <c r="E82" s="51">
        <f t="shared" ref="E82:J82" si="37">E19+E76</f>
        <v>3075471</v>
      </c>
      <c r="F82" s="42">
        <f t="shared" si="37"/>
        <v>3239889.3733816077</v>
      </c>
      <c r="G82" s="42">
        <f t="shared" si="37"/>
        <v>3380694.849932902</v>
      </c>
      <c r="H82" s="42">
        <f t="shared" si="37"/>
        <v>3477109.5975969061</v>
      </c>
      <c r="I82" s="42">
        <f t="shared" si="37"/>
        <v>3566456.1839136863</v>
      </c>
      <c r="J82" s="42">
        <f t="shared" si="37"/>
        <v>3790202.9139334457</v>
      </c>
    </row>
    <row r="83" spans="1:14" x14ac:dyDescent="0.25">
      <c r="A83" s="16" t="s">
        <v>118</v>
      </c>
      <c r="B83" s="16"/>
      <c r="C83" s="16"/>
      <c r="D83" s="633">
        <v>0</v>
      </c>
      <c r="E83" s="51">
        <f t="shared" ref="E83:J85" si="38">E21+E77</f>
        <v>52047.634078279647</v>
      </c>
      <c r="F83" s="42">
        <f t="shared" si="38"/>
        <v>61292.396782279815</v>
      </c>
      <c r="G83" s="42">
        <f t="shared" si="38"/>
        <v>67331.502451005101</v>
      </c>
      <c r="H83" s="42">
        <f t="shared" si="38"/>
        <v>69256.802164011096</v>
      </c>
      <c r="I83" s="42">
        <f t="shared" si="38"/>
        <v>71040.723922864388</v>
      </c>
      <c r="J83" s="42">
        <f t="shared" si="38"/>
        <v>75512.633915298968</v>
      </c>
    </row>
    <row r="84" spans="1:14" x14ac:dyDescent="0.25">
      <c r="A84" s="16" t="s">
        <v>47</v>
      </c>
      <c r="B84" s="16"/>
      <c r="C84" s="16"/>
      <c r="D84" s="55">
        <f>C7</f>
        <v>108729</v>
      </c>
      <c r="E84" s="51">
        <f t="shared" si="38"/>
        <v>117620.26571313903</v>
      </c>
      <c r="F84" s="42">
        <f t="shared" si="38"/>
        <v>124733.53051899928</v>
      </c>
      <c r="G84" s="42">
        <f t="shared" si="38"/>
        <v>131625.63740101684</v>
      </c>
      <c r="H84" s="42">
        <f t="shared" si="38"/>
        <v>137778.84970818731</v>
      </c>
      <c r="I84" s="42">
        <f t="shared" si="38"/>
        <v>143971.63417472708</v>
      </c>
      <c r="J84" s="42">
        <f t="shared" si="38"/>
        <v>153421.58809319348</v>
      </c>
    </row>
    <row r="85" spans="1:14" x14ac:dyDescent="0.25">
      <c r="A85" s="16" t="s">
        <v>119</v>
      </c>
      <c r="B85" s="16"/>
      <c r="C85" s="16"/>
      <c r="D85" s="42">
        <f>D23+D79</f>
        <v>3075471</v>
      </c>
      <c r="E85" s="42">
        <f t="shared" si="38"/>
        <v>3239889.3733816077</v>
      </c>
      <c r="F85" s="42">
        <f t="shared" si="38"/>
        <v>3380694.849932902</v>
      </c>
      <c r="G85" s="42">
        <f t="shared" si="38"/>
        <v>3477109.5975969061</v>
      </c>
      <c r="H85" s="42">
        <f t="shared" si="38"/>
        <v>3566456.1839136863</v>
      </c>
      <c r="I85" s="42">
        <f t="shared" si="38"/>
        <v>3790202.9139334457</v>
      </c>
      <c r="J85" s="42">
        <f t="shared" si="38"/>
        <v>4082525.6728326054</v>
      </c>
      <c r="N85" s="611"/>
    </row>
    <row r="86" spans="1:14" ht="23.25" x14ac:dyDescent="0.35">
      <c r="A86" s="21" t="s">
        <v>120</v>
      </c>
      <c r="B86" s="16"/>
      <c r="C86" s="16"/>
      <c r="D86" s="153"/>
      <c r="E86" s="153">
        <f t="shared" ref="E86:J86" si="39">E82+E30+E83-E84-E20-E85</f>
        <v>0</v>
      </c>
      <c r="F86" s="153">
        <f t="shared" si="39"/>
        <v>0</v>
      </c>
      <c r="G86" s="153">
        <f t="shared" si="39"/>
        <v>0</v>
      </c>
      <c r="H86" s="153">
        <f t="shared" si="39"/>
        <v>0</v>
      </c>
      <c r="I86" s="153">
        <f t="shared" si="39"/>
        <v>0</v>
      </c>
      <c r="J86" s="153">
        <f t="shared" si="39"/>
        <v>0</v>
      </c>
      <c r="N86" s="549"/>
    </row>
    <row r="87" spans="1:14" ht="39.950000000000003" customHeight="1" x14ac:dyDescent="0.35">
      <c r="A87" s="546" t="s">
        <v>83</v>
      </c>
      <c r="B87" s="634"/>
      <c r="C87" s="635"/>
      <c r="D87" s="545"/>
      <c r="E87" s="545"/>
      <c r="F87" s="545"/>
      <c r="G87" s="545"/>
      <c r="H87" s="545"/>
      <c r="I87" s="545"/>
      <c r="J87" s="545"/>
      <c r="L87" s="92"/>
      <c r="N87" s="44"/>
    </row>
    <row r="88" spans="1:14" x14ac:dyDescent="0.25">
      <c r="A88" s="23"/>
      <c r="B88" s="547"/>
      <c r="C88" s="547"/>
      <c r="D88" s="45"/>
      <c r="E88" s="45"/>
      <c r="F88" s="45"/>
      <c r="G88" s="45"/>
      <c r="H88" s="45"/>
      <c r="I88" s="45"/>
      <c r="J88" s="45"/>
      <c r="N88" s="44"/>
    </row>
    <row r="89" spans="1:14" x14ac:dyDescent="0.25">
      <c r="A89" s="16"/>
      <c r="B89" s="16"/>
      <c r="C89" s="16"/>
      <c r="D89" s="157" t="str">
        <f>'Inputs (DPP)'!C5</f>
        <v>2018/19</v>
      </c>
      <c r="E89" s="157" t="str">
        <f>'Inputs (DPP)'!D5</f>
        <v>2019/20</v>
      </c>
      <c r="F89" s="157" t="str">
        <f>'Inputs (DPP)'!E5</f>
        <v>2020/21</v>
      </c>
      <c r="G89" s="157" t="str">
        <f>'Inputs (DPP)'!F5</f>
        <v>2021/22</v>
      </c>
      <c r="H89" s="157" t="str">
        <f>'Inputs (DPP)'!G5</f>
        <v>2022/23</v>
      </c>
      <c r="I89" s="157" t="str">
        <f>'Inputs (DPP)'!H5</f>
        <v>2023/24</v>
      </c>
      <c r="J89" s="157" t="str">
        <f>'Inputs (DPP)'!I5</f>
        <v>2024/25</v>
      </c>
      <c r="N89" s="50"/>
    </row>
    <row r="90" spans="1:14" x14ac:dyDescent="0.25">
      <c r="A90" s="16" t="s">
        <v>98</v>
      </c>
      <c r="B90" s="16"/>
      <c r="C90" s="16"/>
      <c r="D90" s="42">
        <f t="shared" ref="D90:J90" si="40">D18</f>
        <v>27.147458359775221</v>
      </c>
      <c r="E90" s="42">
        <f t="shared" si="40"/>
        <v>26.147458359775221</v>
      </c>
      <c r="F90" s="42">
        <f t="shared" si="40"/>
        <v>25.147458359775221</v>
      </c>
      <c r="G90" s="42">
        <f t="shared" si="40"/>
        <v>24.147458359775221</v>
      </c>
      <c r="H90" s="42">
        <f t="shared" si="40"/>
        <v>23.147458359775221</v>
      </c>
      <c r="I90" s="42">
        <f t="shared" si="40"/>
        <v>22.147458359775221</v>
      </c>
      <c r="J90" s="42">
        <f t="shared" si="40"/>
        <v>21.147458359775221</v>
      </c>
    </row>
    <row r="91" spans="1:14" x14ac:dyDescent="0.25">
      <c r="A91" s="16" t="s">
        <v>47</v>
      </c>
      <c r="B91" s="16"/>
      <c r="C91" s="16"/>
      <c r="D91" s="42">
        <f t="shared" ref="D91:J91" si="41">D84</f>
        <v>108729</v>
      </c>
      <c r="E91" s="42">
        <f t="shared" si="41"/>
        <v>117620.26571313903</v>
      </c>
      <c r="F91" s="42">
        <f>F84</f>
        <v>124733.53051899928</v>
      </c>
      <c r="G91" s="42">
        <f t="shared" si="41"/>
        <v>131625.63740101684</v>
      </c>
      <c r="H91" s="42">
        <f>H84</f>
        <v>137778.84970818731</v>
      </c>
      <c r="I91" s="42">
        <f t="shared" si="41"/>
        <v>143971.63417472708</v>
      </c>
      <c r="J91" s="42">
        <f t="shared" si="41"/>
        <v>153421.58809319348</v>
      </c>
      <c r="N91" s="50"/>
    </row>
    <row r="92" spans="1:14" x14ac:dyDescent="0.25">
      <c r="A92" s="16" t="s">
        <v>117</v>
      </c>
      <c r="B92" s="16"/>
      <c r="C92" s="16"/>
      <c r="D92" s="42">
        <f>D82</f>
        <v>2951716</v>
      </c>
      <c r="E92" s="42">
        <f t="shared" ref="E92:J93" si="42">E82</f>
        <v>3075471</v>
      </c>
      <c r="F92" s="42">
        <f>F82</f>
        <v>3239889.3733816077</v>
      </c>
      <c r="G92" s="42">
        <f t="shared" si="42"/>
        <v>3380694.849932902</v>
      </c>
      <c r="H92" s="42">
        <f t="shared" si="42"/>
        <v>3477109.5975969061</v>
      </c>
      <c r="I92" s="42">
        <f t="shared" si="42"/>
        <v>3566456.1839136863</v>
      </c>
      <c r="J92" s="42">
        <f t="shared" si="42"/>
        <v>3790202.9139334457</v>
      </c>
      <c r="N92" s="50"/>
    </row>
    <row r="93" spans="1:14" x14ac:dyDescent="0.25">
      <c r="A93" s="16" t="s">
        <v>118</v>
      </c>
      <c r="B93" s="16"/>
      <c r="C93" s="16"/>
      <c r="D93" s="42">
        <f>D83</f>
        <v>0</v>
      </c>
      <c r="E93" s="42">
        <f t="shared" si="42"/>
        <v>52047.634078279647</v>
      </c>
      <c r="F93" s="42">
        <f t="shared" si="42"/>
        <v>61292.396782279815</v>
      </c>
      <c r="G93" s="42">
        <f>G83</f>
        <v>67331.502451005101</v>
      </c>
      <c r="H93" s="42">
        <f t="shared" si="42"/>
        <v>69256.802164011096</v>
      </c>
      <c r="I93" s="42">
        <f t="shared" si="42"/>
        <v>71040.723922864388</v>
      </c>
      <c r="J93" s="42">
        <f t="shared" si="42"/>
        <v>75512.633915298968</v>
      </c>
      <c r="N93" s="50"/>
    </row>
    <row r="94" spans="1:14" x14ac:dyDescent="0.25">
      <c r="A94" s="16" t="s">
        <v>119</v>
      </c>
      <c r="B94" s="16"/>
      <c r="C94" s="16"/>
      <c r="D94" s="42">
        <f>D85</f>
        <v>3075471</v>
      </c>
      <c r="E94" s="42">
        <f t="shared" ref="E94:J94" si="43">E85</f>
        <v>3239889.3733816077</v>
      </c>
      <c r="F94" s="42">
        <f>F85</f>
        <v>3380694.849932902</v>
      </c>
      <c r="G94" s="42">
        <f t="shared" si="43"/>
        <v>3477109.5975969061</v>
      </c>
      <c r="H94" s="42">
        <f t="shared" si="43"/>
        <v>3566456.1839136863</v>
      </c>
      <c r="I94" s="42">
        <f t="shared" si="43"/>
        <v>3790202.9139334457</v>
      </c>
      <c r="J94" s="42">
        <f t="shared" si="43"/>
        <v>4082525.6728326054</v>
      </c>
    </row>
    <row r="95" spans="1:14" ht="15" customHeight="1" x14ac:dyDescent="0.25">
      <c r="A95" s="16" t="s">
        <v>54</v>
      </c>
      <c r="B95" s="16"/>
      <c r="C95" s="16"/>
      <c r="D95" s="42">
        <f t="shared" ref="D95:J95" si="44">$C$12*D92/$D$92</f>
        <v>3983.6873940243322</v>
      </c>
      <c r="E95" s="42">
        <f t="shared" si="44"/>
        <v>4150.7093004162352</v>
      </c>
      <c r="F95" s="42">
        <f t="shared" si="44"/>
        <v>4372.6112047275901</v>
      </c>
      <c r="G95" s="42">
        <f t="shared" si="44"/>
        <v>4562.6447316478561</v>
      </c>
      <c r="H95" s="42">
        <f t="shared" si="44"/>
        <v>4692.767756649966</v>
      </c>
      <c r="I95" s="42">
        <f t="shared" si="44"/>
        <v>4813.3514678231495</v>
      </c>
      <c r="J95" s="42">
        <f t="shared" si="44"/>
        <v>5115.3239569900888</v>
      </c>
    </row>
  </sheetData>
  <pageMargins left="0.25" right="0.25" top="0.75" bottom="0.75" header="0.3" footer="0.3"/>
  <pageSetup paperSize="9" scale="63" fitToHeight="0" orientation="portrait" r:id="rId1"/>
  <rowBreaks count="1" manualBreakCount="1">
    <brk id="6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0375-5BC7-4551-9FF1-96F14F03FC91}">
  <sheetPr codeName="Sheet19">
    <pageSetUpPr fitToPage="1"/>
  </sheetPr>
  <dimension ref="A1:M110"/>
  <sheetViews>
    <sheetView showGridLines="0" view="pageBreakPreview" zoomScaleNormal="100" zoomScaleSheetLayoutView="100" workbookViewId="0"/>
  </sheetViews>
  <sheetFormatPr defaultColWidth="9.140625" defaultRowHeight="15" customHeight="1" x14ac:dyDescent="0.25"/>
  <cols>
    <col min="1" max="1" width="55.140625" customWidth="1"/>
    <col min="2" max="2" width="12.5703125" customWidth="1"/>
    <col min="3" max="3" width="12" customWidth="1"/>
    <col min="4" max="10" width="11.85546875" customWidth="1"/>
    <col min="11" max="11" width="2.85546875" customWidth="1"/>
    <col min="12" max="12" width="41.140625" bestFit="1" customWidth="1"/>
    <col min="13" max="13" width="3.85546875" style="1" customWidth="1"/>
    <col min="14" max="14" width="3.85546875" customWidth="1"/>
  </cols>
  <sheetData>
    <row r="1" spans="1:13" s="97" customFormat="1" ht="15" customHeight="1" x14ac:dyDescent="0.25">
      <c r="A1" s="97" t="s">
        <v>553</v>
      </c>
      <c r="M1" s="1"/>
    </row>
    <row r="2" spans="1:13" s="92" customFormat="1" ht="39.950000000000003" customHeight="1" x14ac:dyDescent="0.35">
      <c r="A2" s="514" t="s">
        <v>387</v>
      </c>
      <c r="J2" s="516" t="str">
        <f>EDB_Name</f>
        <v>Vector Lines</v>
      </c>
      <c r="M2" s="1"/>
    </row>
    <row r="3" spans="1:13" ht="20.100000000000001" customHeight="1" x14ac:dyDescent="0.25">
      <c r="A3" s="517" t="s">
        <v>121</v>
      </c>
      <c r="B3" s="486"/>
    </row>
    <row r="4" spans="1:13" ht="39.950000000000003" customHeight="1" x14ac:dyDescent="0.25"/>
    <row r="5" spans="1:13" s="92" customFormat="1" ht="23.25" x14ac:dyDescent="0.35">
      <c r="A5" s="487" t="s">
        <v>12</v>
      </c>
      <c r="B5" s="224"/>
      <c r="C5" s="225"/>
      <c r="D5" s="226"/>
      <c r="E5" s="226"/>
      <c r="F5" s="226"/>
      <c r="G5" s="226"/>
      <c r="H5" s="226"/>
      <c r="I5" s="226"/>
      <c r="J5" s="226"/>
      <c r="M5" s="1"/>
    </row>
    <row r="6" spans="1:13" s="1" customFormat="1" ht="23.25" x14ac:dyDescent="0.35">
      <c r="A6" s="550"/>
      <c r="B6" s="551" t="s">
        <v>122</v>
      </c>
      <c r="C6" s="551"/>
      <c r="D6" s="223" t="s">
        <v>424</v>
      </c>
      <c r="E6" s="176" t="s">
        <v>425</v>
      </c>
      <c r="F6" s="176" t="s">
        <v>426</v>
      </c>
      <c r="G6" s="176" t="s">
        <v>427</v>
      </c>
      <c r="H6" s="176" t="s">
        <v>428</v>
      </c>
      <c r="I6" s="176" t="s">
        <v>319</v>
      </c>
      <c r="J6" s="176" t="s">
        <v>320</v>
      </c>
    </row>
    <row r="7" spans="1:13" x14ac:dyDescent="0.25">
      <c r="A7" s="467" t="s">
        <v>32</v>
      </c>
      <c r="B7" s="467" t="s">
        <v>70</v>
      </c>
      <c r="C7" s="467"/>
      <c r="D7" s="56">
        <f>'EDB data (update)'!B22</f>
        <v>1</v>
      </c>
      <c r="E7" s="42">
        <f>'EDB data (update)'!C22</f>
        <v>2</v>
      </c>
      <c r="F7" s="42">
        <f>'EDB data (update)'!D22</f>
        <v>3</v>
      </c>
      <c r="G7" s="42">
        <f>'EDB data (update)'!E22</f>
        <v>4</v>
      </c>
      <c r="H7" s="42">
        <f>'EDB data (update)'!F22</f>
        <v>5</v>
      </c>
      <c r="I7" s="42">
        <f>'EDB data (update)'!G22</f>
        <v>6</v>
      </c>
      <c r="J7" s="42">
        <f>'EDB data (update)'!H22</f>
        <v>7</v>
      </c>
    </row>
    <row r="8" spans="1:13" x14ac:dyDescent="0.25">
      <c r="A8" s="467" t="s">
        <v>123</v>
      </c>
      <c r="B8" s="467" t="s">
        <v>70</v>
      </c>
      <c r="C8" s="467"/>
      <c r="D8" s="154">
        <f>'EDB data (update)'!B26</f>
        <v>0.28000000000000003</v>
      </c>
      <c r="E8" s="161">
        <f>'EDB data (update)'!C26</f>
        <v>0.28000000000000003</v>
      </c>
      <c r="F8" s="161">
        <f>'EDB data (update)'!D26</f>
        <v>0.28000000000000003</v>
      </c>
      <c r="G8" s="161">
        <f>'EDB data (update)'!E26</f>
        <v>0.28000000000000003</v>
      </c>
      <c r="H8" s="161">
        <f>'EDB data (update)'!F26</f>
        <v>0.28000000000000003</v>
      </c>
      <c r="I8" s="161">
        <f>'EDB data (update)'!G26</f>
        <v>0.28000000000000003</v>
      </c>
      <c r="J8" s="151">
        <f>'EDB data (update)'!H26</f>
        <v>0.28000000000000003</v>
      </c>
    </row>
    <row r="9" spans="1:13" x14ac:dyDescent="0.25">
      <c r="A9" s="467" t="s">
        <v>57</v>
      </c>
      <c r="B9" s="467" t="s">
        <v>70</v>
      </c>
      <c r="C9" s="467"/>
      <c r="D9" s="56">
        <f>'EDB data (update)'!$B52</f>
        <v>203460</v>
      </c>
      <c r="E9" s="51">
        <f>'EDB data (update)'!$B53</f>
        <v>240761</v>
      </c>
      <c r="F9" s="51">
        <f>'EDB data (update)'!$B54</f>
        <v>215221.23517623401</v>
      </c>
      <c r="G9" s="51">
        <f>'EDB data (update)'!$B55</f>
        <v>171903</v>
      </c>
      <c r="H9" s="51">
        <f>'EDB data (update)'!$B56</f>
        <v>169286.63359466099</v>
      </c>
      <c r="I9" s="552">
        <f>'EDB data (update)'!$B57</f>
        <v>308324</v>
      </c>
      <c r="J9" s="51">
        <f>'EDB data (update)'!$B58</f>
        <v>382111</v>
      </c>
    </row>
    <row r="10" spans="1:13" x14ac:dyDescent="0.25">
      <c r="A10" s="467" t="s">
        <v>96</v>
      </c>
      <c r="B10" s="467" t="s">
        <v>70</v>
      </c>
      <c r="C10" s="467"/>
      <c r="D10" s="56">
        <f>'EDB data (update)'!B13</f>
        <v>44</v>
      </c>
      <c r="E10" s="151"/>
      <c r="F10" s="151"/>
      <c r="G10" s="151"/>
      <c r="H10" s="151"/>
      <c r="I10" s="151"/>
      <c r="J10" s="151"/>
    </row>
    <row r="11" spans="1:13" x14ac:dyDescent="0.25">
      <c r="A11" s="467" t="s">
        <v>53</v>
      </c>
      <c r="B11" s="467" t="s">
        <v>70</v>
      </c>
      <c r="C11" s="467"/>
      <c r="D11" s="53">
        <f>'EDB data (update)'!B37</f>
        <v>34300.677419354841</v>
      </c>
      <c r="E11" s="41"/>
      <c r="F11" s="41"/>
      <c r="G11" s="41"/>
      <c r="H11" s="41"/>
      <c r="I11" s="41"/>
      <c r="J11" s="42"/>
    </row>
    <row r="12" spans="1:13" x14ac:dyDescent="0.25">
      <c r="A12" s="467" t="s">
        <v>60</v>
      </c>
      <c r="B12" s="467" t="s">
        <v>70</v>
      </c>
      <c r="C12" s="467"/>
      <c r="D12" s="56">
        <f>'EDB data (update)'!$B61</f>
        <v>7412</v>
      </c>
      <c r="E12" s="51">
        <f>'EDB data (update)'!$B62</f>
        <v>10769.994983532757</v>
      </c>
      <c r="F12" s="51">
        <f>'EDB data (update)'!$B63</f>
        <v>10974.62488821988</v>
      </c>
      <c r="G12" s="51">
        <f>'EDB data (update)'!$B64</f>
        <v>11194.117385984278</v>
      </c>
      <c r="H12" s="51">
        <f>'EDB data (update)'!$B65</f>
        <v>11417.999733703964</v>
      </c>
      <c r="I12" s="552">
        <f>'EDB data (update)'!$B66</f>
        <v>11646.359728378044</v>
      </c>
      <c r="J12" s="51">
        <f>'EDB data (update)'!$B67</f>
        <v>11879.286922945606</v>
      </c>
    </row>
    <row r="13" spans="1:13" x14ac:dyDescent="0.25">
      <c r="A13" s="467" t="s">
        <v>49</v>
      </c>
      <c r="B13" s="467" t="s">
        <v>70</v>
      </c>
      <c r="C13" s="467"/>
      <c r="D13" s="56">
        <f>'EDB data (update)'!B33</f>
        <v>2695210</v>
      </c>
      <c r="E13" s="161"/>
      <c r="F13" s="161"/>
      <c r="G13" s="161"/>
      <c r="H13" s="161"/>
      <c r="I13" s="161"/>
      <c r="J13" s="161"/>
    </row>
    <row r="14" spans="1:13" x14ac:dyDescent="0.25">
      <c r="A14" s="467" t="s">
        <v>50</v>
      </c>
      <c r="B14" s="467" t="s">
        <v>70</v>
      </c>
      <c r="C14" s="467"/>
      <c r="D14" s="56">
        <f>'EDB data (update)'!B34</f>
        <v>99210</v>
      </c>
      <c r="E14" s="37"/>
      <c r="F14" s="37"/>
      <c r="G14" s="37"/>
      <c r="H14" s="37"/>
      <c r="I14" s="37"/>
      <c r="J14" s="37"/>
    </row>
    <row r="15" spans="1:13" x14ac:dyDescent="0.25">
      <c r="A15" s="467" t="s">
        <v>51</v>
      </c>
      <c r="B15" s="467" t="s">
        <v>70</v>
      </c>
      <c r="C15" s="467"/>
      <c r="D15" s="56">
        <f>'EDB data (update)'!B35</f>
        <v>103486</v>
      </c>
      <c r="E15" s="1"/>
      <c r="F15" s="1"/>
      <c r="G15" s="1"/>
      <c r="H15" s="1"/>
      <c r="I15" s="1"/>
      <c r="J15" s="1"/>
    </row>
    <row r="16" spans="1:13" x14ac:dyDescent="0.25">
      <c r="A16" s="467" t="s">
        <v>52</v>
      </c>
      <c r="B16" s="467" t="s">
        <v>70</v>
      </c>
      <c r="C16" s="467"/>
      <c r="D16" s="56">
        <f>'EDB data (update)'!B36</f>
        <v>1224826</v>
      </c>
      <c r="E16" s="1"/>
      <c r="F16" s="1"/>
      <c r="G16" s="1"/>
      <c r="H16" s="1"/>
      <c r="I16" s="1"/>
      <c r="J16" s="1"/>
    </row>
    <row r="17" spans="1:13" x14ac:dyDescent="0.25">
      <c r="A17" s="467" t="s">
        <v>55</v>
      </c>
      <c r="B17" s="467" t="s">
        <v>70</v>
      </c>
      <c r="C17" s="467"/>
      <c r="D17" s="56">
        <f>'EDB data (update)'!B39</f>
        <v>-83664</v>
      </c>
      <c r="E17" s="1"/>
      <c r="F17" s="1"/>
      <c r="G17" s="1"/>
      <c r="H17" s="1"/>
      <c r="I17" s="1"/>
      <c r="J17" s="1"/>
    </row>
    <row r="18" spans="1:13" x14ac:dyDescent="0.25">
      <c r="A18" s="467" t="s">
        <v>13</v>
      </c>
      <c r="B18" s="467" t="s">
        <v>70</v>
      </c>
      <c r="C18" s="467"/>
      <c r="D18" s="155">
        <f>'EDB data (update)'!B11</f>
        <v>2.92E-2</v>
      </c>
      <c r="E18" s="1"/>
      <c r="F18" s="1"/>
      <c r="G18" s="1"/>
      <c r="H18" s="1"/>
      <c r="I18" s="1"/>
      <c r="J18" s="1"/>
    </row>
    <row r="19" spans="1:13" x14ac:dyDescent="0.25">
      <c r="A19" s="467" t="s">
        <v>42</v>
      </c>
      <c r="B19" s="467" t="s">
        <v>70</v>
      </c>
      <c r="C19" s="467"/>
      <c r="D19" s="155">
        <f>'EDB data (update)'!B12</f>
        <v>0.42</v>
      </c>
      <c r="E19" s="1"/>
      <c r="F19" s="1"/>
      <c r="G19" s="1"/>
      <c r="H19" s="1"/>
      <c r="I19" s="1"/>
      <c r="J19" s="1"/>
    </row>
    <row r="20" spans="1:13" x14ac:dyDescent="0.25">
      <c r="A20" s="467" t="s">
        <v>98</v>
      </c>
      <c r="B20" s="467" t="s">
        <v>124</v>
      </c>
      <c r="C20" s="467"/>
      <c r="D20" s="56"/>
      <c r="E20" s="168">
        <f>'RAB (update)'!E90</f>
        <v>26.147458359775221</v>
      </c>
      <c r="F20" s="168">
        <f>'RAB (update)'!F90</f>
        <v>25.147458359775221</v>
      </c>
      <c r="G20" s="168">
        <f>'RAB (update)'!G90</f>
        <v>24.147458359775221</v>
      </c>
      <c r="H20" s="168">
        <f>'RAB (update)'!H90</f>
        <v>23.147458359775221</v>
      </c>
      <c r="I20" s="168">
        <f>'RAB (update)'!I90</f>
        <v>22.147458359775221</v>
      </c>
      <c r="J20" s="168">
        <f>'RAB (update)'!J90</f>
        <v>21.147458359775221</v>
      </c>
    </row>
    <row r="21" spans="1:13" x14ac:dyDescent="0.25">
      <c r="A21" s="467" t="s">
        <v>47</v>
      </c>
      <c r="B21" s="467" t="s">
        <v>124</v>
      </c>
      <c r="C21" s="467"/>
      <c r="D21" s="56">
        <f>'RAB (update)'!D91</f>
        <v>108729</v>
      </c>
      <c r="E21" s="42">
        <f>'RAB (update)'!E91</f>
        <v>117620.26571313903</v>
      </c>
      <c r="F21" s="42">
        <f>'RAB (update)'!F91</f>
        <v>124733.53051899928</v>
      </c>
      <c r="G21" s="42">
        <f>'RAB (update)'!G91</f>
        <v>131625.63740101684</v>
      </c>
      <c r="H21" s="42">
        <f>'RAB (update)'!H91</f>
        <v>137778.84970818731</v>
      </c>
      <c r="I21" s="42">
        <f>'RAB (update)'!I91</f>
        <v>143971.63417472708</v>
      </c>
      <c r="J21" s="42">
        <f>'RAB (update)'!J91</f>
        <v>153421.58809319348</v>
      </c>
    </row>
    <row r="22" spans="1:13" x14ac:dyDescent="0.25">
      <c r="A22" s="467" t="s">
        <v>54</v>
      </c>
      <c r="B22" s="467" t="s">
        <v>124</v>
      </c>
      <c r="C22" s="467"/>
      <c r="D22" s="56">
        <f>'RAB (update)'!D95</f>
        <v>3983.6873940243322</v>
      </c>
      <c r="E22" s="42">
        <f>'RAB (update)'!E95</f>
        <v>4150.7093004162352</v>
      </c>
      <c r="F22" s="42">
        <f>'RAB (update)'!F95</f>
        <v>4372.6112047275901</v>
      </c>
      <c r="G22" s="42">
        <f>'RAB (update)'!G95</f>
        <v>4562.6447316478561</v>
      </c>
      <c r="H22" s="42">
        <f>'RAB (update)'!H95</f>
        <v>4692.767756649966</v>
      </c>
      <c r="I22" s="42">
        <f>'RAB (update)'!I95</f>
        <v>4813.3514678231495</v>
      </c>
      <c r="J22" s="42">
        <f>'RAB (update)'!J95</f>
        <v>5115.3239569900888</v>
      </c>
    </row>
    <row r="23" spans="1:13" x14ac:dyDescent="0.25">
      <c r="A23" s="467" t="s">
        <v>117</v>
      </c>
      <c r="B23" s="467" t="s">
        <v>124</v>
      </c>
      <c r="C23" s="467"/>
      <c r="D23" s="56">
        <f>'RAB (update)'!D92</f>
        <v>2951716</v>
      </c>
      <c r="E23" s="42">
        <f>'RAB (update)'!E92</f>
        <v>3075471</v>
      </c>
      <c r="F23" s="42">
        <f>'RAB (update)'!F92</f>
        <v>3239889.3733816077</v>
      </c>
      <c r="G23" s="42">
        <f>'RAB (update)'!G92</f>
        <v>3380694.849932902</v>
      </c>
      <c r="H23" s="42">
        <f>'RAB (update)'!H92</f>
        <v>3477109.5975969061</v>
      </c>
      <c r="I23" s="42">
        <f>'RAB (update)'!I92</f>
        <v>3566456.1839136863</v>
      </c>
      <c r="J23" s="42">
        <f>'RAB (update)'!J92</f>
        <v>3790202.9139334457</v>
      </c>
    </row>
    <row r="24" spans="1:13" ht="14.45" customHeight="1" x14ac:dyDescent="0.25">
      <c r="A24" s="235" t="s">
        <v>96</v>
      </c>
      <c r="B24" s="60"/>
      <c r="C24" s="60"/>
      <c r="D24" s="53"/>
      <c r="E24" s="41"/>
      <c r="F24" s="41">
        <f>'EDB data (update)'!D27</f>
        <v>45</v>
      </c>
      <c r="G24" s="41">
        <f>'EDB data (update)'!E27</f>
        <v>45</v>
      </c>
      <c r="H24" s="41">
        <f>'EDB data (update)'!F27</f>
        <v>45</v>
      </c>
      <c r="I24" s="41">
        <f>'EDB data (update)'!G27</f>
        <v>45</v>
      </c>
      <c r="J24" s="41">
        <f>'EDB data (update)'!H27</f>
        <v>45</v>
      </c>
    </row>
    <row r="25" spans="1:13" s="92" customFormat="1" ht="35.1" customHeight="1" x14ac:dyDescent="0.35">
      <c r="A25" s="487" t="s">
        <v>71</v>
      </c>
      <c r="B25" s="524"/>
      <c r="C25" s="525"/>
      <c r="D25" s="524"/>
      <c r="E25" s="524"/>
      <c r="F25" s="524"/>
      <c r="G25" s="524"/>
      <c r="H25" s="524"/>
      <c r="I25" s="524"/>
      <c r="J25" s="524"/>
      <c r="M25" s="1"/>
    </row>
    <row r="26" spans="1:13" s="95" customFormat="1" ht="21" x14ac:dyDescent="0.35">
      <c r="A26" s="636" t="s">
        <v>126</v>
      </c>
      <c r="B26" s="177"/>
      <c r="C26" s="178"/>
      <c r="D26" s="179"/>
      <c r="E26" s="179"/>
      <c r="F26" s="179"/>
      <c r="G26" s="179"/>
      <c r="H26" s="179"/>
      <c r="I26" s="179"/>
      <c r="J26" s="179"/>
      <c r="M26" s="1"/>
    </row>
    <row r="27" spans="1:13" ht="30" x14ac:dyDescent="0.25">
      <c r="A27" s="175"/>
      <c r="B27" s="175"/>
      <c r="C27" s="183" t="s">
        <v>582</v>
      </c>
      <c r="D27" s="176" t="str">
        <f>D6</f>
        <v>2018/19</v>
      </c>
      <c r="E27" s="176" t="str">
        <f t="shared" ref="E27:J27" si="0">E6</f>
        <v>2019/20</v>
      </c>
      <c r="F27" s="176" t="str">
        <f t="shared" si="0"/>
        <v>2020/21</v>
      </c>
      <c r="G27" s="176" t="str">
        <f t="shared" si="0"/>
        <v>2021/22</v>
      </c>
      <c r="H27" s="176" t="str">
        <f t="shared" si="0"/>
        <v>2022/23</v>
      </c>
      <c r="I27" s="176" t="str">
        <f t="shared" si="0"/>
        <v>2023/24</v>
      </c>
      <c r="J27" s="176" t="str">
        <f t="shared" si="0"/>
        <v>2024/25</v>
      </c>
      <c r="K27" s="1"/>
      <c r="L27" s="1"/>
    </row>
    <row r="28" spans="1:13" s="1" customFormat="1" x14ac:dyDescent="0.25">
      <c r="A28" s="174" t="s">
        <v>105</v>
      </c>
      <c r="B28" s="60"/>
      <c r="C28" s="60"/>
      <c r="D28" s="41">
        <f t="shared" ref="D28:J28" si="1">D9</f>
        <v>203460</v>
      </c>
      <c r="E28" s="41">
        <f t="shared" si="1"/>
        <v>240761</v>
      </c>
      <c r="F28" s="41">
        <f t="shared" si="1"/>
        <v>215221.23517623401</v>
      </c>
      <c r="G28" s="41">
        <f t="shared" si="1"/>
        <v>171903</v>
      </c>
      <c r="H28" s="41">
        <f t="shared" si="1"/>
        <v>169286.63359466099</v>
      </c>
      <c r="I28" s="41">
        <f t="shared" si="1"/>
        <v>308324</v>
      </c>
      <c r="J28" s="41">
        <f t="shared" si="1"/>
        <v>382111</v>
      </c>
      <c r="K28"/>
      <c r="L28" t="s">
        <v>373</v>
      </c>
    </row>
    <row r="29" spans="1:13" s="1" customFormat="1" ht="24.95" customHeight="1" x14ac:dyDescent="0.25">
      <c r="A29" s="256" t="str">
        <f>" Assets commissioned in " &amp; $E$27</f>
        <v xml:space="preserve"> Assets commissioned in 2019/20</v>
      </c>
      <c r="B29" s="95"/>
      <c r="C29" s="558"/>
      <c r="D29" s="559"/>
      <c r="E29" s="95"/>
      <c r="F29" s="95"/>
      <c r="G29" s="95"/>
      <c r="H29" s="95"/>
      <c r="I29" s="95"/>
      <c r="J29" s="95"/>
      <c r="K29" s="95"/>
      <c r="L29" s="95"/>
    </row>
    <row r="30" spans="1:13" s="1" customFormat="1" x14ac:dyDescent="0.25">
      <c r="A30" s="162" t="s">
        <v>583</v>
      </c>
      <c r="B30" s="162"/>
      <c r="C30" s="184">
        <f>E7</f>
        <v>2</v>
      </c>
      <c r="D30" s="43"/>
      <c r="E30" s="168"/>
      <c r="F30" s="168"/>
      <c r="G30" s="168"/>
      <c r="H30" s="168"/>
      <c r="I30" s="168"/>
      <c r="J30" s="168"/>
      <c r="K30"/>
      <c r="L30"/>
    </row>
    <row r="31" spans="1:13" x14ac:dyDescent="0.25">
      <c r="A31" s="19" t="s">
        <v>127</v>
      </c>
      <c r="B31" s="19"/>
      <c r="C31" s="19"/>
      <c r="D31" s="150">
        <v>0</v>
      </c>
      <c r="E31" s="51">
        <f t="shared" ref="E31:J31" si="2">D34</f>
        <v>0</v>
      </c>
      <c r="F31" s="42">
        <f t="shared" si="2"/>
        <v>240761</v>
      </c>
      <c r="G31" s="42">
        <f t="shared" si="2"/>
        <v>235289.15909090909</v>
      </c>
      <c r="H31" s="42">
        <f t="shared" si="2"/>
        <v>229817.31818181818</v>
      </c>
      <c r="I31" s="42">
        <f t="shared" si="2"/>
        <v>224345.47727272726</v>
      </c>
      <c r="J31" s="42">
        <f t="shared" si="2"/>
        <v>218873.63636363635</v>
      </c>
      <c r="L31" t="s">
        <v>388</v>
      </c>
    </row>
    <row r="32" spans="1:13" x14ac:dyDescent="0.25">
      <c r="A32" s="19" t="s">
        <v>107</v>
      </c>
      <c r="B32" s="19"/>
      <c r="C32" s="19"/>
      <c r="D32" s="52">
        <f>$D$10+$C30</f>
        <v>46</v>
      </c>
      <c r="E32" s="51">
        <f t="shared" ref="E32:J32" si="3">D32-1</f>
        <v>45</v>
      </c>
      <c r="F32" s="42">
        <f t="shared" si="3"/>
        <v>44</v>
      </c>
      <c r="G32" s="42">
        <f t="shared" si="3"/>
        <v>43</v>
      </c>
      <c r="H32" s="42">
        <f t="shared" si="3"/>
        <v>42</v>
      </c>
      <c r="I32" s="42">
        <f t="shared" si="3"/>
        <v>41</v>
      </c>
      <c r="J32" s="42">
        <f t="shared" si="3"/>
        <v>40</v>
      </c>
      <c r="L32" t="s">
        <v>389</v>
      </c>
    </row>
    <row r="33" spans="1:12" x14ac:dyDescent="0.25">
      <c r="A33" s="19" t="s">
        <v>50</v>
      </c>
      <c r="B33" s="19"/>
      <c r="C33" s="19"/>
      <c r="D33" s="42">
        <f t="shared" ref="D33:J33" si="4">D31/D32</f>
        <v>0</v>
      </c>
      <c r="E33" s="42">
        <f t="shared" si="4"/>
        <v>0</v>
      </c>
      <c r="F33" s="42">
        <f t="shared" si="4"/>
        <v>5471.840909090909</v>
      </c>
      <c r="G33" s="42">
        <f t="shared" si="4"/>
        <v>5471.840909090909</v>
      </c>
      <c r="H33" s="42">
        <f t="shared" si="4"/>
        <v>5471.840909090909</v>
      </c>
      <c r="I33" s="42">
        <f t="shared" si="4"/>
        <v>5471.840909090909</v>
      </c>
      <c r="J33" s="42">
        <f t="shared" si="4"/>
        <v>5471.840909090909</v>
      </c>
      <c r="L33" t="s">
        <v>390</v>
      </c>
    </row>
    <row r="34" spans="1:12" x14ac:dyDescent="0.25">
      <c r="A34" s="159" t="s">
        <v>128</v>
      </c>
      <c r="B34" s="159"/>
      <c r="C34" s="159"/>
      <c r="D34" s="41">
        <f t="shared" ref="D34:J34" si="5">D31-D33+IF($C30=D$7,D$28,0)</f>
        <v>0</v>
      </c>
      <c r="E34" s="41">
        <f t="shared" si="5"/>
        <v>240761</v>
      </c>
      <c r="F34" s="41">
        <f t="shared" si="5"/>
        <v>235289.15909090909</v>
      </c>
      <c r="G34" s="41">
        <f t="shared" si="5"/>
        <v>229817.31818181818</v>
      </c>
      <c r="H34" s="41">
        <f t="shared" si="5"/>
        <v>224345.47727272726</v>
      </c>
      <c r="I34" s="41">
        <f t="shared" si="5"/>
        <v>218873.63636363635</v>
      </c>
      <c r="J34" s="41">
        <f t="shared" si="5"/>
        <v>213401.79545454544</v>
      </c>
      <c r="L34" t="s">
        <v>381</v>
      </c>
    </row>
    <row r="35" spans="1:12" s="1" customFormat="1" ht="24.95" customHeight="1" x14ac:dyDescent="0.25">
      <c r="A35" s="256" t="str">
        <f>" Assets commissioned in " &amp; $F$27</f>
        <v xml:space="preserve"> Assets commissioned in 2020/21</v>
      </c>
      <c r="B35" s="95"/>
      <c r="C35" s="558"/>
      <c r="D35" s="559"/>
      <c r="E35" s="95"/>
      <c r="F35" s="95"/>
      <c r="G35" s="95"/>
      <c r="H35" s="95"/>
      <c r="I35" s="95"/>
      <c r="J35" s="95"/>
      <c r="K35" s="95"/>
      <c r="L35" s="95"/>
    </row>
    <row r="36" spans="1:12" s="1" customFormat="1" x14ac:dyDescent="0.25">
      <c r="A36" s="162" t="s">
        <v>583</v>
      </c>
      <c r="B36" s="162"/>
      <c r="C36" s="184">
        <f>F7</f>
        <v>3</v>
      </c>
      <c r="D36" s="43"/>
      <c r="E36" s="168"/>
      <c r="F36" s="168"/>
      <c r="G36" s="168"/>
      <c r="H36" s="168"/>
      <c r="I36" s="168"/>
      <c r="J36" s="168"/>
      <c r="K36"/>
      <c r="L36"/>
    </row>
    <row r="37" spans="1:12" x14ac:dyDescent="0.25">
      <c r="A37" s="19" t="s">
        <v>127</v>
      </c>
      <c r="B37" s="19"/>
      <c r="C37" s="19"/>
      <c r="D37" s="534">
        <v>0</v>
      </c>
      <c r="E37" s="51">
        <f t="shared" ref="E37:J37" si="6">D40</f>
        <v>0</v>
      </c>
      <c r="F37" s="41">
        <f t="shared" si="6"/>
        <v>0</v>
      </c>
      <c r="G37" s="42">
        <f t="shared" si="6"/>
        <v>215221.23517623401</v>
      </c>
      <c r="H37" s="42">
        <f t="shared" si="6"/>
        <v>210329.84346768324</v>
      </c>
      <c r="I37" s="42">
        <f t="shared" si="6"/>
        <v>205438.45175913247</v>
      </c>
      <c r="J37" s="42">
        <f t="shared" si="6"/>
        <v>200547.0600505817</v>
      </c>
    </row>
    <row r="38" spans="1:12" x14ac:dyDescent="0.25">
      <c r="A38" s="19" t="s">
        <v>107</v>
      </c>
      <c r="B38" s="19"/>
      <c r="C38" s="19"/>
      <c r="D38" s="56"/>
      <c r="E38" s="42"/>
      <c r="F38" s="560">
        <f>F24</f>
        <v>45</v>
      </c>
      <c r="G38" s="51">
        <f t="shared" ref="G38:J38" si="7">F38-1</f>
        <v>44</v>
      </c>
      <c r="H38" s="42">
        <f t="shared" si="7"/>
        <v>43</v>
      </c>
      <c r="I38" s="42">
        <f t="shared" si="7"/>
        <v>42</v>
      </c>
      <c r="J38" s="42">
        <f t="shared" si="7"/>
        <v>41</v>
      </c>
    </row>
    <row r="39" spans="1:12" x14ac:dyDescent="0.25">
      <c r="A39" s="19" t="s">
        <v>50</v>
      </c>
      <c r="B39" s="19"/>
      <c r="C39" s="19"/>
      <c r="D39" s="42">
        <f>IFERROR(D37/D38,0)</f>
        <v>0</v>
      </c>
      <c r="E39" s="42">
        <f>IFERROR(E37/E38,0)</f>
        <v>0</v>
      </c>
      <c r="F39" s="42">
        <f t="shared" ref="F39:J39" si="8">IFERROR(F37/F38,0)</f>
        <v>0</v>
      </c>
      <c r="G39" s="42">
        <f t="shared" si="8"/>
        <v>4891.3917085507728</v>
      </c>
      <c r="H39" s="42">
        <f t="shared" si="8"/>
        <v>4891.3917085507728</v>
      </c>
      <c r="I39" s="42">
        <f t="shared" si="8"/>
        <v>4891.3917085507728</v>
      </c>
      <c r="J39" s="42">
        <f t="shared" si="8"/>
        <v>4891.3917085507728</v>
      </c>
    </row>
    <row r="40" spans="1:12" x14ac:dyDescent="0.25">
      <c r="A40" s="159" t="s">
        <v>128</v>
      </c>
      <c r="B40" s="159"/>
      <c r="C40" s="159"/>
      <c r="D40" s="41">
        <f t="shared" ref="D40:J40" si="9">D37-D39+IF($C36=D$7,D$28,0)</f>
        <v>0</v>
      </c>
      <c r="E40" s="41">
        <f t="shared" si="9"/>
        <v>0</v>
      </c>
      <c r="F40" s="41">
        <f t="shared" si="9"/>
        <v>215221.23517623401</v>
      </c>
      <c r="G40" s="41">
        <f t="shared" si="9"/>
        <v>210329.84346768324</v>
      </c>
      <c r="H40" s="41">
        <f t="shared" si="9"/>
        <v>205438.45175913247</v>
      </c>
      <c r="I40" s="41">
        <f t="shared" si="9"/>
        <v>200547.0600505817</v>
      </c>
      <c r="J40" s="41">
        <f t="shared" si="9"/>
        <v>195655.66834203093</v>
      </c>
    </row>
    <row r="41" spans="1:12" s="1" customFormat="1" ht="24.95" customHeight="1" x14ac:dyDescent="0.25">
      <c r="A41" s="256" t="str">
        <f>" Assets commissioned in " &amp; $G$27</f>
        <v xml:space="preserve"> Assets commissioned in 2021/22</v>
      </c>
      <c r="B41" s="95"/>
      <c r="C41" s="558"/>
      <c r="D41" s="559"/>
      <c r="E41" s="95"/>
      <c r="F41" s="95"/>
      <c r="G41" s="95"/>
      <c r="H41" s="95"/>
      <c r="I41" s="95"/>
      <c r="J41" s="95"/>
      <c r="K41" s="95"/>
      <c r="L41" s="95"/>
    </row>
    <row r="42" spans="1:12" s="1" customFormat="1" x14ac:dyDescent="0.25">
      <c r="A42" s="162" t="s">
        <v>583</v>
      </c>
      <c r="B42" s="162"/>
      <c r="C42" s="184">
        <f>G7</f>
        <v>4</v>
      </c>
      <c r="D42" s="43"/>
      <c r="E42" s="168"/>
      <c r="F42" s="168"/>
      <c r="G42" s="168"/>
      <c r="H42" s="168"/>
      <c r="I42" s="168"/>
      <c r="J42" s="168"/>
      <c r="K42"/>
      <c r="L42"/>
    </row>
    <row r="43" spans="1:12" x14ac:dyDescent="0.25">
      <c r="A43" s="19" t="s">
        <v>127</v>
      </c>
      <c r="B43" s="19"/>
      <c r="C43" s="19"/>
      <c r="D43" s="534">
        <v>0</v>
      </c>
      <c r="E43" s="51">
        <f t="shared" ref="E43:J43" si="10">D46</f>
        <v>0</v>
      </c>
      <c r="F43" s="42">
        <f t="shared" si="10"/>
        <v>0</v>
      </c>
      <c r="G43" s="41">
        <f t="shared" si="10"/>
        <v>0</v>
      </c>
      <c r="H43" s="42">
        <f t="shared" si="10"/>
        <v>171903</v>
      </c>
      <c r="I43" s="42">
        <f t="shared" si="10"/>
        <v>167996.11363636365</v>
      </c>
      <c r="J43" s="42">
        <f t="shared" si="10"/>
        <v>164089.22727272729</v>
      </c>
    </row>
    <row r="44" spans="1:12" x14ac:dyDescent="0.25">
      <c r="A44" s="19" t="s">
        <v>107</v>
      </c>
      <c r="B44" s="19"/>
      <c r="C44" s="19"/>
      <c r="D44" s="56"/>
      <c r="E44" s="42"/>
      <c r="F44" s="42"/>
      <c r="G44" s="560">
        <f>G24</f>
        <v>45</v>
      </c>
      <c r="H44" s="51">
        <f t="shared" ref="H44:J44" si="11">G44-1</f>
        <v>44</v>
      </c>
      <c r="I44" s="42">
        <f t="shared" si="11"/>
        <v>43</v>
      </c>
      <c r="J44" s="42">
        <f t="shared" si="11"/>
        <v>42</v>
      </c>
    </row>
    <row r="45" spans="1:12" x14ac:dyDescent="0.25">
      <c r="A45" s="19" t="s">
        <v>50</v>
      </c>
      <c r="B45" s="19"/>
      <c r="C45" s="19"/>
      <c r="D45" s="42">
        <f>IFERROR(D43/D44,0)</f>
        <v>0</v>
      </c>
      <c r="E45" s="42">
        <f t="shared" ref="E45:J45" si="12">IFERROR(E43/E44,0)</f>
        <v>0</v>
      </c>
      <c r="F45" s="42">
        <f t="shared" si="12"/>
        <v>0</v>
      </c>
      <c r="G45" s="42">
        <f t="shared" si="12"/>
        <v>0</v>
      </c>
      <c r="H45" s="42">
        <f t="shared" si="12"/>
        <v>3906.8863636363635</v>
      </c>
      <c r="I45" s="42">
        <f t="shared" si="12"/>
        <v>3906.886363636364</v>
      </c>
      <c r="J45" s="42">
        <f t="shared" si="12"/>
        <v>3906.886363636364</v>
      </c>
    </row>
    <row r="46" spans="1:12" x14ac:dyDescent="0.25">
      <c r="A46" s="159" t="s">
        <v>128</v>
      </c>
      <c r="B46" s="159"/>
      <c r="C46" s="159"/>
      <c r="D46" s="41">
        <f t="shared" ref="D46:J46" si="13">D43-D45+IF($C42=D$7,D$28,0)</f>
        <v>0</v>
      </c>
      <c r="E46" s="41">
        <f t="shared" si="13"/>
        <v>0</v>
      </c>
      <c r="F46" s="41">
        <f t="shared" si="13"/>
        <v>0</v>
      </c>
      <c r="G46" s="41">
        <f t="shared" si="13"/>
        <v>171903</v>
      </c>
      <c r="H46" s="41">
        <f t="shared" si="13"/>
        <v>167996.11363636365</v>
      </c>
      <c r="I46" s="41">
        <f t="shared" si="13"/>
        <v>164089.22727272729</v>
      </c>
      <c r="J46" s="41">
        <f t="shared" si="13"/>
        <v>160182.34090909094</v>
      </c>
    </row>
    <row r="47" spans="1:12" s="1" customFormat="1" ht="24.95" customHeight="1" x14ac:dyDescent="0.25">
      <c r="A47" s="256" t="str">
        <f>" Assets commissioned in " &amp; $H$27</f>
        <v xml:space="preserve"> Assets commissioned in 2022/23</v>
      </c>
      <c r="B47" s="95"/>
      <c r="C47" s="558"/>
      <c r="D47" s="559"/>
      <c r="E47" s="95"/>
      <c r="F47" s="95"/>
      <c r="G47" s="95"/>
      <c r="H47" s="95"/>
      <c r="I47" s="95"/>
      <c r="J47" s="95"/>
      <c r="K47" s="95"/>
      <c r="L47" s="95"/>
    </row>
    <row r="48" spans="1:12" s="1" customFormat="1" x14ac:dyDescent="0.25">
      <c r="A48" s="162" t="s">
        <v>583</v>
      </c>
      <c r="B48" s="162"/>
      <c r="C48" s="184">
        <f>H7</f>
        <v>5</v>
      </c>
      <c r="D48" s="43"/>
      <c r="E48" s="168"/>
      <c r="F48" s="168"/>
      <c r="G48" s="168"/>
      <c r="H48" s="168"/>
      <c r="I48" s="168"/>
      <c r="J48" s="168"/>
      <c r="K48"/>
      <c r="L48"/>
    </row>
    <row r="49" spans="1:12" x14ac:dyDescent="0.25">
      <c r="A49" s="19" t="s">
        <v>127</v>
      </c>
      <c r="B49" s="19"/>
      <c r="C49" s="19"/>
      <c r="D49" s="534">
        <v>0</v>
      </c>
      <c r="E49" s="51">
        <f t="shared" ref="E49:J49" si="14">D52</f>
        <v>0</v>
      </c>
      <c r="F49" s="42">
        <f t="shared" si="14"/>
        <v>0</v>
      </c>
      <c r="G49" s="42">
        <f t="shared" si="14"/>
        <v>0</v>
      </c>
      <c r="H49" s="41">
        <f t="shared" si="14"/>
        <v>0</v>
      </c>
      <c r="I49" s="42">
        <f t="shared" si="14"/>
        <v>169286.63359466099</v>
      </c>
      <c r="J49" s="42">
        <f t="shared" si="14"/>
        <v>165439.21010387325</v>
      </c>
    </row>
    <row r="50" spans="1:12" x14ac:dyDescent="0.25">
      <c r="A50" s="19" t="s">
        <v>107</v>
      </c>
      <c r="B50" s="19"/>
      <c r="C50" s="19"/>
      <c r="D50" s="56"/>
      <c r="E50" s="42"/>
      <c r="F50" s="42"/>
      <c r="G50" s="42"/>
      <c r="H50" s="560">
        <f>H24</f>
        <v>45</v>
      </c>
      <c r="I50" s="51">
        <f t="shared" ref="I50:J50" si="15">H50-1</f>
        <v>44</v>
      </c>
      <c r="J50" s="42">
        <f t="shared" si="15"/>
        <v>43</v>
      </c>
    </row>
    <row r="51" spans="1:12" x14ac:dyDescent="0.25">
      <c r="A51" s="19" t="s">
        <v>50</v>
      </c>
      <c r="B51" s="19"/>
      <c r="C51" s="19"/>
      <c r="D51" s="42">
        <f>IFERROR(D49/D50,0)</f>
        <v>0</v>
      </c>
      <c r="E51" s="42">
        <f>IFERROR(E49/E50,0)</f>
        <v>0</v>
      </c>
      <c r="F51" s="42">
        <f t="shared" ref="F51:J51" si="16">IFERROR(F49/F50,0)</f>
        <v>0</v>
      </c>
      <c r="G51" s="42">
        <f t="shared" si="16"/>
        <v>0</v>
      </c>
      <c r="H51" s="42">
        <f t="shared" si="16"/>
        <v>0</v>
      </c>
      <c r="I51" s="42">
        <f t="shared" si="16"/>
        <v>3847.4234907877499</v>
      </c>
      <c r="J51" s="42">
        <f t="shared" si="16"/>
        <v>3847.4234907877499</v>
      </c>
    </row>
    <row r="52" spans="1:12" x14ac:dyDescent="0.25">
      <c r="A52" s="159" t="s">
        <v>128</v>
      </c>
      <c r="B52" s="159"/>
      <c r="C52" s="159"/>
      <c r="D52" s="41">
        <f t="shared" ref="D52:J52" si="17">D49-D51+IF($C48=D$7,D$28,0)</f>
        <v>0</v>
      </c>
      <c r="E52" s="41">
        <f t="shared" si="17"/>
        <v>0</v>
      </c>
      <c r="F52" s="41">
        <f t="shared" si="17"/>
        <v>0</v>
      </c>
      <c r="G52" s="41">
        <f t="shared" si="17"/>
        <v>0</v>
      </c>
      <c r="H52" s="41">
        <f t="shared" si="17"/>
        <v>169286.63359466099</v>
      </c>
      <c r="I52" s="41">
        <f t="shared" si="17"/>
        <v>165439.21010387325</v>
      </c>
      <c r="J52" s="41">
        <f t="shared" si="17"/>
        <v>161591.78661308551</v>
      </c>
    </row>
    <row r="53" spans="1:12" s="1" customFormat="1" ht="24.95" customHeight="1" x14ac:dyDescent="0.25">
      <c r="A53" s="256" t="str">
        <f>" Assets commissioned in " &amp; $I$27</f>
        <v xml:space="preserve"> Assets commissioned in 2023/24</v>
      </c>
      <c r="B53" s="95"/>
      <c r="C53" s="558"/>
      <c r="D53" s="559"/>
      <c r="E53" s="95"/>
      <c r="F53" s="95"/>
      <c r="G53" s="95"/>
      <c r="H53" s="95"/>
      <c r="I53" s="95"/>
      <c r="J53" s="95"/>
      <c r="K53" s="95"/>
      <c r="L53" s="95"/>
    </row>
    <row r="54" spans="1:12" s="1" customFormat="1" x14ac:dyDescent="0.25">
      <c r="A54" s="162" t="s">
        <v>583</v>
      </c>
      <c r="B54" s="162"/>
      <c r="C54" s="184">
        <f>I7</f>
        <v>6</v>
      </c>
      <c r="D54" s="43"/>
      <c r="E54" s="168"/>
      <c r="F54" s="168"/>
      <c r="G54" s="168"/>
      <c r="H54" s="168"/>
      <c r="I54" s="168"/>
      <c r="J54" s="168"/>
      <c r="K54"/>
      <c r="L54"/>
    </row>
    <row r="55" spans="1:12" x14ac:dyDescent="0.25">
      <c r="A55" s="19" t="s">
        <v>127</v>
      </c>
      <c r="B55" s="19"/>
      <c r="C55" s="19"/>
      <c r="D55" s="534">
        <v>0</v>
      </c>
      <c r="E55" s="51">
        <f t="shared" ref="E55:J55" si="18">D58</f>
        <v>0</v>
      </c>
      <c r="F55" s="42">
        <f t="shared" si="18"/>
        <v>0</v>
      </c>
      <c r="G55" s="42">
        <f t="shared" si="18"/>
        <v>0</v>
      </c>
      <c r="H55" s="42">
        <f t="shared" si="18"/>
        <v>0</v>
      </c>
      <c r="I55" s="41">
        <f t="shared" si="18"/>
        <v>0</v>
      </c>
      <c r="J55" s="42">
        <f t="shared" si="18"/>
        <v>308324</v>
      </c>
    </row>
    <row r="56" spans="1:12" x14ac:dyDescent="0.25">
      <c r="A56" s="19" t="s">
        <v>107</v>
      </c>
      <c r="B56" s="19"/>
      <c r="C56" s="19"/>
      <c r="D56" s="56"/>
      <c r="E56" s="42"/>
      <c r="F56" s="42"/>
      <c r="G56" s="42"/>
      <c r="H56" s="42"/>
      <c r="I56" s="560">
        <f>I24</f>
        <v>45</v>
      </c>
      <c r="J56" s="51">
        <f t="shared" ref="J56" si="19">I56-1</f>
        <v>44</v>
      </c>
    </row>
    <row r="57" spans="1:12" x14ac:dyDescent="0.25">
      <c r="A57" s="19" t="s">
        <v>50</v>
      </c>
      <c r="B57" s="19"/>
      <c r="C57" s="19"/>
      <c r="D57" s="42">
        <f>IFERROR(D55/D56,0)</f>
        <v>0</v>
      </c>
      <c r="E57" s="42">
        <f t="shared" ref="E57:J57" si="20">IFERROR(E55/E56,0)</f>
        <v>0</v>
      </c>
      <c r="F57" s="42">
        <f t="shared" si="20"/>
        <v>0</v>
      </c>
      <c r="G57" s="42">
        <f t="shared" si="20"/>
        <v>0</v>
      </c>
      <c r="H57" s="42">
        <f t="shared" si="20"/>
        <v>0</v>
      </c>
      <c r="I57" s="42">
        <f t="shared" si="20"/>
        <v>0</v>
      </c>
      <c r="J57" s="42">
        <f t="shared" si="20"/>
        <v>7007.363636363636</v>
      </c>
    </row>
    <row r="58" spans="1:12" x14ac:dyDescent="0.25">
      <c r="A58" s="159" t="s">
        <v>128</v>
      </c>
      <c r="B58" s="159"/>
      <c r="C58" s="159"/>
      <c r="D58" s="41">
        <f t="shared" ref="D58:J58" si="21">D55-D57+IF($C54=D$7,D$28,0)</f>
        <v>0</v>
      </c>
      <c r="E58" s="41">
        <f t="shared" si="21"/>
        <v>0</v>
      </c>
      <c r="F58" s="41">
        <f t="shared" si="21"/>
        <v>0</v>
      </c>
      <c r="G58" s="41">
        <f t="shared" si="21"/>
        <v>0</v>
      </c>
      <c r="H58" s="41">
        <f t="shared" si="21"/>
        <v>0</v>
      </c>
      <c r="I58" s="41">
        <f t="shared" si="21"/>
        <v>308324</v>
      </c>
      <c r="J58" s="41">
        <f t="shared" si="21"/>
        <v>301316.63636363635</v>
      </c>
    </row>
    <row r="59" spans="1:12" s="1" customFormat="1" ht="24.95" customHeight="1" x14ac:dyDescent="0.25">
      <c r="A59" s="256" t="str">
        <f>" Assets commissioned in " &amp; $J$27</f>
        <v xml:space="preserve"> Assets commissioned in 2024/25</v>
      </c>
      <c r="B59" s="95"/>
      <c r="C59" s="558"/>
      <c r="D59" s="559"/>
      <c r="E59" s="95"/>
      <c r="F59" s="95"/>
      <c r="G59" s="95"/>
      <c r="H59" s="95"/>
      <c r="I59" s="95"/>
      <c r="J59" s="95"/>
      <c r="K59" s="95"/>
      <c r="L59" s="95"/>
    </row>
    <row r="60" spans="1:12" s="1" customFormat="1" x14ac:dyDescent="0.25">
      <c r="A60" s="162" t="s">
        <v>583</v>
      </c>
      <c r="B60" s="162"/>
      <c r="C60" s="184">
        <f>J7</f>
        <v>7</v>
      </c>
      <c r="D60" s="43"/>
      <c r="E60" s="168"/>
      <c r="F60" s="168"/>
      <c r="G60" s="168"/>
      <c r="H60" s="168"/>
      <c r="I60" s="168"/>
      <c r="J60" s="168"/>
      <c r="K60"/>
      <c r="L60"/>
    </row>
    <row r="61" spans="1:12" x14ac:dyDescent="0.25">
      <c r="A61" s="19" t="s">
        <v>127</v>
      </c>
      <c r="B61" s="19"/>
      <c r="C61" s="19"/>
      <c r="D61" s="534">
        <v>0</v>
      </c>
      <c r="E61" s="51">
        <f t="shared" ref="E61:J61" si="22">D64</f>
        <v>0</v>
      </c>
      <c r="F61" s="42">
        <f t="shared" si="22"/>
        <v>0</v>
      </c>
      <c r="G61" s="42">
        <f t="shared" si="22"/>
        <v>0</v>
      </c>
      <c r="H61" s="42">
        <f t="shared" si="22"/>
        <v>0</v>
      </c>
      <c r="I61" s="42">
        <f t="shared" si="22"/>
        <v>0</v>
      </c>
      <c r="J61" s="42">
        <f t="shared" si="22"/>
        <v>0</v>
      </c>
    </row>
    <row r="62" spans="1:12" x14ac:dyDescent="0.25">
      <c r="A62" s="19" t="s">
        <v>107</v>
      </c>
      <c r="B62" s="19"/>
      <c r="C62" s="19"/>
      <c r="D62" s="56"/>
      <c r="E62" s="42"/>
      <c r="F62" s="42"/>
      <c r="G62" s="42"/>
      <c r="H62" s="42"/>
      <c r="I62" s="42"/>
      <c r="J62" s="42">
        <f>J24</f>
        <v>45</v>
      </c>
    </row>
    <row r="63" spans="1:12" x14ac:dyDescent="0.25">
      <c r="A63" s="19" t="s">
        <v>50</v>
      </c>
      <c r="B63" s="19"/>
      <c r="C63" s="19"/>
      <c r="D63" s="42">
        <f>IFERROR(D61/D62,0)</f>
        <v>0</v>
      </c>
      <c r="E63" s="42">
        <f t="shared" ref="E63:J63" si="23">IFERROR(E61/E62,0)</f>
        <v>0</v>
      </c>
      <c r="F63" s="42">
        <f t="shared" si="23"/>
        <v>0</v>
      </c>
      <c r="G63" s="42">
        <f t="shared" si="23"/>
        <v>0</v>
      </c>
      <c r="H63" s="42">
        <f t="shared" si="23"/>
        <v>0</v>
      </c>
      <c r="I63" s="42">
        <f t="shared" si="23"/>
        <v>0</v>
      </c>
      <c r="J63" s="42">
        <f t="shared" si="23"/>
        <v>0</v>
      </c>
    </row>
    <row r="64" spans="1:12" x14ac:dyDescent="0.25">
      <c r="A64" s="159" t="s">
        <v>128</v>
      </c>
      <c r="B64" s="159"/>
      <c r="C64" s="159"/>
      <c r="D64" s="41">
        <f t="shared" ref="D64:J64" si="24">D61-D63+IF($C60=D$7,D$28,0)</f>
        <v>0</v>
      </c>
      <c r="E64" s="41">
        <f t="shared" si="24"/>
        <v>0</v>
      </c>
      <c r="F64" s="41">
        <f t="shared" si="24"/>
        <v>0</v>
      </c>
      <c r="G64" s="41">
        <f t="shared" si="24"/>
        <v>0</v>
      </c>
      <c r="H64" s="41">
        <f t="shared" si="24"/>
        <v>0</v>
      </c>
      <c r="I64" s="41">
        <f t="shared" si="24"/>
        <v>0</v>
      </c>
      <c r="J64" s="41">
        <f t="shared" si="24"/>
        <v>382111</v>
      </c>
    </row>
    <row r="65" spans="1:13" s="95" customFormat="1" ht="24.95" customHeight="1" x14ac:dyDescent="0.25">
      <c r="A65" s="166" t="s">
        <v>129</v>
      </c>
      <c r="C65" s="562"/>
      <c r="D65" s="559"/>
      <c r="M65" s="1"/>
    </row>
    <row r="66" spans="1:13" x14ac:dyDescent="0.25">
      <c r="A66" s="220" t="s">
        <v>130</v>
      </c>
      <c r="B66" s="221"/>
      <c r="C66" s="221"/>
      <c r="D66" s="222">
        <f t="shared" ref="D66:J66" si="25">D33+D39+D45+D51+D57+D63</f>
        <v>0</v>
      </c>
      <c r="E66" s="222">
        <f t="shared" si="25"/>
        <v>0</v>
      </c>
      <c r="F66" s="222">
        <f t="shared" si="25"/>
        <v>5471.840909090909</v>
      </c>
      <c r="G66" s="222">
        <f t="shared" si="25"/>
        <v>10363.232617641683</v>
      </c>
      <c r="H66" s="222">
        <f t="shared" si="25"/>
        <v>14270.118981278047</v>
      </c>
      <c r="I66" s="222">
        <f t="shared" si="25"/>
        <v>18117.542472065797</v>
      </c>
      <c r="J66" s="222">
        <f t="shared" si="25"/>
        <v>25124.906108429434</v>
      </c>
      <c r="L66" t="s">
        <v>391</v>
      </c>
    </row>
    <row r="67" spans="1:13" s="95" customFormat="1" ht="35.1" customHeight="1" x14ac:dyDescent="0.35">
      <c r="A67" s="637" t="s">
        <v>131</v>
      </c>
      <c r="M67" s="1"/>
    </row>
    <row r="68" spans="1:13" x14ac:dyDescent="0.25">
      <c r="A68" s="18"/>
      <c r="B68" s="18"/>
      <c r="C68" s="24"/>
      <c r="D68" s="66" t="str">
        <f>D27</f>
        <v>2018/19</v>
      </c>
      <c r="E68" s="65" t="str">
        <f t="shared" ref="E68:J68" si="26">E27</f>
        <v>2019/20</v>
      </c>
      <c r="F68" s="65" t="str">
        <f t="shared" si="26"/>
        <v>2020/21</v>
      </c>
      <c r="G68" s="65" t="str">
        <f t="shared" si="26"/>
        <v>2021/22</v>
      </c>
      <c r="H68" s="65" t="str">
        <f t="shared" si="26"/>
        <v>2022/23</v>
      </c>
      <c r="I68" s="65" t="str">
        <f t="shared" si="26"/>
        <v>2023/24</v>
      </c>
      <c r="J68" s="65" t="str">
        <f t="shared" si="26"/>
        <v>2024/25</v>
      </c>
    </row>
    <row r="69" spans="1:13" x14ac:dyDescent="0.25">
      <c r="A69" s="19" t="s">
        <v>132</v>
      </c>
      <c r="B69" s="19"/>
      <c r="C69" s="19"/>
      <c r="D69" s="534">
        <f>D13</f>
        <v>2695210</v>
      </c>
      <c r="E69" s="51">
        <f t="shared" ref="E69:J69" si="27">D73</f>
        <v>2792048</v>
      </c>
      <c r="F69" s="42">
        <f t="shared" si="27"/>
        <v>2674497.1484764968</v>
      </c>
      <c r="G69" s="42">
        <f t="shared" si="27"/>
        <v>2557169.9407461672</v>
      </c>
      <c r="H69" s="42">
        <f t="shared" si="27"/>
        <v>2440077.7241628822</v>
      </c>
      <c r="I69" s="42">
        <f t="shared" si="27"/>
        <v>2323245.2255136878</v>
      </c>
      <c r="J69" s="42">
        <f t="shared" si="27"/>
        <v>2206699.9113421566</v>
      </c>
      <c r="L69" t="s">
        <v>392</v>
      </c>
    </row>
    <row r="70" spans="1:13" x14ac:dyDescent="0.25">
      <c r="A70" s="19" t="s">
        <v>60</v>
      </c>
      <c r="B70" s="19"/>
      <c r="C70" s="19"/>
      <c r="D70" s="41">
        <f t="shared" ref="D70:J70" si="28">D12</f>
        <v>7412</v>
      </c>
      <c r="E70" s="42">
        <f t="shared" si="28"/>
        <v>10769.994983532757</v>
      </c>
      <c r="F70" s="42">
        <f t="shared" si="28"/>
        <v>10974.62488821988</v>
      </c>
      <c r="G70" s="42">
        <f t="shared" si="28"/>
        <v>11194.117385984278</v>
      </c>
      <c r="H70" s="42">
        <f t="shared" si="28"/>
        <v>11417.999733703964</v>
      </c>
      <c r="I70" s="42">
        <f t="shared" si="28"/>
        <v>11646.359728378044</v>
      </c>
      <c r="J70" s="42">
        <f t="shared" si="28"/>
        <v>11879.286922945606</v>
      </c>
      <c r="L70" t="s">
        <v>373</v>
      </c>
    </row>
    <row r="71" spans="1:13" x14ac:dyDescent="0.25">
      <c r="A71" s="19" t="s">
        <v>131</v>
      </c>
      <c r="B71" s="19"/>
      <c r="C71" s="19"/>
      <c r="D71" s="52">
        <f>D14</f>
        <v>99210</v>
      </c>
      <c r="E71" s="51">
        <f t="shared" ref="E71:J71" si="29">E69/E20</f>
        <v>106780.8565399701</v>
      </c>
      <c r="F71" s="42">
        <f t="shared" si="29"/>
        <v>106352.58284210964</v>
      </c>
      <c r="G71" s="42">
        <f t="shared" si="29"/>
        <v>105898.09919730082</v>
      </c>
      <c r="H71" s="42">
        <f t="shared" si="29"/>
        <v>105414.49891549032</v>
      </c>
      <c r="I71" s="42">
        <f t="shared" si="29"/>
        <v>104898.95444315295</v>
      </c>
      <c r="J71" s="42">
        <f t="shared" si="29"/>
        <v>104348.23295548088</v>
      </c>
      <c r="L71" t="s">
        <v>375</v>
      </c>
    </row>
    <row r="72" spans="1:13" x14ac:dyDescent="0.25">
      <c r="A72" s="159" t="s">
        <v>133</v>
      </c>
      <c r="B72" s="159"/>
      <c r="C72" s="159"/>
      <c r="D72" s="41">
        <f>D9</f>
        <v>203460</v>
      </c>
      <c r="E72" s="42"/>
      <c r="F72" s="42"/>
      <c r="G72" s="42"/>
      <c r="H72" s="42"/>
      <c r="I72" s="42"/>
      <c r="J72" s="42"/>
      <c r="L72" t="s">
        <v>373</v>
      </c>
    </row>
    <row r="73" spans="1:13" x14ac:dyDescent="0.25">
      <c r="A73" s="167" t="s">
        <v>134</v>
      </c>
      <c r="B73" s="167"/>
      <c r="C73" s="167"/>
      <c r="D73" s="54">
        <f>D69-D70-D71+D72</f>
        <v>2792048</v>
      </c>
      <c r="E73" s="158">
        <f t="shared" ref="E73:J73" si="30">E69-E70-E71</f>
        <v>2674497.1484764968</v>
      </c>
      <c r="F73" s="41">
        <f t="shared" si="30"/>
        <v>2557169.9407461672</v>
      </c>
      <c r="G73" s="41">
        <f t="shared" si="30"/>
        <v>2440077.7241628822</v>
      </c>
      <c r="H73" s="41">
        <f t="shared" si="30"/>
        <v>2323245.2255136878</v>
      </c>
      <c r="I73" s="41">
        <f t="shared" si="30"/>
        <v>2206699.9113421566</v>
      </c>
      <c r="J73" s="41">
        <f t="shared" si="30"/>
        <v>2090472.39146373</v>
      </c>
      <c r="L73" t="s">
        <v>393</v>
      </c>
    </row>
    <row r="74" spans="1:13" s="95" customFormat="1" ht="35.1" customHeight="1" x14ac:dyDescent="0.35">
      <c r="A74" s="475" t="s">
        <v>135</v>
      </c>
      <c r="B74" s="476"/>
      <c r="C74" s="477"/>
      <c r="D74" s="476"/>
      <c r="E74" s="476"/>
      <c r="F74" s="476"/>
      <c r="G74" s="476"/>
      <c r="H74" s="476"/>
      <c r="I74" s="476"/>
      <c r="J74" s="476"/>
      <c r="M74" s="1"/>
    </row>
    <row r="75" spans="1:13" x14ac:dyDescent="0.25">
      <c r="A75" s="18"/>
      <c r="B75" s="24"/>
      <c r="C75" s="24" t="s">
        <v>31</v>
      </c>
      <c r="D75" s="65" t="str">
        <f>D68</f>
        <v>2018/19</v>
      </c>
      <c r="E75" s="65" t="str">
        <f t="shared" ref="E75:J75" si="31">E68</f>
        <v>2019/20</v>
      </c>
      <c r="F75" s="65" t="str">
        <f t="shared" si="31"/>
        <v>2020/21</v>
      </c>
      <c r="G75" s="65" t="str">
        <f t="shared" si="31"/>
        <v>2021/22</v>
      </c>
      <c r="H75" s="65" t="str">
        <f t="shared" si="31"/>
        <v>2022/23</v>
      </c>
      <c r="I75" s="65" t="str">
        <f t="shared" si="31"/>
        <v>2023/24</v>
      </c>
      <c r="J75" s="65" t="str">
        <f t="shared" si="31"/>
        <v>2024/25</v>
      </c>
    </row>
    <row r="76" spans="1:13" x14ac:dyDescent="0.25">
      <c r="A76" s="16" t="s">
        <v>136</v>
      </c>
      <c r="B76" s="19"/>
      <c r="C76" s="564">
        <f>D15/D16</f>
        <v>8.4490368427841994E-2</v>
      </c>
      <c r="D76" s="565"/>
      <c r="E76" s="42"/>
      <c r="F76" s="42"/>
      <c r="G76" s="42"/>
      <c r="H76" s="42"/>
      <c r="I76" s="42"/>
      <c r="J76" s="42"/>
      <c r="L76" t="s">
        <v>394</v>
      </c>
    </row>
    <row r="77" spans="1:13" x14ac:dyDescent="0.25">
      <c r="A77" s="16" t="s">
        <v>52</v>
      </c>
      <c r="B77" s="19"/>
      <c r="C77" s="19"/>
      <c r="D77" s="54">
        <f>D16</f>
        <v>1224826</v>
      </c>
      <c r="E77" s="51">
        <f t="shared" ref="E77:J77" si="32">D80</f>
        <v>1324800</v>
      </c>
      <c r="F77" s="42">
        <f t="shared" si="32"/>
        <v>1453628.159906795</v>
      </c>
      <c r="G77" s="42">
        <f t="shared" si="32"/>
        <v>1546031.816295418</v>
      </c>
      <c r="H77" s="42">
        <f t="shared" si="32"/>
        <v>1587310.0185354524</v>
      </c>
      <c r="I77" s="42">
        <f t="shared" si="32"/>
        <v>1622484.2438548484</v>
      </c>
      <c r="J77" s="42">
        <f t="shared" si="32"/>
        <v>1793723.9523231837</v>
      </c>
      <c r="L77" t="s">
        <v>395</v>
      </c>
    </row>
    <row r="78" spans="1:13" x14ac:dyDescent="0.25">
      <c r="A78" s="16" t="s">
        <v>51</v>
      </c>
      <c r="B78" s="19"/>
      <c r="C78" s="19"/>
      <c r="D78" s="52">
        <f>D15</f>
        <v>103486</v>
      </c>
      <c r="E78" s="51">
        <f t="shared" ref="E78:J78" si="33">E77*$C76</f>
        <v>111932.84009320507</v>
      </c>
      <c r="F78" s="42">
        <f t="shared" si="33"/>
        <v>122817.57878761113</v>
      </c>
      <c r="G78" s="42">
        <f t="shared" si="33"/>
        <v>130624.7977599656</v>
      </c>
      <c r="H78" s="42">
        <f t="shared" si="33"/>
        <v>134112.40827526507</v>
      </c>
      <c r="I78" s="42">
        <f t="shared" si="33"/>
        <v>137084.29153166478</v>
      </c>
      <c r="J78" s="42">
        <f t="shared" si="33"/>
        <v>151552.39758963068</v>
      </c>
      <c r="L78" t="s">
        <v>396</v>
      </c>
    </row>
    <row r="79" spans="1:13" x14ac:dyDescent="0.25">
      <c r="A79" s="16" t="s">
        <v>57</v>
      </c>
      <c r="B79" s="19"/>
      <c r="C79" s="19"/>
      <c r="D79" s="42">
        <f t="shared" ref="D79:J79" si="34">D9</f>
        <v>203460</v>
      </c>
      <c r="E79" s="42">
        <f t="shared" si="34"/>
        <v>240761</v>
      </c>
      <c r="F79" s="42">
        <f t="shared" si="34"/>
        <v>215221.23517623401</v>
      </c>
      <c r="G79" s="42">
        <f t="shared" si="34"/>
        <v>171903</v>
      </c>
      <c r="H79" s="42">
        <f t="shared" si="34"/>
        <v>169286.63359466099</v>
      </c>
      <c r="I79" s="42">
        <f t="shared" si="34"/>
        <v>308324</v>
      </c>
      <c r="J79" s="42">
        <f t="shared" si="34"/>
        <v>382111</v>
      </c>
      <c r="L79" t="s">
        <v>373</v>
      </c>
    </row>
    <row r="80" spans="1:13" x14ac:dyDescent="0.25">
      <c r="A80" s="159" t="s">
        <v>137</v>
      </c>
      <c r="B80" s="159"/>
      <c r="C80" s="159"/>
      <c r="D80" s="41">
        <f t="shared" ref="D80:J80" si="35">D77-D78+D79</f>
        <v>1324800</v>
      </c>
      <c r="E80" s="41">
        <f t="shared" si="35"/>
        <v>1453628.159906795</v>
      </c>
      <c r="F80" s="41">
        <f t="shared" si="35"/>
        <v>1546031.816295418</v>
      </c>
      <c r="G80" s="41">
        <f>G77-G78+G79</f>
        <v>1587310.0185354524</v>
      </c>
      <c r="H80" s="41">
        <f>H77-H78+H79</f>
        <v>1622484.2438548484</v>
      </c>
      <c r="I80" s="41">
        <f t="shared" si="35"/>
        <v>1793723.9523231837</v>
      </c>
      <c r="J80" s="41">
        <f t="shared" si="35"/>
        <v>2024282.554733553</v>
      </c>
      <c r="L80" t="s">
        <v>397</v>
      </c>
    </row>
    <row r="81" spans="1:13" s="95" customFormat="1" ht="35.1" customHeight="1" x14ac:dyDescent="0.35">
      <c r="A81" s="475" t="s">
        <v>138</v>
      </c>
      <c r="B81" s="476"/>
      <c r="C81" s="477"/>
      <c r="D81" s="476"/>
      <c r="E81" s="476"/>
      <c r="F81" s="476"/>
      <c r="G81" s="476"/>
      <c r="H81" s="476"/>
      <c r="I81" s="476"/>
      <c r="J81" s="476"/>
      <c r="M81" s="1"/>
    </row>
    <row r="82" spans="1:13" x14ac:dyDescent="0.25">
      <c r="A82" s="18"/>
      <c r="B82" s="18"/>
      <c r="C82" s="18"/>
      <c r="D82" s="65" t="str">
        <f>D75</f>
        <v>2018/19</v>
      </c>
      <c r="E82" s="65" t="str">
        <f t="shared" ref="E82:J82" si="36">E75</f>
        <v>2019/20</v>
      </c>
      <c r="F82" s="65" t="str">
        <f t="shared" si="36"/>
        <v>2020/21</v>
      </c>
      <c r="G82" s="65" t="str">
        <f t="shared" si="36"/>
        <v>2021/22</v>
      </c>
      <c r="H82" s="65" t="str">
        <f t="shared" si="36"/>
        <v>2022/23</v>
      </c>
      <c r="I82" s="65" t="str">
        <f t="shared" si="36"/>
        <v>2023/24</v>
      </c>
      <c r="J82" s="65" t="str">
        <f t="shared" si="36"/>
        <v>2024/25</v>
      </c>
    </row>
    <row r="83" spans="1:13" x14ac:dyDescent="0.25">
      <c r="A83" s="19" t="s">
        <v>139</v>
      </c>
      <c r="B83" s="19"/>
      <c r="C83" s="19"/>
      <c r="D83" s="42">
        <f t="shared" ref="D83:J83" si="37">D66+D71</f>
        <v>99210</v>
      </c>
      <c r="E83" s="42">
        <f t="shared" si="37"/>
        <v>106780.8565399701</v>
      </c>
      <c r="F83" s="42">
        <f t="shared" si="37"/>
        <v>111824.42375120055</v>
      </c>
      <c r="G83" s="42">
        <f t="shared" si="37"/>
        <v>116261.3318149425</v>
      </c>
      <c r="H83" s="42">
        <f t="shared" si="37"/>
        <v>119684.61789676837</v>
      </c>
      <c r="I83" s="42">
        <f t="shared" si="37"/>
        <v>123016.49691521874</v>
      </c>
      <c r="J83" s="42">
        <f t="shared" si="37"/>
        <v>129473.13906391032</v>
      </c>
      <c r="L83" t="s">
        <v>398</v>
      </c>
    </row>
    <row r="84" spans="1:13" x14ac:dyDescent="0.25">
      <c r="A84" s="19" t="s">
        <v>51</v>
      </c>
      <c r="B84" s="19"/>
      <c r="C84" s="19"/>
      <c r="D84" s="42">
        <f t="shared" ref="D84:J84" si="38">D78</f>
        <v>103486</v>
      </c>
      <c r="E84" s="42">
        <f t="shared" si="38"/>
        <v>111932.84009320507</v>
      </c>
      <c r="F84" s="42">
        <f t="shared" si="38"/>
        <v>122817.57878761113</v>
      </c>
      <c r="G84" s="42">
        <f t="shared" si="38"/>
        <v>130624.7977599656</v>
      </c>
      <c r="H84" s="42">
        <f t="shared" si="38"/>
        <v>134112.40827526507</v>
      </c>
      <c r="I84" s="42">
        <f t="shared" si="38"/>
        <v>137084.29153166478</v>
      </c>
      <c r="J84" s="42">
        <f t="shared" si="38"/>
        <v>151552.39758963068</v>
      </c>
      <c r="L84" t="s">
        <v>373</v>
      </c>
    </row>
    <row r="85" spans="1:13" x14ac:dyDescent="0.25">
      <c r="A85" s="159" t="s">
        <v>138</v>
      </c>
      <c r="B85" s="159"/>
      <c r="C85" s="159"/>
      <c r="D85" s="41">
        <f t="shared" ref="D85:J85" si="39">D83-D84</f>
        <v>-4276</v>
      </c>
      <c r="E85" s="41">
        <f t="shared" si="39"/>
        <v>-5151.983553234968</v>
      </c>
      <c r="F85" s="41">
        <f t="shared" si="39"/>
        <v>-10993.155036410579</v>
      </c>
      <c r="G85" s="41">
        <f t="shared" si="39"/>
        <v>-14363.465945023097</v>
      </c>
      <c r="H85" s="41">
        <f t="shared" si="39"/>
        <v>-14427.790378496706</v>
      </c>
      <c r="I85" s="41">
        <f t="shared" si="39"/>
        <v>-14067.794616446045</v>
      </c>
      <c r="J85" s="41">
        <f t="shared" si="39"/>
        <v>-22079.258525720361</v>
      </c>
      <c r="L85" t="s">
        <v>399</v>
      </c>
    </row>
    <row r="86" spans="1:13" s="95" customFormat="1" ht="21" x14ac:dyDescent="0.35">
      <c r="A86" s="475" t="s">
        <v>144</v>
      </c>
      <c r="B86" s="476"/>
      <c r="C86" s="477"/>
      <c r="D86" s="476"/>
      <c r="E86" s="476"/>
      <c r="F86" s="476"/>
      <c r="G86" s="476"/>
      <c r="H86" s="476"/>
      <c r="I86" s="476"/>
      <c r="J86" s="476"/>
      <c r="M86" s="1"/>
    </row>
    <row r="87" spans="1:13" x14ac:dyDescent="0.25">
      <c r="A87" s="18"/>
      <c r="B87" s="18"/>
      <c r="C87" s="18"/>
      <c r="D87" s="66" t="str">
        <f>D82</f>
        <v>2018/19</v>
      </c>
      <c r="E87" s="65" t="str">
        <f t="shared" ref="E87:J87" si="40">E82</f>
        <v>2019/20</v>
      </c>
      <c r="F87" s="65" t="str">
        <f t="shared" si="40"/>
        <v>2020/21</v>
      </c>
      <c r="G87" s="65" t="str">
        <f t="shared" si="40"/>
        <v>2021/22</v>
      </c>
      <c r="H87" s="65" t="str">
        <f t="shared" si="40"/>
        <v>2022/23</v>
      </c>
      <c r="I87" s="65" t="str">
        <f t="shared" si="40"/>
        <v>2023/24</v>
      </c>
      <c r="J87" s="65" t="str">
        <f t="shared" si="40"/>
        <v>2024/25</v>
      </c>
    </row>
    <row r="88" spans="1:13" x14ac:dyDescent="0.25">
      <c r="A88" s="16" t="s">
        <v>145</v>
      </c>
      <c r="B88" s="16"/>
      <c r="C88" s="16"/>
      <c r="D88" s="534">
        <f>D17</f>
        <v>-83664</v>
      </c>
      <c r="E88" s="51">
        <f t="shared" ref="E88:J88" si="41">D91</f>
        <v>-94465.469677419358</v>
      </c>
      <c r="F88" s="42">
        <f t="shared" si="41"/>
        <v>-105512.21474974451</v>
      </c>
      <c r="G88" s="42">
        <f t="shared" si="41"/>
        <v>-118194.48783735883</v>
      </c>
      <c r="H88" s="42">
        <f t="shared" si="41"/>
        <v>-131820.44797938465</v>
      </c>
      <c r="I88" s="42">
        <f t="shared" si="41"/>
        <v>-145464.41896278309</v>
      </c>
      <c r="J88" s="42">
        <f t="shared" si="41"/>
        <v>-159007.59113280734</v>
      </c>
      <c r="L88" t="s">
        <v>400</v>
      </c>
    </row>
    <row r="89" spans="1:13" x14ac:dyDescent="0.25">
      <c r="A89" s="16" t="s">
        <v>138</v>
      </c>
      <c r="B89" s="16"/>
      <c r="C89" s="16"/>
      <c r="D89" s="41">
        <f t="shared" ref="D89:J89" si="42">D85</f>
        <v>-4276</v>
      </c>
      <c r="E89" s="42">
        <f t="shared" si="42"/>
        <v>-5151.983553234968</v>
      </c>
      <c r="F89" s="42">
        <f t="shared" si="42"/>
        <v>-10993.155036410579</v>
      </c>
      <c r="G89" s="42">
        <f t="shared" si="42"/>
        <v>-14363.465945023097</v>
      </c>
      <c r="H89" s="42">
        <f t="shared" si="42"/>
        <v>-14427.790378496706</v>
      </c>
      <c r="I89" s="42">
        <f t="shared" si="42"/>
        <v>-14067.794616446045</v>
      </c>
      <c r="J89" s="42">
        <f t="shared" si="42"/>
        <v>-22079.258525720361</v>
      </c>
      <c r="L89" t="s">
        <v>373</v>
      </c>
    </row>
    <row r="90" spans="1:13" x14ac:dyDescent="0.25">
      <c r="A90" s="16" t="s">
        <v>53</v>
      </c>
      <c r="B90" s="16"/>
      <c r="C90" s="16"/>
      <c r="D90" s="52">
        <f>D11</f>
        <v>34300.677419354841</v>
      </c>
      <c r="E90" s="51">
        <f>D90</f>
        <v>34300.677419354841</v>
      </c>
      <c r="F90" s="42">
        <f t="shared" ref="F90:J90" si="43">E90</f>
        <v>34300.677419354841</v>
      </c>
      <c r="G90" s="42">
        <f t="shared" si="43"/>
        <v>34300.677419354841</v>
      </c>
      <c r="H90" s="42">
        <f t="shared" si="43"/>
        <v>34300.677419354841</v>
      </c>
      <c r="I90" s="42">
        <f t="shared" si="43"/>
        <v>34300.677419354841</v>
      </c>
      <c r="J90" s="42">
        <f t="shared" si="43"/>
        <v>34300.677419354841</v>
      </c>
      <c r="L90" t="s">
        <v>401</v>
      </c>
    </row>
    <row r="91" spans="1:13" x14ac:dyDescent="0.25">
      <c r="A91" s="16" t="s">
        <v>146</v>
      </c>
      <c r="B91" s="16"/>
      <c r="C91" s="16"/>
      <c r="D91" s="42">
        <f t="shared" ref="D91:J91" si="44">D88+(D89-D90)*D8</f>
        <v>-94465.469677419358</v>
      </c>
      <c r="E91" s="42">
        <f t="shared" si="44"/>
        <v>-105512.21474974451</v>
      </c>
      <c r="F91" s="42">
        <f t="shared" si="44"/>
        <v>-118194.48783735883</v>
      </c>
      <c r="G91" s="42">
        <f t="shared" si="44"/>
        <v>-131820.44797938465</v>
      </c>
      <c r="H91" s="42">
        <f t="shared" si="44"/>
        <v>-145464.41896278309</v>
      </c>
      <c r="I91" s="42">
        <f t="shared" si="44"/>
        <v>-159007.59113280734</v>
      </c>
      <c r="J91" s="42">
        <f t="shared" si="44"/>
        <v>-174793.97319742839</v>
      </c>
      <c r="L91" t="s">
        <v>402</v>
      </c>
    </row>
    <row r="92" spans="1:13" x14ac:dyDescent="0.25">
      <c r="A92" s="638"/>
      <c r="B92" s="638"/>
      <c r="C92" s="638"/>
      <c r="D92" s="41"/>
      <c r="E92" s="41"/>
      <c r="F92" s="41"/>
      <c r="G92" s="41"/>
      <c r="H92" s="41"/>
      <c r="I92" s="41"/>
      <c r="J92" s="41"/>
    </row>
    <row r="93" spans="1:13" s="95" customFormat="1" ht="21" x14ac:dyDescent="0.35">
      <c r="A93" s="475" t="s">
        <v>140</v>
      </c>
      <c r="B93" s="476"/>
      <c r="C93" s="227"/>
      <c r="D93" s="228"/>
      <c r="E93" s="228"/>
      <c r="F93" s="228"/>
      <c r="G93" s="228"/>
      <c r="H93" s="228"/>
      <c r="I93" s="228"/>
      <c r="J93" s="228"/>
      <c r="M93" s="1"/>
    </row>
    <row r="94" spans="1:13" x14ac:dyDescent="0.25">
      <c r="A94" s="162" t="s">
        <v>125</v>
      </c>
      <c r="B94" s="18"/>
      <c r="C94" s="162"/>
      <c r="D94" s="168">
        <f>D23+D88</f>
        <v>2868052</v>
      </c>
      <c r="E94" s="168">
        <f t="shared" ref="E94:J94" si="45">E23+E88</f>
        <v>2981005.5303225806</v>
      </c>
      <c r="F94" s="168">
        <f t="shared" si="45"/>
        <v>3134377.1586318631</v>
      </c>
      <c r="G94" s="168">
        <f t="shared" si="45"/>
        <v>3262500.3620955432</v>
      </c>
      <c r="H94" s="168">
        <f t="shared" si="45"/>
        <v>3345289.1496175216</v>
      </c>
      <c r="I94" s="168">
        <f t="shared" si="45"/>
        <v>3420991.7649509031</v>
      </c>
      <c r="J94" s="168">
        <f t="shared" si="45"/>
        <v>3631195.3228006382</v>
      </c>
      <c r="L94" t="s">
        <v>403</v>
      </c>
    </row>
    <row r="95" spans="1:13" x14ac:dyDescent="0.25">
      <c r="A95" s="19" t="s">
        <v>53</v>
      </c>
      <c r="B95" s="16"/>
      <c r="C95" s="19"/>
      <c r="D95" s="42">
        <f>D90</f>
        <v>34300.677419354841</v>
      </c>
      <c r="E95" s="42">
        <f t="shared" ref="E95:J95" si="46">E90</f>
        <v>34300.677419354841</v>
      </c>
      <c r="F95" s="42">
        <f t="shared" si="46"/>
        <v>34300.677419354841</v>
      </c>
      <c r="G95" s="42">
        <f t="shared" si="46"/>
        <v>34300.677419354841</v>
      </c>
      <c r="H95" s="42">
        <f t="shared" si="46"/>
        <v>34300.677419354841</v>
      </c>
      <c r="I95" s="42">
        <f t="shared" si="46"/>
        <v>34300.677419354841</v>
      </c>
      <c r="J95" s="42">
        <f t="shared" si="46"/>
        <v>34300.677419354841</v>
      </c>
      <c r="L95" t="s">
        <v>373</v>
      </c>
    </row>
    <row r="96" spans="1:13" x14ac:dyDescent="0.25">
      <c r="A96" s="19" t="s">
        <v>141</v>
      </c>
      <c r="B96" s="16"/>
      <c r="C96" s="19"/>
      <c r="D96" s="42">
        <f>(D94*$D$19*$D$18+D22)/(1+$D$18)^0.5</f>
        <v>38598.001094083353</v>
      </c>
      <c r="E96" s="42">
        <f t="shared" ref="E96:J96" si="47">(E94*$D$19*$D$18+E22)/(1+$D$18)^0.5</f>
        <v>40128.106300584783</v>
      </c>
      <c r="F96" s="42">
        <f t="shared" si="47"/>
        <v>42200.912633971762</v>
      </c>
      <c r="G96" s="42">
        <f t="shared" si="47"/>
        <v>43937.083422459509</v>
      </c>
      <c r="H96" s="42">
        <f t="shared" si="47"/>
        <v>45066.162199205821</v>
      </c>
      <c r="I96" s="42">
        <f t="shared" si="47"/>
        <v>46100.174825334645</v>
      </c>
      <c r="J96" s="42">
        <f t="shared" si="47"/>
        <v>48938.936050946046</v>
      </c>
      <c r="L96" t="s">
        <v>404</v>
      </c>
    </row>
    <row r="97" spans="1:13" x14ac:dyDescent="0.25">
      <c r="A97" s="19" t="s">
        <v>142</v>
      </c>
      <c r="B97" s="16"/>
      <c r="C97" s="19"/>
      <c r="D97" s="42">
        <f t="shared" ref="D97:J97" si="48">D21-D83</f>
        <v>9519</v>
      </c>
      <c r="E97" s="42">
        <f t="shared" si="48"/>
        <v>10839.409173168926</v>
      </c>
      <c r="F97" s="42">
        <f t="shared" si="48"/>
        <v>12909.10676779873</v>
      </c>
      <c r="G97" s="42">
        <f t="shared" si="48"/>
        <v>15364.305586074333</v>
      </c>
      <c r="H97" s="42">
        <f t="shared" si="48"/>
        <v>18094.23181141894</v>
      </c>
      <c r="I97" s="42">
        <f t="shared" si="48"/>
        <v>20955.137259508338</v>
      </c>
      <c r="J97" s="42">
        <f t="shared" si="48"/>
        <v>23948.449029283162</v>
      </c>
      <c r="L97" t="s">
        <v>405</v>
      </c>
    </row>
    <row r="98" spans="1:13" x14ac:dyDescent="0.25">
      <c r="A98" s="159" t="s">
        <v>143</v>
      </c>
      <c r="B98" s="17"/>
      <c r="C98" s="159"/>
      <c r="D98" s="41">
        <f t="shared" ref="D98:J98" si="49">D95+D97-D96</f>
        <v>5221.6763252714882</v>
      </c>
      <c r="E98" s="41">
        <f t="shared" si="49"/>
        <v>5011.980291938984</v>
      </c>
      <c r="F98" s="41">
        <f t="shared" si="49"/>
        <v>5008.8715531818088</v>
      </c>
      <c r="G98" s="41">
        <f t="shared" si="49"/>
        <v>5727.8995829696651</v>
      </c>
      <c r="H98" s="41">
        <f t="shared" si="49"/>
        <v>7328.7470315679602</v>
      </c>
      <c r="I98" s="41">
        <f t="shared" si="49"/>
        <v>9155.6398535285334</v>
      </c>
      <c r="J98" s="41">
        <f t="shared" si="49"/>
        <v>9310.1903976919566</v>
      </c>
      <c r="L98" t="s">
        <v>406</v>
      </c>
    </row>
    <row r="99" spans="1:13" s="92" customFormat="1" ht="39.950000000000003" customHeight="1" x14ac:dyDescent="0.35">
      <c r="A99" s="487" t="s">
        <v>83</v>
      </c>
      <c r="D99" s="568"/>
      <c r="E99" s="568"/>
      <c r="M99" s="1"/>
    </row>
    <row r="100" spans="1:13" x14ac:dyDescent="0.25">
      <c r="A100" s="18"/>
      <c r="B100" s="18"/>
      <c r="C100" s="18"/>
      <c r="D100" s="65" t="str">
        <f>D87</f>
        <v>2018/19</v>
      </c>
      <c r="E100" s="65" t="str">
        <f t="shared" ref="E100:J100" si="50">E87</f>
        <v>2019/20</v>
      </c>
      <c r="F100" s="65" t="str">
        <f t="shared" si="50"/>
        <v>2020/21</v>
      </c>
      <c r="G100" s="65" t="str">
        <f t="shared" si="50"/>
        <v>2021/22</v>
      </c>
      <c r="H100" s="65" t="str">
        <f t="shared" si="50"/>
        <v>2022/23</v>
      </c>
      <c r="I100" s="65" t="str">
        <f t="shared" si="50"/>
        <v>2023/24</v>
      </c>
      <c r="J100" s="65" t="str">
        <f t="shared" si="50"/>
        <v>2024/25</v>
      </c>
    </row>
    <row r="101" spans="1:13" x14ac:dyDescent="0.25">
      <c r="A101" s="19" t="s">
        <v>130</v>
      </c>
      <c r="B101" s="19"/>
      <c r="C101" s="19"/>
      <c r="D101" s="42">
        <f t="shared" ref="D101:J101" si="51">D66</f>
        <v>0</v>
      </c>
      <c r="E101" s="42">
        <f t="shared" si="51"/>
        <v>0</v>
      </c>
      <c r="F101" s="42">
        <f t="shared" si="51"/>
        <v>5471.840909090909</v>
      </c>
      <c r="G101" s="42">
        <f t="shared" si="51"/>
        <v>10363.232617641683</v>
      </c>
      <c r="H101" s="42">
        <f t="shared" si="51"/>
        <v>14270.118981278047</v>
      </c>
      <c r="I101" s="42">
        <f t="shared" si="51"/>
        <v>18117.542472065797</v>
      </c>
      <c r="J101" s="42">
        <f t="shared" si="51"/>
        <v>25124.906108429434</v>
      </c>
      <c r="L101" t="s">
        <v>373</v>
      </c>
    </row>
    <row r="102" spans="1:13" x14ac:dyDescent="0.25">
      <c r="A102" s="19" t="s">
        <v>145</v>
      </c>
      <c r="B102" s="19"/>
      <c r="C102" s="19"/>
      <c r="D102" s="42">
        <f t="shared" ref="D102:J102" si="52">D88</f>
        <v>-83664</v>
      </c>
      <c r="E102" s="42">
        <f t="shared" si="52"/>
        <v>-94465.469677419358</v>
      </c>
      <c r="F102" s="42">
        <f t="shared" si="52"/>
        <v>-105512.21474974451</v>
      </c>
      <c r="G102" s="42">
        <f t="shared" si="52"/>
        <v>-118194.48783735883</v>
      </c>
      <c r="H102" s="42">
        <f t="shared" si="52"/>
        <v>-131820.44797938465</v>
      </c>
      <c r="I102" s="42">
        <f t="shared" si="52"/>
        <v>-145464.41896278309</v>
      </c>
      <c r="J102" s="42">
        <f t="shared" si="52"/>
        <v>-159007.59113280734</v>
      </c>
      <c r="L102" t="s">
        <v>373</v>
      </c>
    </row>
    <row r="103" spans="1:13" x14ac:dyDescent="0.25">
      <c r="A103" s="19" t="s">
        <v>146</v>
      </c>
      <c r="B103" s="19"/>
      <c r="C103" s="19"/>
      <c r="D103" s="42">
        <f t="shared" ref="D103:J103" si="53">D91</f>
        <v>-94465.469677419358</v>
      </c>
      <c r="E103" s="42">
        <f t="shared" si="53"/>
        <v>-105512.21474974451</v>
      </c>
      <c r="F103" s="42">
        <f t="shared" si="53"/>
        <v>-118194.48783735883</v>
      </c>
      <c r="G103" s="42">
        <f t="shared" si="53"/>
        <v>-131820.44797938465</v>
      </c>
      <c r="H103" s="42">
        <f t="shared" si="53"/>
        <v>-145464.41896278309</v>
      </c>
      <c r="I103" s="42">
        <f t="shared" si="53"/>
        <v>-159007.59113280734</v>
      </c>
      <c r="J103" s="42">
        <f t="shared" si="53"/>
        <v>-174793.97319742839</v>
      </c>
      <c r="L103" t="s">
        <v>373</v>
      </c>
    </row>
    <row r="104" spans="1:13" x14ac:dyDescent="0.25">
      <c r="A104" s="19" t="s">
        <v>143</v>
      </c>
      <c r="B104" s="19"/>
      <c r="C104" s="19"/>
      <c r="D104" s="42">
        <f t="shared" ref="D104:J104" si="54">D98</f>
        <v>5221.6763252714882</v>
      </c>
      <c r="E104" s="42">
        <f t="shared" si="54"/>
        <v>5011.980291938984</v>
      </c>
      <c r="F104" s="42">
        <f t="shared" si="54"/>
        <v>5008.8715531818088</v>
      </c>
      <c r="G104" s="42">
        <f t="shared" si="54"/>
        <v>5727.8995829696651</v>
      </c>
      <c r="H104" s="42">
        <f t="shared" si="54"/>
        <v>7328.7470315679602</v>
      </c>
      <c r="I104" s="42">
        <f t="shared" si="54"/>
        <v>9155.6398535285334</v>
      </c>
      <c r="J104" s="42">
        <f t="shared" si="54"/>
        <v>9310.1903976919566</v>
      </c>
      <c r="L104" t="s">
        <v>373</v>
      </c>
    </row>
    <row r="105" spans="1:13" x14ac:dyDescent="0.25">
      <c r="A105" s="19" t="s">
        <v>49</v>
      </c>
      <c r="B105" s="19"/>
      <c r="C105" s="19"/>
      <c r="D105" s="42">
        <f>D31+D37+D43+D49+D55+D61+D69</f>
        <v>2695210</v>
      </c>
      <c r="E105" s="42">
        <f>E31+E37+E43+E49+E55+E61+E69</f>
        <v>2792048</v>
      </c>
      <c r="F105" s="42">
        <f>F31+F37+F43+F49+F55+F61+F69</f>
        <v>2915258.1484764968</v>
      </c>
      <c r="G105" s="41"/>
      <c r="H105" s="41"/>
      <c r="I105" s="41"/>
      <c r="J105" s="41"/>
      <c r="L105" t="s">
        <v>407</v>
      </c>
    </row>
    <row r="106" spans="1:13" x14ac:dyDescent="0.25">
      <c r="A106" s="19" t="s">
        <v>51</v>
      </c>
      <c r="B106" s="19"/>
      <c r="C106" s="19"/>
      <c r="D106" s="42">
        <f>D78</f>
        <v>103486</v>
      </c>
      <c r="E106" s="42">
        <f>E78</f>
        <v>111932.84009320507</v>
      </c>
      <c r="F106" s="42">
        <f>F78</f>
        <v>122817.57878761113</v>
      </c>
      <c r="G106" s="43"/>
      <c r="H106" s="43"/>
      <c r="I106" s="43"/>
      <c r="J106" s="43"/>
      <c r="L106" t="s">
        <v>373</v>
      </c>
    </row>
    <row r="107" spans="1:13" x14ac:dyDescent="0.25">
      <c r="A107" s="19" t="s">
        <v>52</v>
      </c>
      <c r="B107" s="19"/>
      <c r="C107" s="19"/>
      <c r="D107" s="42">
        <f>D77</f>
        <v>1224826</v>
      </c>
      <c r="E107" s="42">
        <f>E77</f>
        <v>1324800</v>
      </c>
      <c r="F107" s="42">
        <f>F77</f>
        <v>1453628.159906795</v>
      </c>
      <c r="G107" s="43"/>
      <c r="H107" s="43"/>
      <c r="I107" s="43"/>
      <c r="J107" s="43"/>
      <c r="L107" t="s">
        <v>373</v>
      </c>
    </row>
    <row r="108" spans="1:13" x14ac:dyDescent="0.25">
      <c r="A108" s="19" t="s">
        <v>53</v>
      </c>
      <c r="B108" s="19"/>
      <c r="C108" s="19"/>
      <c r="D108" s="42">
        <f>D95</f>
        <v>34300.677419354841</v>
      </c>
      <c r="E108" s="42">
        <f>E95</f>
        <v>34300.677419354841</v>
      </c>
      <c r="F108" s="42">
        <f>F95</f>
        <v>34300.677419354841</v>
      </c>
      <c r="G108" s="43"/>
      <c r="H108" s="43"/>
      <c r="I108" s="43"/>
      <c r="J108" s="43"/>
      <c r="L108" t="s">
        <v>373</v>
      </c>
    </row>
    <row r="109" spans="1:13" x14ac:dyDescent="0.25">
      <c r="A109" s="19" t="s">
        <v>55</v>
      </c>
      <c r="B109" s="19"/>
      <c r="C109" s="19"/>
      <c r="D109" s="42">
        <f>D88</f>
        <v>-83664</v>
      </c>
      <c r="E109" s="42">
        <f>E88</f>
        <v>-94465.469677419358</v>
      </c>
      <c r="F109" s="42">
        <f>F88</f>
        <v>-105512.21474974451</v>
      </c>
      <c r="G109" s="43"/>
      <c r="H109" s="43"/>
      <c r="I109" s="43"/>
      <c r="J109" s="43"/>
      <c r="L109" t="s">
        <v>373</v>
      </c>
    </row>
    <row r="110" spans="1:13" x14ac:dyDescent="0.25">
      <c r="A110" s="159" t="s">
        <v>408</v>
      </c>
      <c r="B110" s="159"/>
      <c r="C110" s="159"/>
      <c r="D110" s="41">
        <f>D66+D71</f>
        <v>99210</v>
      </c>
      <c r="E110" s="41">
        <f>E66+E71</f>
        <v>106780.8565399701</v>
      </c>
      <c r="F110" s="41">
        <f>F66+F71</f>
        <v>111824.42375120055</v>
      </c>
      <c r="G110" s="43"/>
      <c r="H110" s="43"/>
      <c r="I110" s="43"/>
      <c r="J110" s="43"/>
      <c r="L110" t="s">
        <v>407</v>
      </c>
    </row>
  </sheetData>
  <pageMargins left="0.23622047244094491" right="0.23622047244094491" top="0.74803149606299213" bottom="0.74803149606299213" header="0.31496062992125984" footer="0.31496062992125984"/>
  <pageSetup paperSize="9" scale="47" fitToHeight="0" orientation="portrait" r:id="rId1"/>
  <rowBreaks count="1" manualBreakCount="1">
    <brk id="66" max="1638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AA58"/>
  <sheetViews>
    <sheetView showGridLines="0" view="pageBreakPreview" zoomScaleNormal="100" zoomScaleSheetLayoutView="100" workbookViewId="0">
      <selection activeCell="Q23" sqref="Q23"/>
    </sheetView>
  </sheetViews>
  <sheetFormatPr defaultRowHeight="15" customHeight="1" x14ac:dyDescent="0.25"/>
  <cols>
    <col min="1" max="1" width="50.5703125" customWidth="1"/>
    <col min="2" max="2" width="12.5703125" customWidth="1"/>
    <col min="3" max="3" width="12" customWidth="1"/>
    <col min="4" max="5" width="10.5703125" customWidth="1"/>
    <col min="6" max="10" width="11.140625" customWidth="1"/>
    <col min="11" max="11" width="2.85546875" style="1" customWidth="1"/>
  </cols>
  <sheetData>
    <row r="1" spans="1:13" s="97" customFormat="1" ht="15" customHeight="1" x14ac:dyDescent="0.25">
      <c r="A1" s="97" t="s">
        <v>554</v>
      </c>
      <c r="K1" s="1"/>
    </row>
    <row r="2" spans="1:13" s="113" customFormat="1" ht="39.950000000000003" customHeight="1" x14ac:dyDescent="0.35">
      <c r="A2" s="374" t="s">
        <v>215</v>
      </c>
      <c r="J2" s="516" t="str">
        <f>EDB_Name</f>
        <v>Vector Lines</v>
      </c>
      <c r="K2" s="38"/>
    </row>
    <row r="3" spans="1:13" ht="20.100000000000001" customHeight="1" x14ac:dyDescent="0.25">
      <c r="A3" s="639" t="s">
        <v>147</v>
      </c>
      <c r="B3" s="640"/>
      <c r="C3" s="1"/>
      <c r="D3" s="1"/>
      <c r="E3" s="1"/>
      <c r="F3" s="1"/>
      <c r="G3" s="1"/>
      <c r="H3" s="1"/>
      <c r="I3" s="1"/>
      <c r="J3" s="1"/>
    </row>
    <row r="4" spans="1:13" s="92" customFormat="1" ht="39.950000000000003" customHeight="1" x14ac:dyDescent="0.35">
      <c r="A4" s="487" t="s">
        <v>12</v>
      </c>
      <c r="K4" s="1"/>
    </row>
    <row r="5" spans="1:13" x14ac:dyDescent="0.25">
      <c r="A5" s="31"/>
      <c r="B5" s="57" t="s">
        <v>122</v>
      </c>
      <c r="C5" s="173" t="s">
        <v>31</v>
      </c>
      <c r="D5" s="36" t="s">
        <v>424</v>
      </c>
      <c r="E5" s="36" t="s">
        <v>425</v>
      </c>
      <c r="F5" s="36" t="s">
        <v>426</v>
      </c>
      <c r="G5" s="36" t="s">
        <v>427</v>
      </c>
      <c r="H5" s="36" t="s">
        <v>428</v>
      </c>
      <c r="I5" s="36" t="s">
        <v>319</v>
      </c>
      <c r="J5" s="36" t="s">
        <v>320</v>
      </c>
    </row>
    <row r="6" spans="1:13" x14ac:dyDescent="0.25">
      <c r="A6" s="426" t="s">
        <v>33</v>
      </c>
      <c r="B6" s="574" t="s">
        <v>70</v>
      </c>
      <c r="C6" s="426"/>
      <c r="D6" s="472"/>
      <c r="E6" s="472"/>
      <c r="F6" s="314">
        <f>'EDB data (update)'!D23</f>
        <v>1</v>
      </c>
      <c r="G6" s="314">
        <f>'EDB data (update)'!E23</f>
        <v>2</v>
      </c>
      <c r="H6" s="314">
        <f>'EDB data (update)'!F23</f>
        <v>3</v>
      </c>
      <c r="I6" s="314">
        <f>'EDB data (update)'!G23</f>
        <v>4</v>
      </c>
      <c r="J6" s="314">
        <f>'EDB data (update)'!H23</f>
        <v>5</v>
      </c>
      <c r="M6" s="58"/>
    </row>
    <row r="7" spans="1:13" x14ac:dyDescent="0.25">
      <c r="A7" s="426" t="s">
        <v>123</v>
      </c>
      <c r="B7" s="574" t="s">
        <v>70</v>
      </c>
      <c r="C7" s="472"/>
      <c r="D7" s="575">
        <f>'EDB data (update)'!B26</f>
        <v>0.28000000000000003</v>
      </c>
      <c r="E7" s="575">
        <f>'EDB data (update)'!C26</f>
        <v>0.28000000000000003</v>
      </c>
      <c r="F7" s="575">
        <f>'EDB data (update)'!D26</f>
        <v>0.28000000000000003</v>
      </c>
      <c r="G7" s="575">
        <f>'EDB data (update)'!E26</f>
        <v>0.28000000000000003</v>
      </c>
      <c r="H7" s="575">
        <f>'EDB data (update)'!F26</f>
        <v>0.28000000000000003</v>
      </c>
      <c r="I7" s="575">
        <f>'EDB data (update)'!G26</f>
        <v>0.28000000000000003</v>
      </c>
      <c r="J7" s="575">
        <f>'EDB data (update)'!H26</f>
        <v>0.28000000000000003</v>
      </c>
      <c r="M7" s="58"/>
    </row>
    <row r="8" spans="1:13" x14ac:dyDescent="0.25">
      <c r="A8" s="426" t="s">
        <v>54</v>
      </c>
      <c r="B8" s="574" t="s">
        <v>70</v>
      </c>
      <c r="C8" s="314"/>
      <c r="D8" s="61">
        <f>'EDB data (update)'!B38</f>
        <v>3983.6873940243322</v>
      </c>
      <c r="E8" s="245"/>
      <c r="F8" s="245"/>
      <c r="G8" s="245"/>
      <c r="H8" s="245"/>
      <c r="I8" s="245"/>
      <c r="J8" s="245"/>
      <c r="M8" s="58"/>
    </row>
    <row r="9" spans="1:13" x14ac:dyDescent="0.25">
      <c r="A9" s="577" t="s">
        <v>57</v>
      </c>
      <c r="B9" s="488" t="s">
        <v>70</v>
      </c>
      <c r="C9" s="467"/>
      <c r="D9" s="578" cm="1">
        <f t="array" ref="D9:J9">TRANSPOSE('EDB data (update)'!B52:B58)</f>
        <v>203460</v>
      </c>
      <c r="E9" s="579">
        <v>240761</v>
      </c>
      <c r="F9" s="61">
        <v>215221.23517623401</v>
      </c>
      <c r="G9" s="576">
        <v>171903</v>
      </c>
      <c r="H9" s="576">
        <v>169286.63359466099</v>
      </c>
      <c r="I9" s="576">
        <v>308324</v>
      </c>
      <c r="J9" s="576">
        <v>382111</v>
      </c>
      <c r="M9" s="58"/>
    </row>
    <row r="10" spans="1:13" x14ac:dyDescent="0.25">
      <c r="A10" s="577" t="s">
        <v>56</v>
      </c>
      <c r="B10" s="488" t="s">
        <v>70</v>
      </c>
      <c r="C10" s="576"/>
      <c r="D10" s="576"/>
      <c r="E10" s="576"/>
      <c r="F10" s="578" cm="1">
        <f t="array" ref="F10:J10">TRANSPOSE('EDB data (update)'!B44:B48)</f>
        <v>127351.13794047505</v>
      </c>
      <c r="G10" s="579">
        <v>132448.68478800423</v>
      </c>
      <c r="H10" s="576">
        <v>137800.82316421505</v>
      </c>
      <c r="I10" s="576">
        <v>142973.17103060253</v>
      </c>
      <c r="J10" s="576">
        <v>148015.88957073344</v>
      </c>
      <c r="M10" s="58"/>
    </row>
    <row r="11" spans="1:13" x14ac:dyDescent="0.25">
      <c r="A11" s="577" t="s">
        <v>41</v>
      </c>
      <c r="B11" s="488" t="s">
        <v>70</v>
      </c>
      <c r="C11" s="583">
        <f>'EDB data (update)'!B10</f>
        <v>4.5699999999999998E-2</v>
      </c>
      <c r="D11" s="584"/>
      <c r="E11" s="584"/>
      <c r="F11" s="584"/>
      <c r="G11" s="584"/>
      <c r="H11" s="584"/>
      <c r="I11" s="584"/>
      <c r="J11" s="584"/>
      <c r="M11" s="641"/>
    </row>
    <row r="12" spans="1:13" x14ac:dyDescent="0.25">
      <c r="A12" s="577" t="s">
        <v>84</v>
      </c>
      <c r="B12" s="488" t="s">
        <v>148</v>
      </c>
      <c r="C12" s="493">
        <f>'TIMING (update)'!C24</f>
        <v>1.0225321432719434</v>
      </c>
      <c r="M12" s="641"/>
    </row>
    <row r="13" spans="1:13" x14ac:dyDescent="0.25">
      <c r="A13" s="577" t="s">
        <v>258</v>
      </c>
      <c r="B13" s="488" t="s">
        <v>148</v>
      </c>
      <c r="C13" s="493">
        <f>'TIMING (update)'!C25</f>
        <v>1.0225321432719434</v>
      </c>
      <c r="M13" s="641"/>
    </row>
    <row r="14" spans="1:13" x14ac:dyDescent="0.25">
      <c r="A14" s="577" t="s">
        <v>259</v>
      </c>
      <c r="B14" s="488" t="s">
        <v>148</v>
      </c>
      <c r="C14" s="493">
        <f>'TIMING (update)'!C26</f>
        <v>1.0225321432719434</v>
      </c>
      <c r="M14" s="641"/>
    </row>
    <row r="15" spans="1:13" x14ac:dyDescent="0.25">
      <c r="A15" s="577" t="s">
        <v>257</v>
      </c>
      <c r="B15" s="488" t="s">
        <v>148</v>
      </c>
      <c r="C15" s="493">
        <f>'TIMING (update)'!C27</f>
        <v>1.0182846181695255</v>
      </c>
      <c r="D15" s="243"/>
      <c r="E15" s="243"/>
      <c r="F15" s="243"/>
      <c r="G15" s="243"/>
      <c r="H15" s="243"/>
      <c r="I15" s="243"/>
      <c r="J15" s="243"/>
      <c r="M15" s="58"/>
    </row>
    <row r="16" spans="1:13" x14ac:dyDescent="0.25">
      <c r="A16" s="426" t="s">
        <v>117</v>
      </c>
      <c r="B16" s="574" t="s">
        <v>124</v>
      </c>
      <c r="C16" s="472"/>
      <c r="D16" s="314">
        <f>'RAB (update)'!D92</f>
        <v>2951716</v>
      </c>
      <c r="E16" s="314">
        <f>'RAB (update)'!E92</f>
        <v>3075471</v>
      </c>
      <c r="F16" s="314">
        <f>'RAB (update)'!F92</f>
        <v>3239889.3733816077</v>
      </c>
      <c r="G16" s="314">
        <f>'RAB (update)'!G92</f>
        <v>3380694.849932902</v>
      </c>
      <c r="H16" s="314">
        <f>'RAB (update)'!H92</f>
        <v>3477109.5975969061</v>
      </c>
      <c r="I16" s="314">
        <f>'RAB (update)'!I92</f>
        <v>3566456.1839136863</v>
      </c>
      <c r="J16" s="314">
        <f>'RAB (update)'!J92</f>
        <v>3790202.9139334457</v>
      </c>
      <c r="M16" s="58"/>
    </row>
    <row r="17" spans="1:13" x14ac:dyDescent="0.25">
      <c r="A17" s="426" t="s">
        <v>118</v>
      </c>
      <c r="B17" s="574" t="s">
        <v>124</v>
      </c>
      <c r="C17" s="472"/>
      <c r="D17" s="314">
        <f>'RAB (update)'!D93</f>
        <v>0</v>
      </c>
      <c r="E17" s="314">
        <f>'RAB (update)'!E93</f>
        <v>52047.634078279647</v>
      </c>
      <c r="F17" s="314">
        <f>'RAB (update)'!F93</f>
        <v>61292.396782279815</v>
      </c>
      <c r="G17" s="314">
        <f>'RAB (update)'!G93</f>
        <v>67331.502451005101</v>
      </c>
      <c r="H17" s="314">
        <f>'RAB (update)'!H93</f>
        <v>69256.802164011096</v>
      </c>
      <c r="I17" s="314">
        <f>'RAB (update)'!I93</f>
        <v>71040.723922864388</v>
      </c>
      <c r="J17" s="314">
        <f>'RAB (update)'!J93</f>
        <v>75512.633915298968</v>
      </c>
      <c r="M17" s="58"/>
    </row>
    <row r="18" spans="1:13" x14ac:dyDescent="0.25">
      <c r="A18" s="426" t="s">
        <v>47</v>
      </c>
      <c r="B18" s="574" t="s">
        <v>124</v>
      </c>
      <c r="C18" s="472"/>
      <c r="D18" s="314">
        <f>'RAB (update)'!D91</f>
        <v>108729</v>
      </c>
      <c r="E18" s="314">
        <f>'RAB (update)'!E91</f>
        <v>117620.26571313903</v>
      </c>
      <c r="F18" s="314">
        <f>'RAB (update)'!F91</f>
        <v>124733.53051899928</v>
      </c>
      <c r="G18" s="314">
        <f>'RAB (update)'!G91</f>
        <v>131625.63740101684</v>
      </c>
      <c r="H18" s="314">
        <f>'RAB (update)'!H91</f>
        <v>137778.84970818731</v>
      </c>
      <c r="I18" s="314">
        <f>'RAB (update)'!I91</f>
        <v>143971.63417472708</v>
      </c>
      <c r="J18" s="314">
        <f>'RAB (update)'!J91</f>
        <v>153421.58809319348</v>
      </c>
      <c r="M18" s="58"/>
    </row>
    <row r="19" spans="1:13" x14ac:dyDescent="0.25">
      <c r="A19" s="426" t="s">
        <v>145</v>
      </c>
      <c r="B19" s="574" t="s">
        <v>149</v>
      </c>
      <c r="C19" s="472"/>
      <c r="D19" s="314">
        <f>'TAX (update)'!D102</f>
        <v>-83664</v>
      </c>
      <c r="E19" s="314">
        <f>'TAX (update)'!E102</f>
        <v>-94465.469677419358</v>
      </c>
      <c r="F19" s="314">
        <f>'TAX (update)'!F102</f>
        <v>-105512.21474974451</v>
      </c>
      <c r="G19" s="314">
        <f>'TAX (update)'!G102</f>
        <v>-118194.48783735883</v>
      </c>
      <c r="H19" s="314">
        <f>'TAX (update)'!H102</f>
        <v>-131820.44797938465</v>
      </c>
      <c r="I19" s="314">
        <f>'TAX (update)'!I102</f>
        <v>-145464.41896278309</v>
      </c>
      <c r="J19" s="314">
        <f>'TAX (update)'!J102</f>
        <v>-159007.59113280734</v>
      </c>
      <c r="M19" s="58"/>
    </row>
    <row r="20" spans="1:13" x14ac:dyDescent="0.25">
      <c r="A20" s="426" t="s">
        <v>146</v>
      </c>
      <c r="B20" s="574" t="s">
        <v>149</v>
      </c>
      <c r="C20" s="472"/>
      <c r="D20" s="314">
        <f>'TAX (update)'!D103</f>
        <v>-94465.469677419358</v>
      </c>
      <c r="E20" s="314">
        <f>'TAX (update)'!E103</f>
        <v>-105512.21474974451</v>
      </c>
      <c r="F20" s="314">
        <f>'TAX (update)'!F103</f>
        <v>-118194.48783735883</v>
      </c>
      <c r="G20" s="314">
        <f>'TAX (update)'!G103</f>
        <v>-131820.44797938465</v>
      </c>
      <c r="H20" s="314">
        <f>'TAX (update)'!H103</f>
        <v>-145464.41896278309</v>
      </c>
      <c r="I20" s="314">
        <f>'TAX (update)'!I103</f>
        <v>-159007.59113280734</v>
      </c>
      <c r="J20" s="314">
        <f>'TAX (update)'!J103</f>
        <v>-174793.97319742839</v>
      </c>
    </row>
    <row r="21" spans="1:13" x14ac:dyDescent="0.25">
      <c r="A21" s="25" t="s">
        <v>143</v>
      </c>
      <c r="B21" s="229" t="s">
        <v>149</v>
      </c>
      <c r="C21" s="230"/>
      <c r="D21" s="171">
        <f>'TAX (update)'!D104</f>
        <v>5221.6763252714882</v>
      </c>
      <c r="E21" s="171">
        <f>'TAX (update)'!E104</f>
        <v>5011.980291938984</v>
      </c>
      <c r="F21" s="171">
        <f>'TAX (update)'!F104</f>
        <v>5008.8715531818088</v>
      </c>
      <c r="G21" s="171">
        <f>'TAX (update)'!G104</f>
        <v>5727.8995829696651</v>
      </c>
      <c r="H21" s="171">
        <f>'TAX (update)'!H104</f>
        <v>7328.7470315679602</v>
      </c>
      <c r="I21" s="171">
        <f>'TAX (update)'!I104</f>
        <v>9155.6398535285334</v>
      </c>
      <c r="J21" s="171">
        <f>'TAX (update)'!J104</f>
        <v>9310.1903976919566</v>
      </c>
    </row>
    <row r="22" spans="1:13" s="92" customFormat="1" ht="23.25" x14ac:dyDescent="0.35">
      <c r="A22" s="487" t="s">
        <v>71</v>
      </c>
      <c r="K22" s="1"/>
    </row>
    <row r="23" spans="1:13" s="95" customFormat="1" ht="21" x14ac:dyDescent="0.35">
      <c r="A23" s="475" t="s">
        <v>54</v>
      </c>
      <c r="B23" s="476"/>
      <c r="C23" s="477"/>
      <c r="D23" s="476"/>
      <c r="E23" s="476"/>
      <c r="F23" s="476"/>
      <c r="G23" s="476"/>
      <c r="H23" s="476"/>
      <c r="I23" s="476"/>
      <c r="J23" s="476"/>
      <c r="K23" s="1"/>
    </row>
    <row r="24" spans="1:13" x14ac:dyDescent="0.25">
      <c r="A24" s="31"/>
      <c r="B24" s="31"/>
      <c r="C24" s="36"/>
      <c r="D24" s="36" t="s">
        <v>424</v>
      </c>
      <c r="E24" s="36" t="s">
        <v>425</v>
      </c>
      <c r="F24" s="36" t="s">
        <v>426</v>
      </c>
      <c r="G24" s="36" t="s">
        <v>427</v>
      </c>
      <c r="H24" s="36" t="s">
        <v>428</v>
      </c>
      <c r="I24" s="36" t="s">
        <v>319</v>
      </c>
      <c r="J24" s="36" t="s">
        <v>320</v>
      </c>
    </row>
    <row r="25" spans="1:13" x14ac:dyDescent="0.25">
      <c r="A25" s="426" t="s">
        <v>150</v>
      </c>
      <c r="B25" s="426"/>
      <c r="C25" s="302"/>
      <c r="D25" s="586">
        <f t="shared" ref="D25:J25" si="0">D16/$D$16</f>
        <v>1</v>
      </c>
      <c r="E25" s="342">
        <f t="shared" si="0"/>
        <v>1.0419264590495834</v>
      </c>
      <c r="F25" s="342">
        <f t="shared" si="0"/>
        <v>1.0976290989314716</v>
      </c>
      <c r="G25" s="342">
        <f t="shared" si="0"/>
        <v>1.1453320204019974</v>
      </c>
      <c r="H25" s="342">
        <f t="shared" si="0"/>
        <v>1.1779959852495654</v>
      </c>
      <c r="I25" s="342">
        <f t="shared" si="0"/>
        <v>1.2082653561229082</v>
      </c>
      <c r="J25" s="342">
        <f t="shared" si="0"/>
        <v>1.2840676114956335</v>
      </c>
    </row>
    <row r="26" spans="1:13" x14ac:dyDescent="0.25">
      <c r="A26" s="169" t="s">
        <v>54</v>
      </c>
      <c r="B26" s="169"/>
      <c r="C26" s="170"/>
      <c r="D26" s="642">
        <f>IF(D8&gt;0,D8,0)</f>
        <v>3983.6873940243322</v>
      </c>
      <c r="E26" s="643">
        <f>$D26*E25</f>
        <v>4150.7093004162352</v>
      </c>
      <c r="F26" s="171">
        <f t="shared" ref="F26:J26" si="1">$D26*F25</f>
        <v>4372.6112047275901</v>
      </c>
      <c r="G26" s="171">
        <f t="shared" si="1"/>
        <v>4562.6447316478561</v>
      </c>
      <c r="H26" s="171">
        <f t="shared" si="1"/>
        <v>4692.7677566499669</v>
      </c>
      <c r="I26" s="171">
        <f t="shared" si="1"/>
        <v>4813.3514678231495</v>
      </c>
      <c r="J26" s="171">
        <f t="shared" si="1"/>
        <v>5115.3239569900888</v>
      </c>
    </row>
    <row r="27" spans="1:13" s="95" customFormat="1" ht="21" x14ac:dyDescent="0.35">
      <c r="A27" s="475" t="s">
        <v>151</v>
      </c>
      <c r="B27" s="476"/>
      <c r="C27" s="477"/>
      <c r="D27" s="476"/>
      <c r="E27" s="476"/>
      <c r="F27" s="476"/>
      <c r="G27" s="476"/>
      <c r="H27" s="476"/>
      <c r="I27" s="476"/>
      <c r="J27" s="476"/>
      <c r="K27" s="1"/>
    </row>
    <row r="28" spans="1:13" x14ac:dyDescent="0.25">
      <c r="A28" s="31"/>
      <c r="B28" s="31"/>
      <c r="C28" s="36"/>
      <c r="D28" s="36" t="s">
        <v>424</v>
      </c>
      <c r="E28" s="36" t="s">
        <v>425</v>
      </c>
      <c r="F28" s="36" t="s">
        <v>426</v>
      </c>
      <c r="G28" s="36" t="s">
        <v>427</v>
      </c>
      <c r="H28" s="36" t="s">
        <v>428</v>
      </c>
      <c r="I28" s="36" t="s">
        <v>319</v>
      </c>
      <c r="J28" s="36" t="s">
        <v>320</v>
      </c>
    </row>
    <row r="29" spans="1:13" x14ac:dyDescent="0.25">
      <c r="A29" s="359" t="s">
        <v>125</v>
      </c>
      <c r="B29" s="359"/>
      <c r="C29" s="302"/>
      <c r="D29" s="314">
        <f>D16+D19</f>
        <v>2868052</v>
      </c>
      <c r="E29" s="314">
        <f t="shared" ref="E29:J29" si="2">E16+E19</f>
        <v>2981005.5303225806</v>
      </c>
      <c r="F29" s="314">
        <f t="shared" si="2"/>
        <v>3134377.1586318631</v>
      </c>
      <c r="G29" s="314">
        <f t="shared" si="2"/>
        <v>3262500.3620955432</v>
      </c>
      <c r="H29" s="314">
        <f t="shared" si="2"/>
        <v>3345289.1496175216</v>
      </c>
      <c r="I29" s="314">
        <f t="shared" si="2"/>
        <v>3420991.7649509031</v>
      </c>
      <c r="J29" s="314">
        <f t="shared" si="2"/>
        <v>3631195.3228006382</v>
      </c>
    </row>
    <row r="30" spans="1:13" x14ac:dyDescent="0.25">
      <c r="A30" s="359" t="s">
        <v>57</v>
      </c>
      <c r="B30" s="359"/>
      <c r="C30" s="302"/>
      <c r="D30" s="314">
        <f t="shared" ref="D30:J30" si="3">D9</f>
        <v>203460</v>
      </c>
      <c r="E30" s="314">
        <f t="shared" si="3"/>
        <v>240761</v>
      </c>
      <c r="F30" s="314">
        <f t="shared" si="3"/>
        <v>215221.23517623401</v>
      </c>
      <c r="G30" s="314">
        <f t="shared" si="3"/>
        <v>171903</v>
      </c>
      <c r="H30" s="314">
        <f t="shared" si="3"/>
        <v>169286.63359466099</v>
      </c>
      <c r="I30" s="314">
        <f t="shared" si="3"/>
        <v>308324</v>
      </c>
      <c r="J30" s="314">
        <f t="shared" si="3"/>
        <v>382111</v>
      </c>
    </row>
    <row r="31" spans="1:13" x14ac:dyDescent="0.25">
      <c r="A31" s="359" t="s">
        <v>54</v>
      </c>
      <c r="B31" s="359"/>
      <c r="C31" s="302"/>
      <c r="D31" s="314">
        <f t="shared" ref="D31:J31" si="4">D26</f>
        <v>3983.6873940243322</v>
      </c>
      <c r="E31" s="314">
        <f t="shared" si="4"/>
        <v>4150.7093004162352</v>
      </c>
      <c r="F31" s="314">
        <f t="shared" si="4"/>
        <v>4372.6112047275901</v>
      </c>
      <c r="G31" s="314">
        <f t="shared" si="4"/>
        <v>4562.6447316478561</v>
      </c>
      <c r="H31" s="314">
        <f t="shared" si="4"/>
        <v>4692.7677566499669</v>
      </c>
      <c r="I31" s="314">
        <f t="shared" si="4"/>
        <v>4813.3514678231495</v>
      </c>
      <c r="J31" s="314">
        <f t="shared" si="4"/>
        <v>5115.3239569900888</v>
      </c>
    </row>
    <row r="32" spans="1:13" x14ac:dyDescent="0.25">
      <c r="A32" s="359" t="s">
        <v>118</v>
      </c>
      <c r="B32" s="359"/>
      <c r="C32" s="302"/>
      <c r="D32" s="314">
        <f t="shared" ref="D32:J32" si="5">D17</f>
        <v>0</v>
      </c>
      <c r="E32" s="314">
        <f t="shared" si="5"/>
        <v>52047.634078279647</v>
      </c>
      <c r="F32" s="314">
        <f t="shared" si="5"/>
        <v>61292.396782279815</v>
      </c>
      <c r="G32" s="314">
        <f t="shared" si="5"/>
        <v>67331.502451005101</v>
      </c>
      <c r="H32" s="314">
        <f t="shared" si="5"/>
        <v>69256.802164011096</v>
      </c>
      <c r="I32" s="314">
        <f t="shared" si="5"/>
        <v>71040.723922864388</v>
      </c>
      <c r="J32" s="314">
        <f t="shared" si="5"/>
        <v>75512.633915298968</v>
      </c>
    </row>
    <row r="33" spans="1:27" x14ac:dyDescent="0.25">
      <c r="A33" s="169" t="s">
        <v>151</v>
      </c>
      <c r="B33" s="169"/>
      <c r="C33" s="170"/>
      <c r="D33" s="171">
        <f t="shared" ref="D33:J33" si="6">D29*$C$11+D30*($C$14-1)+D31-D32</f>
        <v>139638.05366413394</v>
      </c>
      <c r="E33" s="171">
        <f t="shared" si="6"/>
        <v>93759.889304174852</v>
      </c>
      <c r="F33" s="171">
        <f t="shared" si="6"/>
        <v>91170.646278079439</v>
      </c>
      <c r="G33" s="171">
        <f t="shared" si="6"/>
        <v>90200.751853285969</v>
      </c>
      <c r="H33" s="171">
        <f t="shared" si="6"/>
        <v>92130.070412339483</v>
      </c>
      <c r="I33" s="171">
        <f t="shared" si="6"/>
        <v>97059.151745393698</v>
      </c>
      <c r="J33" s="171">
        <f t="shared" si="6"/>
        <v>104158.09609146585</v>
      </c>
    </row>
    <row r="34" spans="1:27" s="95" customFormat="1" ht="21" x14ac:dyDescent="0.35">
      <c r="A34" s="475" t="s">
        <v>56</v>
      </c>
      <c r="B34" s="476"/>
      <c r="C34" s="477"/>
      <c r="D34" s="476"/>
      <c r="E34" s="476"/>
      <c r="F34" s="476"/>
      <c r="G34" s="476"/>
      <c r="H34" s="476"/>
      <c r="I34" s="476"/>
      <c r="J34" s="476"/>
      <c r="K34" s="1"/>
    </row>
    <row r="35" spans="1:27" x14ac:dyDescent="0.25">
      <c r="A35" s="31"/>
      <c r="B35" s="31"/>
      <c r="C35" s="36"/>
      <c r="D35" s="36" t="s">
        <v>424</v>
      </c>
      <c r="E35" s="36" t="s">
        <v>425</v>
      </c>
      <c r="F35" s="36" t="s">
        <v>426</v>
      </c>
      <c r="G35" s="36" t="s">
        <v>427</v>
      </c>
      <c r="H35" s="36" t="s">
        <v>428</v>
      </c>
      <c r="I35" s="36" t="s">
        <v>319</v>
      </c>
      <c r="J35" s="36" t="s">
        <v>320</v>
      </c>
    </row>
    <row r="36" spans="1:27" x14ac:dyDescent="0.25">
      <c r="A36" s="359" t="s">
        <v>56</v>
      </c>
      <c r="B36" s="359"/>
      <c r="C36" s="302"/>
      <c r="D36" s="314">
        <f t="shared" ref="D36:J36" si="7">D10</f>
        <v>0</v>
      </c>
      <c r="E36" s="314">
        <f t="shared" si="7"/>
        <v>0</v>
      </c>
      <c r="F36" s="314">
        <f t="shared" si="7"/>
        <v>127351.13794047505</v>
      </c>
      <c r="G36" s="314">
        <f t="shared" si="7"/>
        <v>132448.68478800423</v>
      </c>
      <c r="H36" s="314">
        <f t="shared" si="7"/>
        <v>137800.82316421505</v>
      </c>
      <c r="I36" s="314">
        <f t="shared" si="7"/>
        <v>142973.17103060253</v>
      </c>
      <c r="J36" s="314">
        <f t="shared" si="7"/>
        <v>148015.88957073344</v>
      </c>
    </row>
    <row r="37" spans="1:27" x14ac:dyDescent="0.25">
      <c r="A37" s="169" t="s">
        <v>152</v>
      </c>
      <c r="B37" s="169"/>
      <c r="C37" s="170"/>
      <c r="D37" s="171">
        <f t="shared" ref="D37:J37" si="8">D36*$C$12</f>
        <v>0</v>
      </c>
      <c r="E37" s="171">
        <f t="shared" si="8"/>
        <v>0</v>
      </c>
      <c r="F37" s="171">
        <f t="shared" si="8"/>
        <v>130220.63202639486</v>
      </c>
      <c r="G37" s="171">
        <f t="shared" si="8"/>
        <v>135433.03752982803</v>
      </c>
      <c r="H37" s="171">
        <f t="shared" si="8"/>
        <v>140905.77105474289</v>
      </c>
      <c r="I37" s="171">
        <f t="shared" si="8"/>
        <v>146194.66300430815</v>
      </c>
      <c r="J37" s="171">
        <f t="shared" si="8"/>
        <v>151351.00480106537</v>
      </c>
    </row>
    <row r="38" spans="1:27" s="95" customFormat="1" ht="21" x14ac:dyDescent="0.35">
      <c r="A38" s="475" t="s">
        <v>153</v>
      </c>
      <c r="B38" s="476"/>
      <c r="C38" s="477"/>
      <c r="D38" s="476"/>
      <c r="E38" s="476"/>
      <c r="F38" s="476"/>
      <c r="G38" s="476"/>
      <c r="H38" s="476"/>
      <c r="I38" s="476"/>
      <c r="J38" s="476"/>
      <c r="K38" s="1"/>
    </row>
    <row r="39" spans="1:27" x14ac:dyDescent="0.25">
      <c r="A39" s="31"/>
      <c r="B39" s="31"/>
      <c r="C39" s="36"/>
      <c r="D39" s="36" t="s">
        <v>424</v>
      </c>
      <c r="E39" s="36" t="s">
        <v>425</v>
      </c>
      <c r="F39" s="36" t="s">
        <v>426</v>
      </c>
      <c r="G39" s="36" t="s">
        <v>427</v>
      </c>
      <c r="H39" s="36" t="s">
        <v>428</v>
      </c>
      <c r="I39" s="36" t="s">
        <v>319</v>
      </c>
      <c r="J39" s="36" t="s">
        <v>320</v>
      </c>
      <c r="M39" s="33"/>
      <c r="N39" s="33"/>
      <c r="O39" s="33"/>
      <c r="P39" s="33"/>
      <c r="Q39" s="33"/>
      <c r="R39" s="33"/>
      <c r="S39" s="33"/>
      <c r="U39" s="33"/>
      <c r="V39" s="33"/>
      <c r="W39" s="33"/>
      <c r="X39" s="33"/>
      <c r="Y39" s="33"/>
      <c r="Z39" s="33"/>
      <c r="AA39" s="33"/>
    </row>
    <row r="40" spans="1:27" x14ac:dyDescent="0.25">
      <c r="A40" s="359" t="s">
        <v>260</v>
      </c>
      <c r="B40" s="359"/>
      <c r="C40" s="302"/>
      <c r="D40" s="314">
        <f t="shared" ref="D40:J40" si="9">D20-D19</f>
        <v>-10801.469677419358</v>
      </c>
      <c r="E40" s="314">
        <f t="shared" si="9"/>
        <v>-11046.745072325153</v>
      </c>
      <c r="F40" s="314">
        <f t="shared" si="9"/>
        <v>-12682.273087614318</v>
      </c>
      <c r="G40" s="314">
        <f t="shared" si="9"/>
        <v>-13625.960142025826</v>
      </c>
      <c r="H40" s="314">
        <f t="shared" si="9"/>
        <v>-13643.970983398438</v>
      </c>
      <c r="I40" s="314">
        <f t="shared" si="9"/>
        <v>-13543.172170024249</v>
      </c>
      <c r="J40" s="314">
        <f t="shared" si="9"/>
        <v>-15786.382064621052</v>
      </c>
      <c r="U40" s="259"/>
      <c r="V40" s="259"/>
      <c r="W40" s="259"/>
      <c r="X40" s="259"/>
      <c r="Y40" s="259"/>
      <c r="Z40" s="259"/>
      <c r="AA40" s="259"/>
    </row>
    <row r="41" spans="1:27" x14ac:dyDescent="0.25">
      <c r="A41" s="359" t="s">
        <v>154</v>
      </c>
      <c r="B41" s="359"/>
      <c r="C41" s="302"/>
      <c r="D41" s="314">
        <f>(D33+D18+D37+((-D36-D18+D21)*D7+D40)*$C13-D40)/($C15-D7*$C13)</f>
        <v>298491.62959396723</v>
      </c>
      <c r="E41" s="314">
        <f t="shared" ref="E41:J41" si="10">(E33+E18+E37+((-E36-E18+E21)*E7+E40)*$C13-E40)/($C15-E7*$C13)</f>
        <v>244394.04559220225</v>
      </c>
      <c r="F41" s="314">
        <f t="shared" si="10"/>
        <v>375830.85949735425</v>
      </c>
      <c r="G41" s="314">
        <f t="shared" si="10"/>
        <v>386605.08871954534</v>
      </c>
      <c r="H41" s="314">
        <f t="shared" si="10"/>
        <v>401249.16959615861</v>
      </c>
      <c r="I41" s="314">
        <f t="shared" si="10"/>
        <v>419941.2473208197</v>
      </c>
      <c r="J41" s="314">
        <f t="shared" si="10"/>
        <v>443916.85791884497</v>
      </c>
      <c r="M41" s="91"/>
      <c r="U41" s="259"/>
      <c r="V41" s="259"/>
      <c r="W41" s="259"/>
      <c r="X41" s="259"/>
      <c r="Y41" s="259"/>
      <c r="Z41" s="259"/>
      <c r="AA41" s="259"/>
    </row>
    <row r="42" spans="1:27" x14ac:dyDescent="0.25">
      <c r="A42" s="359" t="s">
        <v>155</v>
      </c>
      <c r="B42" s="359"/>
      <c r="C42" s="302"/>
      <c r="D42" s="314">
        <f>(D41-D36-D18+D21)*D7</f>
        <v>54595.605657386848</v>
      </c>
      <c r="E42" s="314">
        <f t="shared" ref="E42:J42" si="11">(E41-E36-E18+E21)*E7</f>
        <v>36900.012847880622</v>
      </c>
      <c r="F42" s="314">
        <f t="shared" si="11"/>
        <v>36051.417525497287</v>
      </c>
      <c r="G42" s="314">
        <f t="shared" si="11"/>
        <v>35912.426511778307</v>
      </c>
      <c r="H42" s="314">
        <f t="shared" si="11"/>
        <v>37239.508251490792</v>
      </c>
      <c r="I42" s="314">
        <f t="shared" si="11"/>
        <v>39802.582951325217</v>
      </c>
      <c r="J42" s="314">
        <f t="shared" si="11"/>
        <v>42501.079782730798</v>
      </c>
      <c r="U42" s="259"/>
      <c r="V42" s="259"/>
      <c r="W42" s="259"/>
      <c r="X42" s="259"/>
      <c r="Y42" s="259"/>
      <c r="Z42" s="259"/>
      <c r="AA42" s="259"/>
    </row>
    <row r="43" spans="1:27" x14ac:dyDescent="0.25">
      <c r="A43" s="359" t="s">
        <v>156</v>
      </c>
      <c r="B43" s="359"/>
      <c r="C43" s="302"/>
      <c r="D43" s="314">
        <f t="shared" ref="D43:J43" si="12">IF(D42&lt;0,#N/A,D42)</f>
        <v>54595.605657386848</v>
      </c>
      <c r="E43" s="314">
        <f t="shared" si="12"/>
        <v>36900.012847880622</v>
      </c>
      <c r="F43" s="314">
        <f t="shared" si="12"/>
        <v>36051.417525497287</v>
      </c>
      <c r="G43" s="314">
        <f t="shared" si="12"/>
        <v>35912.426511778307</v>
      </c>
      <c r="H43" s="314">
        <f t="shared" si="12"/>
        <v>37239.508251490792</v>
      </c>
      <c r="I43" s="314">
        <f t="shared" si="12"/>
        <v>39802.582951325217</v>
      </c>
      <c r="J43" s="314">
        <f t="shared" si="12"/>
        <v>42501.079782730798</v>
      </c>
      <c r="U43" s="259"/>
      <c r="V43" s="259"/>
      <c r="W43" s="259"/>
      <c r="X43" s="259"/>
      <c r="Y43" s="259"/>
      <c r="Z43" s="259"/>
      <c r="AA43" s="259"/>
    </row>
    <row r="44" spans="1:27" x14ac:dyDescent="0.25">
      <c r="A44" s="359" t="s">
        <v>157</v>
      </c>
      <c r="B44" s="359"/>
      <c r="C44" s="302"/>
      <c r="D44" s="314">
        <f>D33+D18+D37+(D43+D40)*$C$13-D40</f>
        <v>303949.43506789237</v>
      </c>
      <c r="E44" s="314">
        <f t="shared" ref="E44:J44" si="13">E33+E18+E37+(E43+E40)*$C$13-E40</f>
        <v>248862.69739876123</v>
      </c>
      <c r="F44" s="314">
        <f t="shared" si="13"/>
        <v>382702.783259588</v>
      </c>
      <c r="G44" s="314">
        <f t="shared" si="13"/>
        <v>393674.01514917781</v>
      </c>
      <c r="H44" s="314">
        <f t="shared" si="13"/>
        <v>408585.8574530636</v>
      </c>
      <c r="I44" s="314">
        <f t="shared" si="13"/>
        <v>427619.7126817152</v>
      </c>
      <c r="J44" s="314">
        <f t="shared" si="13"/>
        <v>452033.70816490659</v>
      </c>
      <c r="U44" s="259"/>
      <c r="V44" s="259"/>
      <c r="W44" s="259"/>
      <c r="X44" s="259"/>
      <c r="Y44" s="259"/>
      <c r="Z44" s="259"/>
      <c r="AA44" s="259"/>
    </row>
    <row r="45" spans="1:27" x14ac:dyDescent="0.25">
      <c r="A45" s="359" t="s">
        <v>158</v>
      </c>
      <c r="B45" s="359"/>
      <c r="C45" s="302"/>
      <c r="D45" s="314">
        <f t="shared" ref="D45:J45" si="14">D44/$C$15</f>
        <v>298491.62959396723</v>
      </c>
      <c r="E45" s="314">
        <f t="shared" si="14"/>
        <v>244394.04559220219</v>
      </c>
      <c r="F45" s="314">
        <f t="shared" si="14"/>
        <v>375830.85949735431</v>
      </c>
      <c r="G45" s="314">
        <f t="shared" si="14"/>
        <v>386605.0887195454</v>
      </c>
      <c r="H45" s="314">
        <f t="shared" si="14"/>
        <v>401249.16959615867</v>
      </c>
      <c r="I45" s="314">
        <f t="shared" si="14"/>
        <v>419941.2473208197</v>
      </c>
      <c r="J45" s="314">
        <f t="shared" si="14"/>
        <v>443916.85791884502</v>
      </c>
      <c r="U45" s="259"/>
      <c r="V45" s="259"/>
      <c r="W45" s="259"/>
      <c r="X45" s="259"/>
      <c r="Y45" s="259"/>
      <c r="Z45" s="259"/>
      <c r="AA45" s="259"/>
    </row>
    <row r="46" spans="1:27" x14ac:dyDescent="0.25">
      <c r="A46" s="169" t="s">
        <v>159</v>
      </c>
      <c r="B46" s="169"/>
      <c r="C46" s="170"/>
      <c r="D46" s="171">
        <f t="shared" ref="D46:J46" si="15">D41-D45</f>
        <v>0</v>
      </c>
      <c r="E46" s="171">
        <f t="shared" si="15"/>
        <v>0</v>
      </c>
      <c r="F46" s="171">
        <f t="shared" si="15"/>
        <v>0</v>
      </c>
      <c r="G46" s="171">
        <f t="shared" si="15"/>
        <v>0</v>
      </c>
      <c r="H46" s="171">
        <f t="shared" si="15"/>
        <v>0</v>
      </c>
      <c r="I46" s="171">
        <f t="shared" si="15"/>
        <v>0</v>
      </c>
      <c r="J46" s="171">
        <f t="shared" si="15"/>
        <v>0</v>
      </c>
      <c r="U46" s="259"/>
      <c r="V46" s="259"/>
      <c r="W46" s="259"/>
      <c r="X46" s="259"/>
      <c r="Y46" s="259"/>
      <c r="Z46" s="259"/>
      <c r="AA46" s="259"/>
    </row>
    <row r="47" spans="1:27" s="95" customFormat="1" ht="21" x14ac:dyDescent="0.35">
      <c r="A47" s="475" t="s">
        <v>160</v>
      </c>
      <c r="B47" s="476"/>
      <c r="C47" s="477"/>
      <c r="D47" s="476"/>
      <c r="E47" s="476"/>
      <c r="F47" s="476"/>
      <c r="G47" s="476"/>
      <c r="H47" s="476"/>
      <c r="I47" s="476"/>
      <c r="J47" s="476"/>
      <c r="K47" s="1"/>
    </row>
    <row r="48" spans="1:27" x14ac:dyDescent="0.25">
      <c r="A48" s="31"/>
      <c r="B48" s="31"/>
      <c r="C48" s="173" t="s">
        <v>31</v>
      </c>
      <c r="D48" s="36" t="s">
        <v>424</v>
      </c>
      <c r="E48" s="36" t="s">
        <v>425</v>
      </c>
      <c r="F48" s="36" t="s">
        <v>426</v>
      </c>
      <c r="G48" s="36" t="s">
        <v>427</v>
      </c>
      <c r="H48" s="36" t="s">
        <v>428</v>
      </c>
      <c r="I48" s="36" t="s">
        <v>319</v>
      </c>
      <c r="J48" s="36" t="s">
        <v>320</v>
      </c>
    </row>
    <row r="49" spans="1:11" x14ac:dyDescent="0.25">
      <c r="A49" s="359" t="s">
        <v>161</v>
      </c>
      <c r="B49" s="359"/>
      <c r="C49" s="302"/>
      <c r="D49" s="314"/>
      <c r="E49" s="585"/>
      <c r="F49" s="314">
        <f>F6</f>
        <v>1</v>
      </c>
      <c r="G49" s="314">
        <f>G6</f>
        <v>2</v>
      </c>
      <c r="H49" s="314">
        <f>H6</f>
        <v>3</v>
      </c>
      <c r="I49" s="314">
        <f>I6</f>
        <v>4</v>
      </c>
      <c r="J49" s="314">
        <f>J6</f>
        <v>5</v>
      </c>
    </row>
    <row r="50" spans="1:11" x14ac:dyDescent="0.25">
      <c r="A50" s="359" t="s">
        <v>162</v>
      </c>
      <c r="B50" s="359"/>
      <c r="C50" s="302"/>
      <c r="D50" s="314"/>
      <c r="E50" s="585"/>
      <c r="F50" s="314">
        <f>F44</f>
        <v>382702.783259588</v>
      </c>
      <c r="G50" s="314">
        <f>G44</f>
        <v>393674.01514917781</v>
      </c>
      <c r="H50" s="314">
        <f>H44</f>
        <v>408585.8574530636</v>
      </c>
      <c r="I50" s="314">
        <f>I44</f>
        <v>427619.7126817152</v>
      </c>
      <c r="J50" s="314">
        <f>J44</f>
        <v>452033.70816490659</v>
      </c>
    </row>
    <row r="51" spans="1:11" x14ac:dyDescent="0.25">
      <c r="A51" s="480" t="s">
        <v>446</v>
      </c>
      <c r="B51" s="359"/>
      <c r="C51" s="302"/>
      <c r="D51" s="314"/>
      <c r="E51" s="585"/>
      <c r="F51" s="314">
        <f>F50/(1+$C11)^F$49</f>
        <v>365977.60663630866</v>
      </c>
      <c r="G51" s="314">
        <f>G50/(1+$C11)^G$49</f>
        <v>360016.60625543277</v>
      </c>
      <c r="H51" s="314">
        <f>H50/(1+$C11)^H$49</f>
        <v>357323.85117237573</v>
      </c>
      <c r="I51" s="314">
        <f>I50/(1+$C11)^I$49</f>
        <v>357626.16477964068</v>
      </c>
      <c r="J51" s="314">
        <f>J50/(1+$C11)^J$49</f>
        <v>361522.45813562692</v>
      </c>
    </row>
    <row r="52" spans="1:11" x14ac:dyDescent="0.25">
      <c r="A52" s="180" t="s">
        <v>447</v>
      </c>
      <c r="B52" s="169"/>
      <c r="C52" s="171">
        <f>SUM(F51:J51)</f>
        <v>1802466.6869793849</v>
      </c>
      <c r="D52" s="170"/>
      <c r="E52" s="170"/>
      <c r="F52" s="170"/>
      <c r="G52" s="170"/>
      <c r="H52" s="170"/>
      <c r="I52" s="170"/>
      <c r="J52" s="170"/>
    </row>
    <row r="53" spans="1:11" s="92" customFormat="1" ht="23.25" x14ac:dyDescent="0.35">
      <c r="A53" s="487" t="s">
        <v>83</v>
      </c>
      <c r="D53" s="568"/>
      <c r="E53" s="568"/>
      <c r="K53" s="1"/>
    </row>
    <row r="54" spans="1:11" x14ac:dyDescent="0.25">
      <c r="A54" s="181"/>
      <c r="B54" s="59"/>
      <c r="C54" s="173" t="s">
        <v>31</v>
      </c>
      <c r="D54" s="36" t="s">
        <v>424</v>
      </c>
      <c r="E54" s="36" t="s">
        <v>425</v>
      </c>
      <c r="F54" s="36" t="s">
        <v>426</v>
      </c>
      <c r="G54" s="36" t="s">
        <v>427</v>
      </c>
      <c r="H54" s="36" t="s">
        <v>428</v>
      </c>
      <c r="I54" s="36" t="s">
        <v>319</v>
      </c>
      <c r="J54" s="36" t="s">
        <v>320</v>
      </c>
    </row>
    <row r="55" spans="1:11" x14ac:dyDescent="0.25">
      <c r="A55" s="480" t="s">
        <v>125</v>
      </c>
      <c r="B55" s="359"/>
      <c r="C55" s="302"/>
      <c r="D55" s="314">
        <f t="shared" ref="D55:J55" si="16">D29</f>
        <v>2868052</v>
      </c>
      <c r="E55" s="314">
        <f t="shared" si="16"/>
        <v>2981005.5303225806</v>
      </c>
      <c r="F55" s="314">
        <f t="shared" si="16"/>
        <v>3134377.1586318631</v>
      </c>
      <c r="G55" s="314">
        <f t="shared" si="16"/>
        <v>3262500.3620955432</v>
      </c>
      <c r="H55" s="314">
        <f t="shared" si="16"/>
        <v>3345289.1496175216</v>
      </c>
      <c r="I55" s="314">
        <f t="shared" si="16"/>
        <v>3420991.7649509031</v>
      </c>
      <c r="J55" s="314">
        <f t="shared" si="16"/>
        <v>3631195.3228006382</v>
      </c>
    </row>
    <row r="56" spans="1:11" x14ac:dyDescent="0.25">
      <c r="A56" s="480" t="s">
        <v>447</v>
      </c>
      <c r="B56" s="359"/>
      <c r="C56" s="314">
        <f>C52</f>
        <v>1802466.6869793849</v>
      </c>
      <c r="D56" s="302"/>
      <c r="E56" s="302"/>
      <c r="F56" s="302"/>
      <c r="G56" s="302"/>
      <c r="H56" s="302"/>
      <c r="I56" s="302"/>
      <c r="J56" s="302"/>
    </row>
    <row r="57" spans="1:11" x14ac:dyDescent="0.25">
      <c r="A57" s="359" t="s">
        <v>54</v>
      </c>
      <c r="B57" s="359"/>
      <c r="C57" s="314"/>
      <c r="D57" s="314">
        <f>D26</f>
        <v>3983.6873940243322</v>
      </c>
      <c r="E57" s="314">
        <f t="shared" ref="E57:J57" si="17">E26</f>
        <v>4150.7093004162352</v>
      </c>
      <c r="F57" s="314">
        <f t="shared" si="17"/>
        <v>4372.6112047275901</v>
      </c>
      <c r="G57" s="314">
        <f t="shared" si="17"/>
        <v>4562.6447316478561</v>
      </c>
      <c r="H57" s="314">
        <f t="shared" si="17"/>
        <v>4692.7677566499669</v>
      </c>
      <c r="I57" s="314">
        <f t="shared" si="17"/>
        <v>4813.3514678231495</v>
      </c>
      <c r="J57" s="314">
        <f t="shared" si="17"/>
        <v>5115.3239569900888</v>
      </c>
    </row>
    <row r="58" spans="1:11" x14ac:dyDescent="0.25">
      <c r="A58" s="359" t="s">
        <v>154</v>
      </c>
      <c r="B58" s="359"/>
      <c r="C58" s="302"/>
      <c r="D58" s="314">
        <f>D41</f>
        <v>298491.62959396723</v>
      </c>
      <c r="E58" s="314">
        <f t="shared" ref="E58:J58" si="18">E41</f>
        <v>244394.04559220225</v>
      </c>
      <c r="F58" s="314">
        <f t="shared" si="18"/>
        <v>375830.85949735425</v>
      </c>
      <c r="G58" s="314">
        <f t="shared" si="18"/>
        <v>386605.08871954534</v>
      </c>
      <c r="H58" s="314">
        <f t="shared" si="18"/>
        <v>401249.16959615861</v>
      </c>
      <c r="I58" s="314">
        <f t="shared" si="18"/>
        <v>419941.2473208197</v>
      </c>
      <c r="J58" s="314">
        <f t="shared" si="18"/>
        <v>443916.85791884497</v>
      </c>
    </row>
  </sheetData>
  <pageMargins left="0.25" right="0.25" top="0.75" bottom="0.75" header="0.3" footer="0.3"/>
  <pageSetup paperSize="9" scale="63" fitToHeight="0"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33</vt:i4>
      </vt:variant>
    </vt:vector>
  </HeadingPairs>
  <TitlesOfParts>
    <vt:vector size="56" baseType="lpstr">
      <vt:lpstr>CoverSheet</vt:lpstr>
      <vt:lpstr>Description</vt:lpstr>
      <vt:lpstr>Table of Contents</vt:lpstr>
      <vt:lpstr>Inputs</vt:lpstr>
      <vt:lpstr>EDB select</vt:lpstr>
      <vt:lpstr>Capex incentives</vt:lpstr>
      <vt:lpstr>Opex incentives</vt:lpstr>
      <vt:lpstr>General analysis</vt:lpstr>
      <vt:lpstr>Outputs</vt:lpstr>
      <vt:lpstr>Supplementary analysis</vt:lpstr>
      <vt:lpstr>Supp analysis outputs</vt:lpstr>
      <vt:lpstr>Financial models &gt;&gt;&gt; </vt:lpstr>
      <vt:lpstr>Inputs (DPP)</vt:lpstr>
      <vt:lpstr>EDB data (DPP)</vt:lpstr>
      <vt:lpstr>TIMING (DPP)</vt:lpstr>
      <vt:lpstr>RAB (DPP)</vt:lpstr>
      <vt:lpstr>TAX (DPP)</vt:lpstr>
      <vt:lpstr>BBAR (DPP)</vt:lpstr>
      <vt:lpstr>EDB data (update)</vt:lpstr>
      <vt:lpstr>TIMING (update)</vt:lpstr>
      <vt:lpstr>RAB (update)</vt:lpstr>
      <vt:lpstr>TAX (update)</vt:lpstr>
      <vt:lpstr>BBAR (update)</vt:lpstr>
      <vt:lpstr>CoverSheet!EDB_Name</vt:lpstr>
      <vt:lpstr>'Inputs (DPP)'!EDB_Name</vt:lpstr>
      <vt:lpstr>'RAB (update)'!EDB_Name</vt:lpstr>
      <vt:lpstr>EDB_Name</vt:lpstr>
      <vt:lpstr>'Inputs (DPP)'!Indiv_Data</vt:lpstr>
      <vt:lpstr>'RAB (update)'!Indiv_Data</vt:lpstr>
      <vt:lpstr>Indiv_Data</vt:lpstr>
      <vt:lpstr>Leverage</vt:lpstr>
      <vt:lpstr>'BBAR (DPP)'!Print_Area</vt:lpstr>
      <vt:lpstr>'BBAR (update)'!Print_Area</vt:lpstr>
      <vt:lpstr>'Capex incentives'!Print_Area</vt:lpstr>
      <vt:lpstr>CoverSheet!Print_Area</vt:lpstr>
      <vt:lpstr>Description!Print_Area</vt:lpstr>
      <vt:lpstr>'EDB data (DPP)'!Print_Area</vt:lpstr>
      <vt:lpstr>'EDB data (update)'!Print_Area</vt:lpstr>
      <vt:lpstr>'EDB select'!Print_Area</vt:lpstr>
      <vt:lpstr>'General analysis'!Print_Area</vt:lpstr>
      <vt:lpstr>Inputs!Print_Area</vt:lpstr>
      <vt:lpstr>'Inputs (DPP)'!Print_Area</vt:lpstr>
      <vt:lpstr>'Opex incentives'!Print_Area</vt:lpstr>
      <vt:lpstr>Outputs!Print_Area</vt:lpstr>
      <vt:lpstr>'RAB (DPP)'!Print_Area</vt:lpstr>
      <vt:lpstr>'RAB (update)'!Print_Area</vt:lpstr>
      <vt:lpstr>'Supp analysis outputs'!Print_Area</vt:lpstr>
      <vt:lpstr>'Supplementary analysis'!Print_Area</vt:lpstr>
      <vt:lpstr>'Table of Contents'!Print_Area</vt:lpstr>
      <vt:lpstr>'TAX (DPP)'!Print_Area</vt:lpstr>
      <vt:lpstr>'TAX (update)'!Print_Area</vt:lpstr>
      <vt:lpstr>'TIMING (DPP)'!Print_Area</vt:lpstr>
      <vt:lpstr>'TIMING (update)'!Print_Area</vt:lpstr>
      <vt:lpstr>'Inputs (DPP)'!rEDBNames</vt:lpstr>
      <vt:lpstr>'Inputs (DPP)'!WACC</vt:lpstr>
      <vt:lpstr>XfactorAnchor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2019-06-20T05:20:03Z</dcterms:created>
  <dcterms:modified xsi:type="dcterms:W3CDTF">2024-06-17T00:15:18Z</dcterms:modified>
</cp:coreProperties>
</file>