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13_ncr:1_{EB5154DB-DCC5-4C39-84F2-A99355A0EFF8}" xr6:coauthVersionLast="47" xr6:coauthVersionMax="47" xr10:uidLastSave="{00000000-0000-0000-0000-000000000000}"/>
  <bookViews>
    <workbookView xWindow="-108" yWindow="-108" windowWidth="23256" windowHeight="12456" tabRatio="718" xr2:uid="{00000000-000D-0000-FFFF-FFFF00000000}"/>
  </bookViews>
  <sheets>
    <sheet name="CoverSheet" sheetId="14" r:id="rId1"/>
    <sheet name="Description" sheetId="10" r:id="rId2"/>
    <sheet name="Table of Contents" sheetId="4" r:id="rId3"/>
    <sheet name="Historic Inputs" sheetId="11" r:id="rId4"/>
    <sheet name="Forecast Inputs" sheetId="12" r:id="rId5"/>
    <sheet name="Model Inputs" sheetId="2" r:id="rId6"/>
    <sheet name="Consolidated Inputs" sheetId="13" r:id="rId7"/>
    <sheet name="Growth rates" sheetId="1" r:id="rId8"/>
    <sheet name="Inflator calculations" sheetId="9" r:id="rId9"/>
    <sheet name="Outputs" sheetId="8" r:id="rId10"/>
  </sheets>
  <definedNames>
    <definedName name="Indiv_Data" localSheetId="6">'Consolidated Inputs'!$D:$F</definedName>
    <definedName name="Indiv_Data">'Model Inputs'!$B:$D</definedName>
    <definedName name="_xlnm.Print_Area" localSheetId="6">'Consolidated Inputs'!$A$1:$P$74</definedName>
    <definedName name="_xlnm.Print_Area" localSheetId="0">CoverSheet!$A$1:$D$16</definedName>
    <definedName name="_xlnm.Print_Area" localSheetId="1">Description!$A$1:$D$30</definedName>
    <definedName name="_xlnm.Print_Area" localSheetId="4">'Forecast Inputs'!$A$1:$F$50</definedName>
    <definedName name="_xlnm.Print_Area" localSheetId="7">'Growth rates'!$A$1:$S$76</definedName>
    <definedName name="_xlnm.Print_Area" localSheetId="3">'Historic Inputs'!$A$1:$I$76</definedName>
    <definedName name="_xlnm.Print_Area" localSheetId="8">'Inflator calculations'!$A$1:$Q$82</definedName>
    <definedName name="_xlnm.Print_Area" localSheetId="5">'Model Inputs'!$A$1:$O$33</definedName>
    <definedName name="_xlnm.Print_Area" localSheetId="9">Outputs!$A$1:$Q$14</definedName>
    <definedName name="_xlnm.Print_Area" localSheetId="2">'Table of Contents'!$A$1:$C$12</definedName>
    <definedName name="Qtr_Wgt">'Model Inputs'!$B$29:$D$32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K13" i="1" s="1"/>
  <c r="M33" i="13"/>
  <c r="J33" i="13"/>
  <c r="G48" i="13"/>
  <c r="G49" i="13"/>
  <c r="A73" i="13"/>
  <c r="A72" i="13"/>
  <c r="H45" i="11" l="1"/>
  <c r="E45" i="11"/>
  <c r="D5" i="13"/>
  <c r="A71" i="13" l="1"/>
  <c r="A70" i="13" s="1"/>
  <c r="A69" i="13" s="1"/>
  <c r="A68" i="13" s="1"/>
  <c r="A67" i="13" s="1"/>
  <c r="A66" i="13" s="1"/>
  <c r="A65" i="13" s="1"/>
  <c r="A64" i="13" s="1"/>
  <c r="A63" i="13" s="1"/>
  <c r="A62" i="13" s="1"/>
  <c r="C73" i="13" l="1"/>
  <c r="G73" i="13" s="1"/>
  <c r="C72" i="13"/>
  <c r="H72" i="13" s="1"/>
  <c r="A61" i="13"/>
  <c r="C62" i="13"/>
  <c r="C65" i="13"/>
  <c r="C64" i="13"/>
  <c r="C63" i="13"/>
  <c r="C71" i="13"/>
  <c r="C70" i="13"/>
  <c r="C69" i="13"/>
  <c r="C66" i="13"/>
  <c r="C68" i="13"/>
  <c r="C67" i="13"/>
  <c r="B64" i="13"/>
  <c r="B63" i="13"/>
  <c r="B62" i="13"/>
  <c r="B73" i="13"/>
  <c r="B72" i="13"/>
  <c r="B71" i="13"/>
  <c r="B70" i="13"/>
  <c r="B69" i="13"/>
  <c r="B68" i="13"/>
  <c r="B67" i="13"/>
  <c r="B65" i="13"/>
  <c r="B66" i="13"/>
  <c r="I73" i="13" l="1"/>
  <c r="G72" i="13"/>
  <c r="I72" i="13"/>
  <c r="H73" i="13"/>
  <c r="E68" i="13"/>
  <c r="D68" i="13"/>
  <c r="F68" i="13"/>
  <c r="D69" i="13"/>
  <c r="F69" i="13"/>
  <c r="E69" i="13"/>
  <c r="H70" i="13"/>
  <c r="I70" i="13"/>
  <c r="G70" i="13"/>
  <c r="D70" i="13"/>
  <c r="F70" i="13"/>
  <c r="E70" i="13"/>
  <c r="G71" i="13"/>
  <c r="H71" i="13"/>
  <c r="I71" i="13"/>
  <c r="F71" i="13"/>
  <c r="E71" i="13"/>
  <c r="D71" i="13"/>
  <c r="G63" i="13"/>
  <c r="H63" i="13"/>
  <c r="I63" i="13"/>
  <c r="F72" i="13"/>
  <c r="E72" i="13"/>
  <c r="D72" i="13"/>
  <c r="H64" i="13"/>
  <c r="G64" i="13"/>
  <c r="I64" i="13"/>
  <c r="F73" i="13"/>
  <c r="E73" i="13"/>
  <c r="D73" i="13"/>
  <c r="I65" i="13"/>
  <c r="G65" i="13"/>
  <c r="H65" i="13"/>
  <c r="D62" i="13"/>
  <c r="F62" i="13"/>
  <c r="E62" i="13"/>
  <c r="H62" i="13"/>
  <c r="G62" i="13"/>
  <c r="I62" i="13"/>
  <c r="E63" i="13"/>
  <c r="D63" i="13"/>
  <c r="F63" i="13"/>
  <c r="E64" i="13"/>
  <c r="D64" i="13"/>
  <c r="F64" i="13"/>
  <c r="F66" i="13"/>
  <c r="D66" i="13"/>
  <c r="E66" i="13"/>
  <c r="I67" i="13"/>
  <c r="G67" i="13"/>
  <c r="H67" i="13"/>
  <c r="F65" i="13"/>
  <c r="E65" i="13"/>
  <c r="D65" i="13"/>
  <c r="G68" i="13"/>
  <c r="H68" i="13"/>
  <c r="I68" i="13"/>
  <c r="F67" i="13"/>
  <c r="E67" i="13"/>
  <c r="D67" i="13"/>
  <c r="H66" i="13"/>
  <c r="I66" i="13"/>
  <c r="G66" i="13"/>
  <c r="I69" i="13"/>
  <c r="G69" i="13"/>
  <c r="H69" i="13"/>
  <c r="A60" i="13"/>
  <c r="C61" i="13"/>
  <c r="B61" i="13"/>
  <c r="A13" i="8"/>
  <c r="A12" i="8"/>
  <c r="A11" i="8"/>
  <c r="A68" i="9"/>
  <c r="A73" i="9" s="1"/>
  <c r="A69" i="9"/>
  <c r="A74" i="9" s="1"/>
  <c r="A67" i="9"/>
  <c r="A72" i="9" s="1"/>
  <c r="B30" i="9"/>
  <c r="B31" i="9"/>
  <c r="B29" i="9"/>
  <c r="J68" i="13" l="1"/>
  <c r="J67" i="13"/>
  <c r="K66" i="13"/>
  <c r="K62" i="13"/>
  <c r="J72" i="13"/>
  <c r="K70" i="13"/>
  <c r="K67" i="13"/>
  <c r="J66" i="13"/>
  <c r="L62" i="13"/>
  <c r="K72" i="13"/>
  <c r="L70" i="13"/>
  <c r="L67" i="13"/>
  <c r="L66" i="13"/>
  <c r="J62" i="13"/>
  <c r="L72" i="13"/>
  <c r="J70" i="13"/>
  <c r="F61" i="13"/>
  <c r="E61" i="13"/>
  <c r="D61" i="13"/>
  <c r="L64" i="13"/>
  <c r="I61" i="13"/>
  <c r="G61" i="13"/>
  <c r="H61" i="13"/>
  <c r="J64" i="13"/>
  <c r="K64" i="13"/>
  <c r="J65" i="13"/>
  <c r="L63" i="13"/>
  <c r="J73" i="13"/>
  <c r="J71" i="13"/>
  <c r="K69" i="13"/>
  <c r="K65" i="13"/>
  <c r="J63" i="13"/>
  <c r="K73" i="13"/>
  <c r="K71" i="13"/>
  <c r="L69" i="13"/>
  <c r="L65" i="13"/>
  <c r="K63" i="13"/>
  <c r="L73" i="13"/>
  <c r="L71" i="13"/>
  <c r="J69" i="13"/>
  <c r="L68" i="13"/>
  <c r="K68" i="13"/>
  <c r="A59" i="13"/>
  <c r="C60" i="13"/>
  <c r="B60" i="13"/>
  <c r="E72" i="1"/>
  <c r="I60" i="13" l="1"/>
  <c r="H60" i="13"/>
  <c r="G60" i="13"/>
  <c r="J61" i="13"/>
  <c r="K61" i="13"/>
  <c r="D60" i="13"/>
  <c r="F60" i="13"/>
  <c r="E60" i="13"/>
  <c r="L61" i="13"/>
  <c r="A58" i="13"/>
  <c r="C59" i="13"/>
  <c r="B59" i="13"/>
  <c r="F71" i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K60" i="13" l="1"/>
  <c r="L60" i="13"/>
  <c r="J60" i="13"/>
  <c r="F59" i="13"/>
  <c r="E59" i="13"/>
  <c r="D59" i="13"/>
  <c r="G59" i="13"/>
  <c r="H59" i="13"/>
  <c r="I59" i="13"/>
  <c r="A57" i="13"/>
  <c r="C58" i="13"/>
  <c r="B58" i="13"/>
  <c r="J59" i="13" l="1"/>
  <c r="K59" i="13"/>
  <c r="L59" i="13"/>
  <c r="D58" i="13"/>
  <c r="F58" i="13"/>
  <c r="E58" i="13"/>
  <c r="H58" i="13"/>
  <c r="G58" i="13"/>
  <c r="I58" i="13"/>
  <c r="A56" i="13"/>
  <c r="C57" i="13"/>
  <c r="B57" i="13"/>
  <c r="L58" i="13" l="1"/>
  <c r="K58" i="13"/>
  <c r="J58" i="13"/>
  <c r="D57" i="13"/>
  <c r="F57" i="13"/>
  <c r="E57" i="13"/>
  <c r="I57" i="13"/>
  <c r="G57" i="13"/>
  <c r="H57" i="13"/>
  <c r="A55" i="13"/>
  <c r="B56" i="13"/>
  <c r="C56" i="13"/>
  <c r="A81" i="9"/>
  <c r="A7" i="8" s="1"/>
  <c r="A80" i="9"/>
  <c r="A6" i="8" s="1"/>
  <c r="A79" i="9"/>
  <c r="A5" i="8" s="1"/>
  <c r="A6" i="9"/>
  <c r="N4" i="1"/>
  <c r="H4" i="1"/>
  <c r="B4" i="1"/>
  <c r="A75" i="1"/>
  <c r="A11" i="9" s="1"/>
  <c r="A74" i="1"/>
  <c r="A10" i="9" s="1"/>
  <c r="A73" i="1"/>
  <c r="A9" i="9" s="1"/>
  <c r="B13" i="1"/>
  <c r="D56" i="13" l="1"/>
  <c r="E56" i="13"/>
  <c r="F56" i="13"/>
  <c r="J57" i="13"/>
  <c r="K57" i="13"/>
  <c r="L57" i="13"/>
  <c r="G56" i="13"/>
  <c r="H56" i="13"/>
  <c r="I56" i="13"/>
  <c r="A54" i="13"/>
  <c r="C55" i="13"/>
  <c r="B55" i="13"/>
  <c r="A14" i="9"/>
  <c r="A19" i="9"/>
  <c r="A24" i="9"/>
  <c r="A25" i="9"/>
  <c r="A15" i="9"/>
  <c r="A20" i="9"/>
  <c r="A21" i="9"/>
  <c r="A26" i="9"/>
  <c r="A16" i="9"/>
  <c r="K56" i="13" l="1"/>
  <c r="J56" i="13"/>
  <c r="G55" i="13"/>
  <c r="H55" i="13"/>
  <c r="I55" i="13"/>
  <c r="F55" i="13"/>
  <c r="E55" i="13"/>
  <c r="D55" i="13"/>
  <c r="L56" i="13"/>
  <c r="A53" i="13"/>
  <c r="C54" i="13"/>
  <c r="B54" i="13"/>
  <c r="F72" i="1"/>
  <c r="G72" i="1" s="1"/>
  <c r="C6" i="9"/>
  <c r="H54" i="13" l="1"/>
  <c r="G54" i="13"/>
  <c r="I54" i="13"/>
  <c r="J55" i="13"/>
  <c r="K55" i="13"/>
  <c r="L55" i="13"/>
  <c r="E54" i="13"/>
  <c r="F54" i="13"/>
  <c r="D54" i="13"/>
  <c r="A52" i="13"/>
  <c r="C53" i="13"/>
  <c r="B53" i="13"/>
  <c r="C26" i="9"/>
  <c r="B58" i="9" s="1"/>
  <c r="C25" i="9"/>
  <c r="B57" i="9" s="1"/>
  <c r="C24" i="9"/>
  <c r="B56" i="9" s="1"/>
  <c r="C21" i="9"/>
  <c r="B49" i="9" s="1"/>
  <c r="C20" i="9"/>
  <c r="B48" i="9" s="1"/>
  <c r="C19" i="9"/>
  <c r="B47" i="9" s="1"/>
  <c r="C16" i="9"/>
  <c r="B40" i="9" s="1"/>
  <c r="C15" i="9"/>
  <c r="B39" i="9" s="1"/>
  <c r="C14" i="9"/>
  <c r="B38" i="9" s="1"/>
  <c r="L54" i="13" l="1"/>
  <c r="K54" i="13"/>
  <c r="F53" i="13"/>
  <c r="E53" i="13"/>
  <c r="D53" i="13"/>
  <c r="J54" i="13"/>
  <c r="I53" i="13"/>
  <c r="G53" i="13"/>
  <c r="H53" i="13"/>
  <c r="A51" i="13"/>
  <c r="C52" i="13"/>
  <c r="B52" i="13"/>
  <c r="H72" i="1"/>
  <c r="H52" i="13" l="1"/>
  <c r="G52" i="13"/>
  <c r="I52" i="13"/>
  <c r="J53" i="13"/>
  <c r="K53" i="13"/>
  <c r="L53" i="13"/>
  <c r="F52" i="13"/>
  <c r="E52" i="13"/>
  <c r="D52" i="13"/>
  <c r="A50" i="13"/>
  <c r="C51" i="13"/>
  <c r="B51" i="13"/>
  <c r="I72" i="1"/>
  <c r="G51" i="13" l="1"/>
  <c r="H51" i="13"/>
  <c r="I51" i="13"/>
  <c r="L52" i="13"/>
  <c r="J52" i="13"/>
  <c r="K52" i="13"/>
  <c r="F51" i="13"/>
  <c r="E51" i="13"/>
  <c r="D51" i="13"/>
  <c r="A49" i="13"/>
  <c r="C50" i="13"/>
  <c r="B50" i="13"/>
  <c r="J72" i="1"/>
  <c r="H13" i="1"/>
  <c r="L13" i="1" s="1"/>
  <c r="N13" i="1"/>
  <c r="R13" i="1" s="1"/>
  <c r="F13" i="1"/>
  <c r="B12" i="1"/>
  <c r="B14" i="1"/>
  <c r="J51" i="13" l="1"/>
  <c r="K51" i="13"/>
  <c r="L51" i="13"/>
  <c r="E50" i="13"/>
  <c r="F50" i="13"/>
  <c r="D50" i="13"/>
  <c r="H50" i="13"/>
  <c r="G50" i="13"/>
  <c r="I50" i="13"/>
  <c r="A48" i="13"/>
  <c r="C49" i="13"/>
  <c r="B49" i="13"/>
  <c r="K72" i="1"/>
  <c r="H14" i="1"/>
  <c r="L14" i="1" s="1"/>
  <c r="N14" i="1"/>
  <c r="R14" i="1" s="1"/>
  <c r="N12" i="1"/>
  <c r="R12" i="1" s="1"/>
  <c r="H12" i="1"/>
  <c r="L12" i="1" s="1"/>
  <c r="F14" i="1"/>
  <c r="F12" i="1"/>
  <c r="B15" i="1"/>
  <c r="B11" i="1"/>
  <c r="I49" i="13" l="1"/>
  <c r="H49" i="13"/>
  <c r="J50" i="13"/>
  <c r="L50" i="13"/>
  <c r="K50" i="13"/>
  <c r="F49" i="13"/>
  <c r="E49" i="13"/>
  <c r="D49" i="13"/>
  <c r="A47" i="13"/>
  <c r="C48" i="13"/>
  <c r="B48" i="13"/>
  <c r="L72" i="1"/>
  <c r="N11" i="1"/>
  <c r="R11" i="1" s="1"/>
  <c r="H11" i="1"/>
  <c r="L11" i="1" s="1"/>
  <c r="N15" i="1"/>
  <c r="R15" i="1" s="1"/>
  <c r="H15" i="1"/>
  <c r="L15" i="1" s="1"/>
  <c r="F15" i="1"/>
  <c r="F11" i="1"/>
  <c r="B10" i="1"/>
  <c r="B16" i="1"/>
  <c r="H48" i="13" l="1"/>
  <c r="I48" i="13"/>
  <c r="J49" i="13"/>
  <c r="K49" i="13"/>
  <c r="L49" i="13"/>
  <c r="E48" i="13"/>
  <c r="F48" i="13"/>
  <c r="D48" i="13"/>
  <c r="A46" i="13"/>
  <c r="C47" i="13"/>
  <c r="B47" i="13"/>
  <c r="M72" i="1"/>
  <c r="H10" i="1"/>
  <c r="L10" i="1" s="1"/>
  <c r="N10" i="1"/>
  <c r="R10" i="1" s="1"/>
  <c r="N16" i="1"/>
  <c r="R16" i="1" s="1"/>
  <c r="H16" i="1"/>
  <c r="L16" i="1" s="1"/>
  <c r="F16" i="1"/>
  <c r="F10" i="1"/>
  <c r="B17" i="1"/>
  <c r="B9" i="1"/>
  <c r="J48" i="13" l="1"/>
  <c r="L48" i="13"/>
  <c r="K48" i="13"/>
  <c r="F47" i="13"/>
  <c r="E47" i="13"/>
  <c r="D47" i="13"/>
  <c r="I47" i="13"/>
  <c r="G47" i="13"/>
  <c r="H47" i="13"/>
  <c r="A45" i="13"/>
  <c r="C46" i="13"/>
  <c r="B46" i="13"/>
  <c r="B8" i="1"/>
  <c r="B7" i="1" s="1"/>
  <c r="N72" i="1"/>
  <c r="N17" i="1"/>
  <c r="R17" i="1" s="1"/>
  <c r="H17" i="1"/>
  <c r="L17" i="1" s="1"/>
  <c r="N9" i="1"/>
  <c r="R9" i="1" s="1"/>
  <c r="H9" i="1"/>
  <c r="L9" i="1" s="1"/>
  <c r="F9" i="1"/>
  <c r="F17" i="1"/>
  <c r="B18" i="1"/>
  <c r="J47" i="13" l="1"/>
  <c r="K47" i="13"/>
  <c r="L47" i="13"/>
  <c r="D46" i="13"/>
  <c r="E46" i="13"/>
  <c r="F46" i="13"/>
  <c r="H46" i="13"/>
  <c r="G46" i="13"/>
  <c r="I46" i="13"/>
  <c r="A44" i="13"/>
  <c r="C45" i="13"/>
  <c r="B45" i="13"/>
  <c r="H8" i="1"/>
  <c r="L8" i="1" s="1"/>
  <c r="N8" i="1"/>
  <c r="R8" i="1" s="1"/>
  <c r="F8" i="1"/>
  <c r="O72" i="1"/>
  <c r="B6" i="1"/>
  <c r="H7" i="1"/>
  <c r="L7" i="1" s="1"/>
  <c r="F7" i="1"/>
  <c r="N7" i="1"/>
  <c r="R7" i="1" s="1"/>
  <c r="N18" i="1"/>
  <c r="R18" i="1" s="1"/>
  <c r="H18" i="1"/>
  <c r="L18" i="1" s="1"/>
  <c r="C8" i="9"/>
  <c r="F18" i="1"/>
  <c r="B19" i="1"/>
  <c r="I45" i="13" l="1"/>
  <c r="G45" i="13"/>
  <c r="H45" i="13"/>
  <c r="L46" i="13"/>
  <c r="K46" i="13"/>
  <c r="J46" i="13"/>
  <c r="D45" i="13"/>
  <c r="E45" i="13"/>
  <c r="F45" i="13"/>
  <c r="A43" i="13"/>
  <c r="B44" i="13"/>
  <c r="C44" i="13"/>
  <c r="P72" i="1"/>
  <c r="F6" i="1"/>
  <c r="N6" i="1"/>
  <c r="H6" i="1"/>
  <c r="N19" i="1"/>
  <c r="R19" i="1" s="1"/>
  <c r="H19" i="1"/>
  <c r="L19" i="1" s="1"/>
  <c r="C37" i="9"/>
  <c r="C78" i="9"/>
  <c r="C46" i="9"/>
  <c r="C55" i="9"/>
  <c r="C66" i="9" s="1"/>
  <c r="F19" i="1"/>
  <c r="D8" i="9"/>
  <c r="B20" i="1"/>
  <c r="C4" i="8" l="1"/>
  <c r="C10" i="8"/>
  <c r="D44" i="13"/>
  <c r="F44" i="13"/>
  <c r="E44" i="13"/>
  <c r="L45" i="13"/>
  <c r="K45" i="13"/>
  <c r="J45" i="13"/>
  <c r="G44" i="13"/>
  <c r="H44" i="13"/>
  <c r="I44" i="13"/>
  <c r="A42" i="13"/>
  <c r="C43" i="13"/>
  <c r="B43" i="13"/>
  <c r="C68" i="9"/>
  <c r="C67" i="9"/>
  <c r="C69" i="9"/>
  <c r="Q72" i="1"/>
  <c r="N8" i="9"/>
  <c r="L6" i="1"/>
  <c r="R6" i="1"/>
  <c r="N20" i="1"/>
  <c r="H20" i="1"/>
  <c r="L20" i="1" s="1"/>
  <c r="D55" i="9"/>
  <c r="D66" i="9" s="1"/>
  <c r="D37" i="9"/>
  <c r="D78" i="9"/>
  <c r="D46" i="9"/>
  <c r="F20" i="1"/>
  <c r="E8" i="9"/>
  <c r="B21" i="1"/>
  <c r="D4" i="8" l="1"/>
  <c r="D10" i="8"/>
  <c r="G43" i="13"/>
  <c r="I43" i="13"/>
  <c r="H43" i="13"/>
  <c r="L44" i="13"/>
  <c r="J44" i="13"/>
  <c r="D43" i="13"/>
  <c r="F43" i="13"/>
  <c r="E43" i="13"/>
  <c r="K44" i="13"/>
  <c r="A41" i="13"/>
  <c r="C42" i="13"/>
  <c r="B42" i="13"/>
  <c r="D68" i="9"/>
  <c r="D69" i="9"/>
  <c r="D67" i="9"/>
  <c r="R20" i="1"/>
  <c r="N37" i="9"/>
  <c r="N46" i="9"/>
  <c r="N55" i="9"/>
  <c r="N66" i="9" s="1"/>
  <c r="N78" i="9"/>
  <c r="R72" i="1"/>
  <c r="O8" i="9"/>
  <c r="N21" i="1"/>
  <c r="H21" i="1"/>
  <c r="E55" i="9"/>
  <c r="E66" i="9" s="1"/>
  <c r="E37" i="9"/>
  <c r="E78" i="9"/>
  <c r="E46" i="9"/>
  <c r="F21" i="1"/>
  <c r="F8" i="9"/>
  <c r="B22" i="1"/>
  <c r="E4" i="8" l="1"/>
  <c r="E10" i="8"/>
  <c r="N4" i="8"/>
  <c r="N10" i="8"/>
  <c r="H42" i="13"/>
  <c r="I42" i="13"/>
  <c r="G42" i="13"/>
  <c r="K43" i="13"/>
  <c r="L43" i="13"/>
  <c r="J43" i="13"/>
  <c r="D42" i="13"/>
  <c r="E42" i="13"/>
  <c r="F42" i="13"/>
  <c r="A40" i="13"/>
  <c r="C41" i="13"/>
  <c r="B41" i="13"/>
  <c r="E69" i="9"/>
  <c r="E67" i="9"/>
  <c r="E68" i="9"/>
  <c r="N69" i="9"/>
  <c r="N67" i="9"/>
  <c r="N68" i="9"/>
  <c r="P8" i="9"/>
  <c r="O37" i="9"/>
  <c r="O46" i="9"/>
  <c r="O55" i="9"/>
  <c r="O66" i="9" s="1"/>
  <c r="O78" i="9"/>
  <c r="L21" i="1"/>
  <c r="R21" i="1"/>
  <c r="N22" i="1"/>
  <c r="H22" i="1"/>
  <c r="F78" i="9"/>
  <c r="F46" i="9"/>
  <c r="F55" i="9"/>
  <c r="F66" i="9" s="1"/>
  <c r="F37" i="9"/>
  <c r="H8" i="9"/>
  <c r="F22" i="1"/>
  <c r="G8" i="9"/>
  <c r="B23" i="1"/>
  <c r="F4" i="8" l="1"/>
  <c r="F10" i="8"/>
  <c r="O4" i="8"/>
  <c r="O10" i="8"/>
  <c r="I41" i="13"/>
  <c r="H41" i="13"/>
  <c r="G41" i="13"/>
  <c r="L42" i="13"/>
  <c r="K42" i="13"/>
  <c r="J42" i="13"/>
  <c r="D41" i="13"/>
  <c r="F41" i="13"/>
  <c r="E41" i="13"/>
  <c r="A39" i="13"/>
  <c r="C40" i="13"/>
  <c r="B40" i="13"/>
  <c r="O69" i="9"/>
  <c r="O67" i="9"/>
  <c r="O68" i="9"/>
  <c r="F68" i="9"/>
  <c r="F69" i="9"/>
  <c r="F67" i="9"/>
  <c r="P78" i="9"/>
  <c r="P37" i="9"/>
  <c r="P46" i="9"/>
  <c r="P55" i="9"/>
  <c r="P66" i="9" s="1"/>
  <c r="R22" i="1"/>
  <c r="L22" i="1"/>
  <c r="N23" i="1"/>
  <c r="H23" i="1"/>
  <c r="G55" i="9"/>
  <c r="G66" i="9" s="1"/>
  <c r="G37" i="9"/>
  <c r="G78" i="9"/>
  <c r="G46" i="9"/>
  <c r="H55" i="9"/>
  <c r="H66" i="9" s="1"/>
  <c r="H37" i="9"/>
  <c r="H78" i="9"/>
  <c r="H46" i="9"/>
  <c r="I8" i="9"/>
  <c r="F23" i="1"/>
  <c r="B24" i="1"/>
  <c r="P4" i="8" l="1"/>
  <c r="P10" i="8"/>
  <c r="G4" i="8"/>
  <c r="G10" i="8"/>
  <c r="H4" i="8"/>
  <c r="H10" i="8"/>
  <c r="H40" i="13"/>
  <c r="I40" i="13"/>
  <c r="G40" i="13"/>
  <c r="K41" i="13"/>
  <c r="L41" i="13"/>
  <c r="J41" i="13"/>
  <c r="F40" i="13"/>
  <c r="E40" i="13"/>
  <c r="D40" i="13"/>
  <c r="A38" i="13"/>
  <c r="C39" i="13"/>
  <c r="B39" i="13"/>
  <c r="P69" i="9"/>
  <c r="P67" i="9"/>
  <c r="P68" i="9"/>
  <c r="H68" i="9"/>
  <c r="H69" i="9"/>
  <c r="H67" i="9"/>
  <c r="G68" i="9"/>
  <c r="G69" i="9"/>
  <c r="G67" i="9"/>
  <c r="L23" i="1"/>
  <c r="R23" i="1"/>
  <c r="N24" i="1"/>
  <c r="H24" i="1"/>
  <c r="L24" i="1" s="1"/>
  <c r="I55" i="9"/>
  <c r="I66" i="9" s="1"/>
  <c r="I37" i="9"/>
  <c r="I78" i="9"/>
  <c r="I46" i="9"/>
  <c r="J8" i="9"/>
  <c r="F24" i="1"/>
  <c r="B25" i="1"/>
  <c r="I4" i="8" l="1"/>
  <c r="I10" i="8"/>
  <c r="G39" i="13"/>
  <c r="H39" i="13"/>
  <c r="I39" i="13"/>
  <c r="J40" i="13"/>
  <c r="K40" i="13"/>
  <c r="L40" i="13"/>
  <c r="F39" i="13"/>
  <c r="E39" i="13"/>
  <c r="D39" i="13"/>
  <c r="A37" i="13"/>
  <c r="C38" i="13"/>
  <c r="B38" i="13"/>
  <c r="I68" i="9"/>
  <c r="I69" i="9"/>
  <c r="I67" i="9"/>
  <c r="R24" i="1"/>
  <c r="N25" i="1"/>
  <c r="R25" i="1" s="1"/>
  <c r="H25" i="1"/>
  <c r="J46" i="9"/>
  <c r="J55" i="9"/>
  <c r="J66" i="9" s="1"/>
  <c r="J78" i="9"/>
  <c r="J37" i="9"/>
  <c r="K8" i="9"/>
  <c r="F25" i="1"/>
  <c r="B26" i="1"/>
  <c r="J4" i="8" l="1"/>
  <c r="J10" i="8"/>
  <c r="H38" i="13"/>
  <c r="G38" i="13"/>
  <c r="I38" i="13"/>
  <c r="J39" i="13"/>
  <c r="K39" i="13"/>
  <c r="L39" i="13"/>
  <c r="F38" i="13"/>
  <c r="E38" i="13"/>
  <c r="D38" i="13"/>
  <c r="A36" i="13"/>
  <c r="C37" i="13"/>
  <c r="B37" i="13"/>
  <c r="J68" i="9"/>
  <c r="J67" i="9"/>
  <c r="J69" i="9"/>
  <c r="L25" i="1"/>
  <c r="N26" i="1"/>
  <c r="R26" i="1" s="1"/>
  <c r="H26" i="1"/>
  <c r="L26" i="1" s="1"/>
  <c r="K78" i="9"/>
  <c r="K46" i="9"/>
  <c r="K55" i="9"/>
  <c r="K66" i="9" s="1"/>
  <c r="K37" i="9"/>
  <c r="L8" i="9"/>
  <c r="F26" i="1"/>
  <c r="B27" i="1"/>
  <c r="K4" i="8" l="1"/>
  <c r="K10" i="8"/>
  <c r="I37" i="13"/>
  <c r="G37" i="13"/>
  <c r="H37" i="13"/>
  <c r="J38" i="13"/>
  <c r="K38" i="13"/>
  <c r="L38" i="13"/>
  <c r="F37" i="13"/>
  <c r="E37" i="13"/>
  <c r="D37" i="13"/>
  <c r="A35" i="13"/>
  <c r="C36" i="13"/>
  <c r="B36" i="13"/>
  <c r="K67" i="9"/>
  <c r="K68" i="9"/>
  <c r="K69" i="9"/>
  <c r="N27" i="1"/>
  <c r="R27" i="1" s="1"/>
  <c r="H27" i="1"/>
  <c r="L78" i="9"/>
  <c r="L46" i="9"/>
  <c r="L55" i="9"/>
  <c r="L66" i="9" s="1"/>
  <c r="L37" i="9"/>
  <c r="M8" i="9"/>
  <c r="F27" i="1"/>
  <c r="B28" i="1"/>
  <c r="L4" i="8" l="1"/>
  <c r="L10" i="8"/>
  <c r="G36" i="13"/>
  <c r="H36" i="13"/>
  <c r="I36" i="13"/>
  <c r="J37" i="13"/>
  <c r="K37" i="13"/>
  <c r="L37" i="13"/>
  <c r="F36" i="13"/>
  <c r="E36" i="13"/>
  <c r="D36" i="13"/>
  <c r="A34" i="13"/>
  <c r="C35" i="13"/>
  <c r="B35" i="13"/>
  <c r="E35" i="13" s="1"/>
  <c r="L67" i="9"/>
  <c r="L68" i="9"/>
  <c r="L69" i="9"/>
  <c r="L27" i="1"/>
  <c r="N28" i="1"/>
  <c r="R28" i="1" s="1"/>
  <c r="H28" i="1"/>
  <c r="L28" i="1" s="1"/>
  <c r="M78" i="9"/>
  <c r="M46" i="9"/>
  <c r="M55" i="9"/>
  <c r="M66" i="9" s="1"/>
  <c r="M37" i="9"/>
  <c r="F28" i="1"/>
  <c r="B29" i="1"/>
  <c r="M4" i="8" l="1"/>
  <c r="M10" i="8"/>
  <c r="G35" i="13"/>
  <c r="H35" i="13"/>
  <c r="I35" i="13"/>
  <c r="J36" i="13"/>
  <c r="K36" i="13"/>
  <c r="L36" i="13"/>
  <c r="F35" i="13"/>
  <c r="D35" i="13"/>
  <c r="A33" i="13"/>
  <c r="B34" i="13"/>
  <c r="C34" i="13"/>
  <c r="M67" i="9"/>
  <c r="M68" i="9"/>
  <c r="M69" i="9"/>
  <c r="N29" i="1"/>
  <c r="R29" i="1" s="1"/>
  <c r="H29" i="1"/>
  <c r="L29" i="1" s="1"/>
  <c r="F29" i="1"/>
  <c r="B30" i="1"/>
  <c r="E34" i="13" l="1"/>
  <c r="D34" i="13"/>
  <c r="F34" i="13"/>
  <c r="J35" i="13"/>
  <c r="K35" i="13"/>
  <c r="L35" i="13"/>
  <c r="H34" i="13"/>
  <c r="G34" i="13"/>
  <c r="I34" i="13"/>
  <c r="A32" i="13"/>
  <c r="C33" i="13"/>
  <c r="B33" i="13"/>
  <c r="N30" i="1"/>
  <c r="R30" i="1" s="1"/>
  <c r="H30" i="1"/>
  <c r="L30" i="1" s="1"/>
  <c r="F30" i="1"/>
  <c r="B31" i="1"/>
  <c r="I33" i="13" l="1"/>
  <c r="G33" i="13"/>
  <c r="H33" i="13"/>
  <c r="J34" i="13"/>
  <c r="K34" i="13"/>
  <c r="E33" i="13"/>
  <c r="F33" i="13"/>
  <c r="D33" i="13"/>
  <c r="L34" i="13"/>
  <c r="A31" i="13"/>
  <c r="B32" i="13"/>
  <c r="C32" i="13"/>
  <c r="N31" i="1"/>
  <c r="R31" i="1" s="1"/>
  <c r="H31" i="1"/>
  <c r="L31" i="1" s="1"/>
  <c r="F31" i="1"/>
  <c r="B32" i="1"/>
  <c r="D32" i="13" l="1"/>
  <c r="F32" i="13"/>
  <c r="E32" i="13"/>
  <c r="L33" i="13"/>
  <c r="K33" i="13"/>
  <c r="H32" i="13"/>
  <c r="I32" i="13"/>
  <c r="G32" i="13"/>
  <c r="A30" i="13"/>
  <c r="C31" i="13"/>
  <c r="B31" i="13"/>
  <c r="N32" i="1"/>
  <c r="R32" i="1" s="1"/>
  <c r="H32" i="1"/>
  <c r="L32" i="1" s="1"/>
  <c r="F32" i="1"/>
  <c r="B33" i="1"/>
  <c r="D31" i="13" l="1"/>
  <c r="F31" i="13"/>
  <c r="E31" i="13"/>
  <c r="K32" i="13"/>
  <c r="G31" i="13"/>
  <c r="H31" i="13"/>
  <c r="I31" i="13"/>
  <c r="L32" i="13"/>
  <c r="J32" i="13"/>
  <c r="A29" i="13"/>
  <c r="C30" i="13"/>
  <c r="B30" i="13"/>
  <c r="N33" i="1"/>
  <c r="R33" i="1" s="1"/>
  <c r="H33" i="1"/>
  <c r="L33" i="1" s="1"/>
  <c r="F33" i="1"/>
  <c r="B34" i="1"/>
  <c r="H30" i="13" l="1"/>
  <c r="G30" i="13"/>
  <c r="I30" i="13"/>
  <c r="L31" i="13"/>
  <c r="J31" i="13"/>
  <c r="D30" i="13"/>
  <c r="F30" i="13"/>
  <c r="E30" i="13"/>
  <c r="K31" i="13"/>
  <c r="A28" i="13"/>
  <c r="C29" i="13"/>
  <c r="B29" i="13"/>
  <c r="N34" i="1"/>
  <c r="R34" i="1" s="1"/>
  <c r="H34" i="1"/>
  <c r="L34" i="1" s="1"/>
  <c r="F34" i="1"/>
  <c r="B35" i="1"/>
  <c r="I29" i="13" l="1"/>
  <c r="G29" i="13"/>
  <c r="H29" i="13"/>
  <c r="K30" i="13"/>
  <c r="L30" i="13"/>
  <c r="J30" i="13"/>
  <c r="E29" i="13"/>
  <c r="D29" i="13"/>
  <c r="F29" i="13"/>
  <c r="A27" i="13"/>
  <c r="C28" i="13"/>
  <c r="B28" i="13"/>
  <c r="N35" i="1"/>
  <c r="R35" i="1" s="1"/>
  <c r="H35" i="1"/>
  <c r="L35" i="1" s="1"/>
  <c r="F35" i="1"/>
  <c r="B36" i="1"/>
  <c r="L29" i="13" l="1"/>
  <c r="J29" i="13"/>
  <c r="K29" i="13"/>
  <c r="E28" i="13"/>
  <c r="D28" i="13"/>
  <c r="F28" i="13"/>
  <c r="H28" i="13"/>
  <c r="G28" i="13"/>
  <c r="I28" i="13"/>
  <c r="A26" i="13"/>
  <c r="C27" i="13"/>
  <c r="B27" i="13"/>
  <c r="N36" i="1"/>
  <c r="R36" i="1" s="1"/>
  <c r="H36" i="1"/>
  <c r="L36" i="1" s="1"/>
  <c r="F36" i="1"/>
  <c r="B37" i="1"/>
  <c r="H27" i="13" l="1"/>
  <c r="I27" i="13"/>
  <c r="G27" i="13"/>
  <c r="L28" i="13"/>
  <c r="J28" i="13"/>
  <c r="K28" i="13"/>
  <c r="D27" i="13"/>
  <c r="E27" i="13"/>
  <c r="F27" i="13"/>
  <c r="A25" i="13"/>
  <c r="C26" i="13"/>
  <c r="B26" i="13"/>
  <c r="N37" i="1"/>
  <c r="R37" i="1" s="1"/>
  <c r="H37" i="1"/>
  <c r="L37" i="1" s="1"/>
  <c r="F37" i="1"/>
  <c r="B38" i="1"/>
  <c r="H26" i="13" l="1"/>
  <c r="G26" i="13"/>
  <c r="I26" i="13"/>
  <c r="L27" i="13"/>
  <c r="K27" i="13"/>
  <c r="J27" i="13"/>
  <c r="D26" i="13"/>
  <c r="E26" i="13"/>
  <c r="F26" i="13"/>
  <c r="A24" i="13"/>
  <c r="C25" i="13"/>
  <c r="B25" i="13"/>
  <c r="N38" i="1"/>
  <c r="R38" i="1" s="1"/>
  <c r="H38" i="1"/>
  <c r="L38" i="1" s="1"/>
  <c r="F38" i="1"/>
  <c r="B39" i="1"/>
  <c r="I25" i="13" l="1"/>
  <c r="G25" i="13"/>
  <c r="H25" i="13"/>
  <c r="L26" i="13"/>
  <c r="K26" i="13"/>
  <c r="J26" i="13"/>
  <c r="F25" i="13"/>
  <c r="E25" i="13"/>
  <c r="D25" i="13"/>
  <c r="A23" i="13"/>
  <c r="C24" i="13"/>
  <c r="B24" i="13"/>
  <c r="N39" i="1"/>
  <c r="R39" i="1" s="1"/>
  <c r="H39" i="1"/>
  <c r="L39" i="1" s="1"/>
  <c r="F39" i="1"/>
  <c r="B40" i="1"/>
  <c r="K25" i="13" l="1"/>
  <c r="J25" i="13"/>
  <c r="L25" i="13"/>
  <c r="F24" i="13"/>
  <c r="D24" i="13"/>
  <c r="E24" i="13"/>
  <c r="H24" i="13"/>
  <c r="I24" i="13"/>
  <c r="G24" i="13"/>
  <c r="A22" i="13"/>
  <c r="C23" i="13"/>
  <c r="B23" i="13"/>
  <c r="N40" i="1"/>
  <c r="R40" i="1" s="1"/>
  <c r="H40" i="1"/>
  <c r="L40" i="1" s="1"/>
  <c r="B41" i="1"/>
  <c r="F40" i="1"/>
  <c r="I23" i="13" l="1"/>
  <c r="G23" i="13"/>
  <c r="H23" i="13"/>
  <c r="K24" i="13"/>
  <c r="J24" i="13"/>
  <c r="L24" i="13"/>
  <c r="F23" i="13"/>
  <c r="E23" i="13"/>
  <c r="D23" i="13"/>
  <c r="A21" i="13"/>
  <c r="B22" i="13"/>
  <c r="C22" i="13"/>
  <c r="B42" i="1"/>
  <c r="N41" i="1"/>
  <c r="R41" i="1" s="1"/>
  <c r="H41" i="1"/>
  <c r="L41" i="1" s="1"/>
  <c r="F41" i="1"/>
  <c r="J23" i="13" l="1"/>
  <c r="K23" i="13"/>
  <c r="L23" i="13"/>
  <c r="H22" i="13"/>
  <c r="G22" i="13"/>
  <c r="I22" i="13"/>
  <c r="F22" i="13"/>
  <c r="D22" i="13"/>
  <c r="E22" i="13"/>
  <c r="A20" i="13"/>
  <c r="B21" i="13"/>
  <c r="C21" i="13"/>
  <c r="B43" i="1"/>
  <c r="F42" i="1"/>
  <c r="N42" i="1"/>
  <c r="R42" i="1" s="1"/>
  <c r="H42" i="1"/>
  <c r="L42" i="1" s="1"/>
  <c r="F21" i="13" l="1"/>
  <c r="E21" i="13"/>
  <c r="D21" i="13"/>
  <c r="K22" i="13"/>
  <c r="J22" i="13"/>
  <c r="L22" i="13"/>
  <c r="I21" i="13"/>
  <c r="G21" i="13"/>
  <c r="H21" i="13"/>
  <c r="A19" i="13"/>
  <c r="B20" i="13"/>
  <c r="C20" i="13"/>
  <c r="H43" i="1"/>
  <c r="L43" i="1" s="1"/>
  <c r="N43" i="1"/>
  <c r="R43" i="1" s="1"/>
  <c r="F43" i="1"/>
  <c r="B44" i="1"/>
  <c r="G20" i="13" l="1"/>
  <c r="H20" i="13"/>
  <c r="I20" i="13"/>
  <c r="J21" i="13"/>
  <c r="E20" i="13"/>
  <c r="D20" i="13"/>
  <c r="F20" i="13"/>
  <c r="K21" i="13"/>
  <c r="L21" i="13"/>
  <c r="A18" i="13"/>
  <c r="C19" i="13"/>
  <c r="B19" i="13"/>
  <c r="N44" i="1"/>
  <c r="R44" i="1" s="1"/>
  <c r="F44" i="1"/>
  <c r="B45" i="1"/>
  <c r="H44" i="1"/>
  <c r="L44" i="1" s="1"/>
  <c r="G19" i="13" l="1"/>
  <c r="I19" i="13"/>
  <c r="H19" i="13"/>
  <c r="L20" i="13"/>
  <c r="J20" i="13"/>
  <c r="K20" i="13"/>
  <c r="E19" i="13"/>
  <c r="D19" i="13"/>
  <c r="F19" i="13"/>
  <c r="A17" i="13"/>
  <c r="C18" i="13"/>
  <c r="B18" i="13"/>
  <c r="N45" i="1"/>
  <c r="R45" i="1" s="1"/>
  <c r="B46" i="1"/>
  <c r="H45" i="1"/>
  <c r="L45" i="1" s="1"/>
  <c r="F45" i="1"/>
  <c r="L19" i="13" l="1"/>
  <c r="J19" i="13"/>
  <c r="K19" i="13"/>
  <c r="D18" i="13"/>
  <c r="F18" i="13"/>
  <c r="E18" i="13"/>
  <c r="H18" i="13"/>
  <c r="G18" i="13"/>
  <c r="I18" i="13"/>
  <c r="A16" i="13"/>
  <c r="C17" i="13"/>
  <c r="B17" i="13"/>
  <c r="F46" i="1"/>
  <c r="N46" i="1"/>
  <c r="R46" i="1" s="1"/>
  <c r="H46" i="1"/>
  <c r="L46" i="1" s="1"/>
  <c r="B47" i="1"/>
  <c r="L18" i="13" l="1"/>
  <c r="D17" i="13"/>
  <c r="F17" i="13"/>
  <c r="E17" i="13"/>
  <c r="I17" i="13"/>
  <c r="G17" i="13"/>
  <c r="H17" i="13"/>
  <c r="K18" i="13"/>
  <c r="J18" i="13"/>
  <c r="A15" i="13"/>
  <c r="C16" i="13"/>
  <c r="B16" i="13"/>
  <c r="N47" i="1"/>
  <c r="R47" i="1" s="1"/>
  <c r="F47" i="1"/>
  <c r="B48" i="1"/>
  <c r="H47" i="1"/>
  <c r="L47" i="1" s="1"/>
  <c r="K17" i="13" l="1"/>
  <c r="L17" i="13"/>
  <c r="F16" i="13"/>
  <c r="E16" i="13"/>
  <c r="D16" i="13"/>
  <c r="J17" i="13"/>
  <c r="G16" i="13"/>
  <c r="H16" i="13"/>
  <c r="I16" i="13"/>
  <c r="A14" i="13"/>
  <c r="C15" i="13"/>
  <c r="B15" i="13"/>
  <c r="N48" i="1"/>
  <c r="R48" i="1" s="1"/>
  <c r="F48" i="1"/>
  <c r="H48" i="1"/>
  <c r="L48" i="1" s="1"/>
  <c r="B49" i="1"/>
  <c r="G15" i="13" l="1"/>
  <c r="H15" i="13"/>
  <c r="I15" i="13"/>
  <c r="J16" i="13"/>
  <c r="K16" i="13"/>
  <c r="L16" i="13"/>
  <c r="E15" i="13"/>
  <c r="F15" i="13"/>
  <c r="D15" i="13"/>
  <c r="B14" i="13"/>
  <c r="C14" i="13"/>
  <c r="N49" i="1"/>
  <c r="R49" i="1" s="1"/>
  <c r="F49" i="1"/>
  <c r="B50" i="1"/>
  <c r="H49" i="1"/>
  <c r="L49" i="1" s="1"/>
  <c r="I14" i="13" l="1"/>
  <c r="H14" i="13"/>
  <c r="G14" i="13"/>
  <c r="F14" i="13"/>
  <c r="E14" i="13"/>
  <c r="D14" i="13"/>
  <c r="J15" i="13"/>
  <c r="L15" i="13"/>
  <c r="K15" i="13"/>
  <c r="B51" i="1"/>
  <c r="H50" i="1"/>
  <c r="N50" i="1"/>
  <c r="F50" i="1"/>
  <c r="R50" i="1" l="1"/>
  <c r="L50" i="1"/>
  <c r="B52" i="1"/>
  <c r="J14" i="13"/>
  <c r="K14" i="13"/>
  <c r="L14" i="13"/>
  <c r="O14" i="13" s="1"/>
  <c r="H51" i="1"/>
  <c r="N51" i="1"/>
  <c r="F51" i="1"/>
  <c r="N48" i="13" l="1"/>
  <c r="I40" i="1" s="1"/>
  <c r="N47" i="13"/>
  <c r="I39" i="1" s="1"/>
  <c r="N46" i="13"/>
  <c r="I38" i="1" s="1"/>
  <c r="N45" i="13"/>
  <c r="I37" i="1" s="1"/>
  <c r="N44" i="13"/>
  <c r="I36" i="1" s="1"/>
  <c r="N43" i="13"/>
  <c r="I35" i="1" s="1"/>
  <c r="N42" i="13"/>
  <c r="I34" i="1" s="1"/>
  <c r="N41" i="13"/>
  <c r="I33" i="1" s="1"/>
  <c r="N40" i="13"/>
  <c r="I32" i="1" s="1"/>
  <c r="N39" i="13"/>
  <c r="I31" i="1" s="1"/>
  <c r="N38" i="13"/>
  <c r="I30" i="1" s="1"/>
  <c r="N37" i="13"/>
  <c r="I29" i="1" s="1"/>
  <c r="N36" i="13"/>
  <c r="I28" i="1" s="1"/>
  <c r="N35" i="13"/>
  <c r="I27" i="1" s="1"/>
  <c r="N34" i="13"/>
  <c r="I26" i="1" s="1"/>
  <c r="N33" i="13"/>
  <c r="I25" i="1" s="1"/>
  <c r="N32" i="13"/>
  <c r="N31" i="13"/>
  <c r="N30" i="13"/>
  <c r="N29" i="13"/>
  <c r="N28" i="13"/>
  <c r="N27" i="13"/>
  <c r="I19" i="1" s="1"/>
  <c r="N26" i="13"/>
  <c r="I18" i="1" s="1"/>
  <c r="N25" i="13"/>
  <c r="I17" i="1" s="1"/>
  <c r="N24" i="13"/>
  <c r="N23" i="13"/>
  <c r="N22" i="13"/>
  <c r="I14" i="1" s="1"/>
  <c r="N21" i="13"/>
  <c r="I13" i="1" s="1"/>
  <c r="N20" i="13"/>
  <c r="I12" i="1" s="1"/>
  <c r="N19" i="13"/>
  <c r="I11" i="1" s="1"/>
  <c r="N18" i="13"/>
  <c r="I10" i="1" s="1"/>
  <c r="N17" i="13"/>
  <c r="I9" i="1" s="1"/>
  <c r="N16" i="13"/>
  <c r="I8" i="1" s="1"/>
  <c r="N15" i="13"/>
  <c r="I7" i="1" s="1"/>
  <c r="M14" i="13"/>
  <c r="C6" i="1" s="1"/>
  <c r="M48" i="13"/>
  <c r="C40" i="1" s="1"/>
  <c r="M47" i="13"/>
  <c r="C39" i="1" s="1"/>
  <c r="M46" i="13"/>
  <c r="C38" i="1" s="1"/>
  <c r="M45" i="13"/>
  <c r="C37" i="1" s="1"/>
  <c r="M44" i="13"/>
  <c r="C36" i="1" s="1"/>
  <c r="M43" i="13"/>
  <c r="C35" i="1" s="1"/>
  <c r="M42" i="13"/>
  <c r="C34" i="1" s="1"/>
  <c r="M41" i="13"/>
  <c r="C33" i="1" s="1"/>
  <c r="M40" i="13"/>
  <c r="C32" i="1" s="1"/>
  <c r="M39" i="13"/>
  <c r="C31" i="1" s="1"/>
  <c r="M38" i="13"/>
  <c r="C30" i="1" s="1"/>
  <c r="M37" i="13"/>
  <c r="C29" i="1" s="1"/>
  <c r="M36" i="13"/>
  <c r="C28" i="1" s="1"/>
  <c r="M35" i="13"/>
  <c r="C27" i="1" s="1"/>
  <c r="M34" i="13"/>
  <c r="C26" i="1" s="1"/>
  <c r="C25" i="1"/>
  <c r="M32" i="13"/>
  <c r="C24" i="1" s="1"/>
  <c r="M31" i="13"/>
  <c r="C23" i="1" s="1"/>
  <c r="M30" i="13"/>
  <c r="C22" i="1" s="1"/>
  <c r="M29" i="13"/>
  <c r="C21" i="1" s="1"/>
  <c r="M28" i="13"/>
  <c r="C20" i="1" s="1"/>
  <c r="M27" i="13"/>
  <c r="M26" i="13"/>
  <c r="C18" i="1" s="1"/>
  <c r="M25" i="13"/>
  <c r="C17" i="1" s="1"/>
  <c r="M24" i="13"/>
  <c r="C16" i="1" s="1"/>
  <c r="M23" i="13"/>
  <c r="C15" i="1" s="1"/>
  <c r="M22" i="13"/>
  <c r="C14" i="1" s="1"/>
  <c r="M21" i="13"/>
  <c r="C13" i="1" s="1"/>
  <c r="M20" i="13"/>
  <c r="C12" i="1" s="1"/>
  <c r="M19" i="13"/>
  <c r="M18" i="13"/>
  <c r="M17" i="13"/>
  <c r="M16" i="13"/>
  <c r="M15" i="13"/>
  <c r="C7" i="1" s="1"/>
  <c r="O48" i="13"/>
  <c r="O40" i="1" s="1"/>
  <c r="O47" i="13"/>
  <c r="O39" i="1" s="1"/>
  <c r="O46" i="13"/>
  <c r="O38" i="1" s="1"/>
  <c r="O45" i="13"/>
  <c r="O37" i="1" s="1"/>
  <c r="O44" i="13"/>
  <c r="O36" i="1" s="1"/>
  <c r="O43" i="13"/>
  <c r="O35" i="1" s="1"/>
  <c r="O42" i="13"/>
  <c r="O34" i="1" s="1"/>
  <c r="O41" i="13"/>
  <c r="O33" i="1" s="1"/>
  <c r="O40" i="13"/>
  <c r="O32" i="1" s="1"/>
  <c r="P35" i="1" s="1"/>
  <c r="O39" i="13"/>
  <c r="O31" i="1" s="1"/>
  <c r="P34" i="1" s="1"/>
  <c r="O38" i="13"/>
  <c r="O30" i="1" s="1"/>
  <c r="O37" i="13"/>
  <c r="O29" i="1" s="1"/>
  <c r="O36" i="13"/>
  <c r="O28" i="1" s="1"/>
  <c r="O35" i="13"/>
  <c r="O27" i="1" s="1"/>
  <c r="O34" i="13"/>
  <c r="O26" i="1" s="1"/>
  <c r="O33" i="13"/>
  <c r="O25" i="1" s="1"/>
  <c r="O32" i="13"/>
  <c r="O24" i="1" s="1"/>
  <c r="O31" i="13"/>
  <c r="O23" i="1" s="1"/>
  <c r="O30" i="13"/>
  <c r="O22" i="1" s="1"/>
  <c r="O29" i="13"/>
  <c r="O21" i="1" s="1"/>
  <c r="O28" i="13"/>
  <c r="O20" i="1" s="1"/>
  <c r="O27" i="13"/>
  <c r="O19" i="1" s="1"/>
  <c r="O26" i="13"/>
  <c r="O18" i="1" s="1"/>
  <c r="O25" i="13"/>
  <c r="O17" i="1" s="1"/>
  <c r="O24" i="13"/>
  <c r="O16" i="1" s="1"/>
  <c r="O23" i="13"/>
  <c r="O15" i="1" s="1"/>
  <c r="O22" i="13"/>
  <c r="O14" i="1" s="1"/>
  <c r="O21" i="13"/>
  <c r="O13" i="1" s="1"/>
  <c r="O20" i="13"/>
  <c r="O12" i="1" s="1"/>
  <c r="O19" i="13"/>
  <c r="O11" i="1" s="1"/>
  <c r="O18" i="13"/>
  <c r="O10" i="1" s="1"/>
  <c r="O17" i="13"/>
  <c r="O9" i="1" s="1"/>
  <c r="O16" i="13"/>
  <c r="O8" i="1" s="1"/>
  <c r="O15" i="13"/>
  <c r="O7" i="1" s="1"/>
  <c r="N14" i="13"/>
  <c r="I6" i="1" s="1"/>
  <c r="O69" i="13"/>
  <c r="O73" i="13"/>
  <c r="O71" i="13"/>
  <c r="O72" i="13"/>
  <c r="O65" i="13"/>
  <c r="O64" i="13"/>
  <c r="O68" i="13"/>
  <c r="O63" i="13"/>
  <c r="O67" i="13"/>
  <c r="O62" i="13"/>
  <c r="O70" i="13"/>
  <c r="O66" i="13"/>
  <c r="O61" i="13"/>
  <c r="O60" i="13"/>
  <c r="O59" i="13"/>
  <c r="O51" i="1" s="1"/>
  <c r="O58" i="13"/>
  <c r="O50" i="1" s="1"/>
  <c r="O57" i="13"/>
  <c r="O49" i="1" s="1"/>
  <c r="O56" i="13"/>
  <c r="O48" i="1" s="1"/>
  <c r="O55" i="13"/>
  <c r="O47" i="1" s="1"/>
  <c r="O54" i="13"/>
  <c r="O46" i="1" s="1"/>
  <c r="O53" i="13"/>
  <c r="O45" i="1" s="1"/>
  <c r="O52" i="13"/>
  <c r="O44" i="1" s="1"/>
  <c r="O51" i="13"/>
  <c r="O43" i="1" s="1"/>
  <c r="O50" i="13"/>
  <c r="O42" i="1" s="1"/>
  <c r="O49" i="13"/>
  <c r="O41" i="1" s="1"/>
  <c r="M64" i="13"/>
  <c r="M67" i="13"/>
  <c r="M65" i="13"/>
  <c r="M72" i="13"/>
  <c r="M71" i="13"/>
  <c r="M62" i="13"/>
  <c r="M68" i="13"/>
  <c r="M70" i="13"/>
  <c r="M66" i="13"/>
  <c r="M63" i="13"/>
  <c r="M69" i="13"/>
  <c r="M73" i="13"/>
  <c r="M61" i="13"/>
  <c r="M60" i="13"/>
  <c r="C52" i="1" s="1"/>
  <c r="M59" i="13"/>
  <c r="C51" i="1" s="1"/>
  <c r="M58" i="13"/>
  <c r="C50" i="1" s="1"/>
  <c r="M57" i="13"/>
  <c r="C49" i="1" s="1"/>
  <c r="M56" i="13"/>
  <c r="C48" i="1" s="1"/>
  <c r="M55" i="13"/>
  <c r="C47" i="1" s="1"/>
  <c r="M54" i="13"/>
  <c r="C46" i="1" s="1"/>
  <c r="M53" i="13"/>
  <c r="C45" i="1" s="1"/>
  <c r="M52" i="13"/>
  <c r="C44" i="1" s="1"/>
  <c r="M51" i="13"/>
  <c r="C43" i="1" s="1"/>
  <c r="M50" i="13"/>
  <c r="C42" i="1" s="1"/>
  <c r="M49" i="13"/>
  <c r="C41" i="1" s="1"/>
  <c r="N65" i="13"/>
  <c r="N71" i="13"/>
  <c r="N68" i="13"/>
  <c r="N64" i="13"/>
  <c r="N66" i="13"/>
  <c r="N63" i="13"/>
  <c r="N62" i="13"/>
  <c r="N70" i="13"/>
  <c r="N67" i="13"/>
  <c r="N73" i="13"/>
  <c r="N69" i="13"/>
  <c r="N72" i="13"/>
  <c r="N61" i="13"/>
  <c r="N60" i="13"/>
  <c r="N59" i="13"/>
  <c r="I51" i="1" s="1"/>
  <c r="N58" i="13"/>
  <c r="I50" i="1" s="1"/>
  <c r="N57" i="13"/>
  <c r="I49" i="1" s="1"/>
  <c r="N56" i="13"/>
  <c r="I48" i="1" s="1"/>
  <c r="N55" i="13"/>
  <c r="I47" i="1" s="1"/>
  <c r="N54" i="13"/>
  <c r="I46" i="1" s="1"/>
  <c r="N53" i="13"/>
  <c r="I45" i="1" s="1"/>
  <c r="N52" i="13"/>
  <c r="I44" i="1" s="1"/>
  <c r="N51" i="13"/>
  <c r="I43" i="1" s="1"/>
  <c r="N50" i="13"/>
  <c r="I42" i="1" s="1"/>
  <c r="N49" i="13"/>
  <c r="I41" i="1" s="1"/>
  <c r="F52" i="1"/>
  <c r="H52" i="1"/>
  <c r="R51" i="1"/>
  <c r="L51" i="1"/>
  <c r="B53" i="1"/>
  <c r="L52" i="1"/>
  <c r="N52" i="1"/>
  <c r="I24" i="1"/>
  <c r="I23" i="1"/>
  <c r="I22" i="1"/>
  <c r="I21" i="1"/>
  <c r="I20" i="1"/>
  <c r="I16" i="1"/>
  <c r="I15" i="1"/>
  <c r="C19" i="1"/>
  <c r="C11" i="1"/>
  <c r="C10" i="1"/>
  <c r="C9" i="1"/>
  <c r="C8" i="1"/>
  <c r="O6" i="1"/>
  <c r="D32" i="1" l="1"/>
  <c r="J37" i="1"/>
  <c r="D33" i="1"/>
  <c r="J38" i="1"/>
  <c r="P33" i="1"/>
  <c r="D31" i="1"/>
  <c r="D39" i="1"/>
  <c r="J28" i="1"/>
  <c r="J36" i="1"/>
  <c r="D27" i="1"/>
  <c r="P36" i="1"/>
  <c r="D34" i="1"/>
  <c r="J39" i="1"/>
  <c r="P29" i="1"/>
  <c r="Q33" i="1" s="1"/>
  <c r="P37" i="1"/>
  <c r="Q37" i="1" s="1"/>
  <c r="D35" i="1"/>
  <c r="J40" i="1"/>
  <c r="K40" i="1" s="1"/>
  <c r="J27" i="1"/>
  <c r="D36" i="1"/>
  <c r="J33" i="1"/>
  <c r="D37" i="1"/>
  <c r="E37" i="1" s="1"/>
  <c r="J34" i="1"/>
  <c r="K38" i="1" s="1"/>
  <c r="D38" i="1"/>
  <c r="E38" i="1" s="1"/>
  <c r="J35" i="1"/>
  <c r="K39" i="1" s="1"/>
  <c r="P30" i="1"/>
  <c r="Q34" i="1" s="1"/>
  <c r="P31" i="1"/>
  <c r="P32" i="1"/>
  <c r="P27" i="1"/>
  <c r="J32" i="1"/>
  <c r="P38" i="1"/>
  <c r="Q38" i="1" s="1"/>
  <c r="D28" i="1"/>
  <c r="D40" i="1"/>
  <c r="J29" i="1"/>
  <c r="C53" i="1"/>
  <c r="P39" i="1"/>
  <c r="Q39" i="1" s="1"/>
  <c r="D29" i="1"/>
  <c r="J30" i="1"/>
  <c r="P28" i="1"/>
  <c r="P40" i="1"/>
  <c r="D30" i="1"/>
  <c r="J31" i="1"/>
  <c r="B54" i="1"/>
  <c r="F54" i="1" s="1"/>
  <c r="I52" i="1"/>
  <c r="J52" i="1" s="1"/>
  <c r="J51" i="1"/>
  <c r="P25" i="1"/>
  <c r="P12" i="1"/>
  <c r="J26" i="1"/>
  <c r="P26" i="1"/>
  <c r="J46" i="1"/>
  <c r="J45" i="1"/>
  <c r="D47" i="1"/>
  <c r="J47" i="1"/>
  <c r="D48" i="1"/>
  <c r="J48" i="1"/>
  <c r="P48" i="1"/>
  <c r="D49" i="1"/>
  <c r="J19" i="1"/>
  <c r="P13" i="1"/>
  <c r="D50" i="1"/>
  <c r="D26" i="1"/>
  <c r="D51" i="1"/>
  <c r="P51" i="1"/>
  <c r="D52" i="1"/>
  <c r="P24" i="1"/>
  <c r="P50" i="1"/>
  <c r="P49" i="1"/>
  <c r="J49" i="1"/>
  <c r="P43" i="1"/>
  <c r="P44" i="1"/>
  <c r="P41" i="1"/>
  <c r="P42" i="1"/>
  <c r="J50" i="1"/>
  <c r="P45" i="1"/>
  <c r="D42" i="1"/>
  <c r="D44" i="1"/>
  <c r="D41" i="1"/>
  <c r="D43" i="1"/>
  <c r="P10" i="1"/>
  <c r="J16" i="1"/>
  <c r="P46" i="1"/>
  <c r="D45" i="1"/>
  <c r="D17" i="1"/>
  <c r="P11" i="1"/>
  <c r="P23" i="1"/>
  <c r="P47" i="1"/>
  <c r="D46" i="1"/>
  <c r="J44" i="1"/>
  <c r="J42" i="1"/>
  <c r="J41" i="1"/>
  <c r="K41" i="1" s="1"/>
  <c r="J43" i="1"/>
  <c r="J17" i="1"/>
  <c r="J18" i="1"/>
  <c r="D19" i="1"/>
  <c r="D18" i="1"/>
  <c r="J20" i="1"/>
  <c r="D16" i="1"/>
  <c r="H53" i="1"/>
  <c r="I53" i="1" s="1"/>
  <c r="N53" i="1"/>
  <c r="R53" i="1" s="1"/>
  <c r="P18" i="1"/>
  <c r="J12" i="1"/>
  <c r="J24" i="1"/>
  <c r="D12" i="1"/>
  <c r="D24" i="1"/>
  <c r="D25" i="1"/>
  <c r="J25" i="1"/>
  <c r="R52" i="1"/>
  <c r="O52" i="1"/>
  <c r="J9" i="1"/>
  <c r="D20" i="1"/>
  <c r="P14" i="1"/>
  <c r="F53" i="1"/>
  <c r="D21" i="1"/>
  <c r="D9" i="1"/>
  <c r="D10" i="1"/>
  <c r="J10" i="1"/>
  <c r="J22" i="1"/>
  <c r="P9" i="1"/>
  <c r="P15" i="1"/>
  <c r="J21" i="1"/>
  <c r="D22" i="1"/>
  <c r="P16" i="1"/>
  <c r="D11" i="1"/>
  <c r="D23" i="1"/>
  <c r="P17" i="1"/>
  <c r="J11" i="1"/>
  <c r="J23" i="1"/>
  <c r="D13" i="1"/>
  <c r="P20" i="1"/>
  <c r="J14" i="1"/>
  <c r="P22" i="1"/>
  <c r="P19" i="1"/>
  <c r="D14" i="1"/>
  <c r="D15" i="1"/>
  <c r="P21" i="1"/>
  <c r="J15" i="1"/>
  <c r="E32" i="1" l="1"/>
  <c r="K37" i="1"/>
  <c r="K43" i="1"/>
  <c r="K42" i="1"/>
  <c r="E35" i="1"/>
  <c r="E36" i="1"/>
  <c r="E39" i="1"/>
  <c r="E33" i="1"/>
  <c r="Q28" i="1"/>
  <c r="E31" i="1"/>
  <c r="K36" i="1"/>
  <c r="K44" i="1"/>
  <c r="Q41" i="1"/>
  <c r="K31" i="1"/>
  <c r="E43" i="1"/>
  <c r="Q29" i="1"/>
  <c r="Q40" i="1"/>
  <c r="E34" i="1"/>
  <c r="Q32" i="1"/>
  <c r="Q36" i="1"/>
  <c r="Q27" i="1"/>
  <c r="K33" i="1"/>
  <c r="E40" i="1"/>
  <c r="E42" i="1"/>
  <c r="K32" i="1"/>
  <c r="Q30" i="1"/>
  <c r="D53" i="1"/>
  <c r="E53" i="1" s="1"/>
  <c r="E41" i="1"/>
  <c r="Q31" i="1"/>
  <c r="Q35" i="1"/>
  <c r="Q51" i="1"/>
  <c r="K30" i="1"/>
  <c r="E46" i="1"/>
  <c r="K34" i="1"/>
  <c r="K51" i="1"/>
  <c r="K35" i="1"/>
  <c r="E30" i="1"/>
  <c r="Q42" i="1"/>
  <c r="K29" i="1"/>
  <c r="E44" i="1"/>
  <c r="E29" i="1"/>
  <c r="Q44" i="1"/>
  <c r="E28" i="1"/>
  <c r="Q43" i="1"/>
  <c r="H54" i="1"/>
  <c r="N54" i="1"/>
  <c r="B55" i="1"/>
  <c r="C55" i="1" s="1"/>
  <c r="C54" i="1"/>
  <c r="D54" i="1" s="1"/>
  <c r="E54" i="1" s="1"/>
  <c r="O53" i="1"/>
  <c r="P53" i="1" s="1"/>
  <c r="Q53" i="1" s="1"/>
  <c r="L53" i="1"/>
  <c r="J53" i="1" s="1"/>
  <c r="K53" i="1" s="1"/>
  <c r="E22" i="1"/>
  <c r="K49" i="1"/>
  <c r="Q25" i="1"/>
  <c r="Q16" i="1"/>
  <c r="K50" i="1"/>
  <c r="E16" i="1"/>
  <c r="E49" i="1"/>
  <c r="E48" i="1"/>
  <c r="E51" i="1"/>
  <c r="E74" i="1"/>
  <c r="C10" i="9" s="1"/>
  <c r="C57" i="9" s="1"/>
  <c r="K23" i="1"/>
  <c r="K52" i="1"/>
  <c r="E52" i="1"/>
  <c r="Q13" i="1"/>
  <c r="E75" i="1" s="1"/>
  <c r="C11" i="9" s="1"/>
  <c r="C40" i="9" s="1"/>
  <c r="Q17" i="1"/>
  <c r="F75" i="1" s="1"/>
  <c r="D11" i="9" s="1"/>
  <c r="D49" i="9" s="1"/>
  <c r="K21" i="1"/>
  <c r="G74" i="1" s="1"/>
  <c r="E10" i="9" s="1"/>
  <c r="E57" i="9" s="1"/>
  <c r="K20" i="1"/>
  <c r="Q45" i="1"/>
  <c r="Q49" i="1"/>
  <c r="Q46" i="1"/>
  <c r="K24" i="1"/>
  <c r="K16" i="1"/>
  <c r="Q15" i="1"/>
  <c r="Q50" i="1"/>
  <c r="E18" i="1"/>
  <c r="Q14" i="1"/>
  <c r="K45" i="1"/>
  <c r="E50" i="1"/>
  <c r="Q47" i="1"/>
  <c r="E47" i="1"/>
  <c r="K48" i="1"/>
  <c r="E45" i="1"/>
  <c r="K47" i="1"/>
  <c r="K46" i="1"/>
  <c r="K14" i="1"/>
  <c r="Q48" i="1"/>
  <c r="K22" i="1"/>
  <c r="E23" i="1"/>
  <c r="Q22" i="1"/>
  <c r="Q19" i="1"/>
  <c r="K28" i="1"/>
  <c r="E24" i="1"/>
  <c r="E25" i="1"/>
  <c r="Q26" i="1"/>
  <c r="K26" i="1"/>
  <c r="P52" i="1"/>
  <c r="Q52" i="1" s="1"/>
  <c r="L54" i="1"/>
  <c r="I54" i="1"/>
  <c r="E13" i="1"/>
  <c r="E73" i="1" s="1"/>
  <c r="Q18" i="1"/>
  <c r="E21" i="1"/>
  <c r="G73" i="1" s="1"/>
  <c r="E9" i="9" s="1"/>
  <c r="E38" i="9" s="1"/>
  <c r="K27" i="1"/>
  <c r="E20" i="1"/>
  <c r="Q20" i="1"/>
  <c r="R54" i="1"/>
  <c r="O54" i="1"/>
  <c r="E27" i="1"/>
  <c r="K15" i="1"/>
  <c r="Q21" i="1"/>
  <c r="G75" i="1" s="1"/>
  <c r="E11" i="9" s="1"/>
  <c r="K18" i="1"/>
  <c r="E15" i="1"/>
  <c r="K17" i="1"/>
  <c r="F74" i="1" s="1"/>
  <c r="D10" i="9" s="1"/>
  <c r="E19" i="1"/>
  <c r="E26" i="1"/>
  <c r="E14" i="1"/>
  <c r="K19" i="1"/>
  <c r="Q24" i="1"/>
  <c r="E17" i="1"/>
  <c r="F73" i="1" s="1"/>
  <c r="D9" i="9" s="1"/>
  <c r="K25" i="1"/>
  <c r="Q23" i="1"/>
  <c r="H55" i="1"/>
  <c r="B56" i="1"/>
  <c r="C56" i="1" s="1"/>
  <c r="N55" i="1"/>
  <c r="F55" i="1"/>
  <c r="J54" i="1" l="1"/>
  <c r="K54" i="1" s="1"/>
  <c r="C39" i="9"/>
  <c r="P54" i="1"/>
  <c r="Q54" i="1" s="1"/>
  <c r="C9" i="9"/>
  <c r="C38" i="9" s="1"/>
  <c r="C48" i="9"/>
  <c r="E48" i="9"/>
  <c r="E39" i="9"/>
  <c r="C58" i="9"/>
  <c r="C49" i="9"/>
  <c r="D58" i="9"/>
  <c r="D40" i="9"/>
  <c r="E56" i="9"/>
  <c r="R55" i="1"/>
  <c r="O55" i="1"/>
  <c r="E47" i="9"/>
  <c r="L55" i="1"/>
  <c r="I55" i="1"/>
  <c r="E58" i="9"/>
  <c r="E40" i="9"/>
  <c r="E49" i="9"/>
  <c r="D57" i="9"/>
  <c r="D39" i="9"/>
  <c r="D48" i="9"/>
  <c r="D56" i="9"/>
  <c r="D47" i="9"/>
  <c r="D38" i="9"/>
  <c r="H56" i="1"/>
  <c r="N56" i="1"/>
  <c r="B57" i="1"/>
  <c r="C57" i="1" s="1"/>
  <c r="D55" i="1"/>
  <c r="E55" i="1" s="1"/>
  <c r="F56" i="1"/>
  <c r="D56" i="1" s="1"/>
  <c r="E56" i="1" s="1"/>
  <c r="C47" i="9" l="1"/>
  <c r="C50" i="9" s="1"/>
  <c r="E41" i="9"/>
  <c r="C41" i="9"/>
  <c r="C56" i="9"/>
  <c r="C59" i="9" s="1"/>
  <c r="J55" i="1"/>
  <c r="K55" i="1" s="1"/>
  <c r="E59" i="9"/>
  <c r="E50" i="9"/>
  <c r="D59" i="9"/>
  <c r="R56" i="1"/>
  <c r="O56" i="1"/>
  <c r="L56" i="1"/>
  <c r="I56" i="1"/>
  <c r="P55" i="1"/>
  <c r="Q55" i="1" s="1"/>
  <c r="D41" i="9"/>
  <c r="D50" i="9"/>
  <c r="H57" i="1"/>
  <c r="F57" i="1"/>
  <c r="D57" i="1" s="1"/>
  <c r="E57" i="1" s="1"/>
  <c r="N57" i="1"/>
  <c r="B58" i="1"/>
  <c r="C58" i="1" s="1"/>
  <c r="P56" i="1" l="1"/>
  <c r="Q56" i="1" s="1"/>
  <c r="J56" i="1"/>
  <c r="K56" i="1" s="1"/>
  <c r="R57" i="1"/>
  <c r="O57" i="1"/>
  <c r="L57" i="1"/>
  <c r="I57" i="1"/>
  <c r="H58" i="1"/>
  <c r="N58" i="1"/>
  <c r="F58" i="1"/>
  <c r="B59" i="1"/>
  <c r="C59" i="1" s="1"/>
  <c r="P57" i="1" l="1"/>
  <c r="Q57" i="1" s="1"/>
  <c r="J57" i="1"/>
  <c r="K57" i="1" s="1"/>
  <c r="L58" i="1"/>
  <c r="I58" i="1"/>
  <c r="R58" i="1"/>
  <c r="O58" i="1"/>
  <c r="D58" i="1"/>
  <c r="E58" i="1" s="1"/>
  <c r="F59" i="1"/>
  <c r="B60" i="1"/>
  <c r="C60" i="1" s="1"/>
  <c r="H59" i="1"/>
  <c r="N59" i="1"/>
  <c r="P58" i="1" l="1"/>
  <c r="Q58" i="1" s="1"/>
  <c r="R59" i="1"/>
  <c r="O59" i="1"/>
  <c r="L59" i="1"/>
  <c r="I59" i="1"/>
  <c r="J59" i="1" s="1"/>
  <c r="K59" i="1" s="1"/>
  <c r="J58" i="1"/>
  <c r="K58" i="1" s="1"/>
  <c r="D59" i="1"/>
  <c r="E59" i="1" s="1"/>
  <c r="H60" i="1"/>
  <c r="N60" i="1"/>
  <c r="B61" i="1"/>
  <c r="C61" i="1" s="1"/>
  <c r="F60" i="1"/>
  <c r="P59" i="1" l="1"/>
  <c r="Q59" i="1" s="1"/>
  <c r="R60" i="1"/>
  <c r="O60" i="1"/>
  <c r="L60" i="1"/>
  <c r="I60" i="1"/>
  <c r="D60" i="1"/>
  <c r="E60" i="1" s="1"/>
  <c r="H61" i="1"/>
  <c r="F61" i="1"/>
  <c r="N61" i="1"/>
  <c r="B62" i="1"/>
  <c r="P60" i="1" l="1"/>
  <c r="Q60" i="1" s="1"/>
  <c r="J60" i="1"/>
  <c r="K60" i="1" s="1"/>
  <c r="L61" i="1"/>
  <c r="I61" i="1"/>
  <c r="R61" i="1"/>
  <c r="O61" i="1"/>
  <c r="B63" i="1"/>
  <c r="C63" i="1" s="1"/>
  <c r="C62" i="1"/>
  <c r="D61" i="1"/>
  <c r="E61" i="1" s="1"/>
  <c r="F62" i="1"/>
  <c r="N62" i="1"/>
  <c r="H62" i="1"/>
  <c r="N63" i="1" l="1"/>
  <c r="H63" i="1"/>
  <c r="B64" i="1"/>
  <c r="C64" i="1" s="1"/>
  <c r="P61" i="1"/>
  <c r="Q61" i="1" s="1"/>
  <c r="F63" i="1"/>
  <c r="D63" i="1" s="1"/>
  <c r="E63" i="1" s="1"/>
  <c r="L63" i="1"/>
  <c r="I63" i="1"/>
  <c r="L62" i="1"/>
  <c r="I62" i="1"/>
  <c r="R62" i="1"/>
  <c r="O62" i="1"/>
  <c r="R63" i="1"/>
  <c r="O63" i="1"/>
  <c r="J61" i="1"/>
  <c r="K61" i="1" s="1"/>
  <c r="D62" i="1"/>
  <c r="E62" i="1" s="1"/>
  <c r="H64" i="1" l="1"/>
  <c r="F64" i="1"/>
  <c r="D64" i="1" s="1"/>
  <c r="E64" i="1" s="1"/>
  <c r="B65" i="1"/>
  <c r="C65" i="1" s="1"/>
  <c r="N64" i="1"/>
  <c r="O64" i="1" s="1"/>
  <c r="P63" i="1"/>
  <c r="Q63" i="1" s="1"/>
  <c r="J63" i="1"/>
  <c r="K63" i="1" s="1"/>
  <c r="J62" i="1"/>
  <c r="K62" i="1" s="1"/>
  <c r="P62" i="1"/>
  <c r="Q62" i="1" s="1"/>
  <c r="R64" i="1"/>
  <c r="L64" i="1"/>
  <c r="I64" i="1"/>
  <c r="P64" i="1" l="1"/>
  <c r="Q64" i="1" s="1"/>
  <c r="H65" i="1"/>
  <c r="F65" i="1"/>
  <c r="D65" i="1" s="1"/>
  <c r="E65" i="1" s="1"/>
  <c r="R73" i="1" s="1"/>
  <c r="P9" i="9" s="1"/>
  <c r="N65" i="1"/>
  <c r="J64" i="1"/>
  <c r="K64" i="1" s="1"/>
  <c r="L65" i="1"/>
  <c r="I65" i="1"/>
  <c r="R65" i="1"/>
  <c r="O65" i="1"/>
  <c r="N73" i="1"/>
  <c r="L9" i="9" s="1"/>
  <c r="O73" i="1"/>
  <c r="M9" i="9" s="1"/>
  <c r="J73" i="1"/>
  <c r="H9" i="9" s="1"/>
  <c r="L73" i="1"/>
  <c r="J9" i="9" s="1"/>
  <c r="M73" i="1"/>
  <c r="K9" i="9" s="1"/>
  <c r="H73" i="1"/>
  <c r="F9" i="9" s="1"/>
  <c r="I73" i="1"/>
  <c r="G9" i="9" s="1"/>
  <c r="K73" i="1"/>
  <c r="I9" i="9" s="1"/>
  <c r="Q73" i="1"/>
  <c r="O9" i="9" s="1"/>
  <c r="P73" i="1"/>
  <c r="N9" i="9" s="1"/>
  <c r="J74" i="1"/>
  <c r="H10" i="9" s="1"/>
  <c r="K74" i="1"/>
  <c r="I10" i="9" s="1"/>
  <c r="O74" i="1"/>
  <c r="M10" i="9" s="1"/>
  <c r="H74" i="1"/>
  <c r="F10" i="9" s="1"/>
  <c r="M74" i="1"/>
  <c r="K10" i="9" s="1"/>
  <c r="N74" i="1"/>
  <c r="L10" i="9" s="1"/>
  <c r="L74" i="1"/>
  <c r="J10" i="9" s="1"/>
  <c r="I74" i="1"/>
  <c r="G10" i="9" s="1"/>
  <c r="P74" i="1"/>
  <c r="N10" i="9" s="1"/>
  <c r="Q74" i="1"/>
  <c r="O10" i="9" s="1"/>
  <c r="H75" i="1"/>
  <c r="F11" i="9" s="1"/>
  <c r="P75" i="1"/>
  <c r="N11" i="9" s="1"/>
  <c r="M75" i="1"/>
  <c r="K11" i="9" s="1"/>
  <c r="L75" i="1"/>
  <c r="J11" i="9" s="1"/>
  <c r="J75" i="1"/>
  <c r="H11" i="9" s="1"/>
  <c r="I75" i="1"/>
  <c r="G11" i="9" s="1"/>
  <c r="N75" i="1"/>
  <c r="L11" i="9" s="1"/>
  <c r="K75" i="1"/>
  <c r="I11" i="9" s="1"/>
  <c r="O75" i="1"/>
  <c r="M11" i="9" s="1"/>
  <c r="Q75" i="1"/>
  <c r="O11" i="9" s="1"/>
  <c r="J65" i="1" l="1"/>
  <c r="K65" i="1" s="1"/>
  <c r="R74" i="1" s="1"/>
  <c r="P10" i="9" s="1"/>
  <c r="P39" i="9" s="1"/>
  <c r="P65" i="1"/>
  <c r="Q65" i="1" s="1"/>
  <c r="R75" i="1" s="1"/>
  <c r="P11" i="9" s="1"/>
  <c r="P58" i="9" s="1"/>
  <c r="L40" i="9"/>
  <c r="L58" i="9"/>
  <c r="L49" i="9"/>
  <c r="O40" i="9"/>
  <c r="O49" i="9"/>
  <c r="O58" i="9"/>
  <c r="N40" i="9"/>
  <c r="N49" i="9"/>
  <c r="N58" i="9"/>
  <c r="K39" i="9"/>
  <c r="K48" i="9"/>
  <c r="K57" i="9"/>
  <c r="M40" i="9"/>
  <c r="M58" i="9"/>
  <c r="M49" i="9"/>
  <c r="H49" i="9"/>
  <c r="H40" i="9"/>
  <c r="H58" i="9"/>
  <c r="F58" i="9"/>
  <c r="F49" i="9"/>
  <c r="F40" i="9"/>
  <c r="G39" i="9"/>
  <c r="G48" i="9"/>
  <c r="G57" i="9"/>
  <c r="F48" i="9"/>
  <c r="F39" i="9"/>
  <c r="F57" i="9"/>
  <c r="P38" i="9"/>
  <c r="P47" i="9"/>
  <c r="P56" i="9"/>
  <c r="G56" i="9"/>
  <c r="G38" i="9"/>
  <c r="G47" i="9"/>
  <c r="H56" i="9"/>
  <c r="H38" i="9"/>
  <c r="H47" i="9"/>
  <c r="O57" i="9"/>
  <c r="O39" i="9"/>
  <c r="O48" i="9"/>
  <c r="G49" i="9"/>
  <c r="G58" i="9"/>
  <c r="G40" i="9"/>
  <c r="N39" i="9"/>
  <c r="N48" i="9"/>
  <c r="N57" i="9"/>
  <c r="H57" i="9"/>
  <c r="H39" i="9"/>
  <c r="H48" i="9"/>
  <c r="I47" i="9"/>
  <c r="I56" i="9"/>
  <c r="I38" i="9"/>
  <c r="J47" i="9"/>
  <c r="J38" i="9"/>
  <c r="J56" i="9"/>
  <c r="I40" i="9"/>
  <c r="I49" i="9"/>
  <c r="I58" i="9"/>
  <c r="J58" i="9"/>
  <c r="J49" i="9"/>
  <c r="J40" i="9"/>
  <c r="J57" i="9"/>
  <c r="J48" i="9"/>
  <c r="J39" i="9"/>
  <c r="M57" i="9"/>
  <c r="M39" i="9"/>
  <c r="M48" i="9"/>
  <c r="N56" i="9"/>
  <c r="N38" i="9"/>
  <c r="N47" i="9"/>
  <c r="F56" i="9"/>
  <c r="F38" i="9"/>
  <c r="F47" i="9"/>
  <c r="M38" i="9"/>
  <c r="M47" i="9"/>
  <c r="M56" i="9"/>
  <c r="K49" i="9"/>
  <c r="K40" i="9"/>
  <c r="K58" i="9"/>
  <c r="L57" i="9"/>
  <c r="L48" i="9"/>
  <c r="L39" i="9"/>
  <c r="I57" i="9"/>
  <c r="I39" i="9"/>
  <c r="I48" i="9"/>
  <c r="O38" i="9"/>
  <c r="O47" i="9"/>
  <c r="O56" i="9"/>
  <c r="K38" i="9"/>
  <c r="K56" i="9"/>
  <c r="K47" i="9"/>
  <c r="L38" i="9"/>
  <c r="L47" i="9"/>
  <c r="L56" i="9"/>
  <c r="P57" i="9" l="1"/>
  <c r="P59" i="9" s="1"/>
  <c r="P48" i="9"/>
  <c r="P49" i="9"/>
  <c r="P40" i="9"/>
  <c r="P41" i="9" s="1"/>
  <c r="M41" i="9"/>
  <c r="K50" i="9"/>
  <c r="H50" i="9"/>
  <c r="M50" i="9"/>
  <c r="M59" i="9"/>
  <c r="K41" i="9"/>
  <c r="N41" i="9"/>
  <c r="L50" i="9"/>
  <c r="L41" i="9"/>
  <c r="O59" i="9"/>
  <c r="N59" i="9"/>
  <c r="G50" i="9"/>
  <c r="I50" i="9"/>
  <c r="G41" i="9"/>
  <c r="O41" i="9"/>
  <c r="J41" i="9"/>
  <c r="L59" i="9"/>
  <c r="K59" i="9"/>
  <c r="J50" i="9"/>
  <c r="N50" i="9"/>
  <c r="H41" i="9"/>
  <c r="G59" i="9"/>
  <c r="F59" i="9"/>
  <c r="I41" i="9"/>
  <c r="H59" i="9"/>
  <c r="F41" i="9"/>
  <c r="J59" i="9"/>
  <c r="I59" i="9"/>
  <c r="F50" i="9"/>
  <c r="O50" i="9"/>
  <c r="J61" i="9"/>
  <c r="J52" i="9"/>
  <c r="J43" i="9"/>
  <c r="J11" i="8" s="1"/>
  <c r="P50" i="9" l="1"/>
  <c r="J73" i="9"/>
  <c r="J80" i="9" s="1"/>
  <c r="J6" i="8" s="1"/>
  <c r="J12" i="8"/>
  <c r="J74" i="9"/>
  <c r="J81" i="9" s="1"/>
  <c r="J7" i="8" s="1"/>
  <c r="J13" i="8"/>
  <c r="J72" i="9"/>
  <c r="J79" i="9" s="1"/>
  <c r="J5" i="8" s="1"/>
  <c r="K52" i="9"/>
  <c r="K12" i="8" s="1"/>
  <c r="K61" i="9"/>
  <c r="K43" i="9"/>
  <c r="K11" i="8" s="1"/>
  <c r="I43" i="9"/>
  <c r="I11" i="8" s="1"/>
  <c r="I52" i="9"/>
  <c r="I12" i="8" s="1"/>
  <c r="I61" i="9"/>
  <c r="K74" i="9" l="1"/>
  <c r="K81" i="9" s="1"/>
  <c r="K7" i="8" s="1"/>
  <c r="K13" i="8"/>
  <c r="I13" i="8"/>
  <c r="I74" i="9"/>
  <c r="I81" i="9" s="1"/>
  <c r="I7" i="8" s="1"/>
  <c r="K72" i="9"/>
  <c r="K79" i="9" s="1"/>
  <c r="K5" i="8" s="1"/>
  <c r="I73" i="9"/>
  <c r="I80" i="9" s="1"/>
  <c r="I6" i="8" s="1"/>
  <c r="I72" i="9"/>
  <c r="I79" i="9" s="1"/>
  <c r="I5" i="8" s="1"/>
  <c r="L52" i="9"/>
  <c r="L12" i="8" s="1"/>
  <c r="K73" i="9"/>
  <c r="K80" i="9" s="1"/>
  <c r="K6" i="8" s="1"/>
  <c r="H43" i="9"/>
  <c r="H11" i="8" s="1"/>
  <c r="L61" i="9"/>
  <c r="L43" i="9"/>
  <c r="H52" i="9"/>
  <c r="H12" i="8" s="1"/>
  <c r="H61" i="9"/>
  <c r="H74" i="9" l="1"/>
  <c r="H81" i="9" s="1"/>
  <c r="H7" i="8" s="1"/>
  <c r="H13" i="8"/>
  <c r="L72" i="9"/>
  <c r="L79" i="9" s="1"/>
  <c r="L5" i="8" s="1"/>
  <c r="L11" i="8"/>
  <c r="L74" i="9"/>
  <c r="L81" i="9" s="1"/>
  <c r="L7" i="8" s="1"/>
  <c r="L13" i="8"/>
  <c r="M52" i="9"/>
  <c r="M12" i="8" s="1"/>
  <c r="L73" i="9"/>
  <c r="L80" i="9" s="1"/>
  <c r="L6" i="8" s="1"/>
  <c r="G52" i="9"/>
  <c r="H73" i="9"/>
  <c r="H80" i="9" s="1"/>
  <c r="H6" i="8" s="1"/>
  <c r="H72" i="9"/>
  <c r="H79" i="9" s="1"/>
  <c r="H5" i="8" s="1"/>
  <c r="M61" i="9"/>
  <c r="M13" i="8" s="1"/>
  <c r="G43" i="9"/>
  <c r="G11" i="8" s="1"/>
  <c r="M43" i="9"/>
  <c r="G61" i="9"/>
  <c r="F43" i="9" l="1"/>
  <c r="F11" i="8" s="1"/>
  <c r="G74" i="9"/>
  <c r="G81" i="9" s="1"/>
  <c r="G7" i="8" s="1"/>
  <c r="G13" i="8"/>
  <c r="M72" i="9"/>
  <c r="M79" i="9" s="1"/>
  <c r="M5" i="8" s="1"/>
  <c r="M11" i="8"/>
  <c r="G73" i="9"/>
  <c r="G80" i="9" s="1"/>
  <c r="G6" i="8" s="1"/>
  <c r="G12" i="8"/>
  <c r="M74" i="9"/>
  <c r="M81" i="9" s="1"/>
  <c r="M7" i="8" s="1"/>
  <c r="F52" i="9"/>
  <c r="G72" i="9"/>
  <c r="G79" i="9" s="1"/>
  <c r="G5" i="8" s="1"/>
  <c r="M73" i="9"/>
  <c r="M80" i="9" s="1"/>
  <c r="M6" i="8" s="1"/>
  <c r="N52" i="9"/>
  <c r="N12" i="8" s="1"/>
  <c r="N61" i="9"/>
  <c r="N43" i="9"/>
  <c r="F61" i="9"/>
  <c r="F72" i="9" l="1"/>
  <c r="F79" i="9" s="1"/>
  <c r="F5" i="8" s="1"/>
  <c r="E43" i="9"/>
  <c r="D43" i="9" s="1"/>
  <c r="F73" i="9"/>
  <c r="F80" i="9" s="1"/>
  <c r="F6" i="8" s="1"/>
  <c r="F12" i="8"/>
  <c r="E52" i="9"/>
  <c r="D52" i="9" s="1"/>
  <c r="F74" i="9"/>
  <c r="F81" i="9" s="1"/>
  <c r="F7" i="8" s="1"/>
  <c r="F13" i="8"/>
  <c r="N74" i="9"/>
  <c r="N81" i="9" s="1"/>
  <c r="N7" i="8" s="1"/>
  <c r="N13" i="8"/>
  <c r="N72" i="9"/>
  <c r="N79" i="9" s="1"/>
  <c r="N5" i="8" s="1"/>
  <c r="N11" i="8"/>
  <c r="N73" i="9"/>
  <c r="N80" i="9" s="1"/>
  <c r="N6" i="8" s="1"/>
  <c r="O52" i="9"/>
  <c r="O12" i="8" s="1"/>
  <c r="O61" i="9"/>
  <c r="O43" i="9"/>
  <c r="E61" i="9"/>
  <c r="E11" i="8" l="1"/>
  <c r="E72" i="9"/>
  <c r="E79" i="9" s="1"/>
  <c r="E5" i="8" s="1"/>
  <c r="E74" i="9"/>
  <c r="E81" i="9" s="1"/>
  <c r="E7" i="8" s="1"/>
  <c r="E13" i="8"/>
  <c r="D73" i="9"/>
  <c r="D80" i="9" s="1"/>
  <c r="D6" i="8" s="1"/>
  <c r="D12" i="8"/>
  <c r="D72" i="9"/>
  <c r="D79" i="9" s="1"/>
  <c r="D5" i="8" s="1"/>
  <c r="D11" i="8"/>
  <c r="O72" i="9"/>
  <c r="O79" i="9" s="1"/>
  <c r="O5" i="8" s="1"/>
  <c r="O11" i="8"/>
  <c r="E73" i="9"/>
  <c r="E80" i="9" s="1"/>
  <c r="E6" i="8" s="1"/>
  <c r="E12" i="8"/>
  <c r="O74" i="9"/>
  <c r="O81" i="9" s="1"/>
  <c r="O7" i="8" s="1"/>
  <c r="O13" i="8"/>
  <c r="O73" i="9"/>
  <c r="O80" i="9" s="1"/>
  <c r="O6" i="8" s="1"/>
  <c r="P52" i="9"/>
  <c r="P12" i="8" s="1"/>
  <c r="P61" i="9"/>
  <c r="P43" i="9"/>
  <c r="P11" i="8" s="1"/>
  <c r="C43" i="9"/>
  <c r="C11" i="8" s="1"/>
  <c r="C52" i="9"/>
  <c r="C12" i="8" s="1"/>
  <c r="D61" i="9"/>
  <c r="D74" i="9" l="1"/>
  <c r="D81" i="9" s="1"/>
  <c r="D7" i="8" s="1"/>
  <c r="D13" i="8"/>
  <c r="P74" i="9"/>
  <c r="P81" i="9" s="1"/>
  <c r="P7" i="8" s="1"/>
  <c r="P13" i="8"/>
  <c r="P72" i="9"/>
  <c r="P79" i="9" s="1"/>
  <c r="P5" i="8" s="1"/>
  <c r="C72" i="9"/>
  <c r="C79" i="9" s="1"/>
  <c r="C5" i="8" s="1"/>
  <c r="P73" i="9"/>
  <c r="P80" i="9" s="1"/>
  <c r="P6" i="8" s="1"/>
  <c r="C73" i="9"/>
  <c r="C80" i="9" s="1"/>
  <c r="C6" i="8" s="1"/>
  <c r="C61" i="9"/>
  <c r="C74" i="9" l="1"/>
  <c r="C81" i="9" s="1"/>
  <c r="C7" i="8" s="1"/>
  <c r="C13" i="8"/>
</calcChain>
</file>

<file path=xl/sharedStrings.xml><?xml version="1.0" encoding="utf-8"?>
<sst xmlns="http://schemas.openxmlformats.org/spreadsheetml/2006/main" count="369" uniqueCount="183">
  <si>
    <t>Value</t>
  </si>
  <si>
    <t>Outputs</t>
  </si>
  <si>
    <t>Source</t>
  </si>
  <si>
    <t>Index</t>
  </si>
  <si>
    <t>Calculations</t>
  </si>
  <si>
    <t>Inputs</t>
  </si>
  <si>
    <t>Table of Contents</t>
  </si>
  <si>
    <t>Sheet Name</t>
  </si>
  <si>
    <t>Link</t>
  </si>
  <si>
    <t>Description</t>
  </si>
  <si>
    <t>LCI
 (all industries)</t>
  </si>
  <si>
    <t>PPI
 (input - all industries)</t>
  </si>
  <si>
    <t>CGPI
 (all groups)</t>
  </si>
  <si>
    <t>Quarter Ending</t>
  </si>
  <si>
    <t>Weighted Average Index</t>
  </si>
  <si>
    <t>Weighting</t>
  </si>
  <si>
    <t>Index inputs</t>
  </si>
  <si>
    <t>Last quarter in DPP regulatory period</t>
  </si>
  <si>
    <t>Quarter weighting</t>
  </si>
  <si>
    <t>Year ending</t>
  </si>
  <si>
    <t>Inflator calculations</t>
  </si>
  <si>
    <t>Annual growth rate calculations</t>
  </si>
  <si>
    <t>First year data required</t>
  </si>
  <si>
    <t>Growth rates</t>
  </si>
  <si>
    <t>Date inputs</t>
  </si>
  <si>
    <t>Cost inflators</t>
  </si>
  <si>
    <t xml:space="preserve">Network opex input cost inflator </t>
  </si>
  <si>
    <t xml:space="preserve">Non-network opex input cost inflator </t>
  </si>
  <si>
    <t xml:space="preserve">Capex input cost inflator </t>
  </si>
  <si>
    <t>Network opex index of cost inflator</t>
  </si>
  <si>
    <t>Non-network opex index of cost inflator</t>
  </si>
  <si>
    <t>Capex index of cost inflator</t>
  </si>
  <si>
    <t>Input cost inflator weights</t>
  </si>
  <si>
    <t>Network opex input cost inflator weights</t>
  </si>
  <si>
    <t>Non-network opex input cost inflator weights</t>
  </si>
  <si>
    <t>Capex input cost inflator weights</t>
  </si>
  <si>
    <t>Network opex index of cost inflators</t>
  </si>
  <si>
    <t>Non-network opex index of cost inflators</t>
  </si>
  <si>
    <t>Capex index of cost inflators</t>
  </si>
  <si>
    <t>General description</t>
  </si>
  <si>
    <t>Input cost inflators model</t>
  </si>
  <si>
    <t>Model suite</t>
  </si>
  <si>
    <t>Change from preceding four quarters</t>
  </si>
  <si>
    <t>This Excel workbook is one of a suite of models for modelling for the EDB DPP4 draft decision.</t>
  </si>
  <si>
    <t>The index for a given year is calculated as a weighted average of each quarter in that year.</t>
  </si>
  <si>
    <t>The year ending 31 March is used to align with the end of each regulatory year in all of the models</t>
  </si>
  <si>
    <t>For each quarter, the annual weighted average is calculated using quarter q, q-1, q-2, q-3. Then a year-on-year percentage change is calculated.</t>
  </si>
  <si>
    <t>The outputs are used in the Opex and Capex models</t>
  </si>
  <si>
    <t>Regulatory year</t>
  </si>
  <si>
    <t>In order to calculate the first year's percentage change, 8 quarters up to that point are required.</t>
  </si>
  <si>
    <t>Notes</t>
  </si>
  <si>
    <t>A lighter font is used for cells containing a formula linking to another sheet. A red font is applied to input cells.</t>
  </si>
  <si>
    <t>High level calculation steps</t>
  </si>
  <si>
    <t>Actual and forecast index values are shown as a proportion of the base year (2024 = 1.0000).</t>
  </si>
  <si>
    <t>The Capex model requires outputs from 2017 to 2030.</t>
  </si>
  <si>
    <t>The Opex model requires outputs from 2023 to 2030.</t>
  </si>
  <si>
    <t>The Capex inflator is calculated from the CGPI (all groups). The Opex inflators are calculated from the LCI (all industries) and PPI (input - all industries).</t>
  </si>
  <si>
    <t>Index year for models</t>
  </si>
  <si>
    <t>The Opex and Capex inflator indices and weights are consistent with those used for DPP3 and DPP2.</t>
  </si>
  <si>
    <r>
      <rPr>
        <i/>
        <sz val="11"/>
        <rFont val="Calibri"/>
        <family val="2"/>
        <scheme val="minor"/>
      </rPr>
      <t>Index year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for models</t>
    </r>
    <r>
      <rPr>
        <sz val="11"/>
        <rFont val="Calibri"/>
        <family val="2"/>
        <scheme val="minor"/>
      </rPr>
      <t xml:space="preserve"> is the year that is the basis for Constant dollars in the Opex and Capex models. (Those models have outputs in both nominal and Constant $2024)</t>
    </r>
  </si>
  <si>
    <t>Used in the Outputs sheet, which the Opex and Capex models link to.</t>
  </si>
  <si>
    <t>A constant additional amount is added to address the possibility that the inflators have growth rates lower than what the EDBs, specifically, have faced and are forecast to face in future.</t>
  </si>
  <si>
    <t>Inflator series</t>
  </si>
  <si>
    <t>Incremental adjustment</t>
  </si>
  <si>
    <t>Incremental Inflator</t>
  </si>
  <si>
    <t>Year for exponential</t>
  </si>
  <si>
    <t>Adjusted Inflator series</t>
  </si>
  <si>
    <t>Cost inflators without incremental adjustment (only used for analysis but not financial modelling)</t>
  </si>
  <si>
    <t>Published 29 May 2024 v1</t>
  </si>
  <si>
    <t>All Salary and Wage Rates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</si>
  <si>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</si>
  <si>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</si>
  <si>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</si>
  <si>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</si>
  <si>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</si>
  <si>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</si>
  <si>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</si>
  <si>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</si>
  <si>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</si>
  <si>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</si>
  <si>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</si>
  <si>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</si>
  <si>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</si>
  <si>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</si>
  <si>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</si>
  <si>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</si>
  <si>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</si>
  <si>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</si>
  <si>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</si>
  <si>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</si>
  <si>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</si>
  <si>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</si>
  <si>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</si>
  <si>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</si>
  <si>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</si>
  <si>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</si>
  <si>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</si>
  <si>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</si>
  <si>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</si>
  <si>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</si>
  <si>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</si>
  <si>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</si>
  <si>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</si>
  <si>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</si>
  <si>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r>
      <t>Table information:</t>
    </r>
    <r>
      <rPr>
        <sz val="11"/>
        <color theme="1"/>
        <rFont val="Calibri"/>
        <family val="2"/>
        <scheme val="minor"/>
      </rPr>
      <t xml:space="preserve"> </t>
    </r>
  </si>
  <si>
    <t>Units:</t>
  </si>
  <si>
    <t>Index, Magnitude = Units</t>
  </si>
  <si>
    <t>Footnotes:</t>
  </si>
  <si>
    <t>Symbols:</t>
  </si>
  <si>
    <t>.. figure not available</t>
  </si>
  <si>
    <t>C: Confidential</t>
  </si>
  <si>
    <t>E: Early Estimate</t>
  </si>
  <si>
    <t>P: Provisional</t>
  </si>
  <si>
    <t>R: Revised</t>
  </si>
  <si>
    <t>S: Suppressed</t>
  </si>
  <si>
    <t>Status flags are not displayed</t>
  </si>
  <si>
    <t>Table reference:</t>
  </si>
  <si>
    <t>Last updated:</t>
  </si>
  <si>
    <t>Source: Statistics New Zealand</t>
  </si>
  <si>
    <t>Contact: Information Centre</t>
  </si>
  <si>
    <t>Telephone: 0508 525 525</t>
  </si>
  <si>
    <t>Email:info@stats.govt.nz</t>
  </si>
  <si>
    <t>Inputs (ANZSIC06) - NZSIOC level 1, Base: Dec. 2010 quarter (=1000) (Qrtly-Mar/Jun/Sep/Dec)</t>
  </si>
  <si>
    <t>All Industries</t>
  </si>
  <si>
    <t>PPI019AA</t>
  </si>
  <si>
    <t>21 February 2024 10:45am</t>
  </si>
  <si>
    <t>Price Index all groups of capital goods (Base: September quarter 2022 = 1000) (Qrtly-Mar/Jun/Sep/Dec)</t>
  </si>
  <si>
    <t>All Groups</t>
  </si>
  <si>
    <t>CEP010AA</t>
  </si>
  <si>
    <t>1. LCI (all industries) - ordinary time</t>
  </si>
  <si>
    <t>2. PPI (input - all industries)</t>
  </si>
  <si>
    <t>3. CGPI (all groups)</t>
  </si>
  <si>
    <t>4. CPI (all groups)</t>
  </si>
  <si>
    <t>Historic Index and Forecast Index</t>
  </si>
  <si>
    <t>End of Quarter</t>
  </si>
  <si>
    <t>StatsNZ date format</t>
  </si>
  <si>
    <t>NZIER date format</t>
  </si>
  <si>
    <t>Stats NZ data</t>
  </si>
  <si>
    <t>NZIER data</t>
  </si>
  <si>
    <t>Rebase and consolidate</t>
  </si>
  <si>
    <t>Variance</t>
  </si>
  <si>
    <t>The Last quarter of the DPP regulatory period is used to prepare the required dates in the table on this sheet.</t>
  </si>
  <si>
    <t>2023Q4</t>
  </si>
  <si>
    <t>All Sectors Combined and Industry Group (ANZSIC06)(Base: June 2009 qtr (=1000)) (Qrtly-Mar/Jun/Sep/Dec)</t>
  </si>
  <si>
    <t>All Industries Combined</t>
  </si>
  <si>
    <t>Base: June 2009 Quarter (=1000)</t>
  </si>
  <si>
    <t>The measured sector (used in productivity statistics) is ANZSIC divisions A to K and P from 1978, and includes divisions LC (Business services) and Q (Personal and other community services) from 1996 onwards.</t>
  </si>
  <si>
    <t>The former measured sector (used in productivity statistics) is ANZSIC divisions A to K and P.</t>
  </si>
  <si>
    <t>LCI028AA</t>
  </si>
  <si>
    <t>All Industries Combined: 01 May 2024 10:45am</t>
  </si>
  <si>
    <t>Note - this consolidation may require "rebasing" if the StatsNZ and NZIER datasets have a different quarter as the base of 1,000.</t>
  </si>
  <si>
    <t>The "Variance" columns show that rebasing is not required for the input data (all values = 100.00%). The "rebase and consolidate" columns contain the rebasing functionality anyway in case its needed in future.</t>
  </si>
  <si>
    <t>This model calculates actual and forecast input cost inflators for use in the EDB DPP4 opex and capex models.</t>
  </si>
  <si>
    <t>All data used in the model are entered into the three Inputs sheet: "Historic_Inputs", "Forecast_Inputs", "Model_Inputs".</t>
  </si>
  <si>
    <t>For each year (ending 31 March), the average year-on-year inflation rate is calculated.</t>
  </si>
  <si>
    <t>The other model inputs reflect decisions made by the Commission.</t>
  </si>
  <si>
    <t>Historic Inputs</t>
  </si>
  <si>
    <t>Data from Stats NZ Infoshare</t>
  </si>
  <si>
    <t>Data is downloaded for LCI (all industries), PPI (input - all industries), CGPI (all groups).</t>
  </si>
  <si>
    <t>Forecast Inputs</t>
  </si>
  <si>
    <t>Data from NZIER</t>
  </si>
  <si>
    <r>
      <rPr>
        <i/>
        <sz val="11"/>
        <rFont val="Calibri"/>
        <family val="2"/>
        <scheme val="minor"/>
      </rPr>
      <t>Index year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for models</t>
    </r>
    <r>
      <rPr>
        <sz val="11"/>
        <rFont val="Calibri"/>
        <family val="2"/>
        <scheme val="minor"/>
      </rPr>
      <t xml:space="preserve"> is the year-end-date of the year that is the basis for Constant dollars in the Opex and Capex models. (Those models have outputs in both nominal and Constant $2024)</t>
    </r>
  </si>
  <si>
    <t>Electricity Distribution Business</t>
  </si>
  <si>
    <t>Price-Quality Regulation 1 April 2025 Reset</t>
  </si>
  <si>
    <r>
      <t xml:space="preserve">Quarterly LCI  (all industries), Quarterly PPI  (input - all industries), and Quarterly CGPI  (all groups) historic actuals are sourced from </t>
    </r>
    <r>
      <rPr>
        <i/>
        <sz val="11"/>
        <color theme="1"/>
        <rFont val="Calibri"/>
        <family val="2"/>
        <scheme val="minor"/>
      </rPr>
      <t xml:space="preserve">Stats NZ Infoshare </t>
    </r>
    <r>
      <rPr>
        <sz val="11"/>
        <color theme="1"/>
        <rFont val="Calibri"/>
        <family val="2"/>
        <scheme val="minor"/>
      </rPr>
      <t>website.</t>
    </r>
  </si>
  <si>
    <t>Consolidated Inputs</t>
  </si>
  <si>
    <t>Model Inputs</t>
  </si>
  <si>
    <t>Where two adjacent cells contain formulas that differ from one another, a red border line has been inserted.</t>
  </si>
  <si>
    <r>
      <t xml:space="preserve">These annual year-on-year inflation rates are used in the </t>
    </r>
    <r>
      <rPr>
        <i/>
        <sz val="11"/>
        <rFont val="Calibri"/>
        <family val="2"/>
        <scheme val="minor"/>
      </rPr>
      <t>Inflators</t>
    </r>
    <r>
      <rPr>
        <sz val="11"/>
        <rFont val="Calibri"/>
        <family val="2"/>
        <scheme val="minor"/>
      </rPr>
      <t xml:space="preserve"> sheet to calculate the weighted inflators used in the Opex and Capex models.</t>
    </r>
  </si>
  <si>
    <t>Year-on-year inflation rates</t>
  </si>
  <si>
    <t>Weighted LCI (all industries) inflation rate</t>
  </si>
  <si>
    <t>Weighted PPI (Inputs - all industries) inflation rate</t>
  </si>
  <si>
    <t>Weighted CGPI (all groups) inflation rate</t>
  </si>
  <si>
    <t>Total weighted inflator</t>
  </si>
  <si>
    <t>This model should not be used for purposes other than those stated under 'general description' above.</t>
  </si>
  <si>
    <t>Quarterly LCI (all industries), Quarterly PPI (input - all industries), and Quarterly CGPI (all groups) forecasts are sourced from NZIER at 15th March 2024.</t>
  </si>
  <si>
    <t>Forecast source data from NZIER, 15 March 2024.</t>
  </si>
  <si>
    <r>
      <t xml:space="preserve">The </t>
    </r>
    <r>
      <rPr>
        <i/>
        <sz val="11"/>
        <rFont val="Calibri"/>
        <family val="2"/>
        <scheme val="minor"/>
      </rPr>
      <t xml:space="preserve">first year of data required </t>
    </r>
    <r>
      <rPr>
        <sz val="11"/>
        <rFont val="Calibri"/>
        <family val="2"/>
        <scheme val="minor"/>
      </rPr>
      <t>field</t>
    </r>
    <r>
      <rPr>
        <i/>
        <sz val="11"/>
        <rFont val="Calibri"/>
        <family val="2"/>
        <scheme val="minor"/>
      </rPr>
      <t xml:space="preserve"> =</t>
    </r>
    <r>
      <rPr>
        <sz val="11"/>
        <rFont val="Calibri"/>
        <family val="2"/>
        <scheme val="minor"/>
      </rPr>
      <t xml:space="preserve"> the year-end-date of the first year of historic data required in the Capex model.</t>
    </r>
  </si>
  <si>
    <t>A constant additional amount is added to adjust the inflators to more closely align with likely inflation experienced by the EDBs (refer to reasons paper for details).</t>
  </si>
  <si>
    <t>Weightings are applied to each index growth rate to calculate an inflator series for each of network opex, non-network opex, and capex.</t>
  </si>
  <si>
    <t>Historic index figures were downloaded from Stats NZ Infoshare. Forecasts were provided by NZIER (as was the case with DPP3 and DPP2). Forecasts provided 15 March 2024.</t>
  </si>
  <si>
    <r>
      <t>Follow the link "Model map – EDB</t>
    </r>
    <r>
      <rPr>
        <sz val="11"/>
        <rFont val="Calibri"/>
        <family val="2"/>
        <scheme val="minor"/>
      </rPr>
      <t xml:space="preserve"> DPP draft </t>
    </r>
    <r>
      <rPr>
        <sz val="11"/>
        <color theme="1"/>
        <rFont val="Calibri"/>
        <family val="2"/>
        <scheme val="minor"/>
      </rPr>
      <t>determin</t>
    </r>
    <r>
      <rPr>
        <sz val="11"/>
        <rFont val="Calibri"/>
        <family val="2"/>
      </rPr>
      <t xml:space="preserve">ation </t>
    </r>
    <r>
      <rPr>
        <sz val="11"/>
        <color theme="1"/>
        <rFont val="Calibri"/>
        <family val="2"/>
        <scheme val="minor"/>
      </rPr>
      <t>–</t>
    </r>
    <r>
      <rPr>
        <sz val="11"/>
        <rFont val="Calibri"/>
        <family val="2"/>
        <scheme val="minor"/>
      </rPr>
      <t xml:space="preserve"> 29 May 2024"</t>
    </r>
    <r>
      <rPr>
        <sz val="11"/>
        <color theme="1"/>
        <rFont val="Calibri"/>
        <family val="2"/>
        <scheme val="minor"/>
      </rPr>
      <t xml:space="preserve"> on the Commission's EDB 2025-2030 default price-quality path determination web page for a graphical depiction of interconnections between the models and data sources.</t>
    </r>
  </si>
  <si>
    <t>May 2024 draft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</si>
</sst>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–&quot;???_);_(* @_)"/>
    <numFmt numFmtId="169" formatCode="_(@_)"/>
    <numFmt numFmtId="170" formatCode="_(* #,##0.0%_);_(* \(#,##0.0%\);_(* &quot;–&quot;???_);_(* @_)"/>
    <numFmt numFmtId="171" formatCode="[$-1409]d\ mmm\ yy;@"/>
    <numFmt numFmtId="172" formatCode="_(* 0_);_(* \(0\);_(* &quot;–&quot;??_);_(@_)"/>
    <numFmt numFmtId="173" formatCode="_(* #,##0.0_);_(* \(#,##0.0\);_(* &quot;–&quot;???_);_(* @_)"/>
    <numFmt numFmtId="174" formatCode="_(* #,##0.00_);_(* \(#,##0.00\);_(* &quot;–&quot;???_);_(* @_)"/>
    <numFmt numFmtId="175" formatCode="_(* #,##0.000_);_(* \(#,##0.000\);_(* &quot;–&quot;???_);_(* @_)"/>
    <numFmt numFmtId="176" formatCode="_(* #,##0.0000_);_(* \(#,##0.0000\);_(* &quot;–&quot;??_);_(* @_)"/>
    <numFmt numFmtId="177" formatCode="_(* #,##0%_);_(* \(#,##0%\);_(* &quot;–&quot;???_);_(* @_)"/>
    <numFmt numFmtId="178" formatCode="_(* #,##0%_);_(* \(#,##0%\);_(* &quot;–&quot;??_);_(* @_)"/>
    <numFmt numFmtId="179" formatCode="_(* #,##0.0%_);_(* \(#,##0.0%\);_(* &quot;–&quot;??_);_(* @_)"/>
    <numFmt numFmtId="180" formatCode="_(* #,##0.00%_);_(* \(#,##0.00%\);_(* &quot;–&quot;???_);_(* @_)"/>
    <numFmt numFmtId="181" formatCode="_(* #,##0.000%_);_(* \(#,##0.000%\);_(* &quot;–&quot;???_);_(* @_)"/>
    <numFmt numFmtId="182" formatCode="[$-1409]d\ mmm"/>
    <numFmt numFmtId="183" formatCode="0.0000"/>
    <numFmt numFmtId="184" formatCode="_(* #,##0.0000%_);_(* \(#,##0.0000%\);_(* &quot;–&quot;??_);_(* @_)"/>
    <numFmt numFmtId="185" formatCode="#,##0.0000"/>
    <numFmt numFmtId="186" formatCode="_(* #,##0.00%_);_(* \(#,##0.00%\);_(* &quot;–&quot;??_);_(* 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4"/>
      <scheme val="minor"/>
    </font>
    <font>
      <b/>
      <sz val="18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4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sz val="11"/>
      <color theme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mbria"/>
      <family val="1"/>
      <scheme val="maj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3E2DF"/>
        <bgColor indexed="64"/>
      </patternFill>
    </fill>
    <fill>
      <patternFill patternType="solid">
        <fgColor rgb="FF80AAA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C4A3"/>
        <bgColor indexed="64"/>
      </patternFill>
    </fill>
    <fill>
      <patternFill patternType="solid">
        <fgColor rgb="FFEAE8DA"/>
        <bgColor indexed="64"/>
      </patternFill>
    </fill>
    <fill>
      <patternFill patternType="solid">
        <fgColor rgb="FFD7D3BB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rgb="FFFF0000"/>
      </top>
      <bottom style="thin">
        <color theme="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rgb="FF938659"/>
      </top>
      <bottom/>
      <diagonal/>
    </border>
    <border>
      <left style="thin">
        <color rgb="FF938659"/>
      </left>
      <right/>
      <top style="thin">
        <color rgb="FF938659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938659"/>
      </bottom>
      <diagonal/>
    </border>
    <border>
      <left/>
      <right style="thick">
        <color rgb="FFFF6600"/>
      </right>
      <top style="thin">
        <color theme="7"/>
      </top>
      <bottom style="thin">
        <color theme="7"/>
      </bottom>
      <diagonal/>
    </border>
    <border>
      <left style="thick">
        <color rgb="FFFF6600"/>
      </left>
      <right/>
      <top style="thin">
        <color theme="7"/>
      </top>
      <bottom style="thin">
        <color theme="7"/>
      </bottom>
      <diagonal/>
    </border>
    <border>
      <left style="thick">
        <color rgb="FFFF6600"/>
      </left>
      <right style="thick">
        <color rgb="FFFF6600"/>
      </right>
      <top style="thin">
        <color theme="7"/>
      </top>
      <bottom style="thin">
        <color theme="7"/>
      </bottom>
      <diagonal/>
    </border>
    <border>
      <left style="thick">
        <color rgb="FFFF6600"/>
      </left>
      <right/>
      <top style="thin">
        <color theme="7"/>
      </top>
      <bottom/>
      <diagonal/>
    </border>
    <border>
      <left style="thick">
        <color rgb="FFFF6600"/>
      </left>
      <right style="thick">
        <color rgb="FFFF6600"/>
      </right>
      <top style="thin">
        <color theme="7"/>
      </top>
      <bottom/>
      <diagonal/>
    </border>
    <border>
      <left/>
      <right style="thick">
        <color rgb="FFFF6600"/>
      </right>
      <top style="thin">
        <color theme="7"/>
      </top>
      <bottom/>
      <diagonal/>
    </border>
    <border>
      <left/>
      <right/>
      <top style="thin">
        <color theme="7"/>
      </top>
      <bottom style="medium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 style="thin">
        <color theme="7"/>
      </top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116">
    <xf numFmtId="0" fontId="0" fillId="0" borderId="0"/>
    <xf numFmtId="168" fontId="15" fillId="0" borderId="0" applyFont="0" applyFill="0" applyBorder="0" applyAlignment="0" applyProtection="0"/>
    <xf numFmtId="49" fontId="17" fillId="0" borderId="0" applyFill="0" applyAlignment="0"/>
    <xf numFmtId="49" fontId="26" fillId="0" borderId="0" applyFill="0" applyAlignment="0"/>
    <xf numFmtId="179" fontId="15" fillId="0" borderId="0" applyFont="0" applyFill="0" applyBorder="0" applyAlignment="0" applyProtection="0">
      <alignment horizontal="center" vertical="top" wrapText="1"/>
    </xf>
    <xf numFmtId="49" fontId="21" fillId="0" borderId="0" applyFill="0" applyAlignment="0"/>
    <xf numFmtId="169" fontId="20" fillId="0" borderId="0" applyFill="0" applyProtection="0">
      <alignment horizontal="left" indent="1"/>
    </xf>
    <xf numFmtId="49" fontId="27" fillId="36" borderId="0" applyFill="0" applyBorder="0">
      <alignment horizontal="left"/>
    </xf>
    <xf numFmtId="0" fontId="18" fillId="37" borderId="8" applyNumberFormat="0" applyFill="0" applyAlignment="0">
      <protection locked="0"/>
    </xf>
    <xf numFmtId="169" fontId="22" fillId="0" borderId="0" applyFont="0" applyFill="0" applyBorder="0" applyAlignment="0" applyProtection="0">
      <alignment horizontal="left"/>
      <protection locked="0"/>
    </xf>
    <xf numFmtId="172" fontId="22" fillId="0" borderId="0" applyFont="0" applyFill="0" applyBorder="0" applyAlignment="0" applyProtection="0">
      <alignment horizontal="left"/>
      <protection locked="0"/>
    </xf>
    <xf numFmtId="0" fontId="16" fillId="33" borderId="8" applyNumberFormat="0" applyFill="0">
      <alignment horizontal="centerContinuous" wrapText="1"/>
    </xf>
    <xf numFmtId="0" fontId="28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1" fillId="34" borderId="8" applyNumberFormat="0" applyFill="0" applyAlignment="0"/>
    <xf numFmtId="0" fontId="9" fillId="6" borderId="3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49" fontId="20" fillId="0" borderId="0" applyFill="0" applyProtection="0">
      <alignment horizontal="left" indent="1"/>
    </xf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24" fillId="0" borderId="12" applyNumberFormat="0" applyFill="0" applyAlignment="0" applyProtection="0"/>
    <xf numFmtId="173" fontId="22" fillId="0" borderId="0" applyFont="0" applyFill="0" applyBorder="0" applyAlignment="0" applyProtection="0">
      <protection locked="0"/>
    </xf>
    <xf numFmtId="174" fontId="22" fillId="0" borderId="0" applyFont="0" applyFill="0" applyBorder="0" applyAlignment="0" applyProtection="0">
      <protection locked="0"/>
    </xf>
    <xf numFmtId="175" fontId="1" fillId="0" borderId="8" applyFont="0" applyFill="0" applyBorder="0" applyAlignment="0" applyProtection="0"/>
    <xf numFmtId="176" fontId="22" fillId="0" borderId="0" applyFont="0" applyFill="0" applyBorder="0" applyAlignment="0" applyProtection="0"/>
    <xf numFmtId="171" fontId="22" fillId="0" borderId="0" applyFont="0" applyFill="0" applyBorder="0" applyAlignment="0" applyProtection="0">
      <alignment wrapText="1"/>
    </xf>
    <xf numFmtId="177" fontId="23" fillId="37" borderId="8" applyNumberFormat="0" applyFill="0" applyAlignment="0"/>
    <xf numFmtId="178" fontId="1" fillId="0" borderId="0" applyFont="0" applyFill="0" applyBorder="0" applyAlignment="0" applyProtection="0"/>
    <xf numFmtId="180" fontId="22" fillId="0" borderId="0" applyFont="0" applyFill="0" applyBorder="0" applyAlignment="0" applyProtection="0">
      <protection locked="0"/>
    </xf>
    <xf numFmtId="181" fontId="15" fillId="35" borderId="0" applyFont="0" applyBorder="0"/>
    <xf numFmtId="165" fontId="1" fillId="34" borderId="15" applyNumberFormat="0" applyFont="0" applyFill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9" fontId="31" fillId="0" borderId="0" applyFont="0" applyFill="0" applyBorder="0" applyAlignment="0" applyProtection="0">
      <alignment horizontal="left"/>
      <protection locked="0"/>
    </xf>
    <xf numFmtId="49" fontId="26" fillId="0" borderId="0" applyFill="0" applyAlignment="0"/>
    <xf numFmtId="169" fontId="32" fillId="0" borderId="0" applyFont="0" applyFill="0" applyBorder="0" applyAlignment="0" applyProtection="0">
      <alignment horizontal="left"/>
      <protection locked="0"/>
    </xf>
    <xf numFmtId="49" fontId="20" fillId="0" borderId="0" applyFill="0" applyProtection="0">
      <alignment horizontal="left" indent="1"/>
    </xf>
    <xf numFmtId="0" fontId="3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4" fillId="0" borderId="12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9" fillId="4" borderId="0" applyNumberFormat="0" applyBorder="0" applyAlignment="0" applyProtection="0"/>
    <xf numFmtId="0" fontId="8" fillId="5" borderId="3" applyNumberFormat="0" applyAlignment="0" applyProtection="0"/>
    <xf numFmtId="0" fontId="40" fillId="6" borderId="17" applyNumberFormat="0" applyAlignment="0" applyProtection="0"/>
    <xf numFmtId="0" fontId="9" fillId="6" borderId="3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4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0">
    <xf numFmtId="0" fontId="0" fillId="0" borderId="0" xfId="0"/>
    <xf numFmtId="169" fontId="15" fillId="0" borderId="8" xfId="9" applyFont="1" applyFill="1" applyBorder="1" applyAlignment="1">
      <alignment horizontal="left"/>
      <protection locked="0"/>
    </xf>
    <xf numFmtId="179" fontId="15" fillId="0" borderId="0" xfId="4" applyFont="1" applyFill="1" applyBorder="1" applyAlignment="1" applyProtection="1">
      <protection locked="0"/>
    </xf>
    <xf numFmtId="179" fontId="15" fillId="0" borderId="13" xfId="4" applyFont="1" applyFill="1" applyBorder="1" applyAlignment="1" applyProtection="1">
      <protection locked="0"/>
    </xf>
    <xf numFmtId="49" fontId="0" fillId="0" borderId="8" xfId="0" applyNumberFormat="1" applyBorder="1" applyAlignment="1">
      <alignment horizontal="left" vertical="center" indent="1"/>
    </xf>
    <xf numFmtId="0" fontId="0" fillId="0" borderId="11" xfId="0" applyBorder="1"/>
    <xf numFmtId="0" fontId="0" fillId="0" borderId="16" xfId="0" applyBorder="1"/>
    <xf numFmtId="0" fontId="0" fillId="0" borderId="10" xfId="0" applyBorder="1"/>
    <xf numFmtId="178" fontId="15" fillId="0" borderId="8" xfId="4" applyNumberFormat="1" applyFont="1" applyFill="1" applyBorder="1" applyAlignment="1" applyProtection="1"/>
    <xf numFmtId="171" fontId="15" fillId="0" borderId="8" xfId="63" applyFont="1" applyFill="1" applyBorder="1" applyAlignment="1" applyProtection="1"/>
    <xf numFmtId="171" fontId="15" fillId="0" borderId="8" xfId="63" applyFont="1" applyFill="1" applyBorder="1" applyAlignment="1" applyProtection="1">
      <alignment horizontal="right"/>
    </xf>
    <xf numFmtId="171" fontId="1" fillId="0" borderId="8" xfId="63" applyFont="1" applyFill="1" applyBorder="1" applyAlignment="1">
      <alignment horizontal="right"/>
    </xf>
    <xf numFmtId="182" fontId="15" fillId="0" borderId="8" xfId="63" applyNumberFormat="1" applyFont="1" applyFill="1" applyBorder="1" applyAlignment="1" applyProtection="1">
      <protection locked="0"/>
    </xf>
    <xf numFmtId="178" fontId="15" fillId="0" borderId="8" xfId="65" applyFont="1" applyFill="1" applyBorder="1" applyAlignment="1" applyProtection="1"/>
    <xf numFmtId="168" fontId="15" fillId="0" borderId="8" xfId="1" applyFont="1" applyFill="1" applyBorder="1" applyAlignment="1" applyProtection="1">
      <alignment horizontal="center"/>
    </xf>
    <xf numFmtId="180" fontId="15" fillId="0" borderId="8" xfId="66" applyFont="1" applyFill="1" applyBorder="1" applyAlignment="1" applyProtection="1"/>
    <xf numFmtId="176" fontId="0" fillId="0" borderId="8" xfId="62" applyFont="1" applyBorder="1" applyProtection="1"/>
    <xf numFmtId="178" fontId="0" fillId="0" borderId="8" xfId="65" applyFont="1" applyBorder="1"/>
    <xf numFmtId="49" fontId="21" fillId="0" borderId="10" xfId="5" applyFill="1" applyBorder="1" applyAlignment="1">
      <alignment horizontal="centerContinuous"/>
    </xf>
    <xf numFmtId="180" fontId="1" fillId="0" borderId="8" xfId="66" applyFont="1" applyFill="1" applyBorder="1" applyAlignment="1" applyProtection="1">
      <alignment horizontal="right"/>
    </xf>
    <xf numFmtId="0" fontId="22" fillId="38" borderId="10" xfId="3" applyNumberFormat="1" applyFont="1" applyFill="1" applyBorder="1" applyAlignment="1"/>
    <xf numFmtId="171" fontId="15" fillId="0" borderId="13" xfId="63" applyFont="1" applyFill="1" applyBorder="1" applyAlignment="1" applyProtection="1"/>
    <xf numFmtId="174" fontId="18" fillId="40" borderId="8" xfId="60" applyFont="1" applyFill="1" applyBorder="1" applyProtection="1"/>
    <xf numFmtId="176" fontId="0" fillId="40" borderId="8" xfId="62" applyFont="1" applyFill="1" applyBorder="1" applyProtection="1"/>
    <xf numFmtId="169" fontId="34" fillId="0" borderId="8" xfId="9" applyFont="1" applyFill="1" applyBorder="1" applyAlignment="1">
      <alignment horizontal="left"/>
      <protection locked="0"/>
    </xf>
    <xf numFmtId="0" fontId="0" fillId="0" borderId="8" xfId="0" applyBorder="1"/>
    <xf numFmtId="181" fontId="0" fillId="0" borderId="8" xfId="0" applyNumberFormat="1" applyBorder="1"/>
    <xf numFmtId="170" fontId="0" fillId="0" borderId="8" xfId="0" applyNumberFormat="1" applyBorder="1"/>
    <xf numFmtId="49" fontId="19" fillId="0" borderId="8" xfId="7" applyFont="1" applyFill="1" applyBorder="1">
      <alignment horizontal="left"/>
    </xf>
    <xf numFmtId="0" fontId="36" fillId="0" borderId="0" xfId="0" applyFont="1"/>
    <xf numFmtId="168" fontId="0" fillId="0" borderId="0" xfId="1" applyFont="1" applyFill="1" applyBorder="1" applyAlignment="1">
      <alignment horizontal="left" vertical="top"/>
    </xf>
    <xf numFmtId="171" fontId="37" fillId="0" borderId="8" xfId="63" applyFont="1" applyFill="1" applyBorder="1" applyAlignment="1" applyProtection="1">
      <protection locked="0"/>
    </xf>
    <xf numFmtId="178" fontId="37" fillId="0" borderId="8" xfId="4" applyNumberFormat="1" applyFont="1" applyFill="1" applyBorder="1" applyAlignment="1" applyProtection="1">
      <alignment horizontal="center"/>
      <protection locked="0"/>
    </xf>
    <xf numFmtId="178" fontId="37" fillId="0" borderId="8" xfId="65" applyFont="1" applyFill="1" applyBorder="1" applyAlignment="1" applyProtection="1">
      <alignment horizontal="center"/>
      <protection locked="0"/>
    </xf>
    <xf numFmtId="171" fontId="23" fillId="0" borderId="8" xfId="63" applyFont="1" applyFill="1" applyBorder="1" applyAlignment="1" applyProtection="1"/>
    <xf numFmtId="0" fontId="34" fillId="0" borderId="0" xfId="11" applyFont="1" applyFill="1" applyBorder="1">
      <alignment horizontal="centerContinuous" wrapText="1"/>
    </xf>
    <xf numFmtId="178" fontId="37" fillId="0" borderId="0" xfId="4" applyNumberFormat="1" applyFont="1" applyFill="1" applyBorder="1" applyAlignment="1" applyProtection="1">
      <alignment horizontal="center"/>
      <protection locked="0"/>
    </xf>
    <xf numFmtId="184" fontId="23" fillId="0" borderId="8" xfId="4" applyNumberFormat="1" applyFont="1" applyFill="1" applyBorder="1" applyAlignment="1" applyProtection="1">
      <alignment horizontal="center"/>
      <protection locked="0"/>
    </xf>
    <xf numFmtId="1" fontId="15" fillId="0" borderId="8" xfId="66" applyNumberFormat="1" applyFont="1" applyFill="1" applyBorder="1" applyAlignment="1" applyProtection="1"/>
    <xf numFmtId="185" fontId="15" fillId="0" borderId="8" xfId="66" applyNumberFormat="1" applyFont="1" applyFill="1" applyBorder="1" applyAlignment="1" applyProtection="1"/>
    <xf numFmtId="185" fontId="15" fillId="40" borderId="8" xfId="66" applyNumberFormat="1" applyFont="1" applyFill="1" applyBorder="1" applyAlignment="1" applyProtection="1"/>
    <xf numFmtId="186" fontId="37" fillId="0" borderId="8" xfId="4" applyNumberFormat="1" applyFont="1" applyFill="1" applyBorder="1" applyAlignment="1" applyProtection="1">
      <alignment horizontal="center"/>
      <protection locked="0"/>
    </xf>
    <xf numFmtId="171" fontId="15" fillId="0" borderId="13" xfId="63" applyFont="1" applyFill="1" applyBorder="1" applyAlignment="1" applyProtection="1">
      <alignment horizontal="right"/>
    </xf>
    <xf numFmtId="171" fontId="15" fillId="0" borderId="18" xfId="63" applyFont="1" applyFill="1" applyBorder="1" applyAlignment="1" applyProtection="1">
      <alignment horizontal="right"/>
    </xf>
    <xf numFmtId="171" fontId="23" fillId="0" borderId="8" xfId="63" applyFont="1" applyFill="1" applyBorder="1" applyAlignment="1" applyProtection="1">
      <protection locked="0"/>
    </xf>
    <xf numFmtId="10" fontId="0" fillId="0" borderId="8" xfId="0" applyNumberFormat="1" applyBorder="1"/>
    <xf numFmtId="49" fontId="0" fillId="0" borderId="20" xfId="0" applyNumberFormat="1" applyBorder="1" applyAlignment="1">
      <alignment vertical="center" wrapText="1"/>
    </xf>
    <xf numFmtId="0" fontId="0" fillId="0" borderId="19" xfId="0" applyBorder="1"/>
    <xf numFmtId="3" fontId="0" fillId="0" borderId="8" xfId="0" applyNumberFormat="1" applyBorder="1"/>
    <xf numFmtId="49" fontId="0" fillId="0" borderId="20" xfId="0" applyNumberFormat="1" applyBorder="1" applyAlignment="1">
      <alignment wrapText="1"/>
    </xf>
    <xf numFmtId="15" fontId="29" fillId="0" borderId="10" xfId="0" applyNumberFormat="1" applyFont="1" applyBorder="1" applyAlignment="1">
      <alignment horizontal="centerContinuous"/>
    </xf>
    <xf numFmtId="49" fontId="37" fillId="0" borderId="20" xfId="0" applyNumberFormat="1" applyFont="1" applyBorder="1" applyAlignment="1">
      <alignment vertical="center" wrapText="1"/>
    </xf>
    <xf numFmtId="0" fontId="13" fillId="0" borderId="23" xfId="0" applyFont="1" applyBorder="1"/>
    <xf numFmtId="0" fontId="13" fillId="0" borderId="22" xfId="0" applyFont="1" applyBorder="1"/>
    <xf numFmtId="0" fontId="34" fillId="0" borderId="22" xfId="0" applyFont="1" applyBorder="1"/>
    <xf numFmtId="0" fontId="34" fillId="0" borderId="22" xfId="0" applyFont="1" applyBorder="1" applyAlignment="1">
      <alignment wrapText="1"/>
    </xf>
    <xf numFmtId="180" fontId="23" fillId="0" borderId="14" xfId="66" applyFont="1" applyFill="1" applyBorder="1" applyAlignment="1" applyProtection="1"/>
    <xf numFmtId="180" fontId="23" fillId="0" borderId="8" xfId="66" applyFont="1" applyFill="1" applyBorder="1" applyAlignment="1" applyProtection="1"/>
    <xf numFmtId="178" fontId="23" fillId="0" borderId="8" xfId="65" applyFont="1" applyFill="1" applyBorder="1" applyAlignment="1" applyProtection="1"/>
    <xf numFmtId="176" fontId="23" fillId="0" borderId="8" xfId="62" applyFont="1" applyBorder="1" applyProtection="1"/>
    <xf numFmtId="0" fontId="45" fillId="0" borderId="10" xfId="74" applyFont="1" applyFill="1" applyBorder="1" applyAlignment="1">
      <alignment horizontal="centerContinuous"/>
    </xf>
    <xf numFmtId="0" fontId="15" fillId="0" borderId="0" xfId="8" applyFont="1" applyFill="1" applyBorder="1" applyAlignment="1">
      <alignment horizontal="left" vertical="top" wrapText="1"/>
      <protection locked="0"/>
    </xf>
    <xf numFmtId="0" fontId="0" fillId="0" borderId="0" xfId="83" applyFont="1" applyFill="1" applyBorder="1" applyAlignment="1">
      <alignment vertical="top" wrapText="1"/>
    </xf>
    <xf numFmtId="0" fontId="40" fillId="0" borderId="0" xfId="83" applyFill="1" applyBorder="1" applyAlignment="1">
      <alignment wrapText="1"/>
    </xf>
    <xf numFmtId="0" fontId="0" fillId="0" borderId="0" xfId="83" applyFont="1" applyFill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13" fillId="0" borderId="20" xfId="0" applyFont="1" applyBorder="1" applyAlignment="1">
      <alignment wrapText="1"/>
    </xf>
    <xf numFmtId="0" fontId="42" fillId="0" borderId="21" xfId="115" applyBorder="1" applyAlignment="1">
      <alignment wrapText="1"/>
    </xf>
    <xf numFmtId="0" fontId="13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Continuous"/>
    </xf>
    <xf numFmtId="49" fontId="21" fillId="0" borderId="0" xfId="5" applyBorder="1"/>
    <xf numFmtId="0" fontId="22" fillId="38" borderId="0" xfId="3" applyNumberFormat="1" applyFont="1" applyFill="1" applyBorder="1" applyAlignment="1"/>
    <xf numFmtId="0" fontId="22" fillId="38" borderId="0" xfId="3" applyNumberFormat="1" applyFont="1" applyFill="1" applyBorder="1" applyAlignment="1">
      <alignment wrapText="1"/>
    </xf>
    <xf numFmtId="49" fontId="17" fillId="39" borderId="0" xfId="3" applyFont="1" applyFill="1" applyBorder="1" applyAlignment="1">
      <alignment horizontal="left"/>
    </xf>
    <xf numFmtId="49" fontId="17" fillId="39" borderId="0" xfId="2" applyFill="1" applyBorder="1" applyAlignment="1">
      <alignment horizontal="left" indent="1"/>
    </xf>
    <xf numFmtId="0" fontId="0" fillId="39" borderId="0" xfId="0" applyFill="1" applyBorder="1"/>
    <xf numFmtId="0" fontId="0" fillId="0" borderId="0" xfId="0" applyBorder="1" applyAlignment="1">
      <alignment horizontal="left" vertical="top" wrapText="1"/>
    </xf>
    <xf numFmtId="0" fontId="0" fillId="39" borderId="0" xfId="0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49" fontId="17" fillId="39" borderId="0" xfId="2" applyFill="1" applyBorder="1" applyAlignment="1">
      <alignment horizontal="left" vertical="top" indent="1"/>
    </xf>
    <xf numFmtId="0" fontId="0" fillId="39" borderId="0" xfId="0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49" fontId="26" fillId="39" borderId="0" xfId="2" applyFont="1" applyFill="1" applyBorder="1" applyAlignment="1">
      <alignment horizontal="left" indent="1"/>
    </xf>
    <xf numFmtId="0" fontId="36" fillId="39" borderId="0" xfId="0" applyFont="1" applyFill="1" applyBorder="1"/>
    <xf numFmtId="0" fontId="0" fillId="0" borderId="24" xfId="0" applyBorder="1"/>
    <xf numFmtId="0" fontId="25" fillId="41" borderId="26" xfId="0" applyFont="1" applyFill="1" applyBorder="1"/>
    <xf numFmtId="49" fontId="0" fillId="42" borderId="27" xfId="0" applyNumberFormat="1" applyFill="1" applyBorder="1"/>
    <xf numFmtId="0" fontId="28" fillId="42" borderId="27" xfId="12" applyFill="1" applyBorder="1" applyAlignment="1" applyProtection="1"/>
    <xf numFmtId="49" fontId="0" fillId="43" borderId="27" xfId="0" applyNumberFormat="1" applyFill="1" applyBorder="1"/>
    <xf numFmtId="0" fontId="28" fillId="43" borderId="27" xfId="12" applyFill="1" applyBorder="1" applyAlignment="1" applyProtection="1"/>
    <xf numFmtId="49" fontId="0" fillId="42" borderId="28" xfId="0" applyNumberFormat="1" applyFill="1" applyBorder="1"/>
    <xf numFmtId="0" fontId="28" fillId="42" borderId="28" xfId="12" applyFill="1" applyBorder="1" applyAlignment="1" applyProtection="1"/>
    <xf numFmtId="0" fontId="0" fillId="0" borderId="25" xfId="0" applyBorder="1"/>
    <xf numFmtId="0" fontId="26" fillId="39" borderId="0" xfId="3" applyNumberFormat="1" applyFill="1" applyBorder="1" applyAlignment="1">
      <alignment horizontal="left"/>
    </xf>
    <xf numFmtId="49" fontId="15" fillId="38" borderId="0" xfId="32" quotePrefix="1" applyFont="1" applyFill="1" applyBorder="1" applyAlignment="1" applyProtection="1">
      <alignment horizontal="left" vertical="top"/>
    </xf>
    <xf numFmtId="0" fontId="0" fillId="38" borderId="0" xfId="0" applyFill="1" applyBorder="1"/>
    <xf numFmtId="0" fontId="0" fillId="0" borderId="29" xfId="0" applyBorder="1"/>
    <xf numFmtId="0" fontId="0" fillId="0" borderId="30" xfId="0" applyBorder="1"/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0" fontId="37" fillId="0" borderId="0" xfId="0" applyFont="1" applyBorder="1"/>
    <xf numFmtId="49" fontId="37" fillId="0" borderId="0" xfId="0" applyNumberFormat="1" applyFont="1" applyBorder="1" applyAlignment="1">
      <alignment vertical="center" wrapText="1"/>
    </xf>
    <xf numFmtId="1" fontId="37" fillId="0" borderId="0" xfId="0" applyNumberFormat="1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115" applyBorder="1" applyAlignment="1">
      <alignment wrapText="1"/>
    </xf>
    <xf numFmtId="0" fontId="42" fillId="0" borderId="29" xfId="115" applyBorder="1" applyAlignment="1">
      <alignment wrapText="1"/>
    </xf>
    <xf numFmtId="0" fontId="0" fillId="0" borderId="0" xfId="0" applyBorder="1" applyAlignment="1">
      <alignment horizontal="left" vertical="center" indent="1"/>
    </xf>
    <xf numFmtId="14" fontId="37" fillId="0" borderId="0" xfId="0" applyNumberFormat="1" applyFont="1" applyBorder="1"/>
    <xf numFmtId="49" fontId="15" fillId="0" borderId="9" xfId="32" quotePrefix="1" applyFont="1" applyFill="1" applyBorder="1" applyAlignment="1" applyProtection="1">
      <alignment horizontal="left" vertical="top"/>
    </xf>
    <xf numFmtId="0" fontId="0" fillId="0" borderId="9" xfId="0" applyBorder="1"/>
    <xf numFmtId="0" fontId="1" fillId="0" borderId="0" xfId="0" applyFont="1" applyBorder="1"/>
    <xf numFmtId="49" fontId="0" fillId="0" borderId="13" xfId="0" applyNumberFormat="1" applyBorder="1" applyAlignment="1">
      <alignment horizontal="left" vertical="center" indent="1"/>
    </xf>
    <xf numFmtId="171" fontId="15" fillId="0" borderId="13" xfId="63" applyFont="1" applyFill="1" applyBorder="1" applyAlignment="1" applyProtection="1">
      <protection locked="0"/>
    </xf>
    <xf numFmtId="0" fontId="17" fillId="39" borderId="0" xfId="3" applyNumberFormat="1" applyFont="1" applyFill="1" applyBorder="1" applyAlignment="1">
      <alignment horizontal="left"/>
    </xf>
    <xf numFmtId="0" fontId="1" fillId="38" borderId="0" xfId="0" applyFont="1" applyFill="1" applyBorder="1"/>
    <xf numFmtId="0" fontId="1" fillId="0" borderId="9" xfId="0" applyFont="1" applyBorder="1"/>
    <xf numFmtId="0" fontId="34" fillId="0" borderId="8" xfId="11" applyFont="1" applyFill="1" applyBorder="1">
      <alignment horizontal="centerContinuous" wrapText="1"/>
    </xf>
    <xf numFmtId="179" fontId="15" fillId="0" borderId="8" xfId="4" applyFont="1" applyFill="1" applyBorder="1" applyAlignment="1"/>
    <xf numFmtId="169" fontId="15" fillId="0" borderId="13" xfId="9" applyFont="1" applyFill="1" applyBorder="1" applyAlignment="1">
      <alignment horizontal="left"/>
      <protection locked="0"/>
    </xf>
    <xf numFmtId="0" fontId="15" fillId="0" borderId="13" xfId="0" applyFont="1" applyBorder="1"/>
    <xf numFmtId="0" fontId="15" fillId="0" borderId="0" xfId="0" applyFont="1" applyBorder="1"/>
    <xf numFmtId="0" fontId="15" fillId="39" borderId="0" xfId="0" applyFont="1" applyFill="1" applyBorder="1"/>
    <xf numFmtId="0" fontId="1" fillId="39" borderId="0" xfId="0" applyFont="1" applyFill="1" applyBorder="1"/>
    <xf numFmtId="168" fontId="15" fillId="39" borderId="0" xfId="0" applyNumberFormat="1" applyFont="1" applyFill="1" applyBorder="1"/>
    <xf numFmtId="0" fontId="15" fillId="38" borderId="0" xfId="0" applyFont="1" applyFill="1" applyBorder="1"/>
    <xf numFmtId="0" fontId="0" fillId="0" borderId="31" xfId="0" applyBorder="1"/>
    <xf numFmtId="0" fontId="15" fillId="0" borderId="31" xfId="0" applyFont="1" applyBorder="1"/>
    <xf numFmtId="0" fontId="1" fillId="0" borderId="31" xfId="0" applyFont="1" applyBorder="1"/>
    <xf numFmtId="169" fontId="34" fillId="0" borderId="9" xfId="9" applyFont="1" applyFill="1" applyBorder="1" applyAlignment="1">
      <alignment horizontal="left"/>
      <protection locked="0"/>
    </xf>
    <xf numFmtId="0" fontId="13" fillId="0" borderId="9" xfId="0" applyFont="1" applyBorder="1" applyAlignment="1">
      <alignment wrapText="1"/>
    </xf>
    <xf numFmtId="0" fontId="34" fillId="0" borderId="9" xfId="11" applyFont="1" applyFill="1" applyBorder="1">
      <alignment horizontal="centerContinuous" wrapText="1"/>
    </xf>
    <xf numFmtId="0" fontId="13" fillId="0" borderId="0" xfId="0" applyFont="1" applyBorder="1"/>
    <xf numFmtId="3" fontId="23" fillId="0" borderId="33" xfId="0" applyNumberFormat="1" applyFont="1" applyBorder="1" applyAlignment="1">
      <alignment horizontal="center"/>
    </xf>
    <xf numFmtId="3" fontId="23" fillId="0" borderId="34" xfId="0" applyNumberFormat="1" applyFont="1" applyBorder="1" applyAlignment="1">
      <alignment horizontal="center"/>
    </xf>
    <xf numFmtId="168" fontId="23" fillId="0" borderId="8" xfId="8" applyNumberFormat="1" applyFont="1" applyFill="1" applyBorder="1">
      <protection locked="0"/>
    </xf>
    <xf numFmtId="3" fontId="23" fillId="0" borderId="35" xfId="0" applyNumberFormat="1" applyFont="1" applyBorder="1" applyAlignment="1">
      <alignment horizontal="center"/>
    </xf>
    <xf numFmtId="3" fontId="23" fillId="0" borderId="36" xfId="0" applyNumberFormat="1" applyFont="1" applyBorder="1" applyAlignment="1">
      <alignment horizontal="center"/>
    </xf>
    <xf numFmtId="168" fontId="23" fillId="0" borderId="33" xfId="8" applyNumberFormat="1" applyFont="1" applyFill="1" applyBorder="1">
      <protection locked="0"/>
    </xf>
    <xf numFmtId="168" fontId="23" fillId="0" borderId="13" xfId="8" applyNumberFormat="1" applyFont="1" applyFill="1" applyBorder="1">
      <protection locked="0"/>
    </xf>
    <xf numFmtId="168" fontId="23" fillId="0" borderId="32" xfId="8" applyNumberFormat="1" applyFont="1" applyFill="1" applyBorder="1">
      <protection locked="0"/>
    </xf>
    <xf numFmtId="10" fontId="0" fillId="0" borderId="33" xfId="0" applyNumberFormat="1" applyBorder="1"/>
    <xf numFmtId="10" fontId="0" fillId="0" borderId="13" xfId="0" applyNumberFormat="1" applyBorder="1"/>
    <xf numFmtId="10" fontId="0" fillId="0" borderId="32" xfId="0" applyNumberFormat="1" applyBorder="1"/>
    <xf numFmtId="3" fontId="0" fillId="0" borderId="33" xfId="0" applyNumberFormat="1" applyBorder="1"/>
    <xf numFmtId="168" fontId="23" fillId="0" borderId="37" xfId="8" applyNumberFormat="1" applyFont="1" applyFill="1" applyBorder="1">
      <protection locked="0"/>
    </xf>
    <xf numFmtId="10" fontId="0" fillId="0" borderId="37" xfId="0" applyNumberFormat="1" applyBorder="1"/>
    <xf numFmtId="3" fontId="23" fillId="0" borderId="8" xfId="0" applyNumberFormat="1" applyFont="1" applyBorder="1" applyAlignment="1">
      <alignment horizontal="center"/>
    </xf>
    <xf numFmtId="171" fontId="15" fillId="0" borderId="38" xfId="63" applyFont="1" applyFill="1" applyBorder="1" applyAlignment="1" applyProtection="1">
      <alignment horizontal="right"/>
    </xf>
    <xf numFmtId="168" fontId="37" fillId="0" borderId="8" xfId="8" applyNumberFormat="1" applyFont="1" applyFill="1" applyBorder="1">
      <protection locked="0"/>
    </xf>
    <xf numFmtId="0" fontId="1" fillId="0" borderId="13" xfId="0" applyFont="1" applyBorder="1"/>
    <xf numFmtId="0" fontId="0" fillId="0" borderId="13" xfId="0" applyBorder="1"/>
    <xf numFmtId="49" fontId="26" fillId="0" borderId="9" xfId="3" applyFill="1" applyBorder="1"/>
    <xf numFmtId="0" fontId="34" fillId="0" borderId="8" xfId="11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34" fillId="0" borderId="13" xfId="11" applyFont="1" applyFill="1" applyBorder="1" applyAlignment="1">
      <alignment horizontal="left" vertical="top" wrapText="1"/>
    </xf>
    <xf numFmtId="168" fontId="23" fillId="0" borderId="33" xfId="1" applyFont="1" applyFill="1" applyBorder="1"/>
    <xf numFmtId="171" fontId="15" fillId="0" borderId="37" xfId="63" applyFont="1" applyFill="1" applyBorder="1" applyAlignment="1" applyProtection="1"/>
    <xf numFmtId="168" fontId="23" fillId="0" borderId="35" xfId="1" applyFont="1" applyFill="1" applyBorder="1"/>
    <xf numFmtId="168" fontId="15" fillId="0" borderId="33" xfId="1" applyFont="1" applyFill="1" applyBorder="1" applyAlignment="1" applyProtection="1">
      <alignment horizontal="center"/>
    </xf>
    <xf numFmtId="168" fontId="23" fillId="0" borderId="36" xfId="1" applyFont="1" applyFill="1" applyBorder="1"/>
    <xf numFmtId="168" fontId="15" fillId="0" borderId="35" xfId="1" applyFont="1" applyFill="1" applyBorder="1" applyAlignment="1" applyProtection="1">
      <alignment horizontal="center"/>
    </xf>
    <xf numFmtId="180" fontId="15" fillId="0" borderId="33" xfId="66" applyFont="1" applyFill="1" applyBorder="1" applyAlignment="1" applyProtection="1"/>
    <xf numFmtId="180" fontId="15" fillId="0" borderId="13" xfId="66" applyFont="1" applyFill="1" applyBorder="1" applyAlignment="1" applyProtection="1"/>
    <xf numFmtId="180" fontId="15" fillId="0" borderId="34" xfId="66" applyFont="1" applyFill="1" applyBorder="1" applyAlignment="1" applyProtection="1"/>
    <xf numFmtId="178" fontId="15" fillId="0" borderId="33" xfId="4" applyNumberFormat="1" applyFont="1" applyFill="1" applyBorder="1" applyAlignment="1" applyProtection="1"/>
    <xf numFmtId="178" fontId="15" fillId="0" borderId="33" xfId="65" applyFont="1" applyFill="1" applyBorder="1" applyAlignment="1" applyProtection="1"/>
    <xf numFmtId="171" fontId="23" fillId="0" borderId="39" xfId="63" applyFont="1" applyFill="1" applyBorder="1" applyAlignment="1" applyProtection="1"/>
    <xf numFmtId="180" fontId="15" fillId="0" borderId="36" xfId="66" applyFont="1" applyFill="1" applyBorder="1" applyAlignment="1" applyProtection="1"/>
    <xf numFmtId="171" fontId="23" fillId="0" borderId="13" xfId="63" applyFont="1" applyFill="1" applyBorder="1" applyAlignment="1" applyProtection="1"/>
    <xf numFmtId="168" fontId="0" fillId="0" borderId="13" xfId="0" applyNumberFormat="1" applyBorder="1"/>
    <xf numFmtId="0" fontId="13" fillId="0" borderId="8" xfId="26" applyFont="1" applyFill="1" applyBorder="1"/>
    <xf numFmtId="0" fontId="1" fillId="0" borderId="8" xfId="26" applyFill="1" applyBorder="1" applyAlignment="1">
      <alignment horizontal="centerContinuous" wrapText="1"/>
    </xf>
    <xf numFmtId="0" fontId="1" fillId="0" borderId="8" xfId="26" applyFill="1" applyBorder="1"/>
    <xf numFmtId="49" fontId="34" fillId="0" borderId="8" xfId="11" applyNumberFormat="1" applyFont="1" applyFill="1" applyBorder="1" applyAlignment="1">
      <alignment horizontal="center" wrapText="1"/>
    </xf>
    <xf numFmtId="49" fontId="34" fillId="0" borderId="33" xfId="11" applyNumberFormat="1" applyFont="1" applyFill="1" applyBorder="1" applyAlignment="1">
      <alignment horizontal="center" wrapText="1"/>
    </xf>
    <xf numFmtId="49" fontId="34" fillId="0" borderId="37" xfId="11" applyNumberFormat="1" applyFont="1" applyFill="1" applyBorder="1" applyAlignment="1">
      <alignment horizontal="center" wrapText="1"/>
    </xf>
    <xf numFmtId="171" fontId="1" fillId="0" borderId="32" xfId="63" applyFont="1" applyFill="1" applyBorder="1" applyAlignment="1">
      <alignment horizontal="right"/>
    </xf>
    <xf numFmtId="171" fontId="1" fillId="0" borderId="33" xfId="63" applyFont="1" applyFill="1" applyBorder="1" applyAlignment="1">
      <alignment horizontal="right"/>
    </xf>
    <xf numFmtId="0" fontId="34" fillId="39" borderId="0" xfId="3" applyNumberFormat="1" applyFont="1" applyFill="1" applyBorder="1" applyAlignment="1">
      <alignment horizontal="left"/>
    </xf>
    <xf numFmtId="169" fontId="34" fillId="0" borderId="8" xfId="11" applyNumberFormat="1" applyFont="1" applyFill="1" applyBorder="1">
      <alignment horizontal="centerContinuous" wrapText="1"/>
    </xf>
    <xf numFmtId="49" fontId="0" fillId="0" borderId="8" xfId="26" applyNumberFormat="1" applyFont="1" applyFill="1" applyBorder="1"/>
    <xf numFmtId="179" fontId="15" fillId="0" borderId="8" xfId="4" applyFont="1" applyFill="1" applyBorder="1" applyAlignment="1" applyProtection="1">
      <protection locked="0"/>
    </xf>
    <xf numFmtId="179" fontId="15" fillId="0" borderId="9" xfId="4" applyFont="1" applyFill="1" applyBorder="1" applyAlignment="1" applyProtection="1">
      <protection locked="0"/>
    </xf>
    <xf numFmtId="0" fontId="15" fillId="0" borderId="9" xfId="0" applyFont="1" applyBorder="1"/>
    <xf numFmtId="49" fontId="34" fillId="0" borderId="40" xfId="11" applyNumberFormat="1" applyFont="1" applyFill="1" applyBorder="1" applyAlignment="1">
      <alignment horizontal="center" wrapText="1"/>
    </xf>
    <xf numFmtId="0" fontId="35" fillId="0" borderId="13" xfId="0" applyFont="1" applyBorder="1"/>
    <xf numFmtId="0" fontId="15" fillId="0" borderId="41" xfId="0" applyFont="1" applyBorder="1"/>
    <xf numFmtId="49" fontId="19" fillId="0" borderId="9" xfId="7" applyFont="1" applyFill="1" applyBorder="1">
      <alignment horizontal="left"/>
    </xf>
    <xf numFmtId="178" fontId="15" fillId="0" borderId="13" xfId="65" applyFont="1" applyBorder="1" applyProtection="1"/>
    <xf numFmtId="178" fontId="15" fillId="0" borderId="9" xfId="65" applyFont="1" applyBorder="1" applyProtection="1"/>
    <xf numFmtId="49" fontId="34" fillId="0" borderId="8" xfId="11" applyNumberFormat="1" applyFont="1" applyFill="1" applyBorder="1">
      <alignment horizontal="centerContinuous" wrapText="1"/>
    </xf>
    <xf numFmtId="0" fontId="0" fillId="0" borderId="8" xfId="26" applyFont="1" applyFill="1" applyBorder="1"/>
    <xf numFmtId="169" fontId="34" fillId="0" borderId="13" xfId="11" applyNumberFormat="1" applyFont="1" applyFill="1" applyBorder="1">
      <alignment horizontal="centerContinuous" wrapText="1"/>
    </xf>
    <xf numFmtId="178" fontId="0" fillId="0" borderId="32" xfId="65" applyFont="1" applyBorder="1"/>
    <xf numFmtId="178" fontId="0" fillId="0" borderId="37" xfId="65" applyFont="1" applyBorder="1"/>
    <xf numFmtId="181" fontId="0" fillId="0" borderId="32" xfId="0" applyNumberFormat="1" applyBorder="1"/>
    <xf numFmtId="0" fontId="1" fillId="40" borderId="8" xfId="26" applyFill="1" applyBorder="1"/>
    <xf numFmtId="176" fontId="0" fillId="40" borderId="32" xfId="62" applyFont="1" applyFill="1" applyBorder="1" applyProtection="1"/>
    <xf numFmtId="176" fontId="0" fillId="40" borderId="33" xfId="62" applyFont="1" applyFill="1" applyBorder="1" applyProtection="1"/>
    <xf numFmtId="183" fontId="0" fillId="0" borderId="13" xfId="0" applyNumberFormat="1" applyBorder="1"/>
    <xf numFmtId="170" fontId="0" fillId="0" borderId="32" xfId="0" applyNumberFormat="1" applyBorder="1"/>
    <xf numFmtId="174" fontId="18" fillId="0" borderId="13" xfId="60" applyFont="1" applyFill="1" applyBorder="1" applyProtection="1"/>
    <xf numFmtId="176" fontId="0" fillId="0" borderId="13" xfId="62" applyFont="1" applyFill="1" applyBorder="1" applyProtection="1"/>
    <xf numFmtId="0" fontId="0" fillId="38" borderId="8" xfId="0" applyFill="1" applyBorder="1"/>
    <xf numFmtId="169" fontId="1" fillId="0" borderId="8" xfId="26" applyNumberFormat="1" applyFill="1" applyBorder="1"/>
    <xf numFmtId="49" fontId="17" fillId="39" borderId="13" xfId="3" applyFont="1" applyFill="1" applyBorder="1" applyAlignment="1">
      <alignment horizontal="left"/>
    </xf>
    <xf numFmtId="49" fontId="15" fillId="38" borderId="9" xfId="32" quotePrefix="1" applyFont="1" applyFill="1" applyBorder="1" applyAlignment="1" applyProtection="1">
      <alignment horizontal="left" vertical="top"/>
    </xf>
    <xf numFmtId="0" fontId="0" fillId="38" borderId="9" xfId="0" applyFill="1" applyBorder="1"/>
    <xf numFmtId="0" fontId="13" fillId="39" borderId="0" xfId="0" applyFont="1" applyFill="1" applyBorder="1" applyAlignment="1">
      <alignment horizontal="center"/>
    </xf>
    <xf numFmtId="49" fontId="17" fillId="0" borderId="9" xfId="3" applyFont="1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</cellXfs>
  <cellStyles count="116">
    <cellStyle name="20% - Accent1" xfId="35" builtinId="30" hidden="1"/>
    <cellStyle name="20% - Accent1" xfId="92" builtinId="30" customBuiltin="1"/>
    <cellStyle name="20% - Accent2" xfId="39" builtinId="34" hidden="1"/>
    <cellStyle name="20% - Accent2" xfId="96" builtinId="34" customBuiltin="1"/>
    <cellStyle name="20% - Accent3" xfId="43" builtinId="38" hidden="1"/>
    <cellStyle name="20% - Accent3" xfId="100" builtinId="38" customBuiltin="1"/>
    <cellStyle name="20% - Accent4" xfId="47" builtinId="42" hidden="1"/>
    <cellStyle name="20% - Accent4" xfId="104" builtinId="42" customBuiltin="1"/>
    <cellStyle name="20% - Accent5" xfId="51" builtinId="46" hidden="1"/>
    <cellStyle name="20% - Accent5" xfId="108" builtinId="46" customBuiltin="1"/>
    <cellStyle name="20% - Accent6" xfId="55" builtinId="50" hidden="1"/>
    <cellStyle name="20% - Accent6" xfId="112" builtinId="50" customBuiltin="1"/>
    <cellStyle name="40% - Accent1" xfId="36" builtinId="31" hidden="1"/>
    <cellStyle name="40% - Accent1" xfId="93" builtinId="31" customBuiltin="1"/>
    <cellStyle name="40% - Accent2" xfId="40" builtinId="35" hidden="1"/>
    <cellStyle name="40% - Accent2" xfId="97" builtinId="35" customBuiltin="1"/>
    <cellStyle name="40% - Accent3" xfId="44" builtinId="39" hidden="1"/>
    <cellStyle name="40% - Accent3" xfId="101" builtinId="39" customBuiltin="1"/>
    <cellStyle name="40% - Accent4" xfId="48" builtinId="43" hidden="1"/>
    <cellStyle name="40% - Accent4" xfId="105" builtinId="43" customBuiltin="1"/>
    <cellStyle name="40% - Accent5" xfId="52" builtinId="47" hidden="1"/>
    <cellStyle name="40% - Accent5" xfId="109" builtinId="47" customBuiltin="1"/>
    <cellStyle name="40% - Accent6" xfId="56" builtinId="51" hidden="1"/>
    <cellStyle name="40% - Accent6" xfId="113" builtinId="51" customBuiltin="1"/>
    <cellStyle name="60% - Accent1" xfId="37" builtinId="32" hidden="1"/>
    <cellStyle name="60% - Accent1" xfId="94" builtinId="32" customBuiltin="1"/>
    <cellStyle name="60% - Accent2" xfId="41" builtinId="36" hidden="1"/>
    <cellStyle name="60% - Accent2" xfId="98" builtinId="36" customBuiltin="1"/>
    <cellStyle name="60% - Accent3" xfId="45" builtinId="40" hidden="1"/>
    <cellStyle name="60% - Accent3" xfId="102" builtinId="40" customBuiltin="1"/>
    <cellStyle name="60% - Accent4" xfId="49" builtinId="44" hidden="1"/>
    <cellStyle name="60% - Accent4" xfId="106" builtinId="44" customBuiltin="1"/>
    <cellStyle name="60% - Accent5" xfId="53" builtinId="48" hidden="1"/>
    <cellStyle name="60% - Accent5" xfId="110" builtinId="48" customBuiltin="1"/>
    <cellStyle name="60% - Accent6" xfId="57" builtinId="52" hidden="1"/>
    <cellStyle name="60% - Accent6" xfId="114" builtinId="52" customBuiltin="1"/>
    <cellStyle name="Accent1" xfId="34" builtinId="29" hidden="1"/>
    <cellStyle name="Accent1" xfId="91" builtinId="29" customBuiltin="1"/>
    <cellStyle name="Accent2" xfId="38" builtinId="33" hidden="1"/>
    <cellStyle name="Accent2" xfId="95" builtinId="33" customBuiltin="1"/>
    <cellStyle name="Accent3" xfId="42" builtinId="37" hidden="1"/>
    <cellStyle name="Accent3" xfId="99" builtinId="37" customBuiltin="1"/>
    <cellStyle name="Accent4" xfId="46" builtinId="41" hidden="1"/>
    <cellStyle name="Accent4" xfId="103" builtinId="41" customBuiltin="1"/>
    <cellStyle name="Accent5" xfId="50" builtinId="45" hidden="1"/>
    <cellStyle name="Accent5" xfId="107" builtinId="45" customBuiltin="1"/>
    <cellStyle name="Accent6" xfId="54" builtinId="49" hidden="1"/>
    <cellStyle name="Accent6" xfId="111" builtinId="49" customBuiltin="1"/>
    <cellStyle name="Bad" xfId="23" builtinId="27" hidden="1"/>
    <cellStyle name="Bad" xfId="80" builtinId="27" customBuiltin="1"/>
    <cellStyle name="Calculation" xfId="27" builtinId="22" hidden="1"/>
    <cellStyle name="Calculation" xfId="84" builtinId="22" customBuiltin="1"/>
    <cellStyle name="Check Cell" xfId="29" builtinId="23" hidden="1"/>
    <cellStyle name="Check Cell" xfId="86" builtinId="23" customBuiltin="1"/>
    <cellStyle name="Comma" xfId="13" builtinId="3" hidden="1"/>
    <cellStyle name="Comma [0]" xfId="15" builtinId="6" hidden="1"/>
    <cellStyle name="Comma [0]" xfId="1" xr:uid="{00000000-0005-0000-0000-00001D000000}"/>
    <cellStyle name="Comma [1]" xfId="59" xr:uid="{00000000-0005-0000-0000-00001E000000}"/>
    <cellStyle name="Comma [2]" xfId="60" xr:uid="{00000000-0005-0000-0000-00001F000000}"/>
    <cellStyle name="Comma [3]" xfId="61" xr:uid="{00000000-0005-0000-0000-000020000000}"/>
    <cellStyle name="Comma [4]" xfId="62" xr:uid="{00000000-0005-0000-0000-000021000000}"/>
    <cellStyle name="Currency" xfId="16" builtinId="4" hidden="1"/>
    <cellStyle name="Currency [0]" xfId="17" builtinId="7" hidden="1"/>
    <cellStyle name="Date (short)" xfId="63" xr:uid="{00000000-0005-0000-0000-000024000000}"/>
    <cellStyle name="Explanatory Text" xfId="32" builtinId="53" customBuiltin="1"/>
    <cellStyle name="Explanatory Text 16" xfId="6" xr:uid="{00000000-0005-0000-0000-000026000000}"/>
    <cellStyle name="Explanatory Text 2" xfId="89" xr:uid="{A6919D8B-816A-416A-B903-EF28D3C59686}"/>
    <cellStyle name="Explanatory Text 3" xfId="73" xr:uid="{72D67869-4DC4-4693-A569-E0A0136A6DD4}"/>
    <cellStyle name="Good" xfId="22" builtinId="26" hidden="1"/>
    <cellStyle name="Good" xfId="79" builtinId="26" customBuiltin="1"/>
    <cellStyle name="Heading 1" xfId="19" builtinId="16" hidden="1"/>
    <cellStyle name="Heading 1" xfId="2" xr:uid="{00000000-0005-0000-0000-000029000000}"/>
    <cellStyle name="Heading 1 2" xfId="75" xr:uid="{18F2B53B-846F-4D9E-BC58-C4F481F09C18}"/>
    <cellStyle name="Heading 2" xfId="58" builtinId="17" hidden="1"/>
    <cellStyle name="Heading 2" xfId="3" xr:uid="{00000000-0005-0000-0000-00002B000000}"/>
    <cellStyle name="Heading 2 2" xfId="71" xr:uid="{75EFA7F1-2764-4EE6-99F6-FB0C014CDFF9}"/>
    <cellStyle name="Heading 2 3" xfId="76" xr:uid="{BB13DA9D-91F7-4B85-B678-A1AD08D81CA5}"/>
    <cellStyle name="Heading 3" xfId="20" builtinId="18" hidden="1"/>
    <cellStyle name="Heading 3" xfId="7" xr:uid="{00000000-0005-0000-0000-00002D000000}"/>
    <cellStyle name="Heading 3 2" xfId="77" xr:uid="{D43D2441-A015-461C-AA75-13BDFB970B5C}"/>
    <cellStyle name="Heading 4" xfId="21" builtinId="19" hidden="1"/>
    <cellStyle name="Heading 4" xfId="78" builtinId="19" customBuiltin="1"/>
    <cellStyle name="Hyperlink" xfId="12" builtinId="8" customBuiltin="1"/>
    <cellStyle name="Hyperlink 2" xfId="115" xr:uid="{2C4C85CE-6097-4FAC-B537-A834B851496E}"/>
    <cellStyle name="Hyperlink 4" xfId="69" xr:uid="{0B214221-DAC3-4B3D-8B9E-F2F7A7E89834}"/>
    <cellStyle name="Input" xfId="25" builtinId="20" hidden="1"/>
    <cellStyle name="Input" xfId="8" xr:uid="{00000000-0005-0000-0000-000031000000}"/>
    <cellStyle name="Input 2" xfId="82" xr:uid="{BA10A43A-3D08-4E15-9B61-BDAF4AC4E6E5}"/>
    <cellStyle name="Label" xfId="11" xr:uid="{00000000-0005-0000-0000-000032000000}"/>
    <cellStyle name="Link" xfId="64" xr:uid="{00000000-0005-0000-0000-000033000000}"/>
    <cellStyle name="Linked Cell" xfId="28" builtinId="24" hidden="1"/>
    <cellStyle name="Linked Cell" xfId="85" builtinId="24" customBuiltin="1"/>
    <cellStyle name="Neutral" xfId="24" builtinId="28" hidden="1"/>
    <cellStyle name="Neutral" xfId="81" builtinId="28" customBuiltin="1"/>
    <cellStyle name="Normal" xfId="0" builtinId="0"/>
    <cellStyle name="Note" xfId="31" builtinId="10" hidden="1"/>
    <cellStyle name="Note" xfId="88" builtinId="10" customBuiltin="1"/>
    <cellStyle name="Output" xfId="26" builtinId="21" customBuiltin="1"/>
    <cellStyle name="Output 2" xfId="83" xr:uid="{00B83B9F-B422-48A2-B229-ACE1C977873B}"/>
    <cellStyle name="Percent" xfId="14" builtinId="5" hidden="1"/>
    <cellStyle name="Percent [0]" xfId="65" xr:uid="{00000000-0005-0000-0000-00003A000000}"/>
    <cellStyle name="Percent [1]" xfId="4" xr:uid="{00000000-0005-0000-0000-00003B000000}"/>
    <cellStyle name="Percent [2]" xfId="66" xr:uid="{00000000-0005-0000-0000-00003C000000}"/>
    <cellStyle name="Percent [3]" xfId="67" xr:uid="{00000000-0005-0000-0000-00003D000000}"/>
    <cellStyle name="Rt border" xfId="68" xr:uid="{00000000-0005-0000-0000-00003E000000}"/>
    <cellStyle name="Text" xfId="9" xr:uid="{00000000-0005-0000-0000-00003F000000}"/>
    <cellStyle name="Text 2" xfId="70" xr:uid="{0F00DD78-207C-49DF-88D5-2567892BC8FD}"/>
    <cellStyle name="Text 2 2" xfId="72" xr:uid="{0DC01B64-4AF5-41A8-A08E-AB12AEE63E3B}"/>
    <cellStyle name="Title" xfId="18" builtinId="15" hidden="1"/>
    <cellStyle name="Title" xfId="5" xr:uid="{00000000-0005-0000-0000-000041000000}"/>
    <cellStyle name="Title 2" xfId="74" xr:uid="{9C7C5AEB-53FF-469C-8DAF-05B9E8E86F52}"/>
    <cellStyle name="Total" xfId="33" builtinId="25" hidden="1"/>
    <cellStyle name="Total" xfId="90" builtinId="25" customBuiltin="1"/>
    <cellStyle name="Warning Text" xfId="30" builtinId="11" hidden="1"/>
    <cellStyle name="Warning Text" xfId="87" builtinId="11" customBuiltin="1"/>
    <cellStyle name="Year" xfId="10" xr:uid="{00000000-0005-0000-0000-000044000000}"/>
  </cellStyles>
  <dxfs count="0"/>
  <tableStyles count="0" defaultTableStyle="TableStyleMedium2" defaultPivotStyle="PivotStyleLight16"/>
  <colors>
    <mruColors>
      <color rgb="FF2E666C"/>
      <color rgb="FF99988E"/>
      <color rgb="FF938659"/>
      <color rgb="FF80AAA2"/>
      <color rgb="FFD3E2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879760</xdr:colOff>
      <xdr:row>2</xdr:row>
      <xdr:rowOff>181725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F74AF3-DB62-4233-B0C8-9D1CF1E01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37085" cy="705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180975</xdr:rowOff>
    </xdr:from>
    <xdr:to>
      <xdr:col>4</xdr:col>
      <xdr:colOff>0</xdr:colOff>
      <xdr:row>14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35563D-CEF9-453F-B617-286C88B4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8982075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nancial Model Them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s.govt.nz" TargetMode="External"/><Relationship Id="rId2" Type="http://schemas.openxmlformats.org/officeDocument/2006/relationships/hyperlink" Target="mailto:info@stats.govt.nz" TargetMode="External"/><Relationship Id="rId1" Type="http://schemas.openxmlformats.org/officeDocument/2006/relationships/hyperlink" Target="mailto:info@stats.govt.nz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C2271-6471-410A-800C-0B877A9CA824}">
  <sheetPr codeName="Sheet11">
    <pageSetUpPr fitToPage="1"/>
  </sheetPr>
  <dimension ref="A1:D16"/>
  <sheetViews>
    <sheetView showGridLines="0" tabSelected="1" view="pageBreakPreview" zoomScaleNormal="100" zoomScaleSheetLayoutView="100" workbookViewId="0"/>
  </sheetViews>
  <sheetFormatPr defaultColWidth="9.109375" defaultRowHeight="15" customHeight="1" x14ac:dyDescent="0.3"/>
  <cols>
    <col min="1" max="1" width="26.5546875" customWidth="1"/>
    <col min="2" max="2" width="43.109375" customWidth="1"/>
    <col min="3" max="3" width="32.77734375" customWidth="1"/>
    <col min="4" max="4" width="32.21875" customWidth="1"/>
  </cols>
  <sheetData>
    <row r="1" spans="1:4" ht="26.25" customHeight="1" x14ac:dyDescent="0.3">
      <c r="A1" s="5"/>
      <c r="B1" s="6"/>
      <c r="C1" s="6"/>
      <c r="D1" s="6"/>
    </row>
    <row r="2" spans="1:4" ht="26.25" customHeight="1" x14ac:dyDescent="0.3">
      <c r="A2" s="7"/>
      <c r="B2" s="69"/>
      <c r="C2" s="69"/>
      <c r="D2" s="69"/>
    </row>
    <row r="3" spans="1:4" ht="26.25" customHeight="1" x14ac:dyDescent="0.3">
      <c r="A3" s="7"/>
      <c r="B3" s="69"/>
      <c r="C3" s="69"/>
      <c r="D3" s="69"/>
    </row>
    <row r="4" spans="1:4" ht="26.25" customHeight="1" x14ac:dyDescent="0.3">
      <c r="A4" s="7"/>
      <c r="B4" s="69"/>
      <c r="C4" s="69"/>
      <c r="D4" s="69"/>
    </row>
    <row r="5" spans="1:4" ht="26.25" customHeight="1" x14ac:dyDescent="0.5">
      <c r="A5" s="18" t="s">
        <v>162</v>
      </c>
      <c r="B5" s="70"/>
      <c r="C5" s="70"/>
      <c r="D5" s="70"/>
    </row>
    <row r="6" spans="1:4" ht="26.25" customHeight="1" x14ac:dyDescent="0.5">
      <c r="A6" s="18" t="s">
        <v>163</v>
      </c>
      <c r="B6" s="70"/>
      <c r="C6" s="70"/>
      <c r="D6" s="70"/>
    </row>
    <row r="7" spans="1:4" ht="26.25" customHeight="1" x14ac:dyDescent="0.5">
      <c r="A7" s="18" t="s">
        <v>40</v>
      </c>
      <c r="B7" s="70"/>
      <c r="C7" s="70"/>
      <c r="D7" s="70"/>
    </row>
    <row r="8" spans="1:4" ht="26.25" customHeight="1" x14ac:dyDescent="0.5">
      <c r="A8" s="60" t="s">
        <v>182</v>
      </c>
      <c r="B8" s="70"/>
      <c r="C8" s="70"/>
      <c r="D8" s="70"/>
    </row>
    <row r="9" spans="1:4" ht="26.25" customHeight="1" x14ac:dyDescent="0.3">
      <c r="A9" s="7"/>
      <c r="B9" s="69"/>
      <c r="C9" s="69"/>
      <c r="D9" s="69"/>
    </row>
    <row r="10" spans="1:4" ht="26.25" customHeight="1" x14ac:dyDescent="0.3">
      <c r="A10" s="7"/>
      <c r="B10" s="69"/>
      <c r="C10" s="69"/>
      <c r="D10" s="69"/>
    </row>
    <row r="11" spans="1:4" ht="26.25" customHeight="1" x14ac:dyDescent="0.3">
      <c r="A11" s="7"/>
      <c r="B11" s="69"/>
      <c r="C11" s="69"/>
      <c r="D11" s="69"/>
    </row>
    <row r="12" spans="1:4" ht="26.25" customHeight="1" x14ac:dyDescent="0.3">
      <c r="A12" s="7"/>
      <c r="B12" s="69"/>
      <c r="C12" s="69"/>
      <c r="D12" s="69"/>
    </row>
    <row r="13" spans="1:4" ht="26.25" customHeight="1" x14ac:dyDescent="0.3">
      <c r="A13" s="7"/>
      <c r="B13" s="69"/>
      <c r="C13" s="69"/>
      <c r="D13" s="69"/>
    </row>
    <row r="14" spans="1:4" ht="26.25" customHeight="1" x14ac:dyDescent="0.3">
      <c r="A14" s="7"/>
      <c r="B14" s="69"/>
      <c r="C14" s="69"/>
      <c r="D14" s="69"/>
    </row>
    <row r="15" spans="1:4" ht="26.25" customHeight="1" x14ac:dyDescent="0.3">
      <c r="A15" s="7"/>
      <c r="B15" s="69"/>
      <c r="C15" s="69"/>
      <c r="D15" s="69"/>
    </row>
    <row r="16" spans="1:4" ht="26.25" customHeight="1" x14ac:dyDescent="0.3">
      <c r="A16" s="50" t="s">
        <v>68</v>
      </c>
      <c r="B16" s="70"/>
      <c r="C16" s="70"/>
      <c r="D16" s="70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9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2E666C"/>
    <pageSetUpPr fitToPage="1"/>
  </sheetPr>
  <dimension ref="A1:S13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40.21875" customWidth="1"/>
    <col min="2" max="15" width="11" customWidth="1"/>
    <col min="16" max="16" width="9.109375" customWidth="1"/>
    <col min="17" max="17" width="3.5546875" customWidth="1"/>
  </cols>
  <sheetData>
    <row r="1" spans="1:19" ht="25.8" x14ac:dyDescent="0.5">
      <c r="A1" s="71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3.95" customHeight="1" x14ac:dyDescent="0.3">
      <c r="A2" s="96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69"/>
      <c r="R2" s="69"/>
      <c r="S2" s="69"/>
    </row>
    <row r="3" spans="1:19" ht="27" customHeight="1" x14ac:dyDescent="0.45">
      <c r="A3" s="74" t="s">
        <v>25</v>
      </c>
      <c r="B3" s="21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9"/>
      <c r="R3" s="76"/>
      <c r="S3" s="76"/>
    </row>
    <row r="4" spans="1:19" ht="15" customHeight="1" x14ac:dyDescent="0.45">
      <c r="A4" s="217"/>
      <c r="B4" s="218"/>
      <c r="C4" s="218">
        <f>'Inflator calculations'!C78</f>
        <v>2017</v>
      </c>
      <c r="D4" s="218">
        <f>'Inflator calculations'!D78</f>
        <v>2018</v>
      </c>
      <c r="E4" s="218">
        <f>'Inflator calculations'!E78</f>
        <v>2019</v>
      </c>
      <c r="F4" s="218">
        <f>'Inflator calculations'!F78</f>
        <v>2020</v>
      </c>
      <c r="G4" s="218">
        <f>'Inflator calculations'!G78</f>
        <v>2021</v>
      </c>
      <c r="H4" s="218">
        <f>'Inflator calculations'!H78</f>
        <v>2022</v>
      </c>
      <c r="I4" s="218">
        <f>'Inflator calculations'!I78</f>
        <v>2023</v>
      </c>
      <c r="J4" s="218">
        <f>'Inflator calculations'!J78</f>
        <v>2024</v>
      </c>
      <c r="K4" s="218">
        <f>'Inflator calculations'!K78</f>
        <v>2025</v>
      </c>
      <c r="L4" s="218">
        <f>'Inflator calculations'!L78</f>
        <v>2026</v>
      </c>
      <c r="M4" s="218">
        <f>'Inflator calculations'!M78</f>
        <v>2027</v>
      </c>
      <c r="N4" s="218">
        <f>'Inflator calculations'!N78</f>
        <v>2028</v>
      </c>
      <c r="O4" s="218">
        <f>'Inflator calculations'!O78</f>
        <v>2029</v>
      </c>
      <c r="P4" s="218">
        <f>'Inflator calculations'!P78</f>
        <v>2030</v>
      </c>
      <c r="Q4" s="69"/>
      <c r="R4" s="76"/>
      <c r="S4" s="76"/>
    </row>
    <row r="5" spans="1:19" ht="14.4" x14ac:dyDescent="0.3">
      <c r="A5" s="180" t="str">
        <f>'Inflator calculations'!A79</f>
        <v>Network opex index of cost inflator</v>
      </c>
      <c r="B5" s="16"/>
      <c r="C5" s="59">
        <f>'Inflator calculations'!C79</f>
        <v>0.78797545923754908</v>
      </c>
      <c r="D5" s="59">
        <f>'Inflator calculations'!D79</f>
        <v>0.81310227810268565</v>
      </c>
      <c r="E5" s="59">
        <f>'Inflator calculations'!E79</f>
        <v>0.83798986668592645</v>
      </c>
      <c r="F5" s="59">
        <f>'Inflator calculations'!F79</f>
        <v>0.85837489612317974</v>
      </c>
      <c r="G5" s="59">
        <f>'Inflator calculations'!G79</f>
        <v>0.87101219299863553</v>
      </c>
      <c r="H5" s="59">
        <f>'Inflator calculations'!H79</f>
        <v>0.91369734224962784</v>
      </c>
      <c r="I5" s="59">
        <f>'Inflator calculations'!I79</f>
        <v>0.96592797817460074</v>
      </c>
      <c r="J5" s="59">
        <f>'Inflator calculations'!J79</f>
        <v>1</v>
      </c>
      <c r="K5" s="59">
        <f>'Inflator calculations'!K79</f>
        <v>1.0323230394312588</v>
      </c>
      <c r="L5" s="59">
        <f>'Inflator calculations'!L79</f>
        <v>1.0585013207257168</v>
      </c>
      <c r="M5" s="59">
        <f>'Inflator calculations'!M79</f>
        <v>1.0831133425360451</v>
      </c>
      <c r="N5" s="59">
        <f>'Inflator calculations'!N79</f>
        <v>1.1083975891155922</v>
      </c>
      <c r="O5" s="59">
        <f>'Inflator calculations'!O79</f>
        <v>1.1360459051019107</v>
      </c>
      <c r="P5" s="59">
        <f>'Inflator calculations'!P79</f>
        <v>1.1647668111775697</v>
      </c>
      <c r="Q5" s="69"/>
      <c r="R5" s="69"/>
      <c r="S5" s="69"/>
    </row>
    <row r="6" spans="1:19" ht="14.4" x14ac:dyDescent="0.3">
      <c r="A6" s="180" t="str">
        <f>'Inflator calculations'!A80</f>
        <v>Non-network opex index of cost inflator</v>
      </c>
      <c r="B6" s="16"/>
      <c r="C6" s="59">
        <f>'Inflator calculations'!C80</f>
        <v>0.78797545923754908</v>
      </c>
      <c r="D6" s="59">
        <f>'Inflator calculations'!D80</f>
        <v>0.81310227810268565</v>
      </c>
      <c r="E6" s="59">
        <f>'Inflator calculations'!E80</f>
        <v>0.83798986668592645</v>
      </c>
      <c r="F6" s="59">
        <f>'Inflator calculations'!F80</f>
        <v>0.85837489612317974</v>
      </c>
      <c r="G6" s="59">
        <f>'Inflator calculations'!G80</f>
        <v>0.87101219299863553</v>
      </c>
      <c r="H6" s="59">
        <f>'Inflator calculations'!H80</f>
        <v>0.91369734224962784</v>
      </c>
      <c r="I6" s="59">
        <f>'Inflator calculations'!I80</f>
        <v>0.96592797817460074</v>
      </c>
      <c r="J6" s="59">
        <f>'Inflator calculations'!J80</f>
        <v>1</v>
      </c>
      <c r="K6" s="59">
        <f>'Inflator calculations'!K80</f>
        <v>1.0323230394312588</v>
      </c>
      <c r="L6" s="59">
        <f>'Inflator calculations'!L80</f>
        <v>1.0585013207257168</v>
      </c>
      <c r="M6" s="59">
        <f>'Inflator calculations'!M80</f>
        <v>1.0831133425360451</v>
      </c>
      <c r="N6" s="59">
        <f>'Inflator calculations'!N80</f>
        <v>1.1083975891155922</v>
      </c>
      <c r="O6" s="59">
        <f>'Inflator calculations'!O80</f>
        <v>1.1360459051019107</v>
      </c>
      <c r="P6" s="59">
        <f>'Inflator calculations'!P80</f>
        <v>1.1647668111775697</v>
      </c>
      <c r="Q6" s="69"/>
      <c r="R6" s="69"/>
      <c r="S6" s="69"/>
    </row>
    <row r="7" spans="1:19" ht="14.4" x14ac:dyDescent="0.3">
      <c r="A7" s="180" t="str">
        <f>'Inflator calculations'!A81</f>
        <v>Capex index of cost inflator</v>
      </c>
      <c r="B7" s="16"/>
      <c r="C7" s="59">
        <f>'Inflator calculations'!C81</f>
        <v>0.6788694102427385</v>
      </c>
      <c r="D7" s="59">
        <f>'Inflator calculations'!D81</f>
        <v>0.70372881871533166</v>
      </c>
      <c r="E7" s="59">
        <f>'Inflator calculations'!E81</f>
        <v>0.72941160480478351</v>
      </c>
      <c r="F7" s="59">
        <f>'Inflator calculations'!F81</f>
        <v>0.75616951838347068</v>
      </c>
      <c r="G7" s="59">
        <f>'Inflator calculations'!G81</f>
        <v>0.77699379100229526</v>
      </c>
      <c r="H7" s="59">
        <f>'Inflator calculations'!H81</f>
        <v>0.84626527191057943</v>
      </c>
      <c r="I7" s="59">
        <f>'Inflator calculations'!I81</f>
        <v>0.9483191810523689</v>
      </c>
      <c r="J7" s="59">
        <f>'Inflator calculations'!J81</f>
        <v>1</v>
      </c>
      <c r="K7" s="59">
        <f>'Inflator calculations'!K81</f>
        <v>1.0353815484464248</v>
      </c>
      <c r="L7" s="59">
        <f>'Inflator calculations'!L81</f>
        <v>1.0661231803222968</v>
      </c>
      <c r="M7" s="59">
        <f>'Inflator calculations'!M81</f>
        <v>1.0954731734384302</v>
      </c>
      <c r="N7" s="59">
        <f>'Inflator calculations'!N81</f>
        <v>1.1250642296457629</v>
      </c>
      <c r="O7" s="59">
        <f>'Inflator calculations'!O81</f>
        <v>1.1555867375057403</v>
      </c>
      <c r="P7" s="59">
        <f>'Inflator calculations'!P81</f>
        <v>1.1871328686835938</v>
      </c>
      <c r="Q7" s="69"/>
      <c r="R7" s="69"/>
      <c r="S7" s="69"/>
    </row>
    <row r="8" spans="1:19" ht="15" customHeight="1" x14ac:dyDescent="0.3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69"/>
      <c r="R8" s="69"/>
      <c r="S8" s="69"/>
    </row>
    <row r="9" spans="1:19" ht="27" customHeight="1" x14ac:dyDescent="0.45">
      <c r="A9" s="74" t="s">
        <v>67</v>
      </c>
      <c r="B9" s="21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69"/>
      <c r="R9" s="76"/>
      <c r="S9" s="76"/>
    </row>
    <row r="10" spans="1:19" ht="15" customHeight="1" x14ac:dyDescent="0.45">
      <c r="A10" s="217"/>
      <c r="B10" s="218"/>
      <c r="C10" s="219">
        <f>'Inflator calculations'!C78</f>
        <v>2017</v>
      </c>
      <c r="D10" s="219">
        <f>'Inflator calculations'!D78</f>
        <v>2018</v>
      </c>
      <c r="E10" s="219">
        <f>'Inflator calculations'!E78</f>
        <v>2019</v>
      </c>
      <c r="F10" s="219">
        <f>'Inflator calculations'!F78</f>
        <v>2020</v>
      </c>
      <c r="G10" s="219">
        <f>'Inflator calculations'!G78</f>
        <v>2021</v>
      </c>
      <c r="H10" s="219">
        <f>'Inflator calculations'!H78</f>
        <v>2022</v>
      </c>
      <c r="I10" s="219">
        <f>'Inflator calculations'!I78</f>
        <v>2023</v>
      </c>
      <c r="J10" s="219">
        <f>'Inflator calculations'!J78</f>
        <v>2024</v>
      </c>
      <c r="K10" s="219">
        <f>'Inflator calculations'!K78</f>
        <v>2025</v>
      </c>
      <c r="L10" s="219">
        <f>'Inflator calculations'!L78</f>
        <v>2026</v>
      </c>
      <c r="M10" s="219">
        <f>'Inflator calculations'!M78</f>
        <v>2027</v>
      </c>
      <c r="N10" s="219">
        <f>'Inflator calculations'!N78</f>
        <v>2028</v>
      </c>
      <c r="O10" s="219">
        <f>'Inflator calculations'!O78</f>
        <v>2029</v>
      </c>
      <c r="P10" s="219">
        <f>'Inflator calculations'!P78</f>
        <v>2030</v>
      </c>
      <c r="Q10" s="69"/>
      <c r="R10" s="76"/>
      <c r="S10" s="76"/>
    </row>
    <row r="11" spans="1:19" ht="14.4" x14ac:dyDescent="0.3">
      <c r="A11" s="180" t="str">
        <f>'Inflator calculations'!A43</f>
        <v>Network opex index of cost inflator</v>
      </c>
      <c r="B11" s="16"/>
      <c r="C11" s="59">
        <f>'Inflator calculations'!C43</f>
        <v>0.80467261811807722</v>
      </c>
      <c r="D11" s="59">
        <f>'Inflator calculations'!D43</f>
        <v>0.82784832798041275</v>
      </c>
      <c r="E11" s="59">
        <f>'Inflator calculations'!E43</f>
        <v>0.85063536037107013</v>
      </c>
      <c r="F11" s="59">
        <f>'Inflator calculations'!F43</f>
        <v>0.86872183989506524</v>
      </c>
      <c r="G11" s="59">
        <f>'Inflator calculations'!G43</f>
        <v>0.87887484358216306</v>
      </c>
      <c r="H11" s="59">
        <f>'Inflator calculations'!H43</f>
        <v>0.91918774957920557</v>
      </c>
      <c r="I11" s="59">
        <f>'Inflator calculations'!I43</f>
        <v>0.96882576210912441</v>
      </c>
      <c r="J11" s="59">
        <f>'Inflator calculations'!J43</f>
        <v>1</v>
      </c>
      <c r="K11" s="59">
        <f>'Inflator calculations'!K43</f>
        <v>1.0292353334309661</v>
      </c>
      <c r="L11" s="59">
        <f>'Inflator calculations'!L43</f>
        <v>1.0521787784460348</v>
      </c>
      <c r="M11" s="59">
        <f>'Inflator calculations'!M43</f>
        <v>1.073423519443593</v>
      </c>
      <c r="N11" s="59">
        <f>'Inflator calculations'!N43</f>
        <v>1.0951959784218195</v>
      </c>
      <c r="O11" s="59">
        <f>'Inflator calculations'!O43</f>
        <v>1.119157515565961</v>
      </c>
      <c r="P11" s="59">
        <f>'Inflator calculations'!P43</f>
        <v>1.1440194001929431</v>
      </c>
      <c r="Q11" s="69"/>
      <c r="R11" s="69"/>
      <c r="S11" s="69"/>
    </row>
    <row r="12" spans="1:19" ht="14.4" x14ac:dyDescent="0.3">
      <c r="A12" s="180" t="str">
        <f>'Inflator calculations'!A52</f>
        <v>Non-network opex index of cost inflator</v>
      </c>
      <c r="B12" s="16"/>
      <c r="C12" s="59">
        <f>'Inflator calculations'!C52</f>
        <v>0.80467261811807722</v>
      </c>
      <c r="D12" s="59">
        <f>'Inflator calculations'!D52</f>
        <v>0.82784832798041275</v>
      </c>
      <c r="E12" s="59">
        <f>'Inflator calculations'!E52</f>
        <v>0.85063536037107013</v>
      </c>
      <c r="F12" s="59">
        <f>'Inflator calculations'!F52</f>
        <v>0.86872183989506524</v>
      </c>
      <c r="G12" s="59">
        <f>'Inflator calculations'!G52</f>
        <v>0.87887484358216306</v>
      </c>
      <c r="H12" s="59">
        <f>'Inflator calculations'!H52</f>
        <v>0.91918774957920557</v>
      </c>
      <c r="I12" s="59">
        <f>'Inflator calculations'!I52</f>
        <v>0.96882576210912441</v>
      </c>
      <c r="J12" s="59">
        <f>'Inflator calculations'!J52</f>
        <v>1</v>
      </c>
      <c r="K12" s="59">
        <f>'Inflator calculations'!K52</f>
        <v>1.0292353334309661</v>
      </c>
      <c r="L12" s="59">
        <f>'Inflator calculations'!L52</f>
        <v>1.0521787784460348</v>
      </c>
      <c r="M12" s="59">
        <f>'Inflator calculations'!M52</f>
        <v>1.073423519443593</v>
      </c>
      <c r="N12" s="59">
        <f>'Inflator calculations'!N52</f>
        <v>1.0951959784218195</v>
      </c>
      <c r="O12" s="59">
        <f>'Inflator calculations'!O52</f>
        <v>1.119157515565961</v>
      </c>
      <c r="P12" s="59">
        <f>'Inflator calculations'!P52</f>
        <v>1.1440194001929431</v>
      </c>
      <c r="Q12" s="69"/>
      <c r="R12" s="69"/>
      <c r="S12" s="69"/>
    </row>
    <row r="13" spans="1:19" ht="14.4" x14ac:dyDescent="0.3">
      <c r="A13" s="180" t="str">
        <f>'Inflator calculations'!A61</f>
        <v>Capex index of cost inflator</v>
      </c>
      <c r="B13" s="16"/>
      <c r="C13" s="59">
        <f>'Inflator calculations'!C61</f>
        <v>0.71781076083464479</v>
      </c>
      <c r="D13" s="59">
        <f>'Inflator calculations'!D61</f>
        <v>0.7381906312383798</v>
      </c>
      <c r="E13" s="59">
        <f>'Inflator calculations'!E61</f>
        <v>0.75905864197371764</v>
      </c>
      <c r="F13" s="59">
        <f>'Inflator calculations'!F61</f>
        <v>0.78065886379924521</v>
      </c>
      <c r="G13" s="59">
        <f>'Inflator calculations'!G61</f>
        <v>0.79579122261504387</v>
      </c>
      <c r="H13" s="59">
        <f>'Inflator calculations'!H61</f>
        <v>0.85985967723855106</v>
      </c>
      <c r="I13" s="59">
        <f>'Inflator calculations'!I61</f>
        <v>0.95590573450078786</v>
      </c>
      <c r="J13" s="59">
        <f>'Inflator calculations'!J61</f>
        <v>1</v>
      </c>
      <c r="K13" s="59">
        <f>'Inflator calculations'!K61</f>
        <v>1.0271642345698659</v>
      </c>
      <c r="L13" s="59">
        <f>'Inflator calculations'!L61</f>
        <v>1.0492677432940216</v>
      </c>
      <c r="M13" s="59">
        <f>'Inflator calculations'!M61</f>
        <v>1.069596936711865</v>
      </c>
      <c r="N13" s="59">
        <f>'Inflator calculations'!N61</f>
        <v>1.0897708539955602</v>
      </c>
      <c r="O13" s="59">
        <f>'Inflator calculations'!O61</f>
        <v>1.1104522497806848</v>
      </c>
      <c r="P13" s="59">
        <f>'Inflator calculations'!P61</f>
        <v>1.1317125631022413</v>
      </c>
      <c r="Q13" s="69"/>
      <c r="R13" s="69"/>
      <c r="S13" s="6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0340-C1EC-4CBB-BE1F-E0E865A68F6A}">
  <sheetPr codeName="Sheet3">
    <pageSetUpPr fitToPage="1"/>
  </sheetPr>
  <dimension ref="A1:E29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2" width="3.77734375" customWidth="1"/>
    <col min="3" max="3" width="130.77734375" customWidth="1"/>
    <col min="4" max="4" width="3.77734375" customWidth="1"/>
  </cols>
  <sheetData>
    <row r="1" spans="1:5" ht="25.8" x14ac:dyDescent="0.5">
      <c r="A1" s="71" t="s">
        <v>9</v>
      </c>
      <c r="B1" s="69"/>
      <c r="C1" s="69"/>
      <c r="D1" s="69"/>
      <c r="E1" s="69"/>
    </row>
    <row r="2" spans="1:5" ht="14.4" x14ac:dyDescent="0.3">
      <c r="A2" s="20" t="s">
        <v>43</v>
      </c>
      <c r="B2" s="72"/>
      <c r="C2" s="73"/>
      <c r="D2" s="69"/>
      <c r="E2" s="69"/>
    </row>
    <row r="3" spans="1:5" ht="14.4" x14ac:dyDescent="0.3">
      <c r="A3" s="69"/>
      <c r="B3" s="69"/>
      <c r="C3" s="69"/>
      <c r="D3" s="69"/>
      <c r="E3" s="69"/>
    </row>
    <row r="4" spans="1:5" ht="23.4" x14ac:dyDescent="0.45">
      <c r="A4" s="74" t="s">
        <v>39</v>
      </c>
      <c r="B4" s="75"/>
      <c r="C4" s="76"/>
      <c r="D4" s="69"/>
      <c r="E4" s="69"/>
    </row>
    <row r="5" spans="1:5" ht="14.4" x14ac:dyDescent="0.3">
      <c r="A5" s="69"/>
      <c r="B5" s="69">
        <v>1</v>
      </c>
      <c r="C5" s="69" t="s">
        <v>152</v>
      </c>
      <c r="D5" s="69"/>
      <c r="E5" s="69"/>
    </row>
    <row r="6" spans="1:5" ht="14.4" x14ac:dyDescent="0.3">
      <c r="A6" s="69"/>
      <c r="B6" s="69">
        <v>2</v>
      </c>
      <c r="C6" s="69" t="s">
        <v>153</v>
      </c>
      <c r="D6" s="69"/>
      <c r="E6" s="69"/>
    </row>
    <row r="7" spans="1:5" ht="15" customHeight="1" x14ac:dyDescent="0.3">
      <c r="A7" s="69"/>
      <c r="B7" s="30"/>
      <c r="C7" s="77"/>
      <c r="D7" s="77"/>
      <c r="E7" s="69"/>
    </row>
    <row r="8" spans="1:5" ht="23.4" x14ac:dyDescent="0.45">
      <c r="A8" s="74" t="s">
        <v>52</v>
      </c>
      <c r="B8" s="78"/>
      <c r="C8" s="78"/>
      <c r="D8" s="77"/>
      <c r="E8" s="76"/>
    </row>
    <row r="9" spans="1:5" ht="14.4" x14ac:dyDescent="0.3">
      <c r="A9" s="69"/>
      <c r="B9" s="69">
        <v>1</v>
      </c>
      <c r="C9" s="69" t="s">
        <v>154</v>
      </c>
      <c r="D9" s="69"/>
      <c r="E9" s="69"/>
    </row>
    <row r="10" spans="1:5" ht="14.4" x14ac:dyDescent="0.3">
      <c r="A10" s="69"/>
      <c r="B10" s="69">
        <v>2</v>
      </c>
      <c r="C10" s="69" t="s">
        <v>56</v>
      </c>
      <c r="D10" s="69"/>
      <c r="E10" s="69"/>
    </row>
    <row r="11" spans="1:5" ht="15" customHeight="1" x14ac:dyDescent="0.3">
      <c r="A11" s="69"/>
      <c r="B11" s="30"/>
      <c r="C11" s="77"/>
      <c r="D11" s="77"/>
      <c r="E11" s="69"/>
    </row>
    <row r="12" spans="1:5" ht="23.4" x14ac:dyDescent="0.45">
      <c r="A12" s="74" t="s">
        <v>5</v>
      </c>
      <c r="B12" s="78"/>
      <c r="C12" s="78"/>
      <c r="D12" s="77"/>
      <c r="E12" s="76"/>
    </row>
    <row r="13" spans="1:5" ht="28.8" x14ac:dyDescent="0.3">
      <c r="A13" s="69"/>
      <c r="B13" s="79">
        <v>1</v>
      </c>
      <c r="C13" s="80" t="s">
        <v>164</v>
      </c>
      <c r="D13" s="69"/>
      <c r="E13" s="69"/>
    </row>
    <row r="14" spans="1:5" ht="14.4" x14ac:dyDescent="0.3">
      <c r="A14" s="69"/>
      <c r="B14" s="69">
        <v>2</v>
      </c>
      <c r="C14" s="69" t="s">
        <v>175</v>
      </c>
      <c r="D14" s="69"/>
      <c r="E14" s="69"/>
    </row>
    <row r="15" spans="1:5" ht="14.4" x14ac:dyDescent="0.3">
      <c r="A15" s="69"/>
      <c r="B15" s="69">
        <v>3</v>
      </c>
      <c r="C15" s="69" t="s">
        <v>155</v>
      </c>
      <c r="D15" s="69"/>
      <c r="E15" s="69"/>
    </row>
    <row r="16" spans="1:5" ht="15" customHeight="1" x14ac:dyDescent="0.3">
      <c r="A16" s="69"/>
      <c r="B16" s="30"/>
      <c r="C16" s="77"/>
      <c r="D16" s="77"/>
      <c r="E16" s="69"/>
    </row>
    <row r="17" spans="1:5" ht="23.4" x14ac:dyDescent="0.45">
      <c r="A17" s="74" t="s">
        <v>1</v>
      </c>
      <c r="B17" s="81"/>
      <c r="C17" s="78"/>
      <c r="D17" s="77"/>
      <c r="E17" s="76"/>
    </row>
    <row r="18" spans="1:5" ht="14.4" x14ac:dyDescent="0.3">
      <c r="A18" s="69"/>
      <c r="B18" s="69">
        <v>1</v>
      </c>
      <c r="C18" s="69" t="s">
        <v>53</v>
      </c>
      <c r="D18" s="69"/>
      <c r="E18" s="69"/>
    </row>
    <row r="19" spans="1:5" ht="14.4" x14ac:dyDescent="0.3">
      <c r="A19" s="69"/>
      <c r="B19" s="69">
        <v>2</v>
      </c>
      <c r="C19" s="69" t="s">
        <v>54</v>
      </c>
      <c r="D19" s="69"/>
      <c r="E19" s="69"/>
    </row>
    <row r="20" spans="1:5" ht="14.4" x14ac:dyDescent="0.3">
      <c r="A20" s="69"/>
      <c r="B20" s="69">
        <v>3</v>
      </c>
      <c r="C20" s="69" t="s">
        <v>55</v>
      </c>
      <c r="D20" s="69"/>
      <c r="E20" s="69"/>
    </row>
    <row r="21" spans="1:5" ht="15" customHeight="1" x14ac:dyDescent="0.3">
      <c r="A21" s="69"/>
      <c r="B21" s="30"/>
      <c r="C21" s="77"/>
      <c r="D21" s="77"/>
      <c r="E21" s="69"/>
    </row>
    <row r="22" spans="1:5" ht="23.4" x14ac:dyDescent="0.45">
      <c r="A22" s="74" t="s">
        <v>50</v>
      </c>
      <c r="B22" s="81"/>
      <c r="C22" s="82"/>
      <c r="D22" s="69"/>
      <c r="E22" s="76"/>
    </row>
    <row r="23" spans="1:5" ht="14.4" x14ac:dyDescent="0.3">
      <c r="A23" s="69"/>
      <c r="B23" s="69">
        <v>1</v>
      </c>
      <c r="C23" s="69" t="s">
        <v>167</v>
      </c>
      <c r="D23" s="69"/>
      <c r="E23" s="69"/>
    </row>
    <row r="24" spans="1:5" ht="14.4" x14ac:dyDescent="0.3">
      <c r="A24" s="69"/>
      <c r="B24" s="69">
        <v>2</v>
      </c>
      <c r="C24" s="83" t="s">
        <v>51</v>
      </c>
      <c r="D24" s="83"/>
      <c r="E24" s="77"/>
    </row>
    <row r="25" spans="1:5" ht="14.4" x14ac:dyDescent="0.3">
      <c r="A25" s="69"/>
      <c r="B25" s="69">
        <v>3</v>
      </c>
      <c r="C25" s="69" t="s">
        <v>174</v>
      </c>
      <c r="D25" s="69"/>
      <c r="E25" s="69"/>
    </row>
    <row r="26" spans="1:5" ht="14.4" x14ac:dyDescent="0.3">
      <c r="A26" s="69"/>
      <c r="B26" s="69"/>
      <c r="C26" s="69"/>
      <c r="D26" s="69"/>
      <c r="E26" s="69"/>
    </row>
    <row r="27" spans="1:5" ht="23.4" x14ac:dyDescent="0.45">
      <c r="A27" s="74" t="s">
        <v>41</v>
      </c>
      <c r="B27" s="84"/>
      <c r="C27" s="85"/>
      <c r="D27" s="69"/>
      <c r="E27" s="69"/>
    </row>
    <row r="28" spans="1:5" ht="15" customHeight="1" x14ac:dyDescent="0.3">
      <c r="A28" s="69"/>
      <c r="B28" s="61">
        <v>1</v>
      </c>
      <c r="C28" s="64" t="s">
        <v>181</v>
      </c>
      <c r="D28" s="62"/>
      <c r="E28" s="69"/>
    </row>
    <row r="29" spans="1:5" ht="15" customHeight="1" x14ac:dyDescent="0.3">
      <c r="A29" s="69"/>
      <c r="B29" s="61"/>
      <c r="C29" s="64"/>
      <c r="D29" s="63"/>
      <c r="E29" s="69"/>
    </row>
  </sheetData>
  <sheetProtection formatColumns="0" formatRows="0"/>
  <mergeCells count="2">
    <mergeCell ref="C24:D24"/>
    <mergeCell ref="C28:C29"/>
  </mergeCells>
  <pageMargins left="0.70866141732283505" right="0.70866141732283505" top="0.74803149606299202" bottom="0.74803149606299202" header="0.31496062992126" footer="0.31496062992126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2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2" max="2" width="19.88671875" customWidth="1"/>
    <col min="3" max="3" width="88.44140625" customWidth="1"/>
    <col min="4" max="4" width="9.109375" customWidth="1"/>
  </cols>
  <sheetData>
    <row r="1" spans="1:3" ht="25.8" x14ac:dyDescent="0.5">
      <c r="A1" s="71" t="s">
        <v>6</v>
      </c>
      <c r="B1" s="69"/>
      <c r="C1" s="69"/>
    </row>
    <row r="2" spans="1:3" ht="14.4" x14ac:dyDescent="0.3">
      <c r="A2" s="69"/>
      <c r="B2" s="69"/>
      <c r="C2" s="69"/>
    </row>
    <row r="3" spans="1:3" thickBot="1" x14ac:dyDescent="0.35">
      <c r="A3" s="69"/>
      <c r="B3" s="86"/>
      <c r="C3" s="86"/>
    </row>
    <row r="4" spans="1:3" ht="15.6" x14ac:dyDescent="0.3">
      <c r="A4" s="69"/>
      <c r="B4" s="87" t="s">
        <v>7</v>
      </c>
      <c r="C4" s="87" t="s">
        <v>8</v>
      </c>
    </row>
    <row r="5" spans="1:3" ht="14.4" x14ac:dyDescent="0.3">
      <c r="A5" s="69"/>
      <c r="B5" s="88" t="s">
        <v>156</v>
      </c>
      <c r="C5" s="89" t="s">
        <v>156</v>
      </c>
    </row>
    <row r="6" spans="1:3" ht="14.4" x14ac:dyDescent="0.3">
      <c r="A6" s="69"/>
      <c r="B6" s="90" t="s">
        <v>159</v>
      </c>
      <c r="C6" s="91" t="s">
        <v>159</v>
      </c>
    </row>
    <row r="7" spans="1:3" ht="14.4" x14ac:dyDescent="0.3">
      <c r="A7" s="69"/>
      <c r="B7" s="88" t="s">
        <v>166</v>
      </c>
      <c r="C7" s="89" t="s">
        <v>5</v>
      </c>
    </row>
    <row r="8" spans="1:3" ht="14.4" x14ac:dyDescent="0.3">
      <c r="A8" s="69"/>
      <c r="B8" s="90" t="s">
        <v>165</v>
      </c>
      <c r="C8" s="91" t="s">
        <v>165</v>
      </c>
    </row>
    <row r="9" spans="1:3" ht="14.4" x14ac:dyDescent="0.3">
      <c r="A9" s="69"/>
      <c r="B9" s="88" t="s">
        <v>23</v>
      </c>
      <c r="C9" s="89" t="s">
        <v>21</v>
      </c>
    </row>
    <row r="10" spans="1:3" ht="14.4" x14ac:dyDescent="0.3">
      <c r="A10" s="69"/>
      <c r="B10" s="90" t="s">
        <v>20</v>
      </c>
      <c r="C10" s="91" t="s">
        <v>20</v>
      </c>
    </row>
    <row r="11" spans="1:3" thickBot="1" x14ac:dyDescent="0.35">
      <c r="A11" s="69"/>
      <c r="B11" s="92" t="s">
        <v>1</v>
      </c>
      <c r="C11" s="93" t="s">
        <v>1</v>
      </c>
    </row>
    <row r="12" spans="1:3" ht="14.4" x14ac:dyDescent="0.3">
      <c r="A12" s="69"/>
      <c r="B12" s="94"/>
      <c r="C12" s="94"/>
    </row>
  </sheetData>
  <sheetProtection formatColumns="0" formatRows="0"/>
  <hyperlinks>
    <hyperlink ref="C5" location="'Historic Inputs'!$A$1" tooltip="Section title. Click once to follow" display="Historic Inputs" xr:uid="{97974CEA-5DB2-4302-9C17-7EACAAC67B5D}"/>
    <hyperlink ref="C6" location="'Forecast Inputs'!$A$1" tooltip="Section title. Click once to follow" display="Forecast Inputs" xr:uid="{48713D3D-0045-43CA-B90F-A17815E7817F}"/>
    <hyperlink ref="C7" location="'Model Inputs'!$A$1" tooltip="Section title. Click once to follow" display="Inputs" xr:uid="{055F5EF4-3459-42D4-BDC9-9CBB3C3D1561}"/>
    <hyperlink ref="C8" location="'Consolidated Inputs'!$A$1" tooltip="Section title. Click once to follow" display="Consolidated Inputs" xr:uid="{517C7393-3087-413F-AEBE-FA58151E9AA6}"/>
    <hyperlink ref="C9" location="'Growth rates'!$A$1" tooltip="Section title. Click once to follow" display="Annual growth rate calculations" xr:uid="{B20BA4F3-3AB4-4FB1-8FE7-94518330296E}"/>
    <hyperlink ref="C10" location="'Inflator calculations'!$A$1" tooltip="Section title. Click once to follow" display="Inflator calculations" xr:uid="{57840652-15BA-4AD3-919E-7C07F2EEA593}"/>
    <hyperlink ref="C11" location="'Outputs'!$A$1" tooltip="Section title. Click once to follow" display="Outputs" xr:uid="{44428279-6A41-4C34-8AF3-3BE8BB76B13A}"/>
  </hyperlinks>
  <pageMargins left="0.70866141732283505" right="0.70866141732283505" top="0.74803149606299202" bottom="0.74803149606299202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0116D-4456-4FC1-8A57-0AF306A65F3D}">
  <sheetPr codeName="Sheet7">
    <tabColor rgb="FFC00000"/>
  </sheetPr>
  <dimension ref="A1:H75"/>
  <sheetViews>
    <sheetView showGridLines="0" view="pageBreakPreview" zoomScaleNormal="100" zoomScaleSheetLayoutView="100" workbookViewId="0"/>
  </sheetViews>
  <sheetFormatPr defaultRowHeight="14.4" x14ac:dyDescent="0.3"/>
  <cols>
    <col min="1" max="1" width="11" customWidth="1"/>
    <col min="2" max="2" width="32.44140625" customWidth="1"/>
    <col min="4" max="4" width="20" customWidth="1"/>
    <col min="5" max="5" width="25" customWidth="1"/>
    <col min="7" max="7" width="21.77734375" customWidth="1"/>
    <col min="8" max="8" width="25.109375" customWidth="1"/>
    <col min="9" max="9" width="3" customWidth="1"/>
  </cols>
  <sheetData>
    <row r="1" spans="1:8" ht="25.8" x14ac:dyDescent="0.5">
      <c r="A1" s="71" t="s">
        <v>156</v>
      </c>
      <c r="B1" s="69"/>
      <c r="C1" s="69"/>
      <c r="D1" s="69"/>
      <c r="E1" s="69"/>
      <c r="F1" s="69"/>
      <c r="G1" s="69"/>
      <c r="H1" s="69"/>
    </row>
    <row r="2" spans="1:8" ht="23.4" x14ac:dyDescent="0.45">
      <c r="A2" s="74" t="s">
        <v>157</v>
      </c>
      <c r="B2" s="95"/>
      <c r="C2" s="95"/>
      <c r="D2" s="95"/>
      <c r="E2" s="76"/>
      <c r="F2" s="76"/>
      <c r="G2" s="76"/>
      <c r="H2" s="76"/>
    </row>
    <row r="3" spans="1:8" x14ac:dyDescent="0.3">
      <c r="A3" s="96" t="s">
        <v>158</v>
      </c>
      <c r="B3" s="97"/>
      <c r="C3" s="97"/>
      <c r="D3" s="97"/>
      <c r="E3" s="97"/>
      <c r="F3" s="97"/>
      <c r="G3" s="97"/>
      <c r="H3" s="97"/>
    </row>
    <row r="4" spans="1:8" ht="15" thickBot="1" x14ac:dyDescent="0.35">
      <c r="A4" s="98"/>
      <c r="B4" s="98"/>
      <c r="C4" s="69"/>
      <c r="D4" s="98"/>
      <c r="E4" s="98"/>
      <c r="F4" s="69"/>
      <c r="G4" s="98"/>
      <c r="H4" s="98"/>
    </row>
    <row r="5" spans="1:8" x14ac:dyDescent="0.3">
      <c r="A5" s="47" t="s">
        <v>10</v>
      </c>
      <c r="B5" s="99"/>
      <c r="C5" s="69"/>
      <c r="D5" s="99" t="s">
        <v>11</v>
      </c>
      <c r="E5" s="99"/>
      <c r="F5" s="69"/>
      <c r="G5" s="99" t="s">
        <v>12</v>
      </c>
      <c r="H5" s="99"/>
    </row>
    <row r="6" spans="1:8" ht="14.25" customHeight="1" x14ac:dyDescent="0.3">
      <c r="A6" s="68" t="s">
        <v>143</v>
      </c>
      <c r="B6" s="100"/>
      <c r="C6" s="69"/>
      <c r="D6" s="100" t="s">
        <v>122</v>
      </c>
      <c r="E6" s="100"/>
      <c r="F6" s="69"/>
      <c r="G6" s="100" t="s">
        <v>126</v>
      </c>
      <c r="H6" s="100"/>
    </row>
    <row r="7" spans="1:8" x14ac:dyDescent="0.3">
      <c r="A7" s="49"/>
      <c r="B7" s="101" t="s">
        <v>69</v>
      </c>
      <c r="C7" s="69"/>
      <c r="D7" s="100"/>
      <c r="E7" s="100"/>
      <c r="F7" s="69"/>
      <c r="G7" s="100"/>
      <c r="H7" s="100"/>
    </row>
    <row r="8" spans="1:8" x14ac:dyDescent="0.3">
      <c r="A8" s="49"/>
      <c r="B8" s="101"/>
      <c r="C8" s="69"/>
      <c r="D8" s="102"/>
      <c r="E8" s="102"/>
      <c r="F8" s="69"/>
      <c r="G8" s="100"/>
      <c r="H8" s="100"/>
    </row>
    <row r="9" spans="1:8" x14ac:dyDescent="0.3">
      <c r="A9" s="49"/>
      <c r="B9" s="101" t="s">
        <v>144</v>
      </c>
      <c r="C9" s="69"/>
      <c r="D9" s="103" t="s">
        <v>123</v>
      </c>
      <c r="E9" s="103"/>
      <c r="F9" s="69"/>
      <c r="G9" s="103" t="s">
        <v>127</v>
      </c>
      <c r="H9" s="103"/>
    </row>
    <row r="10" spans="1:8" ht="15" customHeight="1" x14ac:dyDescent="0.3">
      <c r="A10" s="49"/>
      <c r="B10" s="104"/>
      <c r="C10" s="69"/>
      <c r="D10" s="105"/>
      <c r="E10" s="69"/>
      <c r="F10" s="69"/>
      <c r="G10" s="105"/>
      <c r="H10" s="69"/>
    </row>
    <row r="11" spans="1:8" ht="15" customHeight="1" x14ac:dyDescent="0.3">
      <c r="A11" s="51" t="s">
        <v>70</v>
      </c>
      <c r="B11" s="106">
        <v>1110</v>
      </c>
      <c r="C11" s="69"/>
      <c r="D11" s="107" t="s">
        <v>70</v>
      </c>
      <c r="E11" s="106">
        <v>1031</v>
      </c>
      <c r="F11" s="69"/>
      <c r="G11" s="107" t="s">
        <v>70</v>
      </c>
      <c r="H11" s="108">
        <v>722.59392700000001</v>
      </c>
    </row>
    <row r="12" spans="1:8" ht="15" customHeight="1" x14ac:dyDescent="0.3">
      <c r="A12" s="51" t="s">
        <v>71</v>
      </c>
      <c r="B12" s="106">
        <v>1114</v>
      </c>
      <c r="C12" s="69"/>
      <c r="D12" s="107" t="s">
        <v>71</v>
      </c>
      <c r="E12" s="106">
        <v>1048</v>
      </c>
      <c r="F12" s="69"/>
      <c r="G12" s="107" t="s">
        <v>71</v>
      </c>
      <c r="H12" s="108">
        <v>732.37261999999998</v>
      </c>
    </row>
    <row r="13" spans="1:8" ht="15" customHeight="1" x14ac:dyDescent="0.3">
      <c r="A13" s="51" t="s">
        <v>72</v>
      </c>
      <c r="B13" s="106">
        <v>1119</v>
      </c>
      <c r="C13" s="69"/>
      <c r="D13" s="107" t="s">
        <v>72</v>
      </c>
      <c r="E13" s="106">
        <v>1035</v>
      </c>
      <c r="F13" s="69"/>
      <c r="G13" s="107" t="s">
        <v>72</v>
      </c>
      <c r="H13" s="108">
        <v>737.00463200000002</v>
      </c>
    </row>
    <row r="14" spans="1:8" ht="15" customHeight="1" x14ac:dyDescent="0.3">
      <c r="A14" s="51" t="s">
        <v>73</v>
      </c>
      <c r="B14" s="106">
        <v>1123</v>
      </c>
      <c r="C14" s="69"/>
      <c r="D14" s="107" t="s">
        <v>73</v>
      </c>
      <c r="E14" s="106">
        <v>1025</v>
      </c>
      <c r="F14" s="69"/>
      <c r="G14" s="107" t="s">
        <v>73</v>
      </c>
      <c r="H14" s="108">
        <v>740.60730799999999</v>
      </c>
    </row>
    <row r="15" spans="1:8" ht="15" customHeight="1" x14ac:dyDescent="0.3">
      <c r="A15" s="51" t="s">
        <v>74</v>
      </c>
      <c r="B15" s="106">
        <v>1127</v>
      </c>
      <c r="C15" s="69"/>
      <c r="D15" s="107" t="s">
        <v>74</v>
      </c>
      <c r="E15" s="106">
        <v>1034</v>
      </c>
      <c r="F15" s="69"/>
      <c r="G15" s="107" t="s">
        <v>74</v>
      </c>
      <c r="H15" s="108">
        <v>747.29799300000002</v>
      </c>
    </row>
    <row r="16" spans="1:8" ht="15" customHeight="1" x14ac:dyDescent="0.3">
      <c r="A16" s="51" t="s">
        <v>75</v>
      </c>
      <c r="B16" s="106">
        <v>1132</v>
      </c>
      <c r="C16" s="69"/>
      <c r="D16" s="107" t="s">
        <v>75</v>
      </c>
      <c r="E16" s="106">
        <v>1049</v>
      </c>
      <c r="F16" s="69"/>
      <c r="G16" s="107" t="s">
        <v>75</v>
      </c>
      <c r="H16" s="108">
        <v>753.47400900000002</v>
      </c>
    </row>
    <row r="17" spans="1:8" x14ac:dyDescent="0.3">
      <c r="A17" s="51" t="s">
        <v>76</v>
      </c>
      <c r="B17" s="106">
        <v>1137</v>
      </c>
      <c r="C17" s="69"/>
      <c r="D17" s="107" t="s">
        <v>76</v>
      </c>
      <c r="E17" s="106">
        <v>1059</v>
      </c>
      <c r="F17" s="69"/>
      <c r="G17" s="107" t="s">
        <v>76</v>
      </c>
      <c r="H17" s="108">
        <v>761.70869800000003</v>
      </c>
    </row>
    <row r="18" spans="1:8" x14ac:dyDescent="0.3">
      <c r="A18" s="51" t="s">
        <v>77</v>
      </c>
      <c r="B18" s="106">
        <v>1141</v>
      </c>
      <c r="C18" s="69"/>
      <c r="D18" s="107" t="s">
        <v>77</v>
      </c>
      <c r="E18" s="106">
        <v>1068</v>
      </c>
      <c r="F18" s="69"/>
      <c r="G18" s="107" t="s">
        <v>77</v>
      </c>
      <c r="H18" s="108">
        <v>764.79670599999997</v>
      </c>
    </row>
    <row r="19" spans="1:8" x14ac:dyDescent="0.3">
      <c r="A19" s="51" t="s">
        <v>78</v>
      </c>
      <c r="B19" s="106">
        <v>1146</v>
      </c>
      <c r="C19" s="69"/>
      <c r="D19" s="107" t="s">
        <v>78</v>
      </c>
      <c r="E19" s="106">
        <v>1084</v>
      </c>
      <c r="F19" s="69"/>
      <c r="G19" s="107" t="s">
        <v>78</v>
      </c>
      <c r="H19" s="108">
        <v>771.487391</v>
      </c>
    </row>
    <row r="20" spans="1:8" x14ac:dyDescent="0.3">
      <c r="A20" s="51" t="s">
        <v>79</v>
      </c>
      <c r="B20" s="106">
        <v>1153</v>
      </c>
      <c r="C20" s="69"/>
      <c r="D20" s="107" t="s">
        <v>79</v>
      </c>
      <c r="E20" s="106">
        <v>1096</v>
      </c>
      <c r="F20" s="69"/>
      <c r="G20" s="107" t="s">
        <v>79</v>
      </c>
      <c r="H20" s="108">
        <v>775.60473500000001</v>
      </c>
    </row>
    <row r="21" spans="1:8" x14ac:dyDescent="0.3">
      <c r="A21" s="51" t="s">
        <v>80</v>
      </c>
      <c r="B21" s="106">
        <v>1158</v>
      </c>
      <c r="C21" s="69"/>
      <c r="D21" s="107" t="s">
        <v>80</v>
      </c>
      <c r="E21" s="106">
        <v>1106</v>
      </c>
      <c r="F21" s="69"/>
      <c r="G21" s="107" t="s">
        <v>80</v>
      </c>
      <c r="H21" s="108">
        <v>781.78075100000001</v>
      </c>
    </row>
    <row r="22" spans="1:8" x14ac:dyDescent="0.3">
      <c r="A22" s="51" t="s">
        <v>81</v>
      </c>
      <c r="B22" s="106">
        <v>1162</v>
      </c>
      <c r="C22" s="69"/>
      <c r="D22" s="107" t="s">
        <v>81</v>
      </c>
      <c r="E22" s="106">
        <v>1113</v>
      </c>
      <c r="F22" s="69"/>
      <c r="G22" s="107" t="s">
        <v>81</v>
      </c>
      <c r="H22" s="108">
        <v>784.35409200000004</v>
      </c>
    </row>
    <row r="23" spans="1:8" x14ac:dyDescent="0.3">
      <c r="A23" s="51" t="s">
        <v>82</v>
      </c>
      <c r="B23" s="106">
        <v>1168</v>
      </c>
      <c r="C23" s="69"/>
      <c r="D23" s="107" t="s">
        <v>82</v>
      </c>
      <c r="E23" s="106">
        <v>1124</v>
      </c>
      <c r="F23" s="69"/>
      <c r="G23" s="107" t="s">
        <v>82</v>
      </c>
      <c r="H23" s="108">
        <v>790.53010800000004</v>
      </c>
    </row>
    <row r="24" spans="1:8" x14ac:dyDescent="0.3">
      <c r="A24" s="51" t="s">
        <v>83</v>
      </c>
      <c r="B24" s="106">
        <v>1174</v>
      </c>
      <c r="C24" s="69"/>
      <c r="D24" s="107" t="s">
        <v>83</v>
      </c>
      <c r="E24" s="106">
        <v>1140</v>
      </c>
      <c r="F24" s="69"/>
      <c r="G24" s="107" t="s">
        <v>83</v>
      </c>
      <c r="H24" s="108">
        <v>799.79413299999999</v>
      </c>
    </row>
    <row r="25" spans="1:8" x14ac:dyDescent="0.3">
      <c r="A25" s="51" t="s">
        <v>84</v>
      </c>
      <c r="B25" s="106">
        <v>1180</v>
      </c>
      <c r="C25" s="69"/>
      <c r="D25" s="107" t="s">
        <v>84</v>
      </c>
      <c r="E25" s="106">
        <v>1161</v>
      </c>
      <c r="F25" s="69"/>
      <c r="G25" s="107" t="s">
        <v>84</v>
      </c>
      <c r="H25" s="108">
        <v>803.39680899999996</v>
      </c>
    </row>
    <row r="26" spans="1:8" x14ac:dyDescent="0.3">
      <c r="A26" s="51" t="s">
        <v>85</v>
      </c>
      <c r="B26" s="106">
        <v>1185</v>
      </c>
      <c r="C26" s="69"/>
      <c r="D26" s="107" t="s">
        <v>85</v>
      </c>
      <c r="E26" s="106">
        <v>1151</v>
      </c>
      <c r="F26" s="69"/>
      <c r="G26" s="107" t="s">
        <v>85</v>
      </c>
      <c r="H26" s="108">
        <v>807.51415299999996</v>
      </c>
    </row>
    <row r="27" spans="1:8" x14ac:dyDescent="0.3">
      <c r="A27" s="51" t="s">
        <v>86</v>
      </c>
      <c r="B27" s="106">
        <v>1193</v>
      </c>
      <c r="C27" s="69"/>
      <c r="D27" s="107" t="s">
        <v>86</v>
      </c>
      <c r="E27" s="106">
        <v>1154</v>
      </c>
      <c r="F27" s="69"/>
      <c r="G27" s="107" t="s">
        <v>86</v>
      </c>
      <c r="H27" s="108">
        <v>814.71950600000002</v>
      </c>
    </row>
    <row r="28" spans="1:8" x14ac:dyDescent="0.3">
      <c r="A28" s="51" t="s">
        <v>87</v>
      </c>
      <c r="B28" s="106">
        <v>1202</v>
      </c>
      <c r="C28" s="69"/>
      <c r="D28" s="107" t="s">
        <v>87</v>
      </c>
      <c r="E28" s="106">
        <v>1166</v>
      </c>
      <c r="F28" s="69"/>
      <c r="G28" s="107" t="s">
        <v>87</v>
      </c>
      <c r="H28" s="108">
        <v>821.41019000000006</v>
      </c>
    </row>
    <row r="29" spans="1:8" x14ac:dyDescent="0.3">
      <c r="A29" s="51" t="s">
        <v>88</v>
      </c>
      <c r="B29" s="106">
        <v>1211</v>
      </c>
      <c r="C29" s="69"/>
      <c r="D29" s="107" t="s">
        <v>88</v>
      </c>
      <c r="E29" s="106">
        <v>1168</v>
      </c>
      <c r="F29" s="69"/>
      <c r="G29" s="107" t="s">
        <v>88</v>
      </c>
      <c r="H29" s="108">
        <v>825.52753499999994</v>
      </c>
    </row>
    <row r="30" spans="1:8" x14ac:dyDescent="0.3">
      <c r="A30" s="51" t="s">
        <v>89</v>
      </c>
      <c r="B30" s="106">
        <v>1215</v>
      </c>
      <c r="C30" s="69"/>
      <c r="D30" s="107" t="s">
        <v>89</v>
      </c>
      <c r="E30" s="106">
        <v>1165</v>
      </c>
      <c r="F30" s="69"/>
      <c r="G30" s="107" t="s">
        <v>89</v>
      </c>
      <c r="H30" s="108">
        <v>830.674215</v>
      </c>
    </row>
    <row r="31" spans="1:8" x14ac:dyDescent="0.3">
      <c r="A31" s="51" t="s">
        <v>90</v>
      </c>
      <c r="B31" s="106">
        <v>1218</v>
      </c>
      <c r="C31" s="69"/>
      <c r="D31" s="107" t="s">
        <v>90</v>
      </c>
      <c r="E31" s="106">
        <v>1154</v>
      </c>
      <c r="F31" s="69"/>
      <c r="G31" s="107" t="s">
        <v>90</v>
      </c>
      <c r="H31" s="108">
        <v>833.24755500000003</v>
      </c>
    </row>
    <row r="32" spans="1:8" x14ac:dyDescent="0.3">
      <c r="A32" s="51" t="s">
        <v>91</v>
      </c>
      <c r="B32" s="106">
        <v>1225</v>
      </c>
      <c r="C32" s="69"/>
      <c r="D32" s="107" t="s">
        <v>91</v>
      </c>
      <c r="E32" s="106">
        <v>1161</v>
      </c>
      <c r="F32" s="69"/>
      <c r="G32" s="107" t="s">
        <v>91</v>
      </c>
      <c r="H32" s="108">
        <v>835.82089599999995</v>
      </c>
    </row>
    <row r="33" spans="1:8" x14ac:dyDescent="0.3">
      <c r="A33" s="51" t="s">
        <v>92</v>
      </c>
      <c r="B33" s="106">
        <v>1230</v>
      </c>
      <c r="C33" s="69"/>
      <c r="D33" s="107" t="s">
        <v>92</v>
      </c>
      <c r="E33" s="106">
        <v>1162</v>
      </c>
      <c r="F33" s="69"/>
      <c r="G33" s="107" t="s">
        <v>92</v>
      </c>
      <c r="H33" s="108">
        <v>840.96757600000001</v>
      </c>
    </row>
    <row r="34" spans="1:8" x14ac:dyDescent="0.3">
      <c r="A34" s="51" t="s">
        <v>93</v>
      </c>
      <c r="B34" s="106">
        <v>1235</v>
      </c>
      <c r="C34" s="69"/>
      <c r="D34" s="107" t="s">
        <v>93</v>
      </c>
      <c r="E34" s="106">
        <v>1186</v>
      </c>
      <c r="F34" s="69"/>
      <c r="G34" s="107" t="s">
        <v>93</v>
      </c>
      <c r="H34" s="108">
        <v>846.11425599999995</v>
      </c>
    </row>
    <row r="35" spans="1:8" x14ac:dyDescent="0.3">
      <c r="A35" s="51" t="s">
        <v>94</v>
      </c>
      <c r="B35" s="106">
        <v>1244</v>
      </c>
      <c r="C35" s="69"/>
      <c r="D35" s="107" t="s">
        <v>94</v>
      </c>
      <c r="E35" s="106">
        <v>1222</v>
      </c>
      <c r="F35" s="69"/>
      <c r="G35" s="107" t="s">
        <v>94</v>
      </c>
      <c r="H35" s="108">
        <v>870.81832199999997</v>
      </c>
    </row>
    <row r="36" spans="1:8" x14ac:dyDescent="0.3">
      <c r="A36" s="51" t="s">
        <v>95</v>
      </c>
      <c r="B36" s="106">
        <v>1254</v>
      </c>
      <c r="C36" s="69"/>
      <c r="D36" s="107" t="s">
        <v>95</v>
      </c>
      <c r="E36" s="106">
        <v>1242</v>
      </c>
      <c r="F36" s="69"/>
      <c r="G36" s="107" t="s">
        <v>95</v>
      </c>
      <c r="H36" s="108">
        <v>892.43438000000003</v>
      </c>
    </row>
    <row r="37" spans="1:8" x14ac:dyDescent="0.3">
      <c r="A37" s="51" t="s">
        <v>96</v>
      </c>
      <c r="B37" s="106">
        <v>1262</v>
      </c>
      <c r="C37" s="69"/>
      <c r="D37" s="107" t="s">
        <v>96</v>
      </c>
      <c r="E37" s="106">
        <v>1257</v>
      </c>
      <c r="F37" s="69"/>
      <c r="G37" s="107" t="s">
        <v>96</v>
      </c>
      <c r="H37" s="108">
        <v>918.68245000000002</v>
      </c>
    </row>
    <row r="38" spans="1:8" x14ac:dyDescent="0.3">
      <c r="A38" s="51" t="s">
        <v>97</v>
      </c>
      <c r="B38" s="106">
        <v>1272</v>
      </c>
      <c r="C38" s="69"/>
      <c r="D38" s="107" t="s">
        <v>97</v>
      </c>
      <c r="E38" s="106">
        <v>1300</v>
      </c>
      <c r="F38" s="69"/>
      <c r="G38" s="107" t="s">
        <v>97</v>
      </c>
      <c r="H38" s="108">
        <v>944.41585199999997</v>
      </c>
    </row>
    <row r="39" spans="1:8" x14ac:dyDescent="0.3">
      <c r="A39" s="51" t="s">
        <v>98</v>
      </c>
      <c r="B39" s="106">
        <v>1286</v>
      </c>
      <c r="C39" s="69"/>
      <c r="D39" s="107" t="s">
        <v>98</v>
      </c>
      <c r="E39" s="106">
        <v>1340</v>
      </c>
      <c r="F39" s="69"/>
      <c r="G39" s="107" t="s">
        <v>98</v>
      </c>
      <c r="H39" s="108">
        <v>979.41327799999999</v>
      </c>
    </row>
    <row r="40" spans="1:8" x14ac:dyDescent="0.3">
      <c r="A40" s="51" t="s">
        <v>99</v>
      </c>
      <c r="B40" s="106">
        <v>1300</v>
      </c>
      <c r="C40" s="69"/>
      <c r="D40" s="107" t="s">
        <v>99</v>
      </c>
      <c r="E40" s="106">
        <v>1351</v>
      </c>
      <c r="F40" s="69"/>
      <c r="G40" s="107" t="s">
        <v>99</v>
      </c>
      <c r="H40" s="108">
        <v>1000</v>
      </c>
    </row>
    <row r="41" spans="1:8" x14ac:dyDescent="0.3">
      <c r="A41" s="51" t="s">
        <v>100</v>
      </c>
      <c r="B41" s="106">
        <v>1314</v>
      </c>
      <c r="C41" s="69"/>
      <c r="D41" s="107" t="s">
        <v>100</v>
      </c>
      <c r="E41" s="106">
        <v>1358</v>
      </c>
      <c r="F41" s="69"/>
      <c r="G41" s="107" t="s">
        <v>100</v>
      </c>
      <c r="H41" s="108">
        <v>1021</v>
      </c>
    </row>
    <row r="42" spans="1:8" x14ac:dyDescent="0.3">
      <c r="A42" s="51" t="s">
        <v>101</v>
      </c>
      <c r="B42" s="106">
        <v>1327</v>
      </c>
      <c r="C42" s="69"/>
      <c r="D42" s="107" t="s">
        <v>101</v>
      </c>
      <c r="E42" s="106">
        <v>1358</v>
      </c>
      <c r="F42" s="69"/>
      <c r="G42" s="107" t="s">
        <v>101</v>
      </c>
      <c r="H42" s="108">
        <v>1031</v>
      </c>
    </row>
    <row r="43" spans="1:8" x14ac:dyDescent="0.3">
      <c r="A43" s="51" t="s">
        <v>102</v>
      </c>
      <c r="B43" s="106">
        <v>1341</v>
      </c>
      <c r="C43" s="69"/>
      <c r="D43" s="107" t="s">
        <v>102</v>
      </c>
      <c r="E43" s="106">
        <v>1355</v>
      </c>
      <c r="F43" s="69"/>
      <c r="G43" s="107" t="s">
        <v>102</v>
      </c>
      <c r="H43" s="108">
        <v>1042</v>
      </c>
    </row>
    <row r="44" spans="1:8" ht="14.25" customHeight="1" x14ac:dyDescent="0.3">
      <c r="A44" s="51" t="s">
        <v>103</v>
      </c>
      <c r="B44" s="106">
        <v>1356</v>
      </c>
      <c r="C44" s="69"/>
      <c r="D44" s="107" t="s">
        <v>103</v>
      </c>
      <c r="E44" s="106">
        <v>1371</v>
      </c>
      <c r="F44" s="69"/>
      <c r="G44" s="107" t="s">
        <v>103</v>
      </c>
      <c r="H44" s="108">
        <v>1050</v>
      </c>
    </row>
    <row r="45" spans="1:8" x14ac:dyDescent="0.3">
      <c r="A45" s="51" t="s">
        <v>142</v>
      </c>
      <c r="B45" s="106">
        <v>1370</v>
      </c>
      <c r="C45" s="69"/>
      <c r="D45" s="107" t="s">
        <v>142</v>
      </c>
      <c r="E45" s="106">
        <f>1384</f>
        <v>1384</v>
      </c>
      <c r="F45" s="69"/>
      <c r="G45" s="107" t="s">
        <v>142</v>
      </c>
      <c r="H45" s="108">
        <f>1059</f>
        <v>1059</v>
      </c>
    </row>
    <row r="46" spans="1:8" x14ac:dyDescent="0.3">
      <c r="A46" s="46"/>
      <c r="B46" s="69"/>
      <c r="C46" s="69"/>
      <c r="D46" s="109" t="s">
        <v>104</v>
      </c>
      <c r="E46" s="109"/>
      <c r="F46" s="69"/>
      <c r="G46" s="109" t="s">
        <v>104</v>
      </c>
      <c r="H46" s="109"/>
    </row>
    <row r="47" spans="1:8" ht="14.25" customHeight="1" x14ac:dyDescent="0.3">
      <c r="A47" s="66" t="s">
        <v>104</v>
      </c>
      <c r="B47" s="110"/>
      <c r="C47" s="69"/>
      <c r="D47" s="80" t="s">
        <v>105</v>
      </c>
      <c r="E47" s="80"/>
      <c r="F47" s="69"/>
      <c r="G47" s="80" t="s">
        <v>105</v>
      </c>
      <c r="H47" s="80"/>
    </row>
    <row r="48" spans="1:8" ht="28.8" x14ac:dyDescent="0.3">
      <c r="A48" s="65" t="s">
        <v>105</v>
      </c>
      <c r="B48" s="111"/>
      <c r="C48" s="69"/>
      <c r="D48" s="80" t="s">
        <v>106</v>
      </c>
      <c r="E48" s="80"/>
      <c r="F48" s="69"/>
      <c r="G48" s="80" t="s">
        <v>106</v>
      </c>
      <c r="H48" s="80"/>
    </row>
    <row r="49" spans="1:8" ht="14.25" customHeight="1" x14ac:dyDescent="0.3">
      <c r="A49" s="65" t="s">
        <v>106</v>
      </c>
      <c r="B49" s="111"/>
      <c r="C49" s="69"/>
      <c r="D49" s="111" t="s">
        <v>109</v>
      </c>
      <c r="E49" s="111"/>
      <c r="F49" s="69"/>
      <c r="G49" s="69"/>
      <c r="H49" s="69"/>
    </row>
    <row r="50" spans="1:8" x14ac:dyDescent="0.3">
      <c r="A50" s="65"/>
      <c r="B50" s="111"/>
      <c r="C50" s="69"/>
      <c r="D50" s="111" t="s">
        <v>110</v>
      </c>
      <c r="E50" s="111"/>
      <c r="F50" s="69"/>
      <c r="G50" s="111" t="s">
        <v>110</v>
      </c>
      <c r="H50" s="111"/>
    </row>
    <row r="51" spans="1:8" ht="14.25" customHeight="1" x14ac:dyDescent="0.3">
      <c r="A51" s="66" t="s">
        <v>107</v>
      </c>
      <c r="B51" s="110"/>
      <c r="C51" s="69"/>
      <c r="D51" s="111" t="s">
        <v>111</v>
      </c>
      <c r="E51" s="111"/>
      <c r="F51" s="69"/>
      <c r="G51" s="111" t="s">
        <v>111</v>
      </c>
      <c r="H51" s="111"/>
    </row>
    <row r="52" spans="1:8" ht="14.25" customHeight="1" x14ac:dyDescent="0.3">
      <c r="A52" s="65" t="s">
        <v>145</v>
      </c>
      <c r="B52" s="111"/>
      <c r="C52" s="69"/>
      <c r="D52" s="111" t="s">
        <v>112</v>
      </c>
      <c r="E52" s="111"/>
      <c r="F52" s="69"/>
      <c r="G52" s="111" t="s">
        <v>112</v>
      </c>
      <c r="H52" s="111"/>
    </row>
    <row r="53" spans="1:8" x14ac:dyDescent="0.3">
      <c r="A53" s="65" t="s">
        <v>146</v>
      </c>
      <c r="B53" s="111"/>
      <c r="C53" s="69"/>
      <c r="D53" s="111" t="s">
        <v>113</v>
      </c>
      <c r="E53" s="111"/>
      <c r="F53" s="69"/>
      <c r="G53" s="111" t="s">
        <v>113</v>
      </c>
      <c r="H53" s="111"/>
    </row>
    <row r="54" spans="1:8" ht="14.25" customHeight="1" x14ac:dyDescent="0.3">
      <c r="A54" s="65" t="s">
        <v>147</v>
      </c>
      <c r="B54" s="111"/>
      <c r="C54" s="69"/>
      <c r="D54" s="111" t="s">
        <v>114</v>
      </c>
      <c r="E54" s="111"/>
      <c r="F54" s="69"/>
      <c r="G54" s="111" t="s">
        <v>114</v>
      </c>
      <c r="H54" s="111"/>
    </row>
    <row r="55" spans="1:8" ht="14.25" customHeight="1" x14ac:dyDescent="0.3">
      <c r="A55" s="65"/>
      <c r="B55" s="111"/>
      <c r="C55" s="69"/>
      <c r="D55" s="111"/>
      <c r="E55" s="111"/>
      <c r="F55" s="69"/>
      <c r="G55" s="111"/>
      <c r="H55" s="111"/>
    </row>
    <row r="56" spans="1:8" ht="14.25" customHeight="1" x14ac:dyDescent="0.3">
      <c r="A56" s="65" t="s">
        <v>108</v>
      </c>
      <c r="B56" s="111"/>
      <c r="C56" s="69"/>
      <c r="D56" s="111" t="s">
        <v>115</v>
      </c>
      <c r="E56" s="111"/>
      <c r="F56" s="69"/>
      <c r="G56" s="111" t="s">
        <v>115</v>
      </c>
      <c r="H56" s="111"/>
    </row>
    <row r="57" spans="1:8" ht="14.25" customHeight="1" x14ac:dyDescent="0.3">
      <c r="A57" s="65" t="s">
        <v>109</v>
      </c>
      <c r="B57" s="111"/>
      <c r="C57" s="69"/>
      <c r="D57" s="111"/>
      <c r="E57" s="111"/>
      <c r="F57" s="69"/>
      <c r="G57" s="111"/>
      <c r="H57" s="111"/>
    </row>
    <row r="58" spans="1:8" ht="14.25" customHeight="1" x14ac:dyDescent="0.3">
      <c r="A58" s="65" t="s">
        <v>110</v>
      </c>
      <c r="B58" s="111"/>
      <c r="C58" s="69"/>
      <c r="D58" s="111" t="s">
        <v>116</v>
      </c>
      <c r="E58" s="111"/>
      <c r="F58" s="69"/>
      <c r="G58" s="111" t="s">
        <v>116</v>
      </c>
      <c r="H58" s="111"/>
    </row>
    <row r="59" spans="1:8" ht="14.25" customHeight="1" x14ac:dyDescent="0.3">
      <c r="A59" s="65" t="s">
        <v>111</v>
      </c>
      <c r="B59" s="111"/>
      <c r="C59" s="69"/>
      <c r="D59" s="111" t="s">
        <v>124</v>
      </c>
      <c r="E59" s="111"/>
      <c r="F59" s="69"/>
      <c r="G59" s="111" t="s">
        <v>128</v>
      </c>
      <c r="H59" s="111"/>
    </row>
    <row r="60" spans="1:8" ht="14.25" customHeight="1" x14ac:dyDescent="0.3">
      <c r="A60" s="65" t="s">
        <v>112</v>
      </c>
      <c r="B60" s="111"/>
      <c r="C60" s="69"/>
      <c r="D60" s="111"/>
      <c r="E60" s="111"/>
      <c r="F60" s="69"/>
      <c r="G60" s="111"/>
      <c r="H60" s="111"/>
    </row>
    <row r="61" spans="1:8" x14ac:dyDescent="0.3">
      <c r="A61" s="65" t="s">
        <v>113</v>
      </c>
      <c r="B61" s="111"/>
      <c r="C61" s="69"/>
      <c r="D61" s="111" t="s">
        <v>117</v>
      </c>
      <c r="E61" s="111"/>
      <c r="F61" s="69"/>
      <c r="G61" s="111" t="s">
        <v>117</v>
      </c>
      <c r="H61" s="111"/>
    </row>
    <row r="62" spans="1:8" ht="14.25" customHeight="1" x14ac:dyDescent="0.3">
      <c r="A62" s="65" t="s">
        <v>114</v>
      </c>
      <c r="B62" s="111"/>
      <c r="C62" s="69"/>
      <c r="D62" s="111" t="s">
        <v>125</v>
      </c>
      <c r="E62" s="111"/>
      <c r="F62" s="69"/>
      <c r="G62" s="111" t="s">
        <v>125</v>
      </c>
      <c r="H62" s="111"/>
    </row>
    <row r="63" spans="1:8" x14ac:dyDescent="0.3">
      <c r="A63" s="65"/>
      <c r="B63" s="111"/>
      <c r="C63" s="69"/>
      <c r="D63" s="111"/>
      <c r="E63" s="111"/>
      <c r="F63" s="69"/>
      <c r="G63" s="111"/>
      <c r="H63" s="111"/>
    </row>
    <row r="64" spans="1:8" ht="14.25" customHeight="1" x14ac:dyDescent="0.3">
      <c r="A64" s="65" t="s">
        <v>115</v>
      </c>
      <c r="B64" s="111"/>
      <c r="C64" s="69"/>
      <c r="D64" s="111" t="s">
        <v>118</v>
      </c>
      <c r="E64" s="111"/>
      <c r="F64" s="69"/>
      <c r="G64" s="111" t="s">
        <v>118</v>
      </c>
      <c r="H64" s="111"/>
    </row>
    <row r="65" spans="1:8" ht="14.25" customHeight="1" x14ac:dyDescent="0.3">
      <c r="A65" s="65"/>
      <c r="B65" s="111"/>
      <c r="C65" s="69"/>
      <c r="D65" s="111" t="s">
        <v>119</v>
      </c>
      <c r="E65" s="111"/>
      <c r="F65" s="69"/>
      <c r="G65" s="111" t="s">
        <v>119</v>
      </c>
      <c r="H65" s="111"/>
    </row>
    <row r="66" spans="1:8" ht="14.25" customHeight="1" x14ac:dyDescent="0.3">
      <c r="A66" s="65" t="s">
        <v>116</v>
      </c>
      <c r="B66" s="111"/>
      <c r="C66" s="69"/>
      <c r="D66" s="111" t="s">
        <v>120</v>
      </c>
      <c r="E66" s="111"/>
      <c r="F66" s="69"/>
      <c r="G66" s="111" t="s">
        <v>120</v>
      </c>
      <c r="H66" s="111"/>
    </row>
    <row r="67" spans="1:8" ht="14.25" customHeight="1" x14ac:dyDescent="0.3">
      <c r="A67" s="65" t="s">
        <v>148</v>
      </c>
      <c r="B67" s="111"/>
      <c r="C67" s="69"/>
      <c r="D67" s="112" t="s">
        <v>121</v>
      </c>
      <c r="E67" s="112"/>
      <c r="F67" s="69"/>
      <c r="G67" s="112" t="s">
        <v>121</v>
      </c>
      <c r="H67" s="112"/>
    </row>
    <row r="68" spans="1:8" ht="14.25" customHeight="1" x14ac:dyDescent="0.3">
      <c r="A68" s="65"/>
      <c r="B68" s="111"/>
      <c r="C68" s="69"/>
      <c r="D68" s="111"/>
      <c r="E68" s="111"/>
      <c r="F68" s="69"/>
      <c r="G68" s="111"/>
      <c r="H68" s="111"/>
    </row>
    <row r="69" spans="1:8" x14ac:dyDescent="0.3">
      <c r="A69" s="65" t="s">
        <v>117</v>
      </c>
      <c r="B69" s="111"/>
      <c r="C69" s="69"/>
      <c r="D69" s="111"/>
      <c r="E69" s="111"/>
      <c r="F69" s="69"/>
      <c r="G69" s="111"/>
      <c r="H69" s="111"/>
    </row>
    <row r="70" spans="1:8" ht="14.25" customHeight="1" x14ac:dyDescent="0.3">
      <c r="A70" s="65" t="s">
        <v>149</v>
      </c>
      <c r="B70" s="111"/>
      <c r="C70" s="69"/>
      <c r="D70" s="69"/>
      <c r="E70" s="69"/>
      <c r="F70" s="69"/>
      <c r="G70" s="69"/>
      <c r="H70" s="69"/>
    </row>
    <row r="71" spans="1:8" ht="14.25" customHeight="1" x14ac:dyDescent="0.3">
      <c r="A71" s="65"/>
      <c r="B71" s="111"/>
      <c r="C71" s="69"/>
      <c r="D71" s="69"/>
      <c r="E71" s="69"/>
      <c r="F71" s="69"/>
      <c r="G71" s="69"/>
      <c r="H71" s="69"/>
    </row>
    <row r="72" spans="1:8" ht="14.25" customHeight="1" x14ac:dyDescent="0.3">
      <c r="A72" s="65" t="s">
        <v>118</v>
      </c>
      <c r="B72" s="111"/>
      <c r="C72" s="69"/>
      <c r="D72" s="69"/>
      <c r="E72" s="69"/>
      <c r="F72" s="69"/>
      <c r="G72" s="69"/>
      <c r="H72" s="69"/>
    </row>
    <row r="73" spans="1:8" ht="14.25" customHeight="1" x14ac:dyDescent="0.3">
      <c r="A73" s="65" t="s">
        <v>119</v>
      </c>
      <c r="B73" s="111"/>
      <c r="C73" s="69"/>
      <c r="D73" s="69"/>
      <c r="E73" s="69"/>
      <c r="F73" s="69"/>
      <c r="G73" s="69"/>
      <c r="H73" s="69"/>
    </row>
    <row r="74" spans="1:8" x14ac:dyDescent="0.3">
      <c r="A74" s="65" t="s">
        <v>120</v>
      </c>
      <c r="B74" s="111"/>
      <c r="C74" s="69"/>
      <c r="D74" s="69"/>
      <c r="E74" s="69"/>
      <c r="F74" s="69"/>
      <c r="G74" s="69"/>
      <c r="H74" s="69"/>
    </row>
    <row r="75" spans="1:8" ht="15" thickBot="1" x14ac:dyDescent="0.35">
      <c r="A75" s="67" t="s">
        <v>121</v>
      </c>
      <c r="B75" s="113"/>
      <c r="C75" s="69"/>
      <c r="D75" s="98"/>
      <c r="E75" s="98"/>
      <c r="F75" s="69"/>
      <c r="G75" s="98"/>
      <c r="H75" s="98"/>
    </row>
  </sheetData>
  <mergeCells count="75">
    <mergeCell ref="D6:E7"/>
    <mergeCell ref="D9:E9"/>
    <mergeCell ref="G9:H9"/>
    <mergeCell ref="G6:H8"/>
    <mergeCell ref="A49:B49"/>
    <mergeCell ref="A6:B6"/>
    <mergeCell ref="A50:B50"/>
    <mergeCell ref="A62:B62"/>
    <mergeCell ref="A51:B51"/>
    <mergeCell ref="A52:B52"/>
    <mergeCell ref="A53:B53"/>
    <mergeCell ref="A54:B54"/>
    <mergeCell ref="A55:B55"/>
    <mergeCell ref="A56:B56"/>
    <mergeCell ref="A61:B61"/>
    <mergeCell ref="A60:B60"/>
    <mergeCell ref="A75:B75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47:B47"/>
    <mergeCell ref="D65:E65"/>
    <mergeCell ref="D66:E66"/>
    <mergeCell ref="D67:E67"/>
    <mergeCell ref="D49:E49"/>
    <mergeCell ref="D50:E50"/>
    <mergeCell ref="D51:E51"/>
    <mergeCell ref="D52:E52"/>
    <mergeCell ref="D53:E53"/>
    <mergeCell ref="D54:E54"/>
    <mergeCell ref="D55:E55"/>
    <mergeCell ref="A48:B48"/>
    <mergeCell ref="A58:B58"/>
    <mergeCell ref="A59:B59"/>
    <mergeCell ref="D68:E68"/>
    <mergeCell ref="D69:E69"/>
    <mergeCell ref="G50:H50"/>
    <mergeCell ref="G51:H51"/>
    <mergeCell ref="G52:H52"/>
    <mergeCell ref="G53:H53"/>
    <mergeCell ref="G54:H54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G69:H6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55:H55"/>
    <mergeCell ref="G56:H56"/>
    <mergeCell ref="G57:H57"/>
    <mergeCell ref="G58:H58"/>
    <mergeCell ref="G59:H59"/>
  </mergeCells>
  <phoneticPr fontId="43" type="noConversion"/>
  <hyperlinks>
    <hyperlink ref="D67" r:id="rId1" display="mailto:info@stats.govt.nz" xr:uid="{4743B4F4-7DDD-4572-9A9C-8545C751491F}"/>
    <hyperlink ref="G67" r:id="rId2" display="mailto:info@stats.govt.nz" xr:uid="{6F94A8B7-8A27-4E61-8C86-79E6060E4EE8}"/>
    <hyperlink ref="A75" r:id="rId3" display="mailto:info@stats.govt.nz" xr:uid="{00000000-0004-0000-0300-000002000000}"/>
  </hyperlinks>
  <pageMargins left="0.7" right="0.7" top="0.75" bottom="0.75" header="0.3" footer="0.3"/>
  <pageSetup paperSize="9" scale="55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48D9-D28B-4089-A8F5-0FBD86B99456}">
  <sheetPr codeName="Sheet8">
    <tabColor rgb="FFC00000"/>
  </sheetPr>
  <dimension ref="A1:E49"/>
  <sheetViews>
    <sheetView showGridLines="0" view="pageBreakPreview" zoomScaleNormal="100" zoomScaleSheetLayoutView="100" workbookViewId="0"/>
  </sheetViews>
  <sheetFormatPr defaultRowHeight="14.4" x14ac:dyDescent="0.3"/>
  <cols>
    <col min="1" max="1" width="14.88671875" customWidth="1"/>
    <col min="2" max="2" width="36.77734375" customWidth="1"/>
    <col min="3" max="3" width="31.44140625" customWidth="1"/>
    <col min="4" max="5" width="26.77734375" customWidth="1"/>
    <col min="6" max="6" width="3" customWidth="1"/>
  </cols>
  <sheetData>
    <row r="1" spans="1:5" ht="25.8" x14ac:dyDescent="0.5">
      <c r="A1" s="71" t="s">
        <v>159</v>
      </c>
      <c r="B1" s="69"/>
      <c r="C1" s="69"/>
      <c r="D1" s="69"/>
      <c r="E1" s="69"/>
    </row>
    <row r="2" spans="1:5" ht="23.4" x14ac:dyDescent="0.45">
      <c r="A2" s="74" t="s">
        <v>160</v>
      </c>
      <c r="B2" s="95"/>
      <c r="C2" s="95"/>
      <c r="D2" s="95"/>
      <c r="E2" s="76"/>
    </row>
    <row r="3" spans="1:5" ht="13.95" customHeight="1" x14ac:dyDescent="0.3">
      <c r="A3" s="96" t="s">
        <v>176</v>
      </c>
      <c r="B3" s="97"/>
      <c r="C3" s="97"/>
      <c r="D3" s="97"/>
      <c r="E3" s="97"/>
    </row>
    <row r="4" spans="1:5" x14ac:dyDescent="0.3">
      <c r="A4" s="69"/>
      <c r="B4" s="69"/>
      <c r="C4" s="69"/>
      <c r="D4" s="69"/>
      <c r="E4" s="69"/>
    </row>
    <row r="5" spans="1:5" x14ac:dyDescent="0.3">
      <c r="A5" s="69"/>
      <c r="B5" s="114" t="s">
        <v>129</v>
      </c>
      <c r="C5" s="114" t="s">
        <v>130</v>
      </c>
      <c r="D5" s="114" t="s">
        <v>131</v>
      </c>
      <c r="E5" s="114" t="s">
        <v>132</v>
      </c>
    </row>
    <row r="6" spans="1:5" x14ac:dyDescent="0.3">
      <c r="A6" s="115">
        <v>43891</v>
      </c>
      <c r="B6" s="106">
        <v>1215</v>
      </c>
      <c r="C6" s="106">
        <v>1165</v>
      </c>
      <c r="D6" s="108">
        <v>830.674215</v>
      </c>
      <c r="E6" s="106">
        <v>1052</v>
      </c>
    </row>
    <row r="7" spans="1:5" x14ac:dyDescent="0.3">
      <c r="A7" s="115">
        <v>43983</v>
      </c>
      <c r="B7" s="106">
        <v>1218</v>
      </c>
      <c r="C7" s="106">
        <v>1154</v>
      </c>
      <c r="D7" s="108">
        <v>833.24755500000003</v>
      </c>
      <c r="E7" s="106">
        <v>1047</v>
      </c>
    </row>
    <row r="8" spans="1:5" x14ac:dyDescent="0.3">
      <c r="A8" s="115">
        <v>44075</v>
      </c>
      <c r="B8" s="106">
        <v>1225</v>
      </c>
      <c r="C8" s="106">
        <v>1161</v>
      </c>
      <c r="D8" s="108">
        <v>835.82089599999995</v>
      </c>
      <c r="E8" s="106">
        <v>1054</v>
      </c>
    </row>
    <row r="9" spans="1:5" x14ac:dyDescent="0.3">
      <c r="A9" s="115">
        <v>44166</v>
      </c>
      <c r="B9" s="106">
        <v>1230</v>
      </c>
      <c r="C9" s="106">
        <v>1162</v>
      </c>
      <c r="D9" s="108">
        <v>840.96757600000001</v>
      </c>
      <c r="E9" s="106">
        <v>1059</v>
      </c>
    </row>
    <row r="10" spans="1:5" x14ac:dyDescent="0.3">
      <c r="A10" s="115">
        <v>44256</v>
      </c>
      <c r="B10" s="106">
        <v>1235</v>
      </c>
      <c r="C10" s="106">
        <v>1186</v>
      </c>
      <c r="D10" s="108">
        <v>846.11425599999995</v>
      </c>
      <c r="E10" s="106">
        <v>1068</v>
      </c>
    </row>
    <row r="11" spans="1:5" x14ac:dyDescent="0.3">
      <c r="A11" s="115">
        <v>44348</v>
      </c>
      <c r="B11" s="106">
        <v>1244</v>
      </c>
      <c r="C11" s="106">
        <v>1222</v>
      </c>
      <c r="D11" s="108">
        <v>870.81832199999997</v>
      </c>
      <c r="E11" s="106">
        <v>1082</v>
      </c>
    </row>
    <row r="12" spans="1:5" x14ac:dyDescent="0.3">
      <c r="A12" s="115">
        <v>44440</v>
      </c>
      <c r="B12" s="106">
        <v>1254</v>
      </c>
      <c r="C12" s="106">
        <v>1242</v>
      </c>
      <c r="D12" s="108">
        <v>892.43438000000003</v>
      </c>
      <c r="E12" s="106">
        <v>1106</v>
      </c>
    </row>
    <row r="13" spans="1:5" x14ac:dyDescent="0.3">
      <c r="A13" s="115">
        <v>44531</v>
      </c>
      <c r="B13" s="106">
        <v>1262</v>
      </c>
      <c r="C13" s="106">
        <v>1257</v>
      </c>
      <c r="D13" s="108">
        <v>918.68245000000002</v>
      </c>
      <c r="E13" s="106">
        <v>1122</v>
      </c>
    </row>
    <row r="14" spans="1:5" x14ac:dyDescent="0.3">
      <c r="A14" s="115">
        <v>44621</v>
      </c>
      <c r="B14" s="106">
        <v>1272</v>
      </c>
      <c r="C14" s="106">
        <v>1300</v>
      </c>
      <c r="D14" s="108">
        <v>944.41585199999997</v>
      </c>
      <c r="E14" s="106">
        <v>1142</v>
      </c>
    </row>
    <row r="15" spans="1:5" x14ac:dyDescent="0.3">
      <c r="A15" s="115">
        <v>44713</v>
      </c>
      <c r="B15" s="108">
        <v>1286</v>
      </c>
      <c r="C15" s="108">
        <v>1340</v>
      </c>
      <c r="D15" s="108">
        <v>979.41327799999999</v>
      </c>
      <c r="E15" s="108">
        <v>1161</v>
      </c>
    </row>
    <row r="16" spans="1:5" x14ac:dyDescent="0.3">
      <c r="A16" s="115">
        <v>44805</v>
      </c>
      <c r="B16" s="108">
        <v>1300</v>
      </c>
      <c r="C16" s="108">
        <v>1351</v>
      </c>
      <c r="D16" s="108">
        <v>1000</v>
      </c>
      <c r="E16" s="108">
        <v>1186</v>
      </c>
    </row>
    <row r="17" spans="1:5" x14ac:dyDescent="0.3">
      <c r="A17" s="115">
        <v>44896</v>
      </c>
      <c r="B17" s="108">
        <v>1314</v>
      </c>
      <c r="C17" s="108">
        <v>1358</v>
      </c>
      <c r="D17" s="108">
        <v>1021</v>
      </c>
      <c r="E17" s="108">
        <v>1203</v>
      </c>
    </row>
    <row r="18" spans="1:5" x14ac:dyDescent="0.3">
      <c r="A18" s="115">
        <v>44986</v>
      </c>
      <c r="B18" s="108">
        <v>1327</v>
      </c>
      <c r="C18" s="108">
        <v>1358</v>
      </c>
      <c r="D18" s="108">
        <v>1031</v>
      </c>
      <c r="E18" s="108">
        <v>1218</v>
      </c>
    </row>
    <row r="19" spans="1:5" x14ac:dyDescent="0.3">
      <c r="A19" s="115">
        <v>45078</v>
      </c>
      <c r="B19" s="108">
        <v>1341</v>
      </c>
      <c r="C19" s="108">
        <v>1355</v>
      </c>
      <c r="D19" s="108">
        <v>1042</v>
      </c>
      <c r="E19" s="108">
        <v>1231</v>
      </c>
    </row>
    <row r="20" spans="1:5" x14ac:dyDescent="0.3">
      <c r="A20" s="115">
        <v>45170</v>
      </c>
      <c r="B20" s="108">
        <v>1356</v>
      </c>
      <c r="C20" s="108">
        <v>1371</v>
      </c>
      <c r="D20" s="108">
        <v>1050</v>
      </c>
      <c r="E20" s="108">
        <v>1253</v>
      </c>
    </row>
    <row r="21" spans="1:5" x14ac:dyDescent="0.3">
      <c r="A21" s="115">
        <v>45261</v>
      </c>
      <c r="B21" s="108">
        <v>1370</v>
      </c>
      <c r="C21" s="108">
        <v>1384</v>
      </c>
      <c r="D21" s="108">
        <v>1059</v>
      </c>
      <c r="E21" s="108">
        <v>1259</v>
      </c>
    </row>
    <row r="22" spans="1:5" x14ac:dyDescent="0.3">
      <c r="A22" s="115">
        <v>45352</v>
      </c>
      <c r="B22" s="108">
        <v>1379.59130878412</v>
      </c>
      <c r="C22" s="108">
        <v>1391.2272971019609</v>
      </c>
      <c r="D22" s="108">
        <v>1066.3753462263355</v>
      </c>
      <c r="E22" s="108">
        <v>1266.1338131741095</v>
      </c>
    </row>
    <row r="23" spans="1:5" x14ac:dyDescent="0.3">
      <c r="A23" s="115">
        <v>45444</v>
      </c>
      <c r="B23" s="108">
        <v>1390.5584667808021</v>
      </c>
      <c r="C23" s="108">
        <v>1398.7449451400435</v>
      </c>
      <c r="D23" s="108">
        <v>1073.3412096550865</v>
      </c>
      <c r="E23" s="108">
        <v>1269.9771593645814</v>
      </c>
    </row>
    <row r="24" spans="1:5" x14ac:dyDescent="0.3">
      <c r="A24" s="115">
        <v>45536</v>
      </c>
      <c r="B24" s="108">
        <v>1399.4511019176114</v>
      </c>
      <c r="C24" s="108">
        <v>1409.6915477952739</v>
      </c>
      <c r="D24" s="108">
        <v>1080.0439517467171</v>
      </c>
      <c r="E24" s="108">
        <v>1280.6012035296183</v>
      </c>
    </row>
    <row r="25" spans="1:5" x14ac:dyDescent="0.3">
      <c r="A25" s="115">
        <v>45627</v>
      </c>
      <c r="B25" s="108">
        <v>1407.2743138505241</v>
      </c>
      <c r="C25" s="108">
        <v>1417.9698943076153</v>
      </c>
      <c r="D25" s="108">
        <v>1086.2927977832294</v>
      </c>
      <c r="E25" s="108">
        <v>1284.8631303708057</v>
      </c>
    </row>
    <row r="26" spans="1:5" x14ac:dyDescent="0.3">
      <c r="A26" s="115">
        <v>45717</v>
      </c>
      <c r="B26" s="108">
        <v>1414.8640410880671</v>
      </c>
      <c r="C26" s="108">
        <v>1426.0704196277745</v>
      </c>
      <c r="D26" s="108">
        <v>1092.2591602153648</v>
      </c>
      <c r="E26" s="108">
        <v>1291.2154696946313</v>
      </c>
    </row>
    <row r="27" spans="1:5" x14ac:dyDescent="0.3">
      <c r="A27" s="115">
        <v>45809</v>
      </c>
      <c r="B27" s="108">
        <v>1422.4360024908026</v>
      </c>
      <c r="C27" s="108">
        <v>1433.2630119258047</v>
      </c>
      <c r="D27" s="108">
        <v>1097.9096929306716</v>
      </c>
      <c r="E27" s="108">
        <v>1294.2376104046266</v>
      </c>
    </row>
    <row r="28" spans="1:5" x14ac:dyDescent="0.3">
      <c r="A28" s="115">
        <v>45901</v>
      </c>
      <c r="B28" s="108">
        <v>1429.6027747524445</v>
      </c>
      <c r="C28" s="108">
        <v>1442.5912441601288</v>
      </c>
      <c r="D28" s="108">
        <v>1103.6616135039426</v>
      </c>
      <c r="E28" s="108">
        <v>1304.4974124903547</v>
      </c>
    </row>
    <row r="29" spans="1:5" x14ac:dyDescent="0.3">
      <c r="A29" s="115">
        <v>45992</v>
      </c>
      <c r="B29" s="108">
        <v>1436.8029818417019</v>
      </c>
      <c r="C29" s="108">
        <v>1450.2222440848916</v>
      </c>
      <c r="D29" s="108">
        <v>1109.0567315828528</v>
      </c>
      <c r="E29" s="108">
        <v>1309.1997657042566</v>
      </c>
    </row>
    <row r="30" spans="1:5" x14ac:dyDescent="0.3">
      <c r="A30" s="115">
        <v>46082</v>
      </c>
      <c r="B30" s="108">
        <v>1444.0850123515904</v>
      </c>
      <c r="C30" s="108">
        <v>1458.9389987922368</v>
      </c>
      <c r="D30" s="108">
        <v>1114.5278741412842</v>
      </c>
      <c r="E30" s="108">
        <v>1317.9920518630129</v>
      </c>
    </row>
    <row r="31" spans="1:5" x14ac:dyDescent="0.3">
      <c r="A31" s="115">
        <v>46174</v>
      </c>
      <c r="B31" s="108">
        <v>1450.6718210115375</v>
      </c>
      <c r="C31" s="108">
        <v>1466.4985818003649</v>
      </c>
      <c r="D31" s="108">
        <v>1119.7548491497646</v>
      </c>
      <c r="E31" s="108">
        <v>1322.0348979546604</v>
      </c>
    </row>
    <row r="32" spans="1:5" x14ac:dyDescent="0.3">
      <c r="A32" s="115">
        <v>46266</v>
      </c>
      <c r="B32" s="108">
        <v>1456.7457097494155</v>
      </c>
      <c r="C32" s="108">
        <v>1475.3524405134701</v>
      </c>
      <c r="D32" s="108">
        <v>1125.1284523600445</v>
      </c>
      <c r="E32" s="108">
        <v>1330.0493745278714</v>
      </c>
    </row>
    <row r="33" spans="1:5" x14ac:dyDescent="0.3">
      <c r="A33" s="115">
        <v>46357</v>
      </c>
      <c r="B33" s="108">
        <v>1462.6035423105911</v>
      </c>
      <c r="C33" s="108">
        <v>1482.8858532941706</v>
      </c>
      <c r="D33" s="108">
        <v>1130.3069564843768</v>
      </c>
      <c r="E33" s="108">
        <v>1333.587609864401</v>
      </c>
    </row>
    <row r="34" spans="1:5" x14ac:dyDescent="0.3">
      <c r="A34" s="115">
        <v>46447</v>
      </c>
      <c r="B34" s="108">
        <v>1468.7283130591193</v>
      </c>
      <c r="C34" s="108">
        <v>1492.118321804362</v>
      </c>
      <c r="D34" s="108">
        <v>1135.7014932936445</v>
      </c>
      <c r="E34" s="108">
        <v>1343.0310935124351</v>
      </c>
    </row>
    <row r="35" spans="1:5" x14ac:dyDescent="0.3">
      <c r="A35" s="115">
        <v>46539</v>
      </c>
      <c r="B35" s="108">
        <v>1475.2467180533015</v>
      </c>
      <c r="C35" s="108">
        <v>1499.920764015468</v>
      </c>
      <c r="D35" s="108">
        <v>1140.8855932188878</v>
      </c>
      <c r="E35" s="108">
        <v>1346.8351804716044</v>
      </c>
    </row>
    <row r="36" spans="1:5" x14ac:dyDescent="0.3">
      <c r="A36" s="115">
        <v>46631</v>
      </c>
      <c r="B36" s="108">
        <v>1482.3430998352219</v>
      </c>
      <c r="C36" s="108">
        <v>1509.7110657289313</v>
      </c>
      <c r="D36" s="108">
        <v>1146.343656055609</v>
      </c>
      <c r="E36" s="108">
        <v>1357.0982636896078</v>
      </c>
    </row>
    <row r="37" spans="1:5" x14ac:dyDescent="0.3">
      <c r="A37" s="115">
        <v>46722</v>
      </c>
      <c r="B37" s="108">
        <v>1489.8413257107625</v>
      </c>
      <c r="C37" s="108">
        <v>1518.2413577962882</v>
      </c>
      <c r="D37" s="108">
        <v>1151.6330083148412</v>
      </c>
      <c r="E37" s="108">
        <v>1361.8358527706139</v>
      </c>
    </row>
    <row r="38" spans="1:5" x14ac:dyDescent="0.3">
      <c r="A38" s="115">
        <v>46813</v>
      </c>
      <c r="B38" s="108">
        <v>1497.2386639931938</v>
      </c>
      <c r="C38" s="108">
        <v>1528.0078331591571</v>
      </c>
      <c r="D38" s="108">
        <v>1157.1104750875581</v>
      </c>
      <c r="E38" s="108">
        <v>1370.3366160615665</v>
      </c>
    </row>
    <row r="39" spans="1:5" x14ac:dyDescent="0.3">
      <c r="A39" s="115">
        <v>46905</v>
      </c>
      <c r="B39" s="108">
        <v>1504.7069067022251</v>
      </c>
      <c r="C39" s="108">
        <v>1536.4766832784387</v>
      </c>
      <c r="D39" s="108">
        <v>1162.4386754229308</v>
      </c>
      <c r="E39" s="108">
        <v>1374.2205241014635</v>
      </c>
    </row>
    <row r="40" spans="1:5" x14ac:dyDescent="0.3">
      <c r="A40" s="115">
        <v>46997</v>
      </c>
      <c r="B40" s="108">
        <v>1512.1990264490375</v>
      </c>
      <c r="C40" s="108">
        <v>1546.798961309901</v>
      </c>
      <c r="D40" s="108">
        <v>1168.0576277059135</v>
      </c>
      <c r="E40" s="108">
        <v>1384.2292801111032</v>
      </c>
    </row>
    <row r="41" spans="1:5" x14ac:dyDescent="0.3">
      <c r="A41" s="115">
        <v>47088</v>
      </c>
      <c r="B41" s="108">
        <v>1519.6890613957</v>
      </c>
      <c r="C41" s="108">
        <v>1555.6310828522787</v>
      </c>
      <c r="D41" s="108">
        <v>1173.5137324897703</v>
      </c>
      <c r="E41" s="108">
        <v>1388.7813492548726</v>
      </c>
    </row>
    <row r="42" spans="1:5" x14ac:dyDescent="0.3">
      <c r="A42" s="115">
        <v>47178</v>
      </c>
      <c r="B42" s="108">
        <v>1527.392201897421</v>
      </c>
      <c r="C42" s="108">
        <v>1565.8879935293066</v>
      </c>
      <c r="D42" s="108">
        <v>1179.1839057680154</v>
      </c>
      <c r="E42" s="108">
        <v>1398.1521771857194</v>
      </c>
    </row>
    <row r="43" spans="1:5" x14ac:dyDescent="0.3">
      <c r="A43" s="115">
        <v>47270</v>
      </c>
      <c r="B43" s="108">
        <v>1535.1511324990454</v>
      </c>
      <c r="C43" s="108">
        <v>1574.7150186170304</v>
      </c>
      <c r="D43" s="108">
        <v>1184.6790350030319</v>
      </c>
      <c r="E43" s="108">
        <v>1402.2895363338328</v>
      </c>
    </row>
    <row r="44" spans="1:5" x14ac:dyDescent="0.3">
      <c r="A44" s="115">
        <v>47362</v>
      </c>
      <c r="B44" s="108">
        <v>1542.9562817045069</v>
      </c>
      <c r="C44" s="108">
        <v>1585.2460801451321</v>
      </c>
      <c r="D44" s="108">
        <v>1190.4268720492039</v>
      </c>
      <c r="E44" s="108">
        <v>1412.1026507057441</v>
      </c>
    </row>
    <row r="45" spans="1:5" x14ac:dyDescent="0.3">
      <c r="A45" s="115">
        <v>47453</v>
      </c>
      <c r="B45" s="108">
        <v>1550.9581744629234</v>
      </c>
      <c r="C45" s="108">
        <v>1594.2170597037029</v>
      </c>
      <c r="D45" s="108">
        <v>1195.9850561851172</v>
      </c>
      <c r="E45" s="108">
        <v>1416.4643697505103</v>
      </c>
    </row>
    <row r="46" spans="1:5" x14ac:dyDescent="0.3">
      <c r="A46" s="115">
        <v>47543</v>
      </c>
      <c r="B46" s="108">
        <v>1559.0547927121227</v>
      </c>
      <c r="C46" s="108">
        <v>1604.6891933234706</v>
      </c>
      <c r="D46" s="108">
        <v>1201.7656994046577</v>
      </c>
      <c r="E46" s="108">
        <v>1425.9467819090271</v>
      </c>
    </row>
    <row r="47" spans="1:5" x14ac:dyDescent="0.3">
      <c r="A47" s="115">
        <v>47635</v>
      </c>
      <c r="B47" s="108">
        <v>1567.2011261301175</v>
      </c>
      <c r="C47" s="108">
        <v>1613.6103939401298</v>
      </c>
      <c r="D47" s="108">
        <v>1207.352983275036</v>
      </c>
      <c r="E47" s="108">
        <v>1429.9888592628454</v>
      </c>
    </row>
    <row r="48" spans="1:5" x14ac:dyDescent="0.3">
      <c r="A48" s="115">
        <v>47727</v>
      </c>
      <c r="B48" s="108">
        <v>1575.3360522066009</v>
      </c>
      <c r="C48" s="108">
        <v>1624.3794254846337</v>
      </c>
      <c r="D48" s="108">
        <v>1213.2094782317308</v>
      </c>
      <c r="E48" s="108">
        <v>1440.3376329507153</v>
      </c>
    </row>
    <row r="49" spans="1:5" x14ac:dyDescent="0.3">
      <c r="A49" s="115">
        <v>47818</v>
      </c>
      <c r="B49" s="108">
        <v>1583.3197884322424</v>
      </c>
      <c r="C49" s="108">
        <v>1633.5190566095391</v>
      </c>
      <c r="D49" s="108">
        <v>1218.8630540394308</v>
      </c>
      <c r="E49" s="108">
        <v>1444.9394593039549</v>
      </c>
    </row>
  </sheetData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00000"/>
    <pageSetUpPr fitToPage="1"/>
  </sheetPr>
  <dimension ref="A1:N33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36" bestFit="1" customWidth="1"/>
    <col min="2" max="4" width="15.77734375" customWidth="1"/>
    <col min="5" max="5" width="9.109375" customWidth="1"/>
    <col min="15" max="15" width="3.21875" customWidth="1"/>
  </cols>
  <sheetData>
    <row r="1" spans="1:14" ht="25.8" x14ac:dyDescent="0.5">
      <c r="A1" s="71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3.4" x14ac:dyDescent="0.45">
      <c r="A2" s="74" t="s">
        <v>24</v>
      </c>
      <c r="B2" s="95"/>
      <c r="C2" s="95"/>
      <c r="D2" s="95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3.95" customHeight="1" x14ac:dyDescent="0.3">
      <c r="A3" s="96" t="s">
        <v>177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3.95" customHeight="1" x14ac:dyDescent="0.3">
      <c r="A4" s="96" t="s">
        <v>161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3.95" customHeight="1" x14ac:dyDescent="0.3">
      <c r="A5" s="116"/>
      <c r="B5" s="11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3.95" customHeight="1" x14ac:dyDescent="0.3">
      <c r="A6" s="4" t="s">
        <v>22</v>
      </c>
      <c r="B6" s="31">
        <v>42825</v>
      </c>
      <c r="C6" s="118"/>
      <c r="D6" s="118"/>
      <c r="E6" s="118"/>
      <c r="F6" s="69"/>
      <c r="G6" s="69"/>
      <c r="H6" s="69"/>
      <c r="I6" s="69"/>
      <c r="J6" s="69"/>
      <c r="K6" s="69"/>
      <c r="L6" s="69"/>
      <c r="M6" s="69"/>
      <c r="N6" s="69"/>
    </row>
    <row r="7" spans="1:14" ht="13.95" customHeight="1" x14ac:dyDescent="0.3">
      <c r="A7" s="4" t="s">
        <v>57</v>
      </c>
      <c r="B7" s="31">
        <v>45382</v>
      </c>
      <c r="C7" s="118"/>
      <c r="D7" s="118"/>
      <c r="E7" s="118"/>
      <c r="F7" s="69"/>
      <c r="G7" s="69"/>
      <c r="H7" s="69"/>
      <c r="I7" s="69"/>
      <c r="J7" s="69"/>
      <c r="K7" s="69"/>
      <c r="L7" s="69"/>
      <c r="M7" s="69"/>
      <c r="N7" s="69"/>
    </row>
    <row r="8" spans="1:14" ht="13.95" customHeight="1" x14ac:dyDescent="0.3">
      <c r="A8" s="4" t="s">
        <v>17</v>
      </c>
      <c r="B8" s="31">
        <v>47573</v>
      </c>
      <c r="C8" s="118"/>
      <c r="D8" s="118"/>
      <c r="E8" s="118"/>
      <c r="F8" s="69"/>
      <c r="G8" s="69"/>
      <c r="H8" s="69"/>
      <c r="I8" s="69"/>
      <c r="J8" s="69"/>
      <c r="K8" s="69"/>
      <c r="L8" s="69"/>
      <c r="M8" s="69"/>
      <c r="N8" s="69"/>
    </row>
    <row r="9" spans="1:14" ht="13.95" customHeight="1" x14ac:dyDescent="0.3">
      <c r="A9" s="119"/>
      <c r="B9" s="120"/>
      <c r="C9" s="118"/>
      <c r="D9" s="118"/>
      <c r="E9" s="118"/>
      <c r="F9" s="69"/>
      <c r="G9" s="69"/>
      <c r="H9" s="69"/>
      <c r="I9" s="69"/>
      <c r="J9" s="69"/>
      <c r="K9" s="69"/>
      <c r="L9" s="69"/>
      <c r="M9" s="69"/>
      <c r="N9" s="69"/>
    </row>
    <row r="10" spans="1:14" s="29" customFormat="1" ht="27" customHeight="1" x14ac:dyDescent="0.45">
      <c r="A10" s="74" t="s">
        <v>16</v>
      </c>
      <c r="B10" s="121"/>
      <c r="C10" s="121"/>
      <c r="D10" s="121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95" customHeight="1" x14ac:dyDescent="0.3">
      <c r="A11" s="97" t="s">
        <v>58</v>
      </c>
      <c r="B11" s="122"/>
      <c r="C11" s="122"/>
      <c r="D11" s="122"/>
      <c r="E11" s="122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13.95" customHeight="1" x14ac:dyDescent="0.3">
      <c r="A12" s="117"/>
      <c r="B12" s="123"/>
      <c r="C12" s="123"/>
      <c r="D12" s="123"/>
      <c r="E12" s="118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43.2" x14ac:dyDescent="0.3">
      <c r="A13" s="24" t="s">
        <v>3</v>
      </c>
      <c r="B13" s="124" t="s">
        <v>10</v>
      </c>
      <c r="C13" s="124" t="s">
        <v>11</v>
      </c>
      <c r="D13" s="124" t="s">
        <v>12</v>
      </c>
      <c r="E13" s="118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4.4" x14ac:dyDescent="0.3">
      <c r="A14" s="1" t="s">
        <v>32</v>
      </c>
      <c r="B14" s="125"/>
      <c r="C14" s="125"/>
      <c r="D14" s="125"/>
      <c r="E14" s="118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4.4" x14ac:dyDescent="0.3">
      <c r="A15" s="1" t="s">
        <v>26</v>
      </c>
      <c r="B15" s="32">
        <v>0.6</v>
      </c>
      <c r="C15" s="32">
        <v>0.4</v>
      </c>
      <c r="D15" s="32">
        <v>0</v>
      </c>
      <c r="E15" s="118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4.4" x14ac:dyDescent="0.3">
      <c r="A16" s="1" t="s">
        <v>27</v>
      </c>
      <c r="B16" s="32">
        <v>0.6</v>
      </c>
      <c r="C16" s="32">
        <v>0.4</v>
      </c>
      <c r="D16" s="32">
        <v>0</v>
      </c>
      <c r="E16" s="118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4.4" x14ac:dyDescent="0.3">
      <c r="A17" s="1" t="s">
        <v>28</v>
      </c>
      <c r="B17" s="32">
        <v>0</v>
      </c>
      <c r="C17" s="32">
        <v>0</v>
      </c>
      <c r="D17" s="32">
        <v>1</v>
      </c>
      <c r="E17" s="118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4.4" x14ac:dyDescent="0.3">
      <c r="A18" s="126"/>
      <c r="B18" s="127"/>
      <c r="C18" s="127"/>
      <c r="D18" s="127"/>
      <c r="E18" s="118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3.95" customHeight="1" x14ac:dyDescent="0.3">
      <c r="A19" s="97" t="s">
        <v>178</v>
      </c>
      <c r="B19" s="122"/>
      <c r="C19" s="122"/>
      <c r="D19" s="122"/>
      <c r="E19" s="122"/>
      <c r="F19" s="97"/>
      <c r="G19" s="97"/>
      <c r="H19" s="97"/>
      <c r="I19" s="97"/>
      <c r="J19" s="97"/>
      <c r="K19" s="97"/>
      <c r="L19" s="97"/>
      <c r="M19" s="97"/>
      <c r="N19" s="97"/>
    </row>
    <row r="20" spans="1:14" ht="13.95" customHeight="1" x14ac:dyDescent="0.3">
      <c r="A20" s="117"/>
      <c r="B20" s="123"/>
      <c r="C20" s="118"/>
      <c r="D20" s="118"/>
      <c r="E20" s="118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4.4" x14ac:dyDescent="0.3">
      <c r="A21" s="24" t="s">
        <v>62</v>
      </c>
      <c r="B21" s="124"/>
      <c r="C21" s="35"/>
      <c r="D21" s="35"/>
      <c r="E21" s="118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4.4" x14ac:dyDescent="0.3">
      <c r="A22" s="1" t="s">
        <v>26</v>
      </c>
      <c r="B22" s="41">
        <v>3.0000000000000001E-3</v>
      </c>
      <c r="C22" s="36"/>
      <c r="D22" s="36"/>
      <c r="E22" s="118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4.4" x14ac:dyDescent="0.3">
      <c r="A23" s="1" t="s">
        <v>27</v>
      </c>
      <c r="B23" s="41">
        <v>3.0000000000000001E-3</v>
      </c>
      <c r="C23" s="36"/>
      <c r="D23" s="36"/>
      <c r="E23" s="118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4.4" x14ac:dyDescent="0.3">
      <c r="A24" s="1" t="s">
        <v>28</v>
      </c>
      <c r="B24" s="41">
        <v>8.0000000000000002E-3</v>
      </c>
      <c r="C24" s="36"/>
      <c r="D24" s="36"/>
      <c r="E24" s="118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14.4" x14ac:dyDescent="0.3">
      <c r="A25" s="126"/>
      <c r="B25" s="127"/>
      <c r="C25" s="128"/>
      <c r="D25" s="128"/>
      <c r="E25" s="118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23.4" x14ac:dyDescent="0.45">
      <c r="A26" s="74" t="s">
        <v>18</v>
      </c>
      <c r="B26" s="129"/>
      <c r="C26" s="129"/>
      <c r="D26" s="129"/>
      <c r="E26" s="130"/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13.95" customHeight="1" x14ac:dyDescent="0.3">
      <c r="A27" s="96" t="s">
        <v>44</v>
      </c>
      <c r="B27" s="122"/>
      <c r="C27" s="122"/>
      <c r="D27" s="122"/>
      <c r="E27" s="122"/>
      <c r="F27" s="97"/>
      <c r="G27" s="97"/>
      <c r="H27" s="97"/>
      <c r="I27" s="97"/>
      <c r="J27" s="97"/>
      <c r="K27" s="97"/>
      <c r="L27" s="97"/>
      <c r="M27" s="97"/>
      <c r="N27" s="97"/>
    </row>
    <row r="28" spans="1:14" ht="13.95" customHeight="1" x14ac:dyDescent="0.3">
      <c r="A28" s="116"/>
      <c r="B28" s="123"/>
      <c r="C28" s="123"/>
      <c r="D28" s="123"/>
      <c r="E28" s="118"/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14.4" x14ac:dyDescent="0.3">
      <c r="A29" s="12">
        <v>45016</v>
      </c>
      <c r="B29" s="33">
        <v>0.25</v>
      </c>
      <c r="C29" s="33">
        <v>0.25</v>
      </c>
      <c r="D29" s="33">
        <v>0.25</v>
      </c>
      <c r="E29" s="118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14.4" x14ac:dyDescent="0.3">
      <c r="A30" s="12">
        <v>45107</v>
      </c>
      <c r="B30" s="33">
        <v>0.25</v>
      </c>
      <c r="C30" s="33">
        <v>0.25</v>
      </c>
      <c r="D30" s="33">
        <v>0.25</v>
      </c>
      <c r="E30" s="118"/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14.4" x14ac:dyDescent="0.3">
      <c r="A31" s="12">
        <v>45199</v>
      </c>
      <c r="B31" s="33">
        <v>0.25</v>
      </c>
      <c r="C31" s="33">
        <v>0.25</v>
      </c>
      <c r="D31" s="33">
        <v>0.25</v>
      </c>
      <c r="E31" s="118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4.4" x14ac:dyDescent="0.3">
      <c r="A32" s="12">
        <v>45291</v>
      </c>
      <c r="B32" s="33">
        <v>0.25</v>
      </c>
      <c r="C32" s="33">
        <v>0.25</v>
      </c>
      <c r="D32" s="33">
        <v>0.25</v>
      </c>
      <c r="E32" s="118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14.4" x14ac:dyDescent="0.3">
      <c r="A33" s="126"/>
      <c r="B33" s="127"/>
      <c r="C33" s="127"/>
      <c r="D33" s="127"/>
      <c r="E33" s="118"/>
      <c r="F33" s="69"/>
      <c r="G33" s="69"/>
      <c r="H33" s="69"/>
      <c r="I33" s="69"/>
      <c r="J33" s="69"/>
      <c r="K33" s="69"/>
      <c r="L33" s="69"/>
      <c r="M33" s="69"/>
      <c r="N33" s="6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4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316AA-0E28-450A-9C2B-0965AA31406D}">
  <sheetPr codeName="Sheet9">
    <tabColor theme="0" tint="-0.34998626667073579"/>
    <pageSetUpPr fitToPage="1"/>
  </sheetPr>
  <dimension ref="A1:O74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20.109375" customWidth="1"/>
    <col min="2" max="3" width="16" customWidth="1"/>
    <col min="4" max="9" width="14.109375" customWidth="1"/>
    <col min="10" max="15" width="13.88671875" customWidth="1"/>
    <col min="16" max="16" width="3.109375" customWidth="1"/>
  </cols>
  <sheetData>
    <row r="1" spans="1:15" ht="25.8" x14ac:dyDescent="0.5">
      <c r="A1" s="71" t="s">
        <v>165</v>
      </c>
      <c r="B1" s="71"/>
      <c r="C1" s="71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3.4" x14ac:dyDescent="0.45">
      <c r="A2" s="74" t="s">
        <v>24</v>
      </c>
      <c r="B2" s="74"/>
      <c r="C2" s="74"/>
      <c r="D2" s="95"/>
      <c r="E2" s="95"/>
      <c r="F2" s="95"/>
      <c r="G2" s="76"/>
      <c r="H2" s="76"/>
      <c r="I2" s="76"/>
      <c r="J2" s="76"/>
      <c r="K2" s="76"/>
      <c r="L2" s="76"/>
      <c r="M2" s="76"/>
      <c r="N2" s="76"/>
      <c r="O2" s="76"/>
    </row>
    <row r="3" spans="1:15" ht="13.95" customHeight="1" x14ac:dyDescent="0.3">
      <c r="A3" s="96" t="s">
        <v>141</v>
      </c>
      <c r="B3" s="96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3.95" customHeight="1" x14ac:dyDescent="0.3">
      <c r="A4" s="116"/>
      <c r="B4" s="116"/>
      <c r="C4" s="116"/>
      <c r="D4" s="117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3.95" customHeight="1" x14ac:dyDescent="0.3">
      <c r="A5" s="4" t="s">
        <v>17</v>
      </c>
      <c r="B5" s="4"/>
      <c r="C5" s="4"/>
      <c r="D5" s="44">
        <f>'Model Inputs'!B8</f>
        <v>47573</v>
      </c>
      <c r="E5" s="118"/>
      <c r="F5" s="118"/>
      <c r="G5" s="118"/>
      <c r="H5" s="69"/>
      <c r="I5" s="69"/>
      <c r="J5" s="69"/>
      <c r="K5" s="69"/>
      <c r="L5" s="69"/>
      <c r="M5" s="69"/>
      <c r="N5" s="69"/>
      <c r="O5" s="69"/>
    </row>
    <row r="6" spans="1:15" ht="13.95" customHeight="1" x14ac:dyDescent="0.3">
      <c r="A6" s="119"/>
      <c r="B6" s="119"/>
      <c r="C6" s="119"/>
      <c r="D6" s="120"/>
      <c r="E6" s="118"/>
      <c r="F6" s="118"/>
      <c r="G6" s="118"/>
      <c r="H6" s="69"/>
      <c r="I6" s="69"/>
      <c r="J6" s="69"/>
      <c r="K6" s="69"/>
      <c r="L6" s="69"/>
      <c r="M6" s="69"/>
      <c r="N6" s="69"/>
      <c r="O6" s="69"/>
    </row>
    <row r="7" spans="1:15" ht="23.4" x14ac:dyDescent="0.45">
      <c r="A7" s="74" t="s">
        <v>133</v>
      </c>
      <c r="B7" s="74"/>
      <c r="C7" s="74"/>
      <c r="D7" s="131"/>
      <c r="E7" s="131"/>
      <c r="F7" s="131"/>
      <c r="G7" s="130"/>
      <c r="H7" s="76"/>
      <c r="I7" s="76"/>
      <c r="J7" s="76"/>
      <c r="K7" s="76"/>
      <c r="L7" s="76"/>
      <c r="M7" s="76"/>
      <c r="N7" s="76"/>
      <c r="O7" s="76"/>
    </row>
    <row r="8" spans="1:15" ht="14.4" x14ac:dyDescent="0.3">
      <c r="A8" s="97" t="s">
        <v>180</v>
      </c>
      <c r="B8" s="97"/>
      <c r="C8" s="97"/>
      <c r="D8" s="132"/>
      <c r="E8" s="132"/>
      <c r="F8" s="132"/>
      <c r="G8" s="122"/>
      <c r="H8" s="97"/>
      <c r="I8" s="97"/>
      <c r="J8" s="97"/>
      <c r="K8" s="97"/>
      <c r="L8" s="97"/>
      <c r="M8" s="97"/>
      <c r="N8" s="97"/>
      <c r="O8" s="97"/>
    </row>
    <row r="9" spans="1:15" ht="14.4" x14ac:dyDescent="0.3">
      <c r="A9" s="97" t="s">
        <v>150</v>
      </c>
      <c r="B9" s="97"/>
      <c r="C9" s="97"/>
      <c r="D9" s="132"/>
      <c r="E9" s="132"/>
      <c r="F9" s="132"/>
      <c r="G9" s="122"/>
      <c r="H9" s="97"/>
      <c r="I9" s="97"/>
      <c r="J9" s="97"/>
      <c r="K9" s="97"/>
      <c r="L9" s="97"/>
      <c r="M9" s="97"/>
      <c r="N9" s="97"/>
      <c r="O9" s="97"/>
    </row>
    <row r="10" spans="1:15" ht="14.4" x14ac:dyDescent="0.3">
      <c r="A10" s="97" t="s">
        <v>151</v>
      </c>
      <c r="B10" s="97"/>
      <c r="C10" s="97"/>
      <c r="D10" s="132"/>
      <c r="E10" s="132"/>
      <c r="F10" s="132"/>
      <c r="G10" s="122"/>
      <c r="H10" s="97"/>
      <c r="I10" s="97"/>
      <c r="J10" s="97"/>
      <c r="K10" s="97"/>
      <c r="L10" s="97"/>
      <c r="M10" s="97"/>
      <c r="N10" s="97"/>
      <c r="O10" s="97"/>
    </row>
    <row r="11" spans="1:15" ht="14.4" x14ac:dyDescent="0.3">
      <c r="A11" s="133"/>
      <c r="B11" s="133"/>
      <c r="C11" s="133"/>
      <c r="D11" s="134"/>
      <c r="E11" s="134"/>
      <c r="F11" s="134"/>
      <c r="G11" s="135"/>
      <c r="H11" s="133"/>
      <c r="I11" s="133"/>
      <c r="J11" s="133"/>
      <c r="K11" s="133"/>
      <c r="L11" s="133"/>
      <c r="M11" s="133"/>
      <c r="N11" s="133"/>
      <c r="O11" s="133"/>
    </row>
    <row r="12" spans="1:15" ht="28.8" x14ac:dyDescent="0.3">
      <c r="A12" s="52"/>
      <c r="B12" s="53"/>
      <c r="C12" s="53"/>
      <c r="D12" s="54" t="s">
        <v>137</v>
      </c>
      <c r="E12" s="54" t="s">
        <v>137</v>
      </c>
      <c r="F12" s="54" t="s">
        <v>137</v>
      </c>
      <c r="G12" s="54" t="s">
        <v>138</v>
      </c>
      <c r="H12" s="54" t="s">
        <v>138</v>
      </c>
      <c r="I12" s="54" t="s">
        <v>138</v>
      </c>
      <c r="J12" s="54" t="s">
        <v>140</v>
      </c>
      <c r="K12" s="54" t="s">
        <v>140</v>
      </c>
      <c r="L12" s="54" t="s">
        <v>140</v>
      </c>
      <c r="M12" s="55" t="s">
        <v>139</v>
      </c>
      <c r="N12" s="55" t="s">
        <v>139</v>
      </c>
      <c r="O12" s="55" t="s">
        <v>139</v>
      </c>
    </row>
    <row r="13" spans="1:15" ht="54.75" customHeight="1" x14ac:dyDescent="0.3">
      <c r="A13" s="136" t="s">
        <v>134</v>
      </c>
      <c r="B13" s="137" t="s">
        <v>135</v>
      </c>
      <c r="C13" s="139" t="s">
        <v>136</v>
      </c>
      <c r="D13" s="35" t="s">
        <v>10</v>
      </c>
      <c r="E13" s="35" t="s">
        <v>11</v>
      </c>
      <c r="F13" s="138" t="s">
        <v>12</v>
      </c>
      <c r="G13" s="138" t="s">
        <v>10</v>
      </c>
      <c r="H13" s="138" t="s">
        <v>11</v>
      </c>
      <c r="I13" s="138" t="s">
        <v>12</v>
      </c>
      <c r="J13" s="138" t="s">
        <v>10</v>
      </c>
      <c r="K13" s="138" t="s">
        <v>11</v>
      </c>
      <c r="L13" s="138" t="s">
        <v>12</v>
      </c>
      <c r="M13" s="138" t="s">
        <v>10</v>
      </c>
      <c r="N13" s="138" t="s">
        <v>11</v>
      </c>
      <c r="O13" s="138" t="s">
        <v>12</v>
      </c>
    </row>
    <row r="14" spans="1:15" ht="14.4" x14ac:dyDescent="0.3">
      <c r="A14" s="10">
        <f t="shared" ref="A14:A63" si="0">EOMONTH(A15,-3)</f>
        <v>42185</v>
      </c>
      <c r="B14" s="10" t="str">
        <f>YEAR(A14)&amp;"Q"&amp;(MONTH(A14)/3)</f>
        <v>2015Q2</v>
      </c>
      <c r="C14" s="42">
        <f>EOMONTH(A14,-1)+1</f>
        <v>42156</v>
      </c>
      <c r="D14" s="143">
        <f>IFERROR(INDEX('Historic Inputs'!$B$11:$B$46,MATCH('Consolidated Inputs'!$B14,'Historic Inputs'!$A$11:$A$46,0)),"")</f>
        <v>1110</v>
      </c>
      <c r="E14" s="144">
        <f>IFERROR(INDEX('Historic Inputs'!$E$11:$E$45,MATCH('Consolidated Inputs'!$B14,'Historic Inputs'!$D$11:$D$45,0)),"")</f>
        <v>1031</v>
      </c>
      <c r="F14" s="140">
        <f>IFERROR(INDEX('Historic Inputs'!$H$11:$H$45,MATCH('Consolidated Inputs'!$B14,'Historic Inputs'!$G$11:$G$45,0)),"")</f>
        <v>722.59392700000001</v>
      </c>
      <c r="G14" s="142" t="str">
        <f>IFERROR(INDEX('Forecast Inputs'!B$6:B$49,MATCH('Consolidated Inputs'!$C14,'Forecast Inputs'!$A$6:$A$49,0)),"")</f>
        <v/>
      </c>
      <c r="H14" s="142" t="str">
        <f>IFERROR(INDEX('Forecast Inputs'!C$6:C$49,MATCH('Consolidated Inputs'!$C14,'Forecast Inputs'!$A$6:$A$49,0)),"")</f>
        <v/>
      </c>
      <c r="I14" s="142" t="str">
        <f>IFERROR(INDEX('Forecast Inputs'!D$6:D$49,MATCH('Consolidated Inputs'!$C14,'Forecast Inputs'!$A$6:$A$49,0)),"")</f>
        <v/>
      </c>
      <c r="J14" s="45" t="str">
        <f>IF(OR(D14="",G14=""),"",G14/D14)</f>
        <v/>
      </c>
      <c r="K14" s="45" t="str">
        <f t="shared" ref="K14:K73" si="1">IF(OR(E14="",H14=""),"",H14/E14)</f>
        <v/>
      </c>
      <c r="L14" s="45" t="str">
        <f t="shared" ref="L14:L73" si="2">IF(OR(F14="",I14=""),"",I14/F14)</f>
        <v/>
      </c>
      <c r="M14" s="48">
        <f>IF(D14="",G14/AVERAGE(J$14:J$73),D14)</f>
        <v>1110</v>
      </c>
      <c r="N14" s="48">
        <f t="shared" ref="N14:N73" si="3">IF(E14="",H14/AVERAGE(K$14:K$73),E14)</f>
        <v>1031</v>
      </c>
      <c r="O14" s="48">
        <f t="shared" ref="O14:O73" si="4">IF(F14="",I14/AVERAGE(L$14:L$73),F14)</f>
        <v>722.59392700000001</v>
      </c>
    </row>
    <row r="15" spans="1:15" ht="14.4" x14ac:dyDescent="0.3">
      <c r="A15" s="10">
        <f t="shared" si="0"/>
        <v>42277</v>
      </c>
      <c r="B15" s="10" t="str">
        <f t="shared" ref="B15:B73" si="5">YEAR(A15)&amp;"Q"&amp;(MONTH(A15)/3)</f>
        <v>2015Q3</v>
      </c>
      <c r="C15" s="42">
        <f t="shared" ref="C15:C73" si="6">EOMONTH(A15,-1)+1</f>
        <v>42248</v>
      </c>
      <c r="D15" s="143">
        <f>IFERROR(INDEX('Historic Inputs'!$B$11:$B$46,MATCH('Consolidated Inputs'!$B15,'Historic Inputs'!$A$11:$A$46,0)),"")</f>
        <v>1114</v>
      </c>
      <c r="E15" s="144">
        <f>IFERROR(INDEX('Historic Inputs'!$E$11:$E$45,MATCH('Consolidated Inputs'!$B15,'Historic Inputs'!$D$11:$D$45,0)),"")</f>
        <v>1048</v>
      </c>
      <c r="F15" s="140">
        <f>IFERROR(INDEX('Historic Inputs'!$H$11:$H$45,MATCH('Consolidated Inputs'!$B15,'Historic Inputs'!$G$11:$G$45,0)),"")</f>
        <v>732.37261999999998</v>
      </c>
      <c r="G15" s="142" t="str">
        <f>IFERROR(INDEX('Forecast Inputs'!B$6:B$49,MATCH('Consolidated Inputs'!$C15,'Forecast Inputs'!$A$6:$A$49,0)),"")</f>
        <v/>
      </c>
      <c r="H15" s="142" t="str">
        <f>IFERROR(INDEX('Forecast Inputs'!C$6:C$49,MATCH('Consolidated Inputs'!$C15,'Forecast Inputs'!$A$6:$A$49,0)),"")</f>
        <v/>
      </c>
      <c r="I15" s="142" t="str">
        <f>IFERROR(INDEX('Forecast Inputs'!D$6:D$49,MATCH('Consolidated Inputs'!$C15,'Forecast Inputs'!$A$6:$A$49,0)),"")</f>
        <v/>
      </c>
      <c r="J15" s="45" t="str">
        <f t="shared" ref="J15:J73" si="7">IF(OR(D15="",G15=""),"",G15/D15)</f>
        <v/>
      </c>
      <c r="K15" s="45" t="str">
        <f t="shared" si="1"/>
        <v/>
      </c>
      <c r="L15" s="45" t="str">
        <f t="shared" si="2"/>
        <v/>
      </c>
      <c r="M15" s="48">
        <f t="shared" ref="M15:M73" si="8">IF(D15="",G15/AVERAGE(J$14:J$73),D15)</f>
        <v>1114</v>
      </c>
      <c r="N15" s="48">
        <f t="shared" si="3"/>
        <v>1048</v>
      </c>
      <c r="O15" s="48">
        <f t="shared" si="4"/>
        <v>732.37261999999998</v>
      </c>
    </row>
    <row r="16" spans="1:15" ht="14.4" x14ac:dyDescent="0.3">
      <c r="A16" s="10">
        <f t="shared" si="0"/>
        <v>42369</v>
      </c>
      <c r="B16" s="10" t="str">
        <f t="shared" si="5"/>
        <v>2015Q4</v>
      </c>
      <c r="C16" s="42">
        <f t="shared" si="6"/>
        <v>42339</v>
      </c>
      <c r="D16" s="143">
        <f>IFERROR(INDEX('Historic Inputs'!$B$11:$B$46,MATCH('Consolidated Inputs'!$B16,'Historic Inputs'!$A$11:$A$46,0)),"")</f>
        <v>1119</v>
      </c>
      <c r="E16" s="144">
        <f>IFERROR(INDEX('Historic Inputs'!$E$11:$E$45,MATCH('Consolidated Inputs'!$B16,'Historic Inputs'!$D$11:$D$45,0)),"")</f>
        <v>1035</v>
      </c>
      <c r="F16" s="140">
        <f>IFERROR(INDEX('Historic Inputs'!$H$11:$H$45,MATCH('Consolidated Inputs'!$B16,'Historic Inputs'!$G$11:$G$45,0)),"")</f>
        <v>737.00463200000002</v>
      </c>
      <c r="G16" s="142" t="str">
        <f>IFERROR(INDEX('Forecast Inputs'!B$6:B$49,MATCH('Consolidated Inputs'!$C16,'Forecast Inputs'!$A$6:$A$49,0)),"")</f>
        <v/>
      </c>
      <c r="H16" s="142" t="str">
        <f>IFERROR(INDEX('Forecast Inputs'!C$6:C$49,MATCH('Consolidated Inputs'!$C16,'Forecast Inputs'!$A$6:$A$49,0)),"")</f>
        <v/>
      </c>
      <c r="I16" s="142" t="str">
        <f>IFERROR(INDEX('Forecast Inputs'!D$6:D$49,MATCH('Consolidated Inputs'!$C16,'Forecast Inputs'!$A$6:$A$49,0)),"")</f>
        <v/>
      </c>
      <c r="J16" s="45" t="str">
        <f t="shared" si="7"/>
        <v/>
      </c>
      <c r="K16" s="45" t="str">
        <f t="shared" si="1"/>
        <v/>
      </c>
      <c r="L16" s="45" t="str">
        <f t="shared" si="2"/>
        <v/>
      </c>
      <c r="M16" s="48">
        <f t="shared" si="8"/>
        <v>1119</v>
      </c>
      <c r="N16" s="48">
        <f t="shared" si="3"/>
        <v>1035</v>
      </c>
      <c r="O16" s="48">
        <f t="shared" si="4"/>
        <v>737.00463200000002</v>
      </c>
    </row>
    <row r="17" spans="1:15" ht="14.4" x14ac:dyDescent="0.3">
      <c r="A17" s="10">
        <f t="shared" si="0"/>
        <v>42460</v>
      </c>
      <c r="B17" s="10" t="str">
        <f t="shared" si="5"/>
        <v>2016Q1</v>
      </c>
      <c r="C17" s="42">
        <f t="shared" si="6"/>
        <v>42430</v>
      </c>
      <c r="D17" s="143">
        <f>IFERROR(INDEX('Historic Inputs'!$B$11:$B$46,MATCH('Consolidated Inputs'!$B17,'Historic Inputs'!$A$11:$A$46,0)),"")</f>
        <v>1123</v>
      </c>
      <c r="E17" s="144">
        <f>IFERROR(INDEX('Historic Inputs'!$E$11:$E$45,MATCH('Consolidated Inputs'!$B17,'Historic Inputs'!$D$11:$D$45,0)),"")</f>
        <v>1025</v>
      </c>
      <c r="F17" s="140">
        <f>IFERROR(INDEX('Historic Inputs'!$H$11:$H$45,MATCH('Consolidated Inputs'!$B17,'Historic Inputs'!$G$11:$G$45,0)),"")</f>
        <v>740.60730799999999</v>
      </c>
      <c r="G17" s="142" t="str">
        <f>IFERROR(INDEX('Forecast Inputs'!B$6:B$49,MATCH('Consolidated Inputs'!$C17,'Forecast Inputs'!$A$6:$A$49,0)),"")</f>
        <v/>
      </c>
      <c r="H17" s="142" t="str">
        <f>IFERROR(INDEX('Forecast Inputs'!C$6:C$49,MATCH('Consolidated Inputs'!$C17,'Forecast Inputs'!$A$6:$A$49,0)),"")</f>
        <v/>
      </c>
      <c r="I17" s="142" t="str">
        <f>IFERROR(INDEX('Forecast Inputs'!D$6:D$49,MATCH('Consolidated Inputs'!$C17,'Forecast Inputs'!$A$6:$A$49,0)),"")</f>
        <v/>
      </c>
      <c r="J17" s="45" t="str">
        <f t="shared" si="7"/>
        <v/>
      </c>
      <c r="K17" s="45" t="str">
        <f t="shared" si="1"/>
        <v/>
      </c>
      <c r="L17" s="45" t="str">
        <f t="shared" si="2"/>
        <v/>
      </c>
      <c r="M17" s="48">
        <f t="shared" si="8"/>
        <v>1123</v>
      </c>
      <c r="N17" s="48">
        <f t="shared" si="3"/>
        <v>1025</v>
      </c>
      <c r="O17" s="48">
        <f t="shared" si="4"/>
        <v>740.60730799999999</v>
      </c>
    </row>
    <row r="18" spans="1:15" ht="14.4" x14ac:dyDescent="0.3">
      <c r="A18" s="10">
        <f t="shared" si="0"/>
        <v>42551</v>
      </c>
      <c r="B18" s="10" t="str">
        <f t="shared" si="5"/>
        <v>2016Q2</v>
      </c>
      <c r="C18" s="42">
        <f t="shared" si="6"/>
        <v>42522</v>
      </c>
      <c r="D18" s="143">
        <f>IFERROR(INDEX('Historic Inputs'!$B$11:$B$46,MATCH('Consolidated Inputs'!$B18,'Historic Inputs'!$A$11:$A$46,0)),"")</f>
        <v>1127</v>
      </c>
      <c r="E18" s="144">
        <f>IFERROR(INDEX('Historic Inputs'!$E$11:$E$45,MATCH('Consolidated Inputs'!$B18,'Historic Inputs'!$D$11:$D$45,0)),"")</f>
        <v>1034</v>
      </c>
      <c r="F18" s="140">
        <f>IFERROR(INDEX('Historic Inputs'!$H$11:$H$45,MATCH('Consolidated Inputs'!$B18,'Historic Inputs'!$G$11:$G$45,0)),"")</f>
        <v>747.29799300000002</v>
      </c>
      <c r="G18" s="142" t="str">
        <f>IFERROR(INDEX('Forecast Inputs'!B$6:B$49,MATCH('Consolidated Inputs'!$C18,'Forecast Inputs'!$A$6:$A$49,0)),"")</f>
        <v/>
      </c>
      <c r="H18" s="142" t="str">
        <f>IFERROR(INDEX('Forecast Inputs'!C$6:C$49,MATCH('Consolidated Inputs'!$C18,'Forecast Inputs'!$A$6:$A$49,0)),"")</f>
        <v/>
      </c>
      <c r="I18" s="142" t="str">
        <f>IFERROR(INDEX('Forecast Inputs'!D$6:D$49,MATCH('Consolidated Inputs'!$C18,'Forecast Inputs'!$A$6:$A$49,0)),"")</f>
        <v/>
      </c>
      <c r="J18" s="45" t="str">
        <f t="shared" si="7"/>
        <v/>
      </c>
      <c r="K18" s="45" t="str">
        <f t="shared" si="1"/>
        <v/>
      </c>
      <c r="L18" s="45" t="str">
        <f t="shared" si="2"/>
        <v/>
      </c>
      <c r="M18" s="48">
        <f t="shared" si="8"/>
        <v>1127</v>
      </c>
      <c r="N18" s="48">
        <f t="shared" si="3"/>
        <v>1034</v>
      </c>
      <c r="O18" s="48">
        <f t="shared" si="4"/>
        <v>747.29799300000002</v>
      </c>
    </row>
    <row r="19" spans="1:15" ht="14.4" x14ac:dyDescent="0.3">
      <c r="A19" s="10">
        <f t="shared" si="0"/>
        <v>42643</v>
      </c>
      <c r="B19" s="10" t="str">
        <f t="shared" si="5"/>
        <v>2016Q3</v>
      </c>
      <c r="C19" s="42">
        <f t="shared" si="6"/>
        <v>42614</v>
      </c>
      <c r="D19" s="143">
        <f>IFERROR(INDEX('Historic Inputs'!$B$11:$B$46,MATCH('Consolidated Inputs'!$B19,'Historic Inputs'!$A$11:$A$46,0)),"")</f>
        <v>1132</v>
      </c>
      <c r="E19" s="144">
        <f>IFERROR(INDEX('Historic Inputs'!$E$11:$E$45,MATCH('Consolidated Inputs'!$B19,'Historic Inputs'!$D$11:$D$45,0)),"")</f>
        <v>1049</v>
      </c>
      <c r="F19" s="140">
        <f>IFERROR(INDEX('Historic Inputs'!$H$11:$H$45,MATCH('Consolidated Inputs'!$B19,'Historic Inputs'!$G$11:$G$45,0)),"")</f>
        <v>753.47400900000002</v>
      </c>
      <c r="G19" s="142" t="str">
        <f>IFERROR(INDEX('Forecast Inputs'!B$6:B$49,MATCH('Consolidated Inputs'!$C19,'Forecast Inputs'!$A$6:$A$49,0)),"")</f>
        <v/>
      </c>
      <c r="H19" s="142" t="str">
        <f>IFERROR(INDEX('Forecast Inputs'!C$6:C$49,MATCH('Consolidated Inputs'!$C19,'Forecast Inputs'!$A$6:$A$49,0)),"")</f>
        <v/>
      </c>
      <c r="I19" s="142" t="str">
        <f>IFERROR(INDEX('Forecast Inputs'!D$6:D$49,MATCH('Consolidated Inputs'!$C19,'Forecast Inputs'!$A$6:$A$49,0)),"")</f>
        <v/>
      </c>
      <c r="J19" s="45" t="str">
        <f t="shared" si="7"/>
        <v/>
      </c>
      <c r="K19" s="45" t="str">
        <f t="shared" si="1"/>
        <v/>
      </c>
      <c r="L19" s="45" t="str">
        <f t="shared" si="2"/>
        <v/>
      </c>
      <c r="M19" s="48">
        <f t="shared" si="8"/>
        <v>1132</v>
      </c>
      <c r="N19" s="48">
        <f t="shared" si="3"/>
        <v>1049</v>
      </c>
      <c r="O19" s="48">
        <f t="shared" si="4"/>
        <v>753.47400900000002</v>
      </c>
    </row>
    <row r="20" spans="1:15" ht="14.4" x14ac:dyDescent="0.3">
      <c r="A20" s="10">
        <f t="shared" si="0"/>
        <v>42735</v>
      </c>
      <c r="B20" s="10" t="str">
        <f t="shared" si="5"/>
        <v>2016Q4</v>
      </c>
      <c r="C20" s="42">
        <f t="shared" si="6"/>
        <v>42705</v>
      </c>
      <c r="D20" s="143">
        <f>IFERROR(INDEX('Historic Inputs'!$B$11:$B$46,MATCH('Consolidated Inputs'!$B20,'Historic Inputs'!$A$11:$A$46,0)),"")</f>
        <v>1137</v>
      </c>
      <c r="E20" s="144">
        <f>IFERROR(INDEX('Historic Inputs'!$E$11:$E$45,MATCH('Consolidated Inputs'!$B20,'Historic Inputs'!$D$11:$D$45,0)),"")</f>
        <v>1059</v>
      </c>
      <c r="F20" s="140">
        <f>IFERROR(INDEX('Historic Inputs'!$H$11:$H$45,MATCH('Consolidated Inputs'!$B20,'Historic Inputs'!$G$11:$G$45,0)),"")</f>
        <v>761.70869800000003</v>
      </c>
      <c r="G20" s="142" t="str">
        <f>IFERROR(INDEX('Forecast Inputs'!B$6:B$49,MATCH('Consolidated Inputs'!$C20,'Forecast Inputs'!$A$6:$A$49,0)),"")</f>
        <v/>
      </c>
      <c r="H20" s="142" t="str">
        <f>IFERROR(INDEX('Forecast Inputs'!C$6:C$49,MATCH('Consolidated Inputs'!$C20,'Forecast Inputs'!$A$6:$A$49,0)),"")</f>
        <v/>
      </c>
      <c r="I20" s="142" t="str">
        <f>IFERROR(INDEX('Forecast Inputs'!D$6:D$49,MATCH('Consolidated Inputs'!$C20,'Forecast Inputs'!$A$6:$A$49,0)),"")</f>
        <v/>
      </c>
      <c r="J20" s="45" t="str">
        <f t="shared" si="7"/>
        <v/>
      </c>
      <c r="K20" s="45" t="str">
        <f t="shared" si="1"/>
        <v/>
      </c>
      <c r="L20" s="45" t="str">
        <f t="shared" si="2"/>
        <v/>
      </c>
      <c r="M20" s="48">
        <f t="shared" si="8"/>
        <v>1137</v>
      </c>
      <c r="N20" s="48">
        <f t="shared" si="3"/>
        <v>1059</v>
      </c>
      <c r="O20" s="48">
        <f t="shared" si="4"/>
        <v>761.70869800000003</v>
      </c>
    </row>
    <row r="21" spans="1:15" ht="14.4" x14ac:dyDescent="0.3">
      <c r="A21" s="10">
        <f t="shared" si="0"/>
        <v>42825</v>
      </c>
      <c r="B21" s="10" t="str">
        <f t="shared" si="5"/>
        <v>2017Q1</v>
      </c>
      <c r="C21" s="42">
        <f t="shared" si="6"/>
        <v>42795</v>
      </c>
      <c r="D21" s="143">
        <f>IFERROR(INDEX('Historic Inputs'!$B$11:$B$46,MATCH('Consolidated Inputs'!$B21,'Historic Inputs'!$A$11:$A$46,0)),"")</f>
        <v>1141</v>
      </c>
      <c r="E21" s="144">
        <f>IFERROR(INDEX('Historic Inputs'!$E$11:$E$45,MATCH('Consolidated Inputs'!$B21,'Historic Inputs'!$D$11:$D$45,0)),"")</f>
        <v>1068</v>
      </c>
      <c r="F21" s="140">
        <f>IFERROR(INDEX('Historic Inputs'!$H$11:$H$45,MATCH('Consolidated Inputs'!$B21,'Historic Inputs'!$G$11:$G$45,0)),"")</f>
        <v>764.79670599999997</v>
      </c>
      <c r="G21" s="142" t="str">
        <f>IFERROR(INDEX('Forecast Inputs'!B$6:B$49,MATCH('Consolidated Inputs'!$C21,'Forecast Inputs'!$A$6:$A$49,0)),"")</f>
        <v/>
      </c>
      <c r="H21" s="142" t="str">
        <f>IFERROR(INDEX('Forecast Inputs'!C$6:C$49,MATCH('Consolidated Inputs'!$C21,'Forecast Inputs'!$A$6:$A$49,0)),"")</f>
        <v/>
      </c>
      <c r="I21" s="142" t="str">
        <f>IFERROR(INDEX('Forecast Inputs'!D$6:D$49,MATCH('Consolidated Inputs'!$C21,'Forecast Inputs'!$A$6:$A$49,0)),"")</f>
        <v/>
      </c>
      <c r="J21" s="45" t="str">
        <f t="shared" si="7"/>
        <v/>
      </c>
      <c r="K21" s="45" t="str">
        <f t="shared" si="1"/>
        <v/>
      </c>
      <c r="L21" s="45" t="str">
        <f t="shared" si="2"/>
        <v/>
      </c>
      <c r="M21" s="48">
        <f t="shared" si="8"/>
        <v>1141</v>
      </c>
      <c r="N21" s="48">
        <f t="shared" si="3"/>
        <v>1068</v>
      </c>
      <c r="O21" s="48">
        <f t="shared" si="4"/>
        <v>764.79670599999997</v>
      </c>
    </row>
    <row r="22" spans="1:15" ht="14.4" x14ac:dyDescent="0.3">
      <c r="A22" s="10">
        <f t="shared" si="0"/>
        <v>42916</v>
      </c>
      <c r="B22" s="10" t="str">
        <f t="shared" si="5"/>
        <v>2017Q2</v>
      </c>
      <c r="C22" s="42">
        <f t="shared" si="6"/>
        <v>42887</v>
      </c>
      <c r="D22" s="143">
        <f>IFERROR(INDEX('Historic Inputs'!$B$11:$B$46,MATCH('Consolidated Inputs'!$B22,'Historic Inputs'!$A$11:$A$46,0)),"")</f>
        <v>1146</v>
      </c>
      <c r="E22" s="144">
        <f>IFERROR(INDEX('Historic Inputs'!$E$11:$E$45,MATCH('Consolidated Inputs'!$B22,'Historic Inputs'!$D$11:$D$45,0)),"")</f>
        <v>1084</v>
      </c>
      <c r="F22" s="140">
        <f>IFERROR(INDEX('Historic Inputs'!$H$11:$H$45,MATCH('Consolidated Inputs'!$B22,'Historic Inputs'!$G$11:$G$45,0)),"")</f>
        <v>771.487391</v>
      </c>
      <c r="G22" s="142" t="str">
        <f>IFERROR(INDEX('Forecast Inputs'!B$6:B$49,MATCH('Consolidated Inputs'!$C22,'Forecast Inputs'!$A$6:$A$49,0)),"")</f>
        <v/>
      </c>
      <c r="H22" s="142" t="str">
        <f>IFERROR(INDEX('Forecast Inputs'!C$6:C$49,MATCH('Consolidated Inputs'!$C22,'Forecast Inputs'!$A$6:$A$49,0)),"")</f>
        <v/>
      </c>
      <c r="I22" s="142" t="str">
        <f>IFERROR(INDEX('Forecast Inputs'!D$6:D$49,MATCH('Consolidated Inputs'!$C22,'Forecast Inputs'!$A$6:$A$49,0)),"")</f>
        <v/>
      </c>
      <c r="J22" s="45" t="str">
        <f t="shared" si="7"/>
        <v/>
      </c>
      <c r="K22" s="45" t="str">
        <f t="shared" si="1"/>
        <v/>
      </c>
      <c r="L22" s="45" t="str">
        <f t="shared" si="2"/>
        <v/>
      </c>
      <c r="M22" s="48">
        <f t="shared" si="8"/>
        <v>1146</v>
      </c>
      <c r="N22" s="48">
        <f t="shared" si="3"/>
        <v>1084</v>
      </c>
      <c r="O22" s="48">
        <f t="shared" si="4"/>
        <v>771.487391</v>
      </c>
    </row>
    <row r="23" spans="1:15" ht="14.4" x14ac:dyDescent="0.3">
      <c r="A23" s="10">
        <f t="shared" si="0"/>
        <v>43008</v>
      </c>
      <c r="B23" s="10" t="str">
        <f t="shared" si="5"/>
        <v>2017Q3</v>
      </c>
      <c r="C23" s="42">
        <f t="shared" si="6"/>
        <v>42979</v>
      </c>
      <c r="D23" s="143">
        <f>IFERROR(INDEX('Historic Inputs'!$B$11:$B$46,MATCH('Consolidated Inputs'!$B23,'Historic Inputs'!$A$11:$A$46,0)),"")</f>
        <v>1153</v>
      </c>
      <c r="E23" s="144">
        <f>IFERROR(INDEX('Historic Inputs'!$E$11:$E$45,MATCH('Consolidated Inputs'!$B23,'Historic Inputs'!$D$11:$D$45,0)),"")</f>
        <v>1096</v>
      </c>
      <c r="F23" s="140">
        <f>IFERROR(INDEX('Historic Inputs'!$H$11:$H$45,MATCH('Consolidated Inputs'!$B23,'Historic Inputs'!$G$11:$G$45,0)),"")</f>
        <v>775.60473500000001</v>
      </c>
      <c r="G23" s="142" t="str">
        <f>IFERROR(INDEX('Forecast Inputs'!B$6:B$49,MATCH('Consolidated Inputs'!$C23,'Forecast Inputs'!$A$6:$A$49,0)),"")</f>
        <v/>
      </c>
      <c r="H23" s="142" t="str">
        <f>IFERROR(INDEX('Forecast Inputs'!C$6:C$49,MATCH('Consolidated Inputs'!$C23,'Forecast Inputs'!$A$6:$A$49,0)),"")</f>
        <v/>
      </c>
      <c r="I23" s="142" t="str">
        <f>IFERROR(INDEX('Forecast Inputs'!D$6:D$49,MATCH('Consolidated Inputs'!$C23,'Forecast Inputs'!$A$6:$A$49,0)),"")</f>
        <v/>
      </c>
      <c r="J23" s="45" t="str">
        <f t="shared" si="7"/>
        <v/>
      </c>
      <c r="K23" s="45" t="str">
        <f t="shared" si="1"/>
        <v/>
      </c>
      <c r="L23" s="45" t="str">
        <f t="shared" si="2"/>
        <v/>
      </c>
      <c r="M23" s="48">
        <f t="shared" si="8"/>
        <v>1153</v>
      </c>
      <c r="N23" s="48">
        <f t="shared" si="3"/>
        <v>1096</v>
      </c>
      <c r="O23" s="48">
        <f t="shared" si="4"/>
        <v>775.60473500000001</v>
      </c>
    </row>
    <row r="24" spans="1:15" ht="14.4" x14ac:dyDescent="0.3">
      <c r="A24" s="10">
        <f t="shared" si="0"/>
        <v>43100</v>
      </c>
      <c r="B24" s="10" t="str">
        <f t="shared" si="5"/>
        <v>2017Q4</v>
      </c>
      <c r="C24" s="42">
        <f t="shared" si="6"/>
        <v>43070</v>
      </c>
      <c r="D24" s="143">
        <f>IFERROR(INDEX('Historic Inputs'!$B$11:$B$46,MATCH('Consolidated Inputs'!$B24,'Historic Inputs'!$A$11:$A$46,0)),"")</f>
        <v>1158</v>
      </c>
      <c r="E24" s="144">
        <f>IFERROR(INDEX('Historic Inputs'!$E$11:$E$45,MATCH('Consolidated Inputs'!$B24,'Historic Inputs'!$D$11:$D$45,0)),"")</f>
        <v>1106</v>
      </c>
      <c r="F24" s="140">
        <f>IFERROR(INDEX('Historic Inputs'!$H$11:$H$45,MATCH('Consolidated Inputs'!$B24,'Historic Inputs'!$G$11:$G$45,0)),"")</f>
        <v>781.78075100000001</v>
      </c>
      <c r="G24" s="142" t="str">
        <f>IFERROR(INDEX('Forecast Inputs'!B$6:B$49,MATCH('Consolidated Inputs'!$C24,'Forecast Inputs'!$A$6:$A$49,0)),"")</f>
        <v/>
      </c>
      <c r="H24" s="142" t="str">
        <f>IFERROR(INDEX('Forecast Inputs'!C$6:C$49,MATCH('Consolidated Inputs'!$C24,'Forecast Inputs'!$A$6:$A$49,0)),"")</f>
        <v/>
      </c>
      <c r="I24" s="142" t="str">
        <f>IFERROR(INDEX('Forecast Inputs'!D$6:D$49,MATCH('Consolidated Inputs'!$C24,'Forecast Inputs'!$A$6:$A$49,0)),"")</f>
        <v/>
      </c>
      <c r="J24" s="45" t="str">
        <f t="shared" si="7"/>
        <v/>
      </c>
      <c r="K24" s="45" t="str">
        <f t="shared" si="1"/>
        <v/>
      </c>
      <c r="L24" s="45" t="str">
        <f t="shared" si="2"/>
        <v/>
      </c>
      <c r="M24" s="48">
        <f t="shared" si="8"/>
        <v>1158</v>
      </c>
      <c r="N24" s="48">
        <f t="shared" si="3"/>
        <v>1106</v>
      </c>
      <c r="O24" s="48">
        <f t="shared" si="4"/>
        <v>781.78075100000001</v>
      </c>
    </row>
    <row r="25" spans="1:15" ht="14.4" x14ac:dyDescent="0.3">
      <c r="A25" s="10">
        <f t="shared" si="0"/>
        <v>43190</v>
      </c>
      <c r="B25" s="10" t="str">
        <f t="shared" si="5"/>
        <v>2018Q1</v>
      </c>
      <c r="C25" s="42">
        <f t="shared" si="6"/>
        <v>43160</v>
      </c>
      <c r="D25" s="143">
        <f>IFERROR(INDEX('Historic Inputs'!$B$11:$B$46,MATCH('Consolidated Inputs'!$B25,'Historic Inputs'!$A$11:$A$46,0)),"")</f>
        <v>1162</v>
      </c>
      <c r="E25" s="144">
        <f>IFERROR(INDEX('Historic Inputs'!$E$11:$E$45,MATCH('Consolidated Inputs'!$B25,'Historic Inputs'!$D$11:$D$45,0)),"")</f>
        <v>1113</v>
      </c>
      <c r="F25" s="140">
        <f>IFERROR(INDEX('Historic Inputs'!$H$11:$H$45,MATCH('Consolidated Inputs'!$B25,'Historic Inputs'!$G$11:$G$45,0)),"")</f>
        <v>784.35409200000004</v>
      </c>
      <c r="G25" s="142" t="str">
        <f>IFERROR(INDEX('Forecast Inputs'!B$6:B$49,MATCH('Consolidated Inputs'!$C25,'Forecast Inputs'!$A$6:$A$49,0)),"")</f>
        <v/>
      </c>
      <c r="H25" s="142" t="str">
        <f>IFERROR(INDEX('Forecast Inputs'!C$6:C$49,MATCH('Consolidated Inputs'!$C25,'Forecast Inputs'!$A$6:$A$49,0)),"")</f>
        <v/>
      </c>
      <c r="I25" s="142" t="str">
        <f>IFERROR(INDEX('Forecast Inputs'!D$6:D$49,MATCH('Consolidated Inputs'!$C25,'Forecast Inputs'!$A$6:$A$49,0)),"")</f>
        <v/>
      </c>
      <c r="J25" s="45" t="str">
        <f t="shared" si="7"/>
        <v/>
      </c>
      <c r="K25" s="45" t="str">
        <f t="shared" si="1"/>
        <v/>
      </c>
      <c r="L25" s="45" t="str">
        <f t="shared" si="2"/>
        <v/>
      </c>
      <c r="M25" s="48">
        <f t="shared" si="8"/>
        <v>1162</v>
      </c>
      <c r="N25" s="48">
        <f t="shared" si="3"/>
        <v>1113</v>
      </c>
      <c r="O25" s="48">
        <f t="shared" si="4"/>
        <v>784.35409200000004</v>
      </c>
    </row>
    <row r="26" spans="1:15" ht="14.4" x14ac:dyDescent="0.3">
      <c r="A26" s="10">
        <f t="shared" si="0"/>
        <v>43281</v>
      </c>
      <c r="B26" s="10" t="str">
        <f t="shared" si="5"/>
        <v>2018Q2</v>
      </c>
      <c r="C26" s="42">
        <f t="shared" si="6"/>
        <v>43252</v>
      </c>
      <c r="D26" s="143">
        <f>IFERROR(INDEX('Historic Inputs'!$B$11:$B$46,MATCH('Consolidated Inputs'!$B26,'Historic Inputs'!$A$11:$A$46,0)),"")</f>
        <v>1168</v>
      </c>
      <c r="E26" s="144">
        <f>IFERROR(INDEX('Historic Inputs'!$E$11:$E$45,MATCH('Consolidated Inputs'!$B26,'Historic Inputs'!$D$11:$D$45,0)),"")</f>
        <v>1124</v>
      </c>
      <c r="F26" s="140">
        <f>IFERROR(INDEX('Historic Inputs'!$H$11:$H$45,MATCH('Consolidated Inputs'!$B26,'Historic Inputs'!$G$11:$G$45,0)),"")</f>
        <v>790.53010800000004</v>
      </c>
      <c r="G26" s="142" t="str">
        <f>IFERROR(INDEX('Forecast Inputs'!B$6:B$49,MATCH('Consolidated Inputs'!$C26,'Forecast Inputs'!$A$6:$A$49,0)),"")</f>
        <v/>
      </c>
      <c r="H26" s="142" t="str">
        <f>IFERROR(INDEX('Forecast Inputs'!C$6:C$49,MATCH('Consolidated Inputs'!$C26,'Forecast Inputs'!$A$6:$A$49,0)),"")</f>
        <v/>
      </c>
      <c r="I26" s="142" t="str">
        <f>IFERROR(INDEX('Forecast Inputs'!D$6:D$49,MATCH('Consolidated Inputs'!$C26,'Forecast Inputs'!$A$6:$A$49,0)),"")</f>
        <v/>
      </c>
      <c r="J26" s="45" t="str">
        <f t="shared" si="7"/>
        <v/>
      </c>
      <c r="K26" s="45" t="str">
        <f t="shared" si="1"/>
        <v/>
      </c>
      <c r="L26" s="45" t="str">
        <f t="shared" si="2"/>
        <v/>
      </c>
      <c r="M26" s="48">
        <f t="shared" si="8"/>
        <v>1168</v>
      </c>
      <c r="N26" s="48">
        <f t="shared" si="3"/>
        <v>1124</v>
      </c>
      <c r="O26" s="48">
        <f t="shared" si="4"/>
        <v>790.53010800000004</v>
      </c>
    </row>
    <row r="27" spans="1:15" ht="14.4" x14ac:dyDescent="0.3">
      <c r="A27" s="10">
        <f t="shared" si="0"/>
        <v>43373</v>
      </c>
      <c r="B27" s="10" t="str">
        <f t="shared" si="5"/>
        <v>2018Q3</v>
      </c>
      <c r="C27" s="42">
        <f t="shared" si="6"/>
        <v>43344</v>
      </c>
      <c r="D27" s="143">
        <f>IFERROR(INDEX('Historic Inputs'!$B$11:$B$46,MATCH('Consolidated Inputs'!$B27,'Historic Inputs'!$A$11:$A$46,0)),"")</f>
        <v>1174</v>
      </c>
      <c r="E27" s="144">
        <f>IFERROR(INDEX('Historic Inputs'!$E$11:$E$45,MATCH('Consolidated Inputs'!$B27,'Historic Inputs'!$D$11:$D$45,0)),"")</f>
        <v>1140</v>
      </c>
      <c r="F27" s="140">
        <f>IFERROR(INDEX('Historic Inputs'!$H$11:$H$45,MATCH('Consolidated Inputs'!$B27,'Historic Inputs'!$G$11:$G$45,0)),"")</f>
        <v>799.79413299999999</v>
      </c>
      <c r="G27" s="142" t="str">
        <f>IFERROR(INDEX('Forecast Inputs'!B$6:B$49,MATCH('Consolidated Inputs'!$C27,'Forecast Inputs'!$A$6:$A$49,0)),"")</f>
        <v/>
      </c>
      <c r="H27" s="142" t="str">
        <f>IFERROR(INDEX('Forecast Inputs'!C$6:C$49,MATCH('Consolidated Inputs'!$C27,'Forecast Inputs'!$A$6:$A$49,0)),"")</f>
        <v/>
      </c>
      <c r="I27" s="142" t="str">
        <f>IFERROR(INDEX('Forecast Inputs'!D$6:D$49,MATCH('Consolidated Inputs'!$C27,'Forecast Inputs'!$A$6:$A$49,0)),"")</f>
        <v/>
      </c>
      <c r="J27" s="45" t="str">
        <f t="shared" si="7"/>
        <v/>
      </c>
      <c r="K27" s="45" t="str">
        <f t="shared" si="1"/>
        <v/>
      </c>
      <c r="L27" s="45" t="str">
        <f t="shared" si="2"/>
        <v/>
      </c>
      <c r="M27" s="48">
        <f t="shared" si="8"/>
        <v>1174</v>
      </c>
      <c r="N27" s="48">
        <f t="shared" si="3"/>
        <v>1140</v>
      </c>
      <c r="O27" s="48">
        <f t="shared" si="4"/>
        <v>799.79413299999999</v>
      </c>
    </row>
    <row r="28" spans="1:15" ht="14.4" x14ac:dyDescent="0.3">
      <c r="A28" s="10">
        <f t="shared" si="0"/>
        <v>43465</v>
      </c>
      <c r="B28" s="10" t="str">
        <f t="shared" si="5"/>
        <v>2018Q4</v>
      </c>
      <c r="C28" s="42">
        <f t="shared" si="6"/>
        <v>43435</v>
      </c>
      <c r="D28" s="143">
        <f>IFERROR(INDEX('Historic Inputs'!$B$11:$B$46,MATCH('Consolidated Inputs'!$B28,'Historic Inputs'!$A$11:$A$46,0)),"")</f>
        <v>1180</v>
      </c>
      <c r="E28" s="144">
        <f>IFERROR(INDEX('Historic Inputs'!$E$11:$E$45,MATCH('Consolidated Inputs'!$B28,'Historic Inputs'!$D$11:$D$45,0)),"")</f>
        <v>1161</v>
      </c>
      <c r="F28" s="140">
        <f>IFERROR(INDEX('Historic Inputs'!$H$11:$H$45,MATCH('Consolidated Inputs'!$B28,'Historic Inputs'!$G$11:$G$45,0)),"")</f>
        <v>803.39680899999996</v>
      </c>
      <c r="G28" s="142" t="str">
        <f>IFERROR(INDEX('Forecast Inputs'!B$6:B$49,MATCH('Consolidated Inputs'!$C28,'Forecast Inputs'!$A$6:$A$49,0)),"")</f>
        <v/>
      </c>
      <c r="H28" s="142" t="str">
        <f>IFERROR(INDEX('Forecast Inputs'!C$6:C$49,MATCH('Consolidated Inputs'!$C28,'Forecast Inputs'!$A$6:$A$49,0)),"")</f>
        <v/>
      </c>
      <c r="I28" s="142" t="str">
        <f>IFERROR(INDEX('Forecast Inputs'!D$6:D$49,MATCH('Consolidated Inputs'!$C28,'Forecast Inputs'!$A$6:$A$49,0)),"")</f>
        <v/>
      </c>
      <c r="J28" s="45" t="str">
        <f t="shared" si="7"/>
        <v/>
      </c>
      <c r="K28" s="45" t="str">
        <f t="shared" si="1"/>
        <v/>
      </c>
      <c r="L28" s="45" t="str">
        <f t="shared" si="2"/>
        <v/>
      </c>
      <c r="M28" s="48">
        <f t="shared" si="8"/>
        <v>1180</v>
      </c>
      <c r="N28" s="48">
        <f t="shared" si="3"/>
        <v>1161</v>
      </c>
      <c r="O28" s="48">
        <f t="shared" si="4"/>
        <v>803.39680899999996</v>
      </c>
    </row>
    <row r="29" spans="1:15" ht="14.4" x14ac:dyDescent="0.3">
      <c r="A29" s="10">
        <f t="shared" si="0"/>
        <v>43555</v>
      </c>
      <c r="B29" s="10" t="str">
        <f t="shared" si="5"/>
        <v>2019Q1</v>
      </c>
      <c r="C29" s="42">
        <f t="shared" si="6"/>
        <v>43525</v>
      </c>
      <c r="D29" s="143">
        <f>IFERROR(INDEX('Historic Inputs'!$B$11:$B$46,MATCH('Consolidated Inputs'!$B29,'Historic Inputs'!$A$11:$A$46,0)),"")</f>
        <v>1185</v>
      </c>
      <c r="E29" s="144">
        <f>IFERROR(INDEX('Historic Inputs'!$E$11:$E$45,MATCH('Consolidated Inputs'!$B29,'Historic Inputs'!$D$11:$D$45,0)),"")</f>
        <v>1151</v>
      </c>
      <c r="F29" s="140">
        <f>IFERROR(INDEX('Historic Inputs'!$H$11:$H$45,MATCH('Consolidated Inputs'!$B29,'Historic Inputs'!$G$11:$G$45,0)),"")</f>
        <v>807.51415299999996</v>
      </c>
      <c r="G29" s="142" t="str">
        <f>IFERROR(INDEX('Forecast Inputs'!B$6:B$49,MATCH('Consolidated Inputs'!$C29,'Forecast Inputs'!$A$6:$A$49,0)),"")</f>
        <v/>
      </c>
      <c r="H29" s="142" t="str">
        <f>IFERROR(INDEX('Forecast Inputs'!C$6:C$49,MATCH('Consolidated Inputs'!$C29,'Forecast Inputs'!$A$6:$A$49,0)),"")</f>
        <v/>
      </c>
      <c r="I29" s="142" t="str">
        <f>IFERROR(INDEX('Forecast Inputs'!D$6:D$49,MATCH('Consolidated Inputs'!$C29,'Forecast Inputs'!$A$6:$A$49,0)),"")</f>
        <v/>
      </c>
      <c r="J29" s="45" t="str">
        <f t="shared" si="7"/>
        <v/>
      </c>
      <c r="K29" s="45" t="str">
        <f t="shared" si="1"/>
        <v/>
      </c>
      <c r="L29" s="45" t="str">
        <f t="shared" si="2"/>
        <v/>
      </c>
      <c r="M29" s="48">
        <f t="shared" si="8"/>
        <v>1185</v>
      </c>
      <c r="N29" s="48">
        <f t="shared" si="3"/>
        <v>1151</v>
      </c>
      <c r="O29" s="48">
        <f t="shared" si="4"/>
        <v>807.51415299999996</v>
      </c>
    </row>
    <row r="30" spans="1:15" ht="14.4" x14ac:dyDescent="0.3">
      <c r="A30" s="10">
        <f t="shared" si="0"/>
        <v>43646</v>
      </c>
      <c r="B30" s="10" t="str">
        <f t="shared" si="5"/>
        <v>2019Q2</v>
      </c>
      <c r="C30" s="42">
        <f t="shared" si="6"/>
        <v>43617</v>
      </c>
      <c r="D30" s="143">
        <f>IFERROR(INDEX('Historic Inputs'!$B$11:$B$46,MATCH('Consolidated Inputs'!$B30,'Historic Inputs'!$A$11:$A$46,0)),"")</f>
        <v>1193</v>
      </c>
      <c r="E30" s="144">
        <f>IFERROR(INDEX('Historic Inputs'!$E$11:$E$45,MATCH('Consolidated Inputs'!$B30,'Historic Inputs'!$D$11:$D$45,0)),"")</f>
        <v>1154</v>
      </c>
      <c r="F30" s="140">
        <f>IFERROR(INDEX('Historic Inputs'!$H$11:$H$45,MATCH('Consolidated Inputs'!$B30,'Historic Inputs'!$G$11:$G$45,0)),"")</f>
        <v>814.71950600000002</v>
      </c>
      <c r="G30" s="142" t="str">
        <f>IFERROR(INDEX('Forecast Inputs'!B$6:B$49,MATCH('Consolidated Inputs'!$C30,'Forecast Inputs'!$A$6:$A$49,0)),"")</f>
        <v/>
      </c>
      <c r="H30" s="142" t="str">
        <f>IFERROR(INDEX('Forecast Inputs'!C$6:C$49,MATCH('Consolidated Inputs'!$C30,'Forecast Inputs'!$A$6:$A$49,0)),"")</f>
        <v/>
      </c>
      <c r="I30" s="142" t="str">
        <f>IFERROR(INDEX('Forecast Inputs'!D$6:D$49,MATCH('Consolidated Inputs'!$C30,'Forecast Inputs'!$A$6:$A$49,0)),"")</f>
        <v/>
      </c>
      <c r="J30" s="45" t="str">
        <f t="shared" si="7"/>
        <v/>
      </c>
      <c r="K30" s="45" t="str">
        <f t="shared" si="1"/>
        <v/>
      </c>
      <c r="L30" s="45" t="str">
        <f t="shared" si="2"/>
        <v/>
      </c>
      <c r="M30" s="48">
        <f t="shared" si="8"/>
        <v>1193</v>
      </c>
      <c r="N30" s="48">
        <f t="shared" si="3"/>
        <v>1154</v>
      </c>
      <c r="O30" s="48">
        <f t="shared" si="4"/>
        <v>814.71950600000002</v>
      </c>
    </row>
    <row r="31" spans="1:15" ht="14.4" x14ac:dyDescent="0.3">
      <c r="A31" s="10">
        <f t="shared" si="0"/>
        <v>43738</v>
      </c>
      <c r="B31" s="10" t="str">
        <f t="shared" si="5"/>
        <v>2019Q3</v>
      </c>
      <c r="C31" s="42">
        <f t="shared" si="6"/>
        <v>43709</v>
      </c>
      <c r="D31" s="143">
        <f>IFERROR(INDEX('Historic Inputs'!$B$11:$B$46,MATCH('Consolidated Inputs'!$B31,'Historic Inputs'!$A$11:$A$46,0)),"")</f>
        <v>1202</v>
      </c>
      <c r="E31" s="144">
        <f>IFERROR(INDEX('Historic Inputs'!$E$11:$E$45,MATCH('Consolidated Inputs'!$B31,'Historic Inputs'!$D$11:$D$45,0)),"")</f>
        <v>1166</v>
      </c>
      <c r="F31" s="140">
        <f>IFERROR(INDEX('Historic Inputs'!$H$11:$H$45,MATCH('Consolidated Inputs'!$B31,'Historic Inputs'!$G$11:$G$45,0)),"")</f>
        <v>821.41019000000006</v>
      </c>
      <c r="G31" s="142" t="str">
        <f>IFERROR(INDEX('Forecast Inputs'!B$6:B$49,MATCH('Consolidated Inputs'!$C31,'Forecast Inputs'!$A$6:$A$49,0)),"")</f>
        <v/>
      </c>
      <c r="H31" s="142" t="str">
        <f>IFERROR(INDEX('Forecast Inputs'!C$6:C$49,MATCH('Consolidated Inputs'!$C31,'Forecast Inputs'!$A$6:$A$49,0)),"")</f>
        <v/>
      </c>
      <c r="I31" s="142" t="str">
        <f>IFERROR(INDEX('Forecast Inputs'!D$6:D$49,MATCH('Consolidated Inputs'!$C31,'Forecast Inputs'!$A$6:$A$49,0)),"")</f>
        <v/>
      </c>
      <c r="J31" s="45" t="str">
        <f t="shared" si="7"/>
        <v/>
      </c>
      <c r="K31" s="45" t="str">
        <f t="shared" si="1"/>
        <v/>
      </c>
      <c r="L31" s="45" t="str">
        <f t="shared" si="2"/>
        <v/>
      </c>
      <c r="M31" s="48">
        <f t="shared" si="8"/>
        <v>1202</v>
      </c>
      <c r="N31" s="48">
        <f t="shared" si="3"/>
        <v>1166</v>
      </c>
      <c r="O31" s="48">
        <f t="shared" si="4"/>
        <v>821.41019000000006</v>
      </c>
    </row>
    <row r="32" spans="1:15" ht="14.4" x14ac:dyDescent="0.3">
      <c r="A32" s="10">
        <f t="shared" si="0"/>
        <v>43830</v>
      </c>
      <c r="B32" s="10" t="str">
        <f t="shared" si="5"/>
        <v>2019Q4</v>
      </c>
      <c r="C32" s="42">
        <f t="shared" si="6"/>
        <v>43800</v>
      </c>
      <c r="D32" s="143">
        <f>IFERROR(INDEX('Historic Inputs'!$B$11:$B$46,MATCH('Consolidated Inputs'!$B32,'Historic Inputs'!$A$11:$A$46,0)),"")</f>
        <v>1211</v>
      </c>
      <c r="E32" s="144">
        <f>IFERROR(INDEX('Historic Inputs'!$E$11:$E$45,MATCH('Consolidated Inputs'!$B32,'Historic Inputs'!$D$11:$D$45,0)),"")</f>
        <v>1168</v>
      </c>
      <c r="F32" s="143">
        <f>IFERROR(INDEX('Historic Inputs'!$H$11:$H$45,MATCH('Consolidated Inputs'!$B32,'Historic Inputs'!$G$11:$G$45,0)),"")</f>
        <v>825.52753499999994</v>
      </c>
      <c r="G32" s="142" t="str">
        <f>IFERROR(INDEX('Forecast Inputs'!B$6:B$49,MATCH('Consolidated Inputs'!$C32,'Forecast Inputs'!$A$6:$A$49,0)),"")</f>
        <v/>
      </c>
      <c r="H32" s="142" t="str">
        <f>IFERROR(INDEX('Forecast Inputs'!C$6:C$49,MATCH('Consolidated Inputs'!$C32,'Forecast Inputs'!$A$6:$A$49,0)),"")</f>
        <v/>
      </c>
      <c r="I32" s="146" t="str">
        <f>IFERROR(INDEX('Forecast Inputs'!D$6:D$49,MATCH('Consolidated Inputs'!$C32,'Forecast Inputs'!$A$6:$A$49,0)),"")</f>
        <v/>
      </c>
      <c r="J32" s="45" t="str">
        <f t="shared" si="7"/>
        <v/>
      </c>
      <c r="K32" s="45" t="str">
        <f t="shared" si="1"/>
        <v/>
      </c>
      <c r="L32" s="149" t="str">
        <f t="shared" si="2"/>
        <v/>
      </c>
      <c r="M32" s="48">
        <f t="shared" si="8"/>
        <v>1211</v>
      </c>
      <c r="N32" s="48">
        <f t="shared" si="3"/>
        <v>1168</v>
      </c>
      <c r="O32" s="48">
        <f t="shared" si="4"/>
        <v>825.52753499999994</v>
      </c>
    </row>
    <row r="33" spans="1:15" ht="14.4" x14ac:dyDescent="0.3">
      <c r="A33" s="10">
        <f t="shared" si="0"/>
        <v>43921</v>
      </c>
      <c r="B33" s="10" t="str">
        <f t="shared" si="5"/>
        <v>2020Q1</v>
      </c>
      <c r="C33" s="42">
        <f t="shared" si="6"/>
        <v>43891</v>
      </c>
      <c r="D33" s="143">
        <f>IFERROR(INDEX('Historic Inputs'!$B$11:$B$46,MATCH('Consolidated Inputs'!$B33,'Historic Inputs'!$A$11:$A$46,0)),"")</f>
        <v>1215</v>
      </c>
      <c r="E33" s="143">
        <f>IFERROR(INDEX('Historic Inputs'!$E$11:$E$45,MATCH('Consolidated Inputs'!$B33,'Historic Inputs'!$D$11:$D$45,0)),"")</f>
        <v>1165</v>
      </c>
      <c r="F33" s="144">
        <f>IFERROR(INDEX('Historic Inputs'!$H$11:$H$45,MATCH('Consolidated Inputs'!$B33,'Historic Inputs'!$G$11:$G$45,0)),"")</f>
        <v>830.674215</v>
      </c>
      <c r="G33" s="145">
        <f>IFERROR(INDEX('Forecast Inputs'!B$6:B$49,MATCH('Consolidated Inputs'!$C33,'Forecast Inputs'!$A$6:$A$49,0)),"")</f>
        <v>1215</v>
      </c>
      <c r="H33" s="142">
        <f>IFERROR(INDEX('Forecast Inputs'!C$6:C$49,MATCH('Consolidated Inputs'!$C33,'Forecast Inputs'!$A$6:$A$49,0)),"")</f>
        <v>1165</v>
      </c>
      <c r="I33" s="152">
        <f>IFERROR(INDEX('Forecast Inputs'!D$6:D$49,MATCH('Consolidated Inputs'!$C33,'Forecast Inputs'!$A$6:$A$49,0)),"")</f>
        <v>830.674215</v>
      </c>
      <c r="J33" s="148">
        <f>IF(OR(D33="",G33=""),"",G33/D33)</f>
        <v>1</v>
      </c>
      <c r="K33" s="45">
        <f t="shared" si="1"/>
        <v>1</v>
      </c>
      <c r="L33" s="153">
        <f t="shared" si="2"/>
        <v>1</v>
      </c>
      <c r="M33" s="151">
        <f>IF(D33="",G33/AVERAGE(J$14:J$73),D33)</f>
        <v>1215</v>
      </c>
      <c r="N33" s="48">
        <f t="shared" si="3"/>
        <v>1165</v>
      </c>
      <c r="O33" s="48">
        <f t="shared" si="4"/>
        <v>830.674215</v>
      </c>
    </row>
    <row r="34" spans="1:15" ht="14.4" x14ac:dyDescent="0.3">
      <c r="A34" s="10">
        <f t="shared" si="0"/>
        <v>44012</v>
      </c>
      <c r="B34" s="10" t="str">
        <f t="shared" si="5"/>
        <v>2020Q2</v>
      </c>
      <c r="C34" s="42">
        <f t="shared" si="6"/>
        <v>43983</v>
      </c>
      <c r="D34" s="143">
        <f>IFERROR(INDEX('Historic Inputs'!$B$11:$B$46,MATCH('Consolidated Inputs'!$B34,'Historic Inputs'!$A$11:$A$46,0)),"")</f>
        <v>1218</v>
      </c>
      <c r="E34" s="143">
        <f>IFERROR(INDEX('Historic Inputs'!$E$11:$E$45,MATCH('Consolidated Inputs'!$B34,'Historic Inputs'!$D$11:$D$45,0)),"")</f>
        <v>1154</v>
      </c>
      <c r="F34" s="144">
        <f>IFERROR(INDEX('Historic Inputs'!$H$11:$H$45,MATCH('Consolidated Inputs'!$B34,'Historic Inputs'!$G$11:$G$45,0)),"")</f>
        <v>833.24755500000003</v>
      </c>
      <c r="G34" s="145">
        <f>IFERROR(INDEX('Forecast Inputs'!B$6:B$49,MATCH('Consolidated Inputs'!$C34,'Forecast Inputs'!$A$6:$A$49,0)),"")</f>
        <v>1218</v>
      </c>
      <c r="H34" s="142">
        <f>IFERROR(INDEX('Forecast Inputs'!C$6:C$49,MATCH('Consolidated Inputs'!$C34,'Forecast Inputs'!$A$6:$A$49,0)),"")</f>
        <v>1154</v>
      </c>
      <c r="I34" s="152">
        <f>IFERROR(INDEX('Forecast Inputs'!D$6:D$49,MATCH('Consolidated Inputs'!$C34,'Forecast Inputs'!$A$6:$A$49,0)),"")</f>
        <v>833.24755500000003</v>
      </c>
      <c r="J34" s="148">
        <f t="shared" si="7"/>
        <v>1</v>
      </c>
      <c r="K34" s="45">
        <f t="shared" si="1"/>
        <v>1</v>
      </c>
      <c r="L34" s="153">
        <f t="shared" si="2"/>
        <v>1</v>
      </c>
      <c r="M34" s="151">
        <f t="shared" si="8"/>
        <v>1218</v>
      </c>
      <c r="N34" s="48">
        <f t="shared" si="3"/>
        <v>1154</v>
      </c>
      <c r="O34" s="48">
        <f t="shared" si="4"/>
        <v>833.24755500000003</v>
      </c>
    </row>
    <row r="35" spans="1:15" ht="14.4" x14ac:dyDescent="0.3">
      <c r="A35" s="10">
        <f t="shared" si="0"/>
        <v>44104</v>
      </c>
      <c r="B35" s="10" t="str">
        <f t="shared" si="5"/>
        <v>2020Q3</v>
      </c>
      <c r="C35" s="42">
        <f t="shared" si="6"/>
        <v>44075</v>
      </c>
      <c r="D35" s="143">
        <f>IFERROR(INDEX('Historic Inputs'!$B$11:$B$46,MATCH('Consolidated Inputs'!$B35,'Historic Inputs'!$A$11:$A$46,0)),"")</f>
        <v>1225</v>
      </c>
      <c r="E35" s="143">
        <f>IFERROR(INDEX('Historic Inputs'!$E$11:$E$45,MATCH('Consolidated Inputs'!$B35,'Historic Inputs'!$D$11:$D$45,0)),"")</f>
        <v>1161</v>
      </c>
      <c r="F35" s="144">
        <f>IFERROR(INDEX('Historic Inputs'!$H$11:$H$45,MATCH('Consolidated Inputs'!$B35,'Historic Inputs'!$G$11:$G$45,0)),"")</f>
        <v>835.82089599999995</v>
      </c>
      <c r="G35" s="145">
        <f>IFERROR(INDEX('Forecast Inputs'!B$6:B$49,MATCH('Consolidated Inputs'!$C35,'Forecast Inputs'!$A$6:$A$49,0)),"")</f>
        <v>1225</v>
      </c>
      <c r="H35" s="142">
        <f>IFERROR(INDEX('Forecast Inputs'!C$6:C$49,MATCH('Consolidated Inputs'!$C35,'Forecast Inputs'!$A$6:$A$49,0)),"")</f>
        <v>1161</v>
      </c>
      <c r="I35" s="152">
        <f>IFERROR(INDEX('Forecast Inputs'!D$6:D$49,MATCH('Consolidated Inputs'!$C35,'Forecast Inputs'!$A$6:$A$49,0)),"")</f>
        <v>835.82089599999995</v>
      </c>
      <c r="J35" s="148">
        <f t="shared" si="7"/>
        <v>1</v>
      </c>
      <c r="K35" s="45">
        <f t="shared" si="1"/>
        <v>1</v>
      </c>
      <c r="L35" s="153">
        <f t="shared" si="2"/>
        <v>1</v>
      </c>
      <c r="M35" s="151">
        <f t="shared" si="8"/>
        <v>1225</v>
      </c>
      <c r="N35" s="48">
        <f t="shared" si="3"/>
        <v>1161</v>
      </c>
      <c r="O35" s="48">
        <f t="shared" si="4"/>
        <v>835.82089599999995</v>
      </c>
    </row>
    <row r="36" spans="1:15" ht="14.4" x14ac:dyDescent="0.3">
      <c r="A36" s="10">
        <f t="shared" si="0"/>
        <v>44196</v>
      </c>
      <c r="B36" s="10" t="str">
        <f t="shared" si="5"/>
        <v>2020Q4</v>
      </c>
      <c r="C36" s="42">
        <f t="shared" si="6"/>
        <v>44166</v>
      </c>
      <c r="D36" s="143">
        <f>IFERROR(INDEX('Historic Inputs'!$B$11:$B$46,MATCH('Consolidated Inputs'!$B36,'Historic Inputs'!$A$11:$A$46,0)),"")</f>
        <v>1230</v>
      </c>
      <c r="E36" s="143">
        <f>IFERROR(INDEX('Historic Inputs'!$E$11:$E$45,MATCH('Consolidated Inputs'!$B36,'Historic Inputs'!$D$11:$D$45,0)),"")</f>
        <v>1162</v>
      </c>
      <c r="F36" s="144">
        <f>IFERROR(INDEX('Historic Inputs'!$H$11:$H$45,MATCH('Consolidated Inputs'!$B36,'Historic Inputs'!$G$11:$G$45,0)),"")</f>
        <v>840.96757600000001</v>
      </c>
      <c r="G36" s="145">
        <f>IFERROR(INDEX('Forecast Inputs'!B$6:B$49,MATCH('Consolidated Inputs'!$C36,'Forecast Inputs'!$A$6:$A$49,0)),"")</f>
        <v>1230</v>
      </c>
      <c r="H36" s="142">
        <f>IFERROR(INDEX('Forecast Inputs'!C$6:C$49,MATCH('Consolidated Inputs'!$C36,'Forecast Inputs'!$A$6:$A$49,0)),"")</f>
        <v>1162</v>
      </c>
      <c r="I36" s="152">
        <f>IFERROR(INDEX('Forecast Inputs'!D$6:D$49,MATCH('Consolidated Inputs'!$C36,'Forecast Inputs'!$A$6:$A$49,0)),"")</f>
        <v>840.96757600000001</v>
      </c>
      <c r="J36" s="148">
        <f t="shared" si="7"/>
        <v>1</v>
      </c>
      <c r="K36" s="45">
        <f t="shared" si="1"/>
        <v>1</v>
      </c>
      <c r="L36" s="153">
        <f t="shared" si="2"/>
        <v>1</v>
      </c>
      <c r="M36" s="151">
        <f t="shared" si="8"/>
        <v>1230</v>
      </c>
      <c r="N36" s="48">
        <f t="shared" si="3"/>
        <v>1162</v>
      </c>
      <c r="O36" s="48">
        <f t="shared" si="4"/>
        <v>840.96757600000001</v>
      </c>
    </row>
    <row r="37" spans="1:15" ht="14.4" x14ac:dyDescent="0.3">
      <c r="A37" s="10">
        <f t="shared" si="0"/>
        <v>44286</v>
      </c>
      <c r="B37" s="10" t="str">
        <f t="shared" si="5"/>
        <v>2021Q1</v>
      </c>
      <c r="C37" s="42">
        <f t="shared" si="6"/>
        <v>44256</v>
      </c>
      <c r="D37" s="143">
        <f>IFERROR(INDEX('Historic Inputs'!$B$11:$B$46,MATCH('Consolidated Inputs'!$B37,'Historic Inputs'!$A$11:$A$46,0)),"")</f>
        <v>1235</v>
      </c>
      <c r="E37" s="143">
        <f>IFERROR(INDEX('Historic Inputs'!$E$11:$E$45,MATCH('Consolidated Inputs'!$B37,'Historic Inputs'!$D$11:$D$45,0)),"")</f>
        <v>1186</v>
      </c>
      <c r="F37" s="144">
        <f>IFERROR(INDEX('Historic Inputs'!$H$11:$H$45,MATCH('Consolidated Inputs'!$B37,'Historic Inputs'!$G$11:$G$45,0)),"")</f>
        <v>846.11425599999995</v>
      </c>
      <c r="G37" s="145">
        <f>IFERROR(INDEX('Forecast Inputs'!B$6:B$49,MATCH('Consolidated Inputs'!$C37,'Forecast Inputs'!$A$6:$A$49,0)),"")</f>
        <v>1235</v>
      </c>
      <c r="H37" s="142">
        <f>IFERROR(INDEX('Forecast Inputs'!C$6:C$49,MATCH('Consolidated Inputs'!$C37,'Forecast Inputs'!$A$6:$A$49,0)),"")</f>
        <v>1186</v>
      </c>
      <c r="I37" s="152">
        <f>IFERROR(INDEX('Forecast Inputs'!D$6:D$49,MATCH('Consolidated Inputs'!$C37,'Forecast Inputs'!$A$6:$A$49,0)),"")</f>
        <v>846.11425599999995</v>
      </c>
      <c r="J37" s="148">
        <f t="shared" si="7"/>
        <v>1</v>
      </c>
      <c r="K37" s="45">
        <f t="shared" si="1"/>
        <v>1</v>
      </c>
      <c r="L37" s="153">
        <f t="shared" si="2"/>
        <v>1</v>
      </c>
      <c r="M37" s="151">
        <f t="shared" si="8"/>
        <v>1235</v>
      </c>
      <c r="N37" s="48">
        <f t="shared" si="3"/>
        <v>1186</v>
      </c>
      <c r="O37" s="48">
        <f t="shared" si="4"/>
        <v>846.11425599999995</v>
      </c>
    </row>
    <row r="38" spans="1:15" ht="14.4" x14ac:dyDescent="0.3">
      <c r="A38" s="10">
        <f t="shared" si="0"/>
        <v>44377</v>
      </c>
      <c r="B38" s="10" t="str">
        <f t="shared" si="5"/>
        <v>2021Q2</v>
      </c>
      <c r="C38" s="42">
        <f t="shared" si="6"/>
        <v>44348</v>
      </c>
      <c r="D38" s="143">
        <f>IFERROR(INDEX('Historic Inputs'!$B$11:$B$46,MATCH('Consolidated Inputs'!$B38,'Historic Inputs'!$A$11:$A$46,0)),"")</f>
        <v>1244</v>
      </c>
      <c r="E38" s="143">
        <f>IFERROR(INDEX('Historic Inputs'!$E$11:$E$45,MATCH('Consolidated Inputs'!$B38,'Historic Inputs'!$D$11:$D$45,0)),"")</f>
        <v>1222</v>
      </c>
      <c r="F38" s="144">
        <f>IFERROR(INDEX('Historic Inputs'!$H$11:$H$45,MATCH('Consolidated Inputs'!$B38,'Historic Inputs'!$G$11:$G$45,0)),"")</f>
        <v>870.81832199999997</v>
      </c>
      <c r="G38" s="145">
        <f>IFERROR(INDEX('Forecast Inputs'!B$6:B$49,MATCH('Consolidated Inputs'!$C38,'Forecast Inputs'!$A$6:$A$49,0)),"")</f>
        <v>1244</v>
      </c>
      <c r="H38" s="142">
        <f>IFERROR(INDEX('Forecast Inputs'!C$6:C$49,MATCH('Consolidated Inputs'!$C38,'Forecast Inputs'!$A$6:$A$49,0)),"")</f>
        <v>1222</v>
      </c>
      <c r="I38" s="152">
        <f>IFERROR(INDEX('Forecast Inputs'!D$6:D$49,MATCH('Consolidated Inputs'!$C38,'Forecast Inputs'!$A$6:$A$49,0)),"")</f>
        <v>870.81832199999997</v>
      </c>
      <c r="J38" s="148">
        <f t="shared" si="7"/>
        <v>1</v>
      </c>
      <c r="K38" s="45">
        <f t="shared" si="1"/>
        <v>1</v>
      </c>
      <c r="L38" s="153">
        <f t="shared" si="2"/>
        <v>1</v>
      </c>
      <c r="M38" s="151">
        <f t="shared" si="8"/>
        <v>1244</v>
      </c>
      <c r="N38" s="48">
        <f t="shared" si="3"/>
        <v>1222</v>
      </c>
      <c r="O38" s="48">
        <f t="shared" si="4"/>
        <v>870.81832199999997</v>
      </c>
    </row>
    <row r="39" spans="1:15" ht="14.4" x14ac:dyDescent="0.3">
      <c r="A39" s="10">
        <f t="shared" si="0"/>
        <v>44469</v>
      </c>
      <c r="B39" s="10" t="str">
        <f t="shared" si="5"/>
        <v>2021Q3</v>
      </c>
      <c r="C39" s="42">
        <f t="shared" si="6"/>
        <v>44440</v>
      </c>
      <c r="D39" s="143">
        <f>IFERROR(INDEX('Historic Inputs'!$B$11:$B$46,MATCH('Consolidated Inputs'!$B39,'Historic Inputs'!$A$11:$A$46,0)),"")</f>
        <v>1254</v>
      </c>
      <c r="E39" s="143">
        <f>IFERROR(INDEX('Historic Inputs'!$E$11:$E$45,MATCH('Consolidated Inputs'!$B39,'Historic Inputs'!$D$11:$D$45,0)),"")</f>
        <v>1242</v>
      </c>
      <c r="F39" s="144">
        <f>IFERROR(INDEX('Historic Inputs'!$H$11:$H$45,MATCH('Consolidated Inputs'!$B39,'Historic Inputs'!$G$11:$G$45,0)),"")</f>
        <v>892.43438000000003</v>
      </c>
      <c r="G39" s="145">
        <f>IFERROR(INDEX('Forecast Inputs'!B$6:B$49,MATCH('Consolidated Inputs'!$C39,'Forecast Inputs'!$A$6:$A$49,0)),"")</f>
        <v>1254</v>
      </c>
      <c r="H39" s="142">
        <f>IFERROR(INDEX('Forecast Inputs'!C$6:C$49,MATCH('Consolidated Inputs'!$C39,'Forecast Inputs'!$A$6:$A$49,0)),"")</f>
        <v>1242</v>
      </c>
      <c r="I39" s="152">
        <f>IFERROR(INDEX('Forecast Inputs'!D$6:D$49,MATCH('Consolidated Inputs'!$C39,'Forecast Inputs'!$A$6:$A$49,0)),"")</f>
        <v>892.43438000000003</v>
      </c>
      <c r="J39" s="148">
        <f t="shared" si="7"/>
        <v>1</v>
      </c>
      <c r="K39" s="45">
        <f t="shared" si="1"/>
        <v>1</v>
      </c>
      <c r="L39" s="153">
        <f t="shared" si="2"/>
        <v>1</v>
      </c>
      <c r="M39" s="151">
        <f t="shared" si="8"/>
        <v>1254</v>
      </c>
      <c r="N39" s="48">
        <f t="shared" si="3"/>
        <v>1242</v>
      </c>
      <c r="O39" s="48">
        <f t="shared" si="4"/>
        <v>892.43438000000003</v>
      </c>
    </row>
    <row r="40" spans="1:15" ht="14.4" x14ac:dyDescent="0.3">
      <c r="A40" s="10">
        <f t="shared" si="0"/>
        <v>44561</v>
      </c>
      <c r="B40" s="10" t="str">
        <f t="shared" si="5"/>
        <v>2021Q4</v>
      </c>
      <c r="C40" s="42">
        <f t="shared" si="6"/>
        <v>44531</v>
      </c>
      <c r="D40" s="143">
        <f>IFERROR(INDEX('Historic Inputs'!$B$11:$B$46,MATCH('Consolidated Inputs'!$B40,'Historic Inputs'!$A$11:$A$46,0)),"")</f>
        <v>1262</v>
      </c>
      <c r="E40" s="143">
        <f>IFERROR(INDEX('Historic Inputs'!$E$11:$E$45,MATCH('Consolidated Inputs'!$B40,'Historic Inputs'!$D$11:$D$45,0)),"")</f>
        <v>1257</v>
      </c>
      <c r="F40" s="144">
        <f>IFERROR(INDEX('Historic Inputs'!$H$11:$H$45,MATCH('Consolidated Inputs'!$B40,'Historic Inputs'!$G$11:$G$45,0)),"")</f>
        <v>918.68245000000002</v>
      </c>
      <c r="G40" s="145">
        <f>IFERROR(INDEX('Forecast Inputs'!B$6:B$49,MATCH('Consolidated Inputs'!$C40,'Forecast Inputs'!$A$6:$A$49,0)),"")</f>
        <v>1262</v>
      </c>
      <c r="H40" s="142">
        <f>IFERROR(INDEX('Forecast Inputs'!C$6:C$49,MATCH('Consolidated Inputs'!$C40,'Forecast Inputs'!$A$6:$A$49,0)),"")</f>
        <v>1257</v>
      </c>
      <c r="I40" s="152">
        <f>IFERROR(INDEX('Forecast Inputs'!D$6:D$49,MATCH('Consolidated Inputs'!$C40,'Forecast Inputs'!$A$6:$A$49,0)),"")</f>
        <v>918.68245000000002</v>
      </c>
      <c r="J40" s="148">
        <f t="shared" si="7"/>
        <v>1</v>
      </c>
      <c r="K40" s="45">
        <f t="shared" si="1"/>
        <v>1</v>
      </c>
      <c r="L40" s="153">
        <f t="shared" si="2"/>
        <v>1</v>
      </c>
      <c r="M40" s="151">
        <f t="shared" si="8"/>
        <v>1262</v>
      </c>
      <c r="N40" s="48">
        <f t="shared" si="3"/>
        <v>1257</v>
      </c>
      <c r="O40" s="48">
        <f t="shared" si="4"/>
        <v>918.68245000000002</v>
      </c>
    </row>
    <row r="41" spans="1:15" ht="14.4" x14ac:dyDescent="0.3">
      <c r="A41" s="10">
        <f t="shared" si="0"/>
        <v>44651</v>
      </c>
      <c r="B41" s="10" t="str">
        <f t="shared" si="5"/>
        <v>2022Q1</v>
      </c>
      <c r="C41" s="42">
        <f t="shared" si="6"/>
        <v>44621</v>
      </c>
      <c r="D41" s="143">
        <f>IFERROR(INDEX('Historic Inputs'!$B$11:$B$46,MATCH('Consolidated Inputs'!$B41,'Historic Inputs'!$A$11:$A$46,0)),"")</f>
        <v>1272</v>
      </c>
      <c r="E41" s="143">
        <f>IFERROR(INDEX('Historic Inputs'!$E$11:$E$45,MATCH('Consolidated Inputs'!$B41,'Historic Inputs'!$D$11:$D$45,0)),"")</f>
        <v>1300</v>
      </c>
      <c r="F41" s="144">
        <f>IFERROR(INDEX('Historic Inputs'!$H$11:$H$45,MATCH('Consolidated Inputs'!$B41,'Historic Inputs'!$G$11:$G$45,0)),"")</f>
        <v>944.41585199999997</v>
      </c>
      <c r="G41" s="145">
        <f>IFERROR(INDEX('Forecast Inputs'!B$6:B$49,MATCH('Consolidated Inputs'!$C41,'Forecast Inputs'!$A$6:$A$49,0)),"")</f>
        <v>1272</v>
      </c>
      <c r="H41" s="142">
        <f>IFERROR(INDEX('Forecast Inputs'!C$6:C$49,MATCH('Consolidated Inputs'!$C41,'Forecast Inputs'!$A$6:$A$49,0)),"")</f>
        <v>1300</v>
      </c>
      <c r="I41" s="152">
        <f>IFERROR(INDEX('Forecast Inputs'!D$6:D$49,MATCH('Consolidated Inputs'!$C41,'Forecast Inputs'!$A$6:$A$49,0)),"")</f>
        <v>944.41585199999997</v>
      </c>
      <c r="J41" s="148">
        <f t="shared" si="7"/>
        <v>1</v>
      </c>
      <c r="K41" s="45">
        <f t="shared" si="1"/>
        <v>1</v>
      </c>
      <c r="L41" s="153">
        <f t="shared" si="2"/>
        <v>1</v>
      </c>
      <c r="M41" s="151">
        <f t="shared" si="8"/>
        <v>1272</v>
      </c>
      <c r="N41" s="48">
        <f t="shared" si="3"/>
        <v>1300</v>
      </c>
      <c r="O41" s="48">
        <f t="shared" si="4"/>
        <v>944.41585199999997</v>
      </c>
    </row>
    <row r="42" spans="1:15" ht="14.4" x14ac:dyDescent="0.3">
      <c r="A42" s="10">
        <f t="shared" si="0"/>
        <v>44742</v>
      </c>
      <c r="B42" s="10" t="str">
        <f t="shared" si="5"/>
        <v>2022Q2</v>
      </c>
      <c r="C42" s="42">
        <f t="shared" si="6"/>
        <v>44713</v>
      </c>
      <c r="D42" s="143">
        <f>IFERROR(INDEX('Historic Inputs'!$B$11:$B$46,MATCH('Consolidated Inputs'!$B42,'Historic Inputs'!$A$11:$A$46,0)),"")</f>
        <v>1286</v>
      </c>
      <c r="E42" s="143">
        <f>IFERROR(INDEX('Historic Inputs'!$E$11:$E$45,MATCH('Consolidated Inputs'!$B42,'Historic Inputs'!$D$11:$D$45,0)),"")</f>
        <v>1340</v>
      </c>
      <c r="F42" s="144">
        <f>IFERROR(INDEX('Historic Inputs'!$H$11:$H$45,MATCH('Consolidated Inputs'!$B42,'Historic Inputs'!$G$11:$G$45,0)),"")</f>
        <v>979.41327799999999</v>
      </c>
      <c r="G42" s="145">
        <f>IFERROR(INDEX('Forecast Inputs'!B$6:B$49,MATCH('Consolidated Inputs'!$C42,'Forecast Inputs'!$A$6:$A$49,0)),"")</f>
        <v>1286</v>
      </c>
      <c r="H42" s="142">
        <f>IFERROR(INDEX('Forecast Inputs'!C$6:C$49,MATCH('Consolidated Inputs'!$C42,'Forecast Inputs'!$A$6:$A$49,0)),"")</f>
        <v>1340</v>
      </c>
      <c r="I42" s="152">
        <f>IFERROR(INDEX('Forecast Inputs'!D$6:D$49,MATCH('Consolidated Inputs'!$C42,'Forecast Inputs'!$A$6:$A$49,0)),"")</f>
        <v>979.41327799999999</v>
      </c>
      <c r="J42" s="148">
        <f t="shared" si="7"/>
        <v>1</v>
      </c>
      <c r="K42" s="45">
        <f t="shared" si="1"/>
        <v>1</v>
      </c>
      <c r="L42" s="153">
        <f t="shared" si="2"/>
        <v>1</v>
      </c>
      <c r="M42" s="151">
        <f t="shared" si="8"/>
        <v>1286</v>
      </c>
      <c r="N42" s="48">
        <f t="shared" si="3"/>
        <v>1340</v>
      </c>
      <c r="O42" s="48">
        <f t="shared" si="4"/>
        <v>979.41327799999999</v>
      </c>
    </row>
    <row r="43" spans="1:15" ht="14.4" x14ac:dyDescent="0.3">
      <c r="A43" s="10">
        <f t="shared" si="0"/>
        <v>44834</v>
      </c>
      <c r="B43" s="10" t="str">
        <f t="shared" si="5"/>
        <v>2022Q3</v>
      </c>
      <c r="C43" s="42">
        <f t="shared" si="6"/>
        <v>44805</v>
      </c>
      <c r="D43" s="143">
        <f>IFERROR(INDEX('Historic Inputs'!$B$11:$B$46,MATCH('Consolidated Inputs'!$B43,'Historic Inputs'!$A$11:$A$46,0)),"")</f>
        <v>1300</v>
      </c>
      <c r="E43" s="143">
        <f>IFERROR(INDEX('Historic Inputs'!$E$11:$E$45,MATCH('Consolidated Inputs'!$B43,'Historic Inputs'!$D$11:$D$45,0)),"")</f>
        <v>1351</v>
      </c>
      <c r="F43" s="144">
        <f>IFERROR(INDEX('Historic Inputs'!$H$11:$H$45,MATCH('Consolidated Inputs'!$B43,'Historic Inputs'!$G$11:$G$45,0)),"")</f>
        <v>1000</v>
      </c>
      <c r="G43" s="145">
        <f>IFERROR(INDEX('Forecast Inputs'!B$6:B$49,MATCH('Consolidated Inputs'!$C43,'Forecast Inputs'!$A$6:$A$49,0)),"")</f>
        <v>1300</v>
      </c>
      <c r="H43" s="142">
        <f>IFERROR(INDEX('Forecast Inputs'!C$6:C$49,MATCH('Consolidated Inputs'!$C43,'Forecast Inputs'!$A$6:$A$49,0)),"")</f>
        <v>1351</v>
      </c>
      <c r="I43" s="152">
        <f>IFERROR(INDEX('Forecast Inputs'!D$6:D$49,MATCH('Consolidated Inputs'!$C43,'Forecast Inputs'!$A$6:$A$49,0)),"")</f>
        <v>1000</v>
      </c>
      <c r="J43" s="148">
        <f t="shared" si="7"/>
        <v>1</v>
      </c>
      <c r="K43" s="45">
        <f t="shared" si="1"/>
        <v>1</v>
      </c>
      <c r="L43" s="153">
        <f t="shared" si="2"/>
        <v>1</v>
      </c>
      <c r="M43" s="151">
        <f t="shared" si="8"/>
        <v>1300</v>
      </c>
      <c r="N43" s="48">
        <f t="shared" si="3"/>
        <v>1351</v>
      </c>
      <c r="O43" s="48">
        <f t="shared" si="4"/>
        <v>1000</v>
      </c>
    </row>
    <row r="44" spans="1:15" ht="14.4" x14ac:dyDescent="0.3">
      <c r="A44" s="10">
        <f t="shared" si="0"/>
        <v>44926</v>
      </c>
      <c r="B44" s="10" t="str">
        <f t="shared" si="5"/>
        <v>2022Q4</v>
      </c>
      <c r="C44" s="42">
        <f t="shared" si="6"/>
        <v>44896</v>
      </c>
      <c r="D44" s="143">
        <f>IFERROR(INDEX('Historic Inputs'!$B$11:$B$46,MATCH('Consolidated Inputs'!$B44,'Historic Inputs'!$A$11:$A$46,0)),"")</f>
        <v>1314</v>
      </c>
      <c r="E44" s="143">
        <f>IFERROR(INDEX('Historic Inputs'!$E$11:$E$45,MATCH('Consolidated Inputs'!$B44,'Historic Inputs'!$D$11:$D$45,0)),"")</f>
        <v>1358</v>
      </c>
      <c r="F44" s="144">
        <f>IFERROR(INDEX('Historic Inputs'!$H$11:$H$45,MATCH('Consolidated Inputs'!$B44,'Historic Inputs'!$G$11:$G$45,0)),"")</f>
        <v>1021</v>
      </c>
      <c r="G44" s="145">
        <f>IFERROR(INDEX('Forecast Inputs'!B$6:B$49,MATCH('Consolidated Inputs'!$C44,'Forecast Inputs'!$A$6:$A$49,0)),"")</f>
        <v>1314</v>
      </c>
      <c r="H44" s="142">
        <f>IFERROR(INDEX('Forecast Inputs'!C$6:C$49,MATCH('Consolidated Inputs'!$C44,'Forecast Inputs'!$A$6:$A$49,0)),"")</f>
        <v>1358</v>
      </c>
      <c r="I44" s="152">
        <f>IFERROR(INDEX('Forecast Inputs'!D$6:D$49,MATCH('Consolidated Inputs'!$C44,'Forecast Inputs'!$A$6:$A$49,0)),"")</f>
        <v>1021</v>
      </c>
      <c r="J44" s="148">
        <f t="shared" si="7"/>
        <v>1</v>
      </c>
      <c r="K44" s="45">
        <f t="shared" si="1"/>
        <v>1</v>
      </c>
      <c r="L44" s="153">
        <f t="shared" si="2"/>
        <v>1</v>
      </c>
      <c r="M44" s="151">
        <f t="shared" si="8"/>
        <v>1314</v>
      </c>
      <c r="N44" s="48">
        <f t="shared" si="3"/>
        <v>1358</v>
      </c>
      <c r="O44" s="48">
        <f t="shared" si="4"/>
        <v>1021</v>
      </c>
    </row>
    <row r="45" spans="1:15" ht="14.4" x14ac:dyDescent="0.3">
      <c r="A45" s="10">
        <f t="shared" si="0"/>
        <v>45016</v>
      </c>
      <c r="B45" s="10" t="str">
        <f t="shared" si="5"/>
        <v>2023Q1</v>
      </c>
      <c r="C45" s="42">
        <f t="shared" si="6"/>
        <v>44986</v>
      </c>
      <c r="D45" s="143">
        <f>IFERROR(INDEX('Historic Inputs'!$B$11:$B$46,MATCH('Consolidated Inputs'!$B45,'Historic Inputs'!$A$11:$A$46,0)),"")</f>
        <v>1327</v>
      </c>
      <c r="E45" s="143">
        <f>IFERROR(INDEX('Historic Inputs'!$E$11:$E$45,MATCH('Consolidated Inputs'!$B45,'Historic Inputs'!$D$11:$D$45,0)),"")</f>
        <v>1358</v>
      </c>
      <c r="F45" s="144">
        <f>IFERROR(INDEX('Historic Inputs'!$H$11:$H$45,MATCH('Consolidated Inputs'!$B45,'Historic Inputs'!$G$11:$G$45,0)),"")</f>
        <v>1031</v>
      </c>
      <c r="G45" s="145">
        <f>IFERROR(INDEX('Forecast Inputs'!B$6:B$49,MATCH('Consolidated Inputs'!$C45,'Forecast Inputs'!$A$6:$A$49,0)),"")</f>
        <v>1327</v>
      </c>
      <c r="H45" s="142">
        <f>IFERROR(INDEX('Forecast Inputs'!C$6:C$49,MATCH('Consolidated Inputs'!$C45,'Forecast Inputs'!$A$6:$A$49,0)),"")</f>
        <v>1358</v>
      </c>
      <c r="I45" s="152">
        <f>IFERROR(INDEX('Forecast Inputs'!D$6:D$49,MATCH('Consolidated Inputs'!$C45,'Forecast Inputs'!$A$6:$A$49,0)),"")</f>
        <v>1031</v>
      </c>
      <c r="J45" s="148">
        <f t="shared" si="7"/>
        <v>1</v>
      </c>
      <c r="K45" s="45">
        <f t="shared" si="1"/>
        <v>1</v>
      </c>
      <c r="L45" s="153">
        <f t="shared" si="2"/>
        <v>1</v>
      </c>
      <c r="M45" s="151">
        <f t="shared" si="8"/>
        <v>1327</v>
      </c>
      <c r="N45" s="48">
        <f t="shared" si="3"/>
        <v>1358</v>
      </c>
      <c r="O45" s="48">
        <f t="shared" si="4"/>
        <v>1031</v>
      </c>
    </row>
    <row r="46" spans="1:15" ht="14.4" x14ac:dyDescent="0.3">
      <c r="A46" s="10">
        <f t="shared" si="0"/>
        <v>45107</v>
      </c>
      <c r="B46" s="10" t="str">
        <f t="shared" si="5"/>
        <v>2023Q2</v>
      </c>
      <c r="C46" s="42">
        <f t="shared" si="6"/>
        <v>45078</v>
      </c>
      <c r="D46" s="143">
        <f>IFERROR(INDEX('Historic Inputs'!$B$11:$B$46,MATCH('Consolidated Inputs'!$B46,'Historic Inputs'!$A$11:$A$46,0)),"")</f>
        <v>1341</v>
      </c>
      <c r="E46" s="143">
        <f>IFERROR(INDEX('Historic Inputs'!$E$11:$E$45,MATCH('Consolidated Inputs'!$B46,'Historic Inputs'!$D$11:$D$45,0)),"")</f>
        <v>1355</v>
      </c>
      <c r="F46" s="144">
        <f>IFERROR(INDEX('Historic Inputs'!$H$11:$H$45,MATCH('Consolidated Inputs'!$B46,'Historic Inputs'!$G$11:$G$45,0)),"")</f>
        <v>1042</v>
      </c>
      <c r="G46" s="145">
        <f>IFERROR(INDEX('Forecast Inputs'!B$6:B$49,MATCH('Consolidated Inputs'!$C46,'Forecast Inputs'!$A$6:$A$49,0)),"")</f>
        <v>1341</v>
      </c>
      <c r="H46" s="142">
        <f>IFERROR(INDEX('Forecast Inputs'!C$6:C$49,MATCH('Consolidated Inputs'!$C46,'Forecast Inputs'!$A$6:$A$49,0)),"")</f>
        <v>1355</v>
      </c>
      <c r="I46" s="152">
        <f>IFERROR(INDEX('Forecast Inputs'!D$6:D$49,MATCH('Consolidated Inputs'!$C46,'Forecast Inputs'!$A$6:$A$49,0)),"")</f>
        <v>1042</v>
      </c>
      <c r="J46" s="148">
        <f t="shared" si="7"/>
        <v>1</v>
      </c>
      <c r="K46" s="45">
        <f t="shared" si="1"/>
        <v>1</v>
      </c>
      <c r="L46" s="153">
        <f t="shared" si="2"/>
        <v>1</v>
      </c>
      <c r="M46" s="151">
        <f t="shared" si="8"/>
        <v>1341</v>
      </c>
      <c r="N46" s="48">
        <f t="shared" si="3"/>
        <v>1355</v>
      </c>
      <c r="O46" s="48">
        <f t="shared" si="4"/>
        <v>1042</v>
      </c>
    </row>
    <row r="47" spans="1:15" ht="14.4" x14ac:dyDescent="0.3">
      <c r="A47" s="10">
        <f t="shared" si="0"/>
        <v>45199</v>
      </c>
      <c r="B47" s="10" t="str">
        <f t="shared" si="5"/>
        <v>2023Q3</v>
      </c>
      <c r="C47" s="42">
        <f t="shared" si="6"/>
        <v>45170</v>
      </c>
      <c r="D47" s="143">
        <f>IFERROR(INDEX('Historic Inputs'!$B$11:$B$46,MATCH('Consolidated Inputs'!$B47,'Historic Inputs'!$A$11:$A$46,0)),"")</f>
        <v>1356</v>
      </c>
      <c r="E47" s="143">
        <f>IFERROR(INDEX('Historic Inputs'!$E$11:$E$45,MATCH('Consolidated Inputs'!$B47,'Historic Inputs'!$D$11:$D$45,0)),"")</f>
        <v>1371</v>
      </c>
      <c r="F47" s="144">
        <f>IFERROR(INDEX('Historic Inputs'!$H$11:$H$45,MATCH('Consolidated Inputs'!$B47,'Historic Inputs'!$G$11:$G$45,0)),"")</f>
        <v>1050</v>
      </c>
      <c r="G47" s="145">
        <f>IFERROR(INDEX('Forecast Inputs'!B$6:B$49,MATCH('Consolidated Inputs'!$C47,'Forecast Inputs'!$A$6:$A$49,0)),"")</f>
        <v>1356</v>
      </c>
      <c r="H47" s="142">
        <f>IFERROR(INDEX('Forecast Inputs'!C$6:C$49,MATCH('Consolidated Inputs'!$C47,'Forecast Inputs'!$A$6:$A$49,0)),"")</f>
        <v>1371</v>
      </c>
      <c r="I47" s="152">
        <f>IFERROR(INDEX('Forecast Inputs'!D$6:D$49,MATCH('Consolidated Inputs'!$C47,'Forecast Inputs'!$A$6:$A$49,0)),"")</f>
        <v>1050</v>
      </c>
      <c r="J47" s="148">
        <f t="shared" si="7"/>
        <v>1</v>
      </c>
      <c r="K47" s="45">
        <f t="shared" si="1"/>
        <v>1</v>
      </c>
      <c r="L47" s="153">
        <f t="shared" si="2"/>
        <v>1</v>
      </c>
      <c r="M47" s="151">
        <f t="shared" si="8"/>
        <v>1356</v>
      </c>
      <c r="N47" s="48">
        <f t="shared" si="3"/>
        <v>1371</v>
      </c>
      <c r="O47" s="48">
        <f t="shared" si="4"/>
        <v>1050</v>
      </c>
    </row>
    <row r="48" spans="1:15" ht="14.4" x14ac:dyDescent="0.3">
      <c r="A48" s="10">
        <f t="shared" si="0"/>
        <v>45291</v>
      </c>
      <c r="B48" s="10" t="str">
        <f t="shared" si="5"/>
        <v>2023Q4</v>
      </c>
      <c r="C48" s="10">
        <f t="shared" si="6"/>
        <v>45261</v>
      </c>
      <c r="D48" s="140">
        <f>IFERROR(INDEX('Historic Inputs'!$B$11:$B$46,MATCH('Consolidated Inputs'!$B48,'Historic Inputs'!$A$11:$A$46,0)),"")</f>
        <v>1370</v>
      </c>
      <c r="E48" s="140">
        <f>IFERROR(INDEX('Historic Inputs'!$E$11:$E$45,MATCH('Consolidated Inputs'!$B48,'Historic Inputs'!$D$11:$D$45,0)),"")</f>
        <v>1384</v>
      </c>
      <c r="F48" s="141">
        <f>IFERROR(INDEX('Historic Inputs'!$H$11:$H$45,MATCH('Consolidated Inputs'!$B48,'Historic Inputs'!$G$11:$G$45,0)),"")</f>
        <v>1059</v>
      </c>
      <c r="G48" s="145">
        <f>IFERROR(INDEX('Forecast Inputs'!B$6:B$49,MATCH('Consolidated Inputs'!$C48,'Forecast Inputs'!$A$6:$A$49,0)),"")</f>
        <v>1370</v>
      </c>
      <c r="H48" s="142">
        <f>IFERROR(INDEX('Forecast Inputs'!C$6:C$49,MATCH('Consolidated Inputs'!$C48,'Forecast Inputs'!$A$6:$A$49,0)),"")</f>
        <v>1384</v>
      </c>
      <c r="I48" s="147">
        <f>IFERROR(INDEX('Forecast Inputs'!D$6:D$49,MATCH('Consolidated Inputs'!$C48,'Forecast Inputs'!$A$6:$A$49,0)),"")</f>
        <v>1059</v>
      </c>
      <c r="J48" s="148">
        <f t="shared" si="7"/>
        <v>1</v>
      </c>
      <c r="K48" s="45">
        <f t="shared" si="1"/>
        <v>1</v>
      </c>
      <c r="L48" s="150">
        <f t="shared" si="2"/>
        <v>1</v>
      </c>
      <c r="M48" s="151">
        <f t="shared" si="8"/>
        <v>1370</v>
      </c>
      <c r="N48" s="48">
        <f t="shared" si="3"/>
        <v>1384</v>
      </c>
      <c r="O48" s="48">
        <f t="shared" si="4"/>
        <v>1059</v>
      </c>
    </row>
    <row r="49" spans="1:15" ht="14.4" x14ac:dyDescent="0.3">
      <c r="A49" s="10">
        <f t="shared" si="0"/>
        <v>45382</v>
      </c>
      <c r="B49" s="10" t="str">
        <f t="shared" si="5"/>
        <v>2024Q1</v>
      </c>
      <c r="C49" s="10">
        <f t="shared" si="6"/>
        <v>45352</v>
      </c>
      <c r="D49" s="154" t="str">
        <f>IFERROR(INDEX('Historic Inputs'!$B$11:$B$46,MATCH('Consolidated Inputs'!$B49,'Historic Inputs'!$A$11:$A$46,0)),"")</f>
        <v/>
      </c>
      <c r="E49" s="154" t="str">
        <f>IFERROR(INDEX('Historic Inputs'!$E$11:$E$45,MATCH('Consolidated Inputs'!$B49,'Historic Inputs'!$D$11:$D$45,0)),"")</f>
        <v/>
      </c>
      <c r="F49" s="154" t="str">
        <f>IFERROR(INDEX('Historic Inputs'!$H$11:$H$45,MATCH('Consolidated Inputs'!$B49,'Historic Inputs'!$G$11:$G$45,0)),"")</f>
        <v/>
      </c>
      <c r="G49" s="142">
        <f>IFERROR(INDEX('Forecast Inputs'!B$6:B$49,MATCH('Consolidated Inputs'!$C49,'Forecast Inputs'!$A$6:$A$49,0)),"")</f>
        <v>1379.59130878412</v>
      </c>
      <c r="H49" s="142">
        <f>IFERROR(INDEX('Forecast Inputs'!C$6:C$49,MATCH('Consolidated Inputs'!$C49,'Forecast Inputs'!$A$6:$A$49,0)),"")</f>
        <v>1391.2272971019609</v>
      </c>
      <c r="I49" s="142">
        <f>IFERROR(INDEX('Forecast Inputs'!D$6:D$49,MATCH('Consolidated Inputs'!$C49,'Forecast Inputs'!$A$6:$A$49,0)),"")</f>
        <v>1066.3753462263355</v>
      </c>
      <c r="J49" s="45" t="str">
        <f t="shared" si="7"/>
        <v/>
      </c>
      <c r="K49" s="45" t="str">
        <f t="shared" si="1"/>
        <v/>
      </c>
      <c r="L49" s="45" t="str">
        <f t="shared" si="2"/>
        <v/>
      </c>
      <c r="M49" s="48">
        <f t="shared" si="8"/>
        <v>1379.59130878412</v>
      </c>
      <c r="N49" s="48">
        <f t="shared" si="3"/>
        <v>1391.2272971019609</v>
      </c>
      <c r="O49" s="48">
        <f t="shared" si="4"/>
        <v>1066.3753462263355</v>
      </c>
    </row>
    <row r="50" spans="1:15" ht="14.4" x14ac:dyDescent="0.3">
      <c r="A50" s="10">
        <f t="shared" si="0"/>
        <v>45473</v>
      </c>
      <c r="B50" s="10" t="str">
        <f t="shared" si="5"/>
        <v>2024Q2</v>
      </c>
      <c r="C50" s="10">
        <f t="shared" si="6"/>
        <v>45444</v>
      </c>
      <c r="D50" s="154" t="str">
        <f>IFERROR(INDEX('Historic Inputs'!$B$11:$B$46,MATCH('Consolidated Inputs'!$B50,'Historic Inputs'!$A$11:$A$46,0)),"")</f>
        <v/>
      </c>
      <c r="E50" s="154" t="str">
        <f>IFERROR(INDEX('Historic Inputs'!$E$11:$E$45,MATCH('Consolidated Inputs'!$B50,'Historic Inputs'!$D$11:$D$45,0)),"")</f>
        <v/>
      </c>
      <c r="F50" s="154" t="str">
        <f>IFERROR(INDEX('Historic Inputs'!$H$11:$H$45,MATCH('Consolidated Inputs'!$B50,'Historic Inputs'!$G$11:$G$45,0)),"")</f>
        <v/>
      </c>
      <c r="G50" s="142">
        <f>IFERROR(INDEX('Forecast Inputs'!B$6:B$49,MATCH('Consolidated Inputs'!$C50,'Forecast Inputs'!$A$6:$A$49,0)),"")</f>
        <v>1390.5584667808021</v>
      </c>
      <c r="H50" s="142">
        <f>IFERROR(INDEX('Forecast Inputs'!C$6:C$49,MATCH('Consolidated Inputs'!$C50,'Forecast Inputs'!$A$6:$A$49,0)),"")</f>
        <v>1398.7449451400435</v>
      </c>
      <c r="I50" s="142">
        <f>IFERROR(INDEX('Forecast Inputs'!D$6:D$49,MATCH('Consolidated Inputs'!$C50,'Forecast Inputs'!$A$6:$A$49,0)),"")</f>
        <v>1073.3412096550865</v>
      </c>
      <c r="J50" s="45" t="str">
        <f t="shared" si="7"/>
        <v/>
      </c>
      <c r="K50" s="45" t="str">
        <f t="shared" si="1"/>
        <v/>
      </c>
      <c r="L50" s="45" t="str">
        <f t="shared" si="2"/>
        <v/>
      </c>
      <c r="M50" s="48">
        <f t="shared" si="8"/>
        <v>1390.5584667808021</v>
      </c>
      <c r="N50" s="48">
        <f t="shared" si="3"/>
        <v>1398.7449451400435</v>
      </c>
      <c r="O50" s="48">
        <f t="shared" si="4"/>
        <v>1073.3412096550865</v>
      </c>
    </row>
    <row r="51" spans="1:15" ht="14.4" x14ac:dyDescent="0.3">
      <c r="A51" s="10">
        <f t="shared" si="0"/>
        <v>45565</v>
      </c>
      <c r="B51" s="10" t="str">
        <f t="shared" si="5"/>
        <v>2024Q3</v>
      </c>
      <c r="C51" s="10">
        <f t="shared" si="6"/>
        <v>45536</v>
      </c>
      <c r="D51" s="154" t="str">
        <f>IFERROR(INDEX('Historic Inputs'!$B$11:$B$46,MATCH('Consolidated Inputs'!$B51,'Historic Inputs'!$A$11:$A$46,0)),"")</f>
        <v/>
      </c>
      <c r="E51" s="154" t="str">
        <f>IFERROR(INDEX('Historic Inputs'!$E$11:$E$45,MATCH('Consolidated Inputs'!$B51,'Historic Inputs'!$D$11:$D$45,0)),"")</f>
        <v/>
      </c>
      <c r="F51" s="154" t="str">
        <f>IFERROR(INDEX('Historic Inputs'!$H$11:$H$45,MATCH('Consolidated Inputs'!$B51,'Historic Inputs'!$G$11:$G$45,0)),"")</f>
        <v/>
      </c>
      <c r="G51" s="142">
        <f>IFERROR(INDEX('Forecast Inputs'!B$6:B$49,MATCH('Consolidated Inputs'!$C51,'Forecast Inputs'!$A$6:$A$49,0)),"")</f>
        <v>1399.4511019176114</v>
      </c>
      <c r="H51" s="142">
        <f>IFERROR(INDEX('Forecast Inputs'!C$6:C$49,MATCH('Consolidated Inputs'!$C51,'Forecast Inputs'!$A$6:$A$49,0)),"")</f>
        <v>1409.6915477952739</v>
      </c>
      <c r="I51" s="142">
        <f>IFERROR(INDEX('Forecast Inputs'!D$6:D$49,MATCH('Consolidated Inputs'!$C51,'Forecast Inputs'!$A$6:$A$49,0)),"")</f>
        <v>1080.0439517467171</v>
      </c>
      <c r="J51" s="45" t="str">
        <f t="shared" si="7"/>
        <v/>
      </c>
      <c r="K51" s="45" t="str">
        <f t="shared" si="1"/>
        <v/>
      </c>
      <c r="L51" s="45" t="str">
        <f t="shared" si="2"/>
        <v/>
      </c>
      <c r="M51" s="48">
        <f t="shared" si="8"/>
        <v>1399.4511019176114</v>
      </c>
      <c r="N51" s="48">
        <f t="shared" si="3"/>
        <v>1409.6915477952739</v>
      </c>
      <c r="O51" s="48">
        <f t="shared" si="4"/>
        <v>1080.0439517467171</v>
      </c>
    </row>
    <row r="52" spans="1:15" ht="14.4" x14ac:dyDescent="0.3">
      <c r="A52" s="10">
        <f t="shared" si="0"/>
        <v>45657</v>
      </c>
      <c r="B52" s="10" t="str">
        <f t="shared" si="5"/>
        <v>2024Q4</v>
      </c>
      <c r="C52" s="10">
        <f t="shared" si="6"/>
        <v>45627</v>
      </c>
      <c r="D52" s="154" t="str">
        <f>IFERROR(INDEX('Historic Inputs'!$B$11:$B$46,MATCH('Consolidated Inputs'!$B52,'Historic Inputs'!$A$11:$A$46,0)),"")</f>
        <v/>
      </c>
      <c r="E52" s="154" t="str">
        <f>IFERROR(INDEX('Historic Inputs'!$E$11:$E$45,MATCH('Consolidated Inputs'!$B52,'Historic Inputs'!$D$11:$D$45,0)),"")</f>
        <v/>
      </c>
      <c r="F52" s="154" t="str">
        <f>IFERROR(INDEX('Historic Inputs'!$H$11:$H$45,MATCH('Consolidated Inputs'!$B52,'Historic Inputs'!$G$11:$G$45,0)),"")</f>
        <v/>
      </c>
      <c r="G52" s="142">
        <f>IFERROR(INDEX('Forecast Inputs'!B$6:B$49,MATCH('Consolidated Inputs'!$C52,'Forecast Inputs'!$A$6:$A$49,0)),"")</f>
        <v>1407.2743138505241</v>
      </c>
      <c r="H52" s="142">
        <f>IFERROR(INDEX('Forecast Inputs'!C$6:C$49,MATCH('Consolidated Inputs'!$C52,'Forecast Inputs'!$A$6:$A$49,0)),"")</f>
        <v>1417.9698943076153</v>
      </c>
      <c r="I52" s="142">
        <f>IFERROR(INDEX('Forecast Inputs'!D$6:D$49,MATCH('Consolidated Inputs'!$C52,'Forecast Inputs'!$A$6:$A$49,0)),"")</f>
        <v>1086.2927977832294</v>
      </c>
      <c r="J52" s="45" t="str">
        <f t="shared" si="7"/>
        <v/>
      </c>
      <c r="K52" s="45" t="str">
        <f t="shared" si="1"/>
        <v/>
      </c>
      <c r="L52" s="45" t="str">
        <f t="shared" si="2"/>
        <v/>
      </c>
      <c r="M52" s="48">
        <f t="shared" si="8"/>
        <v>1407.2743138505241</v>
      </c>
      <c r="N52" s="48">
        <f t="shared" si="3"/>
        <v>1417.9698943076153</v>
      </c>
      <c r="O52" s="48">
        <f t="shared" si="4"/>
        <v>1086.2927977832294</v>
      </c>
    </row>
    <row r="53" spans="1:15" ht="14.4" x14ac:dyDescent="0.3">
      <c r="A53" s="10">
        <f t="shared" si="0"/>
        <v>45747</v>
      </c>
      <c r="B53" s="10" t="str">
        <f t="shared" si="5"/>
        <v>2025Q1</v>
      </c>
      <c r="C53" s="10">
        <f t="shared" si="6"/>
        <v>45717</v>
      </c>
      <c r="D53" s="154" t="str">
        <f>IFERROR(INDEX('Historic Inputs'!$B$11:$B$46,MATCH('Consolidated Inputs'!$B53,'Historic Inputs'!$A$11:$A$46,0)),"")</f>
        <v/>
      </c>
      <c r="E53" s="154" t="str">
        <f>IFERROR(INDEX('Historic Inputs'!$E$11:$E$45,MATCH('Consolidated Inputs'!$B53,'Historic Inputs'!$D$11:$D$45,0)),"")</f>
        <v/>
      </c>
      <c r="F53" s="154" t="str">
        <f>IFERROR(INDEX('Historic Inputs'!$H$11:$H$45,MATCH('Consolidated Inputs'!$B53,'Historic Inputs'!$G$11:$G$45,0)),"")</f>
        <v/>
      </c>
      <c r="G53" s="142">
        <f>IFERROR(INDEX('Forecast Inputs'!B$6:B$49,MATCH('Consolidated Inputs'!$C53,'Forecast Inputs'!$A$6:$A$49,0)),"")</f>
        <v>1414.8640410880671</v>
      </c>
      <c r="H53" s="142">
        <f>IFERROR(INDEX('Forecast Inputs'!C$6:C$49,MATCH('Consolidated Inputs'!$C53,'Forecast Inputs'!$A$6:$A$49,0)),"")</f>
        <v>1426.0704196277745</v>
      </c>
      <c r="I53" s="142">
        <f>IFERROR(INDEX('Forecast Inputs'!D$6:D$49,MATCH('Consolidated Inputs'!$C53,'Forecast Inputs'!$A$6:$A$49,0)),"")</f>
        <v>1092.2591602153648</v>
      </c>
      <c r="J53" s="45" t="str">
        <f t="shared" si="7"/>
        <v/>
      </c>
      <c r="K53" s="45" t="str">
        <f t="shared" si="1"/>
        <v/>
      </c>
      <c r="L53" s="45" t="str">
        <f t="shared" si="2"/>
        <v/>
      </c>
      <c r="M53" s="48">
        <f t="shared" si="8"/>
        <v>1414.8640410880671</v>
      </c>
      <c r="N53" s="48">
        <f t="shared" si="3"/>
        <v>1426.0704196277745</v>
      </c>
      <c r="O53" s="48">
        <f t="shared" si="4"/>
        <v>1092.2591602153648</v>
      </c>
    </row>
    <row r="54" spans="1:15" ht="14.4" x14ac:dyDescent="0.3">
      <c r="A54" s="10">
        <f t="shared" si="0"/>
        <v>45838</v>
      </c>
      <c r="B54" s="10" t="str">
        <f t="shared" si="5"/>
        <v>2025Q2</v>
      </c>
      <c r="C54" s="10">
        <f t="shared" si="6"/>
        <v>45809</v>
      </c>
      <c r="D54" s="154" t="str">
        <f>IFERROR(INDEX('Historic Inputs'!$B$11:$B$46,MATCH('Consolidated Inputs'!$B54,'Historic Inputs'!$A$11:$A$46,0)),"")</f>
        <v/>
      </c>
      <c r="E54" s="154" t="str">
        <f>IFERROR(INDEX('Historic Inputs'!$E$11:$E$45,MATCH('Consolidated Inputs'!$B54,'Historic Inputs'!$D$11:$D$45,0)),"")</f>
        <v/>
      </c>
      <c r="F54" s="154" t="str">
        <f>IFERROR(INDEX('Historic Inputs'!$H$11:$H$45,MATCH('Consolidated Inputs'!$B54,'Historic Inputs'!$G$11:$G$45,0)),"")</f>
        <v/>
      </c>
      <c r="G54" s="142">
        <f>IFERROR(INDEX('Forecast Inputs'!B$6:B$49,MATCH('Consolidated Inputs'!$C54,'Forecast Inputs'!$A$6:$A$49,0)),"")</f>
        <v>1422.4360024908026</v>
      </c>
      <c r="H54" s="142">
        <f>IFERROR(INDEX('Forecast Inputs'!C$6:C$49,MATCH('Consolidated Inputs'!$C54,'Forecast Inputs'!$A$6:$A$49,0)),"")</f>
        <v>1433.2630119258047</v>
      </c>
      <c r="I54" s="142">
        <f>IFERROR(INDEX('Forecast Inputs'!D$6:D$49,MATCH('Consolidated Inputs'!$C54,'Forecast Inputs'!$A$6:$A$49,0)),"")</f>
        <v>1097.9096929306716</v>
      </c>
      <c r="J54" s="45" t="str">
        <f t="shared" si="7"/>
        <v/>
      </c>
      <c r="K54" s="45" t="str">
        <f t="shared" si="1"/>
        <v/>
      </c>
      <c r="L54" s="45" t="str">
        <f t="shared" si="2"/>
        <v/>
      </c>
      <c r="M54" s="48">
        <f t="shared" si="8"/>
        <v>1422.4360024908026</v>
      </c>
      <c r="N54" s="48">
        <f t="shared" si="3"/>
        <v>1433.2630119258047</v>
      </c>
      <c r="O54" s="48">
        <f t="shared" si="4"/>
        <v>1097.9096929306716</v>
      </c>
    </row>
    <row r="55" spans="1:15" ht="14.4" x14ac:dyDescent="0.3">
      <c r="A55" s="10">
        <f t="shared" si="0"/>
        <v>45930</v>
      </c>
      <c r="B55" s="10" t="str">
        <f t="shared" si="5"/>
        <v>2025Q3</v>
      </c>
      <c r="C55" s="10">
        <f t="shared" si="6"/>
        <v>45901</v>
      </c>
      <c r="D55" s="154" t="str">
        <f>IFERROR(INDEX('Historic Inputs'!$B$11:$B$46,MATCH('Consolidated Inputs'!$B55,'Historic Inputs'!$A$11:$A$46,0)),"")</f>
        <v/>
      </c>
      <c r="E55" s="154" t="str">
        <f>IFERROR(INDEX('Historic Inputs'!$E$11:$E$45,MATCH('Consolidated Inputs'!$B55,'Historic Inputs'!$D$11:$D$45,0)),"")</f>
        <v/>
      </c>
      <c r="F55" s="154" t="str">
        <f>IFERROR(INDEX('Historic Inputs'!$H$11:$H$45,MATCH('Consolidated Inputs'!$B55,'Historic Inputs'!$G$11:$G$45,0)),"")</f>
        <v/>
      </c>
      <c r="G55" s="142">
        <f>IFERROR(INDEX('Forecast Inputs'!B$6:B$49,MATCH('Consolidated Inputs'!$C55,'Forecast Inputs'!$A$6:$A$49,0)),"")</f>
        <v>1429.6027747524445</v>
      </c>
      <c r="H55" s="142">
        <f>IFERROR(INDEX('Forecast Inputs'!C$6:C$49,MATCH('Consolidated Inputs'!$C55,'Forecast Inputs'!$A$6:$A$49,0)),"")</f>
        <v>1442.5912441601288</v>
      </c>
      <c r="I55" s="142">
        <f>IFERROR(INDEX('Forecast Inputs'!D$6:D$49,MATCH('Consolidated Inputs'!$C55,'Forecast Inputs'!$A$6:$A$49,0)),"")</f>
        <v>1103.6616135039426</v>
      </c>
      <c r="J55" s="45" t="str">
        <f t="shared" si="7"/>
        <v/>
      </c>
      <c r="K55" s="45" t="str">
        <f t="shared" si="1"/>
        <v/>
      </c>
      <c r="L55" s="45" t="str">
        <f t="shared" si="2"/>
        <v/>
      </c>
      <c r="M55" s="48">
        <f t="shared" si="8"/>
        <v>1429.6027747524445</v>
      </c>
      <c r="N55" s="48">
        <f t="shared" si="3"/>
        <v>1442.5912441601288</v>
      </c>
      <c r="O55" s="48">
        <f t="shared" si="4"/>
        <v>1103.6616135039426</v>
      </c>
    </row>
    <row r="56" spans="1:15" ht="14.4" x14ac:dyDescent="0.3">
      <c r="A56" s="10">
        <f t="shared" si="0"/>
        <v>46022</v>
      </c>
      <c r="B56" s="10" t="str">
        <f t="shared" si="5"/>
        <v>2025Q4</v>
      </c>
      <c r="C56" s="10">
        <f t="shared" si="6"/>
        <v>45992</v>
      </c>
      <c r="D56" s="154" t="str">
        <f>IFERROR(INDEX('Historic Inputs'!$B$11:$B$46,MATCH('Consolidated Inputs'!$B56,'Historic Inputs'!$A$11:$A$46,0)),"")</f>
        <v/>
      </c>
      <c r="E56" s="154" t="str">
        <f>IFERROR(INDEX('Historic Inputs'!$E$11:$E$45,MATCH('Consolidated Inputs'!$B56,'Historic Inputs'!$D$11:$D$45,0)),"")</f>
        <v/>
      </c>
      <c r="F56" s="154" t="str">
        <f>IFERROR(INDEX('Historic Inputs'!$H$11:$H$45,MATCH('Consolidated Inputs'!$B56,'Historic Inputs'!$G$11:$G$45,0)),"")</f>
        <v/>
      </c>
      <c r="G56" s="142">
        <f>IFERROR(INDEX('Forecast Inputs'!B$6:B$49,MATCH('Consolidated Inputs'!$C56,'Forecast Inputs'!$A$6:$A$49,0)),"")</f>
        <v>1436.8029818417019</v>
      </c>
      <c r="H56" s="142">
        <f>IFERROR(INDEX('Forecast Inputs'!C$6:C$49,MATCH('Consolidated Inputs'!$C56,'Forecast Inputs'!$A$6:$A$49,0)),"")</f>
        <v>1450.2222440848916</v>
      </c>
      <c r="I56" s="142">
        <f>IFERROR(INDEX('Forecast Inputs'!D$6:D$49,MATCH('Consolidated Inputs'!$C56,'Forecast Inputs'!$A$6:$A$49,0)),"")</f>
        <v>1109.0567315828528</v>
      </c>
      <c r="J56" s="45" t="str">
        <f t="shared" si="7"/>
        <v/>
      </c>
      <c r="K56" s="45" t="str">
        <f t="shared" si="1"/>
        <v/>
      </c>
      <c r="L56" s="45" t="str">
        <f t="shared" si="2"/>
        <v/>
      </c>
      <c r="M56" s="48">
        <f t="shared" si="8"/>
        <v>1436.8029818417019</v>
      </c>
      <c r="N56" s="48">
        <f t="shared" si="3"/>
        <v>1450.2222440848916</v>
      </c>
      <c r="O56" s="48">
        <f t="shared" si="4"/>
        <v>1109.0567315828528</v>
      </c>
    </row>
    <row r="57" spans="1:15" ht="14.4" x14ac:dyDescent="0.3">
      <c r="A57" s="10">
        <f t="shared" si="0"/>
        <v>46112</v>
      </c>
      <c r="B57" s="10" t="str">
        <f t="shared" si="5"/>
        <v>2026Q1</v>
      </c>
      <c r="C57" s="10">
        <f t="shared" si="6"/>
        <v>46082</v>
      </c>
      <c r="D57" s="154" t="str">
        <f>IFERROR(INDEX('Historic Inputs'!$B$11:$B$46,MATCH('Consolidated Inputs'!$B57,'Historic Inputs'!$A$11:$A$46,0)),"")</f>
        <v/>
      </c>
      <c r="E57" s="154" t="str">
        <f>IFERROR(INDEX('Historic Inputs'!$E$11:$E$45,MATCH('Consolidated Inputs'!$B57,'Historic Inputs'!$D$11:$D$45,0)),"")</f>
        <v/>
      </c>
      <c r="F57" s="154" t="str">
        <f>IFERROR(INDEX('Historic Inputs'!$H$11:$H$45,MATCH('Consolidated Inputs'!$B57,'Historic Inputs'!$G$11:$G$45,0)),"")</f>
        <v/>
      </c>
      <c r="G57" s="142">
        <f>IFERROR(INDEX('Forecast Inputs'!B$6:B$49,MATCH('Consolidated Inputs'!$C57,'Forecast Inputs'!$A$6:$A$49,0)),"")</f>
        <v>1444.0850123515904</v>
      </c>
      <c r="H57" s="142">
        <f>IFERROR(INDEX('Forecast Inputs'!C$6:C$49,MATCH('Consolidated Inputs'!$C57,'Forecast Inputs'!$A$6:$A$49,0)),"")</f>
        <v>1458.9389987922368</v>
      </c>
      <c r="I57" s="142">
        <f>IFERROR(INDEX('Forecast Inputs'!D$6:D$49,MATCH('Consolidated Inputs'!$C57,'Forecast Inputs'!$A$6:$A$49,0)),"")</f>
        <v>1114.5278741412842</v>
      </c>
      <c r="J57" s="45" t="str">
        <f t="shared" si="7"/>
        <v/>
      </c>
      <c r="K57" s="45" t="str">
        <f t="shared" si="1"/>
        <v/>
      </c>
      <c r="L57" s="45" t="str">
        <f t="shared" si="2"/>
        <v/>
      </c>
      <c r="M57" s="48">
        <f t="shared" si="8"/>
        <v>1444.0850123515904</v>
      </c>
      <c r="N57" s="48">
        <f t="shared" si="3"/>
        <v>1458.9389987922368</v>
      </c>
      <c r="O57" s="48">
        <f t="shared" si="4"/>
        <v>1114.5278741412842</v>
      </c>
    </row>
    <row r="58" spans="1:15" ht="14.4" x14ac:dyDescent="0.3">
      <c r="A58" s="10">
        <f t="shared" si="0"/>
        <v>46203</v>
      </c>
      <c r="B58" s="10" t="str">
        <f t="shared" si="5"/>
        <v>2026Q2</v>
      </c>
      <c r="C58" s="10">
        <f t="shared" si="6"/>
        <v>46174</v>
      </c>
      <c r="D58" s="154" t="str">
        <f>IFERROR(INDEX('Historic Inputs'!$B$11:$B$46,MATCH('Consolidated Inputs'!$B58,'Historic Inputs'!$A$11:$A$46,0)),"")</f>
        <v/>
      </c>
      <c r="E58" s="154" t="str">
        <f>IFERROR(INDEX('Historic Inputs'!$E$11:$E$45,MATCH('Consolidated Inputs'!$B58,'Historic Inputs'!$D$11:$D$45,0)),"")</f>
        <v/>
      </c>
      <c r="F58" s="154" t="str">
        <f>IFERROR(INDEX('Historic Inputs'!$H$11:$H$45,MATCH('Consolidated Inputs'!$B58,'Historic Inputs'!$G$11:$G$45,0)),"")</f>
        <v/>
      </c>
      <c r="G58" s="142">
        <f>IFERROR(INDEX('Forecast Inputs'!B$6:B$49,MATCH('Consolidated Inputs'!$C58,'Forecast Inputs'!$A$6:$A$49,0)),"")</f>
        <v>1450.6718210115375</v>
      </c>
      <c r="H58" s="142">
        <f>IFERROR(INDEX('Forecast Inputs'!C$6:C$49,MATCH('Consolidated Inputs'!$C58,'Forecast Inputs'!$A$6:$A$49,0)),"")</f>
        <v>1466.4985818003649</v>
      </c>
      <c r="I58" s="142">
        <f>IFERROR(INDEX('Forecast Inputs'!D$6:D$49,MATCH('Consolidated Inputs'!$C58,'Forecast Inputs'!$A$6:$A$49,0)),"")</f>
        <v>1119.7548491497646</v>
      </c>
      <c r="J58" s="45" t="str">
        <f t="shared" si="7"/>
        <v/>
      </c>
      <c r="K58" s="45" t="str">
        <f t="shared" si="1"/>
        <v/>
      </c>
      <c r="L58" s="45" t="str">
        <f t="shared" si="2"/>
        <v/>
      </c>
      <c r="M58" s="48">
        <f t="shared" si="8"/>
        <v>1450.6718210115375</v>
      </c>
      <c r="N58" s="48">
        <f t="shared" si="3"/>
        <v>1466.4985818003649</v>
      </c>
      <c r="O58" s="48">
        <f t="shared" si="4"/>
        <v>1119.7548491497646</v>
      </c>
    </row>
    <row r="59" spans="1:15" ht="14.4" x14ac:dyDescent="0.3">
      <c r="A59" s="10">
        <f t="shared" si="0"/>
        <v>46295</v>
      </c>
      <c r="B59" s="10" t="str">
        <f t="shared" si="5"/>
        <v>2026Q3</v>
      </c>
      <c r="C59" s="10">
        <f t="shared" si="6"/>
        <v>46266</v>
      </c>
      <c r="D59" s="154" t="str">
        <f>IFERROR(INDEX('Historic Inputs'!$B$11:$B$46,MATCH('Consolidated Inputs'!$B59,'Historic Inputs'!$A$11:$A$46,0)),"")</f>
        <v/>
      </c>
      <c r="E59" s="154" t="str">
        <f>IFERROR(INDEX('Historic Inputs'!$E$11:$E$45,MATCH('Consolidated Inputs'!$B59,'Historic Inputs'!$D$11:$D$45,0)),"")</f>
        <v/>
      </c>
      <c r="F59" s="154" t="str">
        <f>IFERROR(INDEX('Historic Inputs'!$H$11:$H$45,MATCH('Consolidated Inputs'!$B59,'Historic Inputs'!$G$11:$G$45,0)),"")</f>
        <v/>
      </c>
      <c r="G59" s="142">
        <f>IFERROR(INDEX('Forecast Inputs'!B$6:B$49,MATCH('Consolidated Inputs'!$C59,'Forecast Inputs'!$A$6:$A$49,0)),"")</f>
        <v>1456.7457097494155</v>
      </c>
      <c r="H59" s="142">
        <f>IFERROR(INDEX('Forecast Inputs'!C$6:C$49,MATCH('Consolidated Inputs'!$C59,'Forecast Inputs'!$A$6:$A$49,0)),"")</f>
        <v>1475.3524405134701</v>
      </c>
      <c r="I59" s="142">
        <f>IFERROR(INDEX('Forecast Inputs'!D$6:D$49,MATCH('Consolidated Inputs'!$C59,'Forecast Inputs'!$A$6:$A$49,0)),"")</f>
        <v>1125.1284523600445</v>
      </c>
      <c r="J59" s="45" t="str">
        <f t="shared" si="7"/>
        <v/>
      </c>
      <c r="K59" s="45" t="str">
        <f t="shared" si="1"/>
        <v/>
      </c>
      <c r="L59" s="45" t="str">
        <f t="shared" si="2"/>
        <v/>
      </c>
      <c r="M59" s="48">
        <f t="shared" si="8"/>
        <v>1456.7457097494155</v>
      </c>
      <c r="N59" s="48">
        <f t="shared" si="3"/>
        <v>1475.3524405134701</v>
      </c>
      <c r="O59" s="48">
        <f t="shared" si="4"/>
        <v>1125.1284523600445</v>
      </c>
    </row>
    <row r="60" spans="1:15" ht="14.4" x14ac:dyDescent="0.3">
      <c r="A60" s="10">
        <f t="shared" si="0"/>
        <v>46387</v>
      </c>
      <c r="B60" s="10" t="str">
        <f t="shared" si="5"/>
        <v>2026Q4</v>
      </c>
      <c r="C60" s="10">
        <f t="shared" si="6"/>
        <v>46357</v>
      </c>
      <c r="D60" s="154" t="str">
        <f>IFERROR(INDEX('Historic Inputs'!$B$11:$B$46,MATCH('Consolidated Inputs'!$B60,'Historic Inputs'!$A$11:$A$46,0)),"")</f>
        <v/>
      </c>
      <c r="E60" s="154" t="str">
        <f>IFERROR(INDEX('Historic Inputs'!$E$11:$E$45,MATCH('Consolidated Inputs'!$B60,'Historic Inputs'!$D$11:$D$45,0)),"")</f>
        <v/>
      </c>
      <c r="F60" s="154" t="str">
        <f>IFERROR(INDEX('Historic Inputs'!$H$11:$H$45,MATCH('Consolidated Inputs'!$B60,'Historic Inputs'!$G$11:$G$45,0)),"")</f>
        <v/>
      </c>
      <c r="G60" s="142">
        <f>IFERROR(INDEX('Forecast Inputs'!B$6:B$49,MATCH('Consolidated Inputs'!$C60,'Forecast Inputs'!$A$6:$A$49,0)),"")</f>
        <v>1462.6035423105911</v>
      </c>
      <c r="H60" s="142">
        <f>IFERROR(INDEX('Forecast Inputs'!C$6:C$49,MATCH('Consolidated Inputs'!$C60,'Forecast Inputs'!$A$6:$A$49,0)),"")</f>
        <v>1482.8858532941706</v>
      </c>
      <c r="I60" s="142">
        <f>IFERROR(INDEX('Forecast Inputs'!D$6:D$49,MATCH('Consolidated Inputs'!$C60,'Forecast Inputs'!$A$6:$A$49,0)),"")</f>
        <v>1130.3069564843768</v>
      </c>
      <c r="J60" s="45" t="str">
        <f t="shared" si="7"/>
        <v/>
      </c>
      <c r="K60" s="45" t="str">
        <f t="shared" si="1"/>
        <v/>
      </c>
      <c r="L60" s="45" t="str">
        <f t="shared" si="2"/>
        <v/>
      </c>
      <c r="M60" s="48">
        <f t="shared" si="8"/>
        <v>1462.6035423105911</v>
      </c>
      <c r="N60" s="48">
        <f t="shared" si="3"/>
        <v>1482.8858532941706</v>
      </c>
      <c r="O60" s="48">
        <f t="shared" si="4"/>
        <v>1130.3069564843768</v>
      </c>
    </row>
    <row r="61" spans="1:15" ht="14.4" x14ac:dyDescent="0.3">
      <c r="A61" s="10">
        <f t="shared" si="0"/>
        <v>46477</v>
      </c>
      <c r="B61" s="10" t="str">
        <f t="shared" si="5"/>
        <v>2027Q1</v>
      </c>
      <c r="C61" s="10">
        <f t="shared" si="6"/>
        <v>46447</v>
      </c>
      <c r="D61" s="154" t="str">
        <f>IFERROR(INDEX('Historic Inputs'!$B$11:$B$46,MATCH('Consolidated Inputs'!$B61,'Historic Inputs'!$A$11:$A$46,0)),"")</f>
        <v/>
      </c>
      <c r="E61" s="154" t="str">
        <f>IFERROR(INDEX('Historic Inputs'!$E$11:$E$45,MATCH('Consolidated Inputs'!$B61,'Historic Inputs'!$D$11:$D$45,0)),"")</f>
        <v/>
      </c>
      <c r="F61" s="154" t="str">
        <f>IFERROR(INDEX('Historic Inputs'!$H$11:$H$45,MATCH('Consolidated Inputs'!$B61,'Historic Inputs'!$G$11:$G$45,0)),"")</f>
        <v/>
      </c>
      <c r="G61" s="142">
        <f>IFERROR(INDEX('Forecast Inputs'!B$6:B$49,MATCH('Consolidated Inputs'!$C61,'Forecast Inputs'!$A$6:$A$49,0)),"")</f>
        <v>1468.7283130591193</v>
      </c>
      <c r="H61" s="142">
        <f>IFERROR(INDEX('Forecast Inputs'!C$6:C$49,MATCH('Consolidated Inputs'!$C61,'Forecast Inputs'!$A$6:$A$49,0)),"")</f>
        <v>1492.118321804362</v>
      </c>
      <c r="I61" s="142">
        <f>IFERROR(INDEX('Forecast Inputs'!D$6:D$49,MATCH('Consolidated Inputs'!$C61,'Forecast Inputs'!$A$6:$A$49,0)),"")</f>
        <v>1135.7014932936445</v>
      </c>
      <c r="J61" s="45" t="str">
        <f t="shared" si="7"/>
        <v/>
      </c>
      <c r="K61" s="45" t="str">
        <f t="shared" si="1"/>
        <v/>
      </c>
      <c r="L61" s="45" t="str">
        <f t="shared" si="2"/>
        <v/>
      </c>
      <c r="M61" s="48">
        <f t="shared" si="8"/>
        <v>1468.7283130591193</v>
      </c>
      <c r="N61" s="48">
        <f t="shared" si="3"/>
        <v>1492.118321804362</v>
      </c>
      <c r="O61" s="48">
        <f t="shared" si="4"/>
        <v>1135.7014932936445</v>
      </c>
    </row>
    <row r="62" spans="1:15" ht="14.4" x14ac:dyDescent="0.3">
      <c r="A62" s="10">
        <f t="shared" si="0"/>
        <v>46568</v>
      </c>
      <c r="B62" s="10" t="str">
        <f t="shared" si="5"/>
        <v>2027Q2</v>
      </c>
      <c r="C62" s="10">
        <f t="shared" si="6"/>
        <v>46539</v>
      </c>
      <c r="D62" s="154" t="str">
        <f>IFERROR(INDEX('Historic Inputs'!$B$11:$B$46,MATCH('Consolidated Inputs'!$B62,'Historic Inputs'!$A$11:$A$46,0)),"")</f>
        <v/>
      </c>
      <c r="E62" s="154" t="str">
        <f>IFERROR(INDEX('Historic Inputs'!$E$11:$E$45,MATCH('Consolidated Inputs'!$B62,'Historic Inputs'!$D$11:$D$45,0)),"")</f>
        <v/>
      </c>
      <c r="F62" s="154" t="str">
        <f>IFERROR(INDEX('Historic Inputs'!$H$11:$H$45,MATCH('Consolidated Inputs'!$B62,'Historic Inputs'!$G$11:$G$45,0)),"")</f>
        <v/>
      </c>
      <c r="G62" s="142">
        <f>IFERROR(INDEX('Forecast Inputs'!B$6:B$49,MATCH('Consolidated Inputs'!$C62,'Forecast Inputs'!$A$6:$A$49,0)),"")</f>
        <v>1475.2467180533015</v>
      </c>
      <c r="H62" s="142">
        <f>IFERROR(INDEX('Forecast Inputs'!C$6:C$49,MATCH('Consolidated Inputs'!$C62,'Forecast Inputs'!$A$6:$A$49,0)),"")</f>
        <v>1499.920764015468</v>
      </c>
      <c r="I62" s="142">
        <f>IFERROR(INDEX('Forecast Inputs'!D$6:D$49,MATCH('Consolidated Inputs'!$C62,'Forecast Inputs'!$A$6:$A$49,0)),"")</f>
        <v>1140.8855932188878</v>
      </c>
      <c r="J62" s="45" t="str">
        <f t="shared" si="7"/>
        <v/>
      </c>
      <c r="K62" s="45" t="str">
        <f t="shared" si="1"/>
        <v/>
      </c>
      <c r="L62" s="45" t="str">
        <f t="shared" si="2"/>
        <v/>
      </c>
      <c r="M62" s="48">
        <f t="shared" si="8"/>
        <v>1475.2467180533015</v>
      </c>
      <c r="N62" s="48">
        <f t="shared" si="3"/>
        <v>1499.920764015468</v>
      </c>
      <c r="O62" s="48">
        <f t="shared" si="4"/>
        <v>1140.8855932188878</v>
      </c>
    </row>
    <row r="63" spans="1:15" ht="14.4" x14ac:dyDescent="0.3">
      <c r="A63" s="10">
        <f t="shared" si="0"/>
        <v>46660</v>
      </c>
      <c r="B63" s="10" t="str">
        <f t="shared" si="5"/>
        <v>2027Q3</v>
      </c>
      <c r="C63" s="10">
        <f t="shared" si="6"/>
        <v>46631</v>
      </c>
      <c r="D63" s="154" t="str">
        <f>IFERROR(INDEX('Historic Inputs'!$B$11:$B$46,MATCH('Consolidated Inputs'!$B63,'Historic Inputs'!$A$11:$A$46,0)),"")</f>
        <v/>
      </c>
      <c r="E63" s="154" t="str">
        <f>IFERROR(INDEX('Historic Inputs'!$E$11:$E$45,MATCH('Consolidated Inputs'!$B63,'Historic Inputs'!$D$11:$D$45,0)),"")</f>
        <v/>
      </c>
      <c r="F63" s="154" t="str">
        <f>IFERROR(INDEX('Historic Inputs'!$H$11:$H$45,MATCH('Consolidated Inputs'!$B63,'Historic Inputs'!$G$11:$G$45,0)),"")</f>
        <v/>
      </c>
      <c r="G63" s="142">
        <f>IFERROR(INDEX('Forecast Inputs'!B$6:B$49,MATCH('Consolidated Inputs'!$C63,'Forecast Inputs'!$A$6:$A$49,0)),"")</f>
        <v>1482.3430998352219</v>
      </c>
      <c r="H63" s="142">
        <f>IFERROR(INDEX('Forecast Inputs'!C$6:C$49,MATCH('Consolidated Inputs'!$C63,'Forecast Inputs'!$A$6:$A$49,0)),"")</f>
        <v>1509.7110657289313</v>
      </c>
      <c r="I63" s="142">
        <f>IFERROR(INDEX('Forecast Inputs'!D$6:D$49,MATCH('Consolidated Inputs'!$C63,'Forecast Inputs'!$A$6:$A$49,0)),"")</f>
        <v>1146.343656055609</v>
      </c>
      <c r="J63" s="45" t="str">
        <f t="shared" si="7"/>
        <v/>
      </c>
      <c r="K63" s="45" t="str">
        <f t="shared" si="1"/>
        <v/>
      </c>
      <c r="L63" s="45" t="str">
        <f t="shared" si="2"/>
        <v/>
      </c>
      <c r="M63" s="48">
        <f t="shared" si="8"/>
        <v>1482.3430998352219</v>
      </c>
      <c r="N63" s="48">
        <f t="shared" si="3"/>
        <v>1509.7110657289313</v>
      </c>
      <c r="O63" s="48">
        <f t="shared" si="4"/>
        <v>1146.343656055609</v>
      </c>
    </row>
    <row r="64" spans="1:15" ht="14.4" x14ac:dyDescent="0.3">
      <c r="A64" s="10">
        <f t="shared" ref="A64:A70" si="9">EOMONTH(A65,-3)</f>
        <v>46752</v>
      </c>
      <c r="B64" s="10" t="str">
        <f t="shared" si="5"/>
        <v>2027Q4</v>
      </c>
      <c r="C64" s="10">
        <f t="shared" si="6"/>
        <v>46722</v>
      </c>
      <c r="D64" s="154" t="str">
        <f>IFERROR(INDEX('Historic Inputs'!$B$11:$B$46,MATCH('Consolidated Inputs'!$B64,'Historic Inputs'!$A$11:$A$46,0)),"")</f>
        <v/>
      </c>
      <c r="E64" s="154" t="str">
        <f>IFERROR(INDEX('Historic Inputs'!$E$11:$E$45,MATCH('Consolidated Inputs'!$B64,'Historic Inputs'!$D$11:$D$45,0)),"")</f>
        <v/>
      </c>
      <c r="F64" s="154" t="str">
        <f>IFERROR(INDEX('Historic Inputs'!$H$11:$H$45,MATCH('Consolidated Inputs'!$B64,'Historic Inputs'!$G$11:$G$45,0)),"")</f>
        <v/>
      </c>
      <c r="G64" s="142">
        <f>IFERROR(INDEX('Forecast Inputs'!B$6:B$49,MATCH('Consolidated Inputs'!$C64,'Forecast Inputs'!$A$6:$A$49,0)),"")</f>
        <v>1489.8413257107625</v>
      </c>
      <c r="H64" s="142">
        <f>IFERROR(INDEX('Forecast Inputs'!C$6:C$49,MATCH('Consolidated Inputs'!$C64,'Forecast Inputs'!$A$6:$A$49,0)),"")</f>
        <v>1518.2413577962882</v>
      </c>
      <c r="I64" s="142">
        <f>IFERROR(INDEX('Forecast Inputs'!D$6:D$49,MATCH('Consolidated Inputs'!$C64,'Forecast Inputs'!$A$6:$A$49,0)),"")</f>
        <v>1151.6330083148412</v>
      </c>
      <c r="J64" s="45" t="str">
        <f t="shared" si="7"/>
        <v/>
      </c>
      <c r="K64" s="45" t="str">
        <f t="shared" si="1"/>
        <v/>
      </c>
      <c r="L64" s="45" t="str">
        <f t="shared" si="2"/>
        <v/>
      </c>
      <c r="M64" s="48">
        <f t="shared" si="8"/>
        <v>1489.8413257107625</v>
      </c>
      <c r="N64" s="48">
        <f t="shared" si="3"/>
        <v>1518.2413577962882</v>
      </c>
      <c r="O64" s="48">
        <f t="shared" si="4"/>
        <v>1151.6330083148412</v>
      </c>
    </row>
    <row r="65" spans="1:15" ht="14.4" x14ac:dyDescent="0.3">
      <c r="A65" s="10">
        <f t="shared" si="9"/>
        <v>46843</v>
      </c>
      <c r="B65" s="10" t="str">
        <f t="shared" si="5"/>
        <v>2028Q1</v>
      </c>
      <c r="C65" s="10">
        <f t="shared" si="6"/>
        <v>46813</v>
      </c>
      <c r="D65" s="154" t="str">
        <f>IFERROR(INDEX('Historic Inputs'!$B$11:$B$46,MATCH('Consolidated Inputs'!$B65,'Historic Inputs'!$A$11:$A$46,0)),"")</f>
        <v/>
      </c>
      <c r="E65" s="154" t="str">
        <f>IFERROR(INDEX('Historic Inputs'!$E$11:$E$45,MATCH('Consolidated Inputs'!$B65,'Historic Inputs'!$D$11:$D$45,0)),"")</f>
        <v/>
      </c>
      <c r="F65" s="154" t="str">
        <f>IFERROR(INDEX('Historic Inputs'!$H$11:$H$45,MATCH('Consolidated Inputs'!$B65,'Historic Inputs'!$G$11:$G$45,0)),"")</f>
        <v/>
      </c>
      <c r="G65" s="142">
        <f>IFERROR(INDEX('Forecast Inputs'!B$6:B$49,MATCH('Consolidated Inputs'!$C65,'Forecast Inputs'!$A$6:$A$49,0)),"")</f>
        <v>1497.2386639931938</v>
      </c>
      <c r="H65" s="142">
        <f>IFERROR(INDEX('Forecast Inputs'!C$6:C$49,MATCH('Consolidated Inputs'!$C65,'Forecast Inputs'!$A$6:$A$49,0)),"")</f>
        <v>1528.0078331591571</v>
      </c>
      <c r="I65" s="142">
        <f>IFERROR(INDEX('Forecast Inputs'!D$6:D$49,MATCH('Consolidated Inputs'!$C65,'Forecast Inputs'!$A$6:$A$49,0)),"")</f>
        <v>1157.1104750875581</v>
      </c>
      <c r="J65" s="45" t="str">
        <f t="shared" si="7"/>
        <v/>
      </c>
      <c r="K65" s="45" t="str">
        <f t="shared" si="1"/>
        <v/>
      </c>
      <c r="L65" s="45" t="str">
        <f t="shared" si="2"/>
        <v/>
      </c>
      <c r="M65" s="48">
        <f t="shared" si="8"/>
        <v>1497.2386639931938</v>
      </c>
      <c r="N65" s="48">
        <f t="shared" si="3"/>
        <v>1528.0078331591571</v>
      </c>
      <c r="O65" s="48">
        <f t="shared" si="4"/>
        <v>1157.1104750875581</v>
      </c>
    </row>
    <row r="66" spans="1:15" ht="14.4" x14ac:dyDescent="0.3">
      <c r="A66" s="10">
        <f t="shared" si="9"/>
        <v>46934</v>
      </c>
      <c r="B66" s="10" t="str">
        <f t="shared" si="5"/>
        <v>2028Q2</v>
      </c>
      <c r="C66" s="10">
        <f t="shared" si="6"/>
        <v>46905</v>
      </c>
      <c r="D66" s="154" t="str">
        <f>IFERROR(INDEX('Historic Inputs'!$B$11:$B$46,MATCH('Consolidated Inputs'!$B66,'Historic Inputs'!$A$11:$A$46,0)),"")</f>
        <v/>
      </c>
      <c r="E66" s="154" t="str">
        <f>IFERROR(INDEX('Historic Inputs'!$E$11:$E$45,MATCH('Consolidated Inputs'!$B66,'Historic Inputs'!$D$11:$D$45,0)),"")</f>
        <v/>
      </c>
      <c r="F66" s="154" t="str">
        <f>IFERROR(INDEX('Historic Inputs'!$H$11:$H$45,MATCH('Consolidated Inputs'!$B66,'Historic Inputs'!$G$11:$G$45,0)),"")</f>
        <v/>
      </c>
      <c r="G66" s="142">
        <f>IFERROR(INDEX('Forecast Inputs'!B$6:B$49,MATCH('Consolidated Inputs'!$C66,'Forecast Inputs'!$A$6:$A$49,0)),"")</f>
        <v>1504.7069067022251</v>
      </c>
      <c r="H66" s="142">
        <f>IFERROR(INDEX('Forecast Inputs'!C$6:C$49,MATCH('Consolidated Inputs'!$C66,'Forecast Inputs'!$A$6:$A$49,0)),"")</f>
        <v>1536.4766832784387</v>
      </c>
      <c r="I66" s="142">
        <f>IFERROR(INDEX('Forecast Inputs'!D$6:D$49,MATCH('Consolidated Inputs'!$C66,'Forecast Inputs'!$A$6:$A$49,0)),"")</f>
        <v>1162.4386754229308</v>
      </c>
      <c r="J66" s="45" t="str">
        <f t="shared" si="7"/>
        <v/>
      </c>
      <c r="K66" s="45" t="str">
        <f t="shared" si="1"/>
        <v/>
      </c>
      <c r="L66" s="45" t="str">
        <f t="shared" si="2"/>
        <v/>
      </c>
      <c r="M66" s="48">
        <f t="shared" si="8"/>
        <v>1504.7069067022251</v>
      </c>
      <c r="N66" s="48">
        <f t="shared" si="3"/>
        <v>1536.4766832784387</v>
      </c>
      <c r="O66" s="48">
        <f t="shared" si="4"/>
        <v>1162.4386754229308</v>
      </c>
    </row>
    <row r="67" spans="1:15" ht="14.4" x14ac:dyDescent="0.3">
      <c r="A67" s="10">
        <f t="shared" si="9"/>
        <v>47026</v>
      </c>
      <c r="B67" s="10" t="str">
        <f t="shared" si="5"/>
        <v>2028Q3</v>
      </c>
      <c r="C67" s="10">
        <f t="shared" si="6"/>
        <v>46997</v>
      </c>
      <c r="D67" s="154" t="str">
        <f>IFERROR(INDEX('Historic Inputs'!$B$11:$B$46,MATCH('Consolidated Inputs'!$B67,'Historic Inputs'!$A$11:$A$46,0)),"")</f>
        <v/>
      </c>
      <c r="E67" s="154" t="str">
        <f>IFERROR(INDEX('Historic Inputs'!$E$11:$E$45,MATCH('Consolidated Inputs'!$B67,'Historic Inputs'!$D$11:$D$45,0)),"")</f>
        <v/>
      </c>
      <c r="F67" s="154" t="str">
        <f>IFERROR(INDEX('Historic Inputs'!$H$11:$H$45,MATCH('Consolidated Inputs'!$B67,'Historic Inputs'!$G$11:$G$45,0)),"")</f>
        <v/>
      </c>
      <c r="G67" s="142">
        <f>IFERROR(INDEX('Forecast Inputs'!B$6:B$49,MATCH('Consolidated Inputs'!$C67,'Forecast Inputs'!$A$6:$A$49,0)),"")</f>
        <v>1512.1990264490375</v>
      </c>
      <c r="H67" s="142">
        <f>IFERROR(INDEX('Forecast Inputs'!C$6:C$49,MATCH('Consolidated Inputs'!$C67,'Forecast Inputs'!$A$6:$A$49,0)),"")</f>
        <v>1546.798961309901</v>
      </c>
      <c r="I67" s="142">
        <f>IFERROR(INDEX('Forecast Inputs'!D$6:D$49,MATCH('Consolidated Inputs'!$C67,'Forecast Inputs'!$A$6:$A$49,0)),"")</f>
        <v>1168.0576277059135</v>
      </c>
      <c r="J67" s="45" t="str">
        <f t="shared" si="7"/>
        <v/>
      </c>
      <c r="K67" s="45" t="str">
        <f t="shared" si="1"/>
        <v/>
      </c>
      <c r="L67" s="45" t="str">
        <f t="shared" si="2"/>
        <v/>
      </c>
      <c r="M67" s="48">
        <f t="shared" si="8"/>
        <v>1512.1990264490375</v>
      </c>
      <c r="N67" s="48">
        <f t="shared" si="3"/>
        <v>1546.798961309901</v>
      </c>
      <c r="O67" s="48">
        <f t="shared" si="4"/>
        <v>1168.0576277059135</v>
      </c>
    </row>
    <row r="68" spans="1:15" ht="14.4" x14ac:dyDescent="0.3">
      <c r="A68" s="10">
        <f t="shared" si="9"/>
        <v>47118</v>
      </c>
      <c r="B68" s="10" t="str">
        <f t="shared" si="5"/>
        <v>2028Q4</v>
      </c>
      <c r="C68" s="10">
        <f t="shared" si="6"/>
        <v>47088</v>
      </c>
      <c r="D68" s="154" t="str">
        <f>IFERROR(INDEX('Historic Inputs'!$B$11:$B$46,MATCH('Consolidated Inputs'!$B68,'Historic Inputs'!$A$11:$A$46,0)),"")</f>
        <v/>
      </c>
      <c r="E68" s="154" t="str">
        <f>IFERROR(INDEX('Historic Inputs'!$E$11:$E$45,MATCH('Consolidated Inputs'!$B68,'Historic Inputs'!$D$11:$D$45,0)),"")</f>
        <v/>
      </c>
      <c r="F68" s="154" t="str">
        <f>IFERROR(INDEX('Historic Inputs'!$H$11:$H$45,MATCH('Consolidated Inputs'!$B68,'Historic Inputs'!$G$11:$G$45,0)),"")</f>
        <v/>
      </c>
      <c r="G68" s="142">
        <f>IFERROR(INDEX('Forecast Inputs'!B$6:B$49,MATCH('Consolidated Inputs'!$C68,'Forecast Inputs'!$A$6:$A$49,0)),"")</f>
        <v>1519.6890613957</v>
      </c>
      <c r="H68" s="142">
        <f>IFERROR(INDEX('Forecast Inputs'!C$6:C$49,MATCH('Consolidated Inputs'!$C68,'Forecast Inputs'!$A$6:$A$49,0)),"")</f>
        <v>1555.6310828522787</v>
      </c>
      <c r="I68" s="142">
        <f>IFERROR(INDEX('Forecast Inputs'!D$6:D$49,MATCH('Consolidated Inputs'!$C68,'Forecast Inputs'!$A$6:$A$49,0)),"")</f>
        <v>1173.5137324897703</v>
      </c>
      <c r="J68" s="45" t="str">
        <f t="shared" si="7"/>
        <v/>
      </c>
      <c r="K68" s="45" t="str">
        <f t="shared" si="1"/>
        <v/>
      </c>
      <c r="L68" s="45" t="str">
        <f t="shared" si="2"/>
        <v/>
      </c>
      <c r="M68" s="48">
        <f t="shared" si="8"/>
        <v>1519.6890613957</v>
      </c>
      <c r="N68" s="48">
        <f t="shared" si="3"/>
        <v>1555.6310828522787</v>
      </c>
      <c r="O68" s="48">
        <f t="shared" si="4"/>
        <v>1173.5137324897703</v>
      </c>
    </row>
    <row r="69" spans="1:15" ht="14.4" x14ac:dyDescent="0.3">
      <c r="A69" s="10">
        <f t="shared" si="9"/>
        <v>47208</v>
      </c>
      <c r="B69" s="10" t="str">
        <f t="shared" si="5"/>
        <v>2029Q1</v>
      </c>
      <c r="C69" s="10">
        <f t="shared" si="6"/>
        <v>47178</v>
      </c>
      <c r="D69" s="154" t="str">
        <f>IFERROR(INDEX('Historic Inputs'!$B$11:$B$46,MATCH('Consolidated Inputs'!$B69,'Historic Inputs'!$A$11:$A$46,0)),"")</f>
        <v/>
      </c>
      <c r="E69" s="154" t="str">
        <f>IFERROR(INDEX('Historic Inputs'!$E$11:$E$45,MATCH('Consolidated Inputs'!$B69,'Historic Inputs'!$D$11:$D$45,0)),"")</f>
        <v/>
      </c>
      <c r="F69" s="154" t="str">
        <f>IFERROR(INDEX('Historic Inputs'!$H$11:$H$45,MATCH('Consolidated Inputs'!$B69,'Historic Inputs'!$G$11:$G$45,0)),"")</f>
        <v/>
      </c>
      <c r="G69" s="142">
        <f>IFERROR(INDEX('Forecast Inputs'!B$6:B$49,MATCH('Consolidated Inputs'!$C69,'Forecast Inputs'!$A$6:$A$49,0)),"")</f>
        <v>1527.392201897421</v>
      </c>
      <c r="H69" s="142">
        <f>IFERROR(INDEX('Forecast Inputs'!C$6:C$49,MATCH('Consolidated Inputs'!$C69,'Forecast Inputs'!$A$6:$A$49,0)),"")</f>
        <v>1565.8879935293066</v>
      </c>
      <c r="I69" s="142">
        <f>IFERROR(INDEX('Forecast Inputs'!D$6:D$49,MATCH('Consolidated Inputs'!$C69,'Forecast Inputs'!$A$6:$A$49,0)),"")</f>
        <v>1179.1839057680154</v>
      </c>
      <c r="J69" s="45" t="str">
        <f t="shared" si="7"/>
        <v/>
      </c>
      <c r="K69" s="45" t="str">
        <f t="shared" si="1"/>
        <v/>
      </c>
      <c r="L69" s="45" t="str">
        <f t="shared" si="2"/>
        <v/>
      </c>
      <c r="M69" s="48">
        <f t="shared" si="8"/>
        <v>1527.392201897421</v>
      </c>
      <c r="N69" s="48">
        <f t="shared" si="3"/>
        <v>1565.8879935293066</v>
      </c>
      <c r="O69" s="48">
        <f t="shared" si="4"/>
        <v>1179.1839057680154</v>
      </c>
    </row>
    <row r="70" spans="1:15" ht="14.4" x14ac:dyDescent="0.3">
      <c r="A70" s="10">
        <f t="shared" si="9"/>
        <v>47299</v>
      </c>
      <c r="B70" s="10" t="str">
        <f t="shared" si="5"/>
        <v>2029Q2</v>
      </c>
      <c r="C70" s="10">
        <f t="shared" si="6"/>
        <v>47270</v>
      </c>
      <c r="D70" s="154" t="str">
        <f>IFERROR(INDEX('Historic Inputs'!$B$11:$B$46,MATCH('Consolidated Inputs'!$B70,'Historic Inputs'!$A$11:$A$46,0)),"")</f>
        <v/>
      </c>
      <c r="E70" s="154" t="str">
        <f>IFERROR(INDEX('Historic Inputs'!$E$11:$E$45,MATCH('Consolidated Inputs'!$B70,'Historic Inputs'!$D$11:$D$45,0)),"")</f>
        <v/>
      </c>
      <c r="F70" s="154" t="str">
        <f>IFERROR(INDEX('Historic Inputs'!$H$11:$H$45,MATCH('Consolidated Inputs'!$B70,'Historic Inputs'!$G$11:$G$45,0)),"")</f>
        <v/>
      </c>
      <c r="G70" s="142">
        <f>IFERROR(INDEX('Forecast Inputs'!B$6:B$49,MATCH('Consolidated Inputs'!$C70,'Forecast Inputs'!$A$6:$A$49,0)),"")</f>
        <v>1535.1511324990454</v>
      </c>
      <c r="H70" s="142">
        <f>IFERROR(INDEX('Forecast Inputs'!C$6:C$49,MATCH('Consolidated Inputs'!$C70,'Forecast Inputs'!$A$6:$A$49,0)),"")</f>
        <v>1574.7150186170304</v>
      </c>
      <c r="I70" s="142">
        <f>IFERROR(INDEX('Forecast Inputs'!D$6:D$49,MATCH('Consolidated Inputs'!$C70,'Forecast Inputs'!$A$6:$A$49,0)),"")</f>
        <v>1184.6790350030319</v>
      </c>
      <c r="J70" s="45" t="str">
        <f t="shared" si="7"/>
        <v/>
      </c>
      <c r="K70" s="45" t="str">
        <f t="shared" si="1"/>
        <v/>
      </c>
      <c r="L70" s="45" t="str">
        <f t="shared" si="2"/>
        <v/>
      </c>
      <c r="M70" s="48">
        <f t="shared" si="8"/>
        <v>1535.1511324990454</v>
      </c>
      <c r="N70" s="48">
        <f t="shared" si="3"/>
        <v>1574.7150186170304</v>
      </c>
      <c r="O70" s="48">
        <f t="shared" si="4"/>
        <v>1184.6790350030319</v>
      </c>
    </row>
    <row r="71" spans="1:15" ht="14.4" x14ac:dyDescent="0.3">
      <c r="A71" s="10">
        <f t="shared" ref="A71:A72" si="10">EOMONTH(A72,-3)</f>
        <v>47391</v>
      </c>
      <c r="B71" s="10" t="str">
        <f t="shared" si="5"/>
        <v>2029Q3</v>
      </c>
      <c r="C71" s="10">
        <f t="shared" si="6"/>
        <v>47362</v>
      </c>
      <c r="D71" s="154" t="str">
        <f>IFERROR(INDEX('Historic Inputs'!$B$11:$B$46,MATCH('Consolidated Inputs'!$B71,'Historic Inputs'!$A$11:$A$46,0)),"")</f>
        <v/>
      </c>
      <c r="E71" s="154" t="str">
        <f>IFERROR(INDEX('Historic Inputs'!$E$11:$E$45,MATCH('Consolidated Inputs'!$B71,'Historic Inputs'!$D$11:$D$45,0)),"")</f>
        <v/>
      </c>
      <c r="F71" s="154" t="str">
        <f>IFERROR(INDEX('Historic Inputs'!$H$11:$H$45,MATCH('Consolidated Inputs'!$B71,'Historic Inputs'!$G$11:$G$45,0)),"")</f>
        <v/>
      </c>
      <c r="G71" s="142">
        <f>IFERROR(INDEX('Forecast Inputs'!B$6:B$49,MATCH('Consolidated Inputs'!$C71,'Forecast Inputs'!$A$6:$A$49,0)),"")</f>
        <v>1542.9562817045069</v>
      </c>
      <c r="H71" s="142">
        <f>IFERROR(INDEX('Forecast Inputs'!C$6:C$49,MATCH('Consolidated Inputs'!$C71,'Forecast Inputs'!$A$6:$A$49,0)),"")</f>
        <v>1585.2460801451321</v>
      </c>
      <c r="I71" s="142">
        <f>IFERROR(INDEX('Forecast Inputs'!D$6:D$49,MATCH('Consolidated Inputs'!$C71,'Forecast Inputs'!$A$6:$A$49,0)),"")</f>
        <v>1190.4268720492039</v>
      </c>
      <c r="J71" s="45" t="str">
        <f t="shared" si="7"/>
        <v/>
      </c>
      <c r="K71" s="45" t="str">
        <f t="shared" si="1"/>
        <v/>
      </c>
      <c r="L71" s="45" t="str">
        <f t="shared" si="2"/>
        <v/>
      </c>
      <c r="M71" s="48">
        <f t="shared" si="8"/>
        <v>1542.9562817045069</v>
      </c>
      <c r="N71" s="48">
        <f t="shared" si="3"/>
        <v>1585.2460801451321</v>
      </c>
      <c r="O71" s="48">
        <f t="shared" si="4"/>
        <v>1190.4268720492039</v>
      </c>
    </row>
    <row r="72" spans="1:15" thickBot="1" x14ac:dyDescent="0.35">
      <c r="A72" s="155">
        <f t="shared" si="10"/>
        <v>47483</v>
      </c>
      <c r="B72" s="10" t="str">
        <f t="shared" si="5"/>
        <v>2029Q4</v>
      </c>
      <c r="C72" s="10">
        <f t="shared" si="6"/>
        <v>47453</v>
      </c>
      <c r="D72" s="154" t="str">
        <f>IFERROR(INDEX('Historic Inputs'!$B$11:$B$46,MATCH('Consolidated Inputs'!$B72,'Historic Inputs'!$A$11:$A$46,0)),"")</f>
        <v/>
      </c>
      <c r="E72" s="154" t="str">
        <f>IFERROR(INDEX('Historic Inputs'!$E$11:$E$45,MATCH('Consolidated Inputs'!$B72,'Historic Inputs'!$D$11:$D$45,0)),"")</f>
        <v/>
      </c>
      <c r="F72" s="154" t="str">
        <f>IFERROR(INDEX('Historic Inputs'!$H$11:$H$45,MATCH('Consolidated Inputs'!$B72,'Historic Inputs'!$G$11:$G$45,0)),"")</f>
        <v/>
      </c>
      <c r="G72" s="142">
        <f>IFERROR(INDEX('Forecast Inputs'!B$6:B$49,MATCH('Consolidated Inputs'!$C72,'Forecast Inputs'!$A$6:$A$49,0)),"")</f>
        <v>1550.9581744629234</v>
      </c>
      <c r="H72" s="142">
        <f>IFERROR(INDEX('Forecast Inputs'!C$6:C$49,MATCH('Consolidated Inputs'!$C72,'Forecast Inputs'!$A$6:$A$49,0)),"")</f>
        <v>1594.2170597037029</v>
      </c>
      <c r="I72" s="142">
        <f>IFERROR(INDEX('Forecast Inputs'!D$6:D$49,MATCH('Consolidated Inputs'!$C72,'Forecast Inputs'!$A$6:$A$49,0)),"")</f>
        <v>1195.9850561851172</v>
      </c>
      <c r="J72" s="45" t="str">
        <f t="shared" si="7"/>
        <v/>
      </c>
      <c r="K72" s="45" t="str">
        <f t="shared" si="1"/>
        <v/>
      </c>
      <c r="L72" s="45" t="str">
        <f t="shared" si="2"/>
        <v/>
      </c>
      <c r="M72" s="48">
        <f t="shared" si="8"/>
        <v>1550.9581744629234</v>
      </c>
      <c r="N72" s="48">
        <f t="shared" si="3"/>
        <v>1594.2170597037029</v>
      </c>
      <c r="O72" s="48">
        <f t="shared" si="4"/>
        <v>1195.9850561851172</v>
      </c>
    </row>
    <row r="73" spans="1:15" ht="14.4" x14ac:dyDescent="0.3">
      <c r="A73" s="43">
        <f>D5</f>
        <v>47573</v>
      </c>
      <c r="B73" s="10" t="str">
        <f t="shared" si="5"/>
        <v>2030Q1</v>
      </c>
      <c r="C73" s="10">
        <f t="shared" si="6"/>
        <v>47543</v>
      </c>
      <c r="D73" s="154" t="str">
        <f>IFERROR(INDEX('Historic Inputs'!$B$11:$B$46,MATCH('Consolidated Inputs'!$B73,'Historic Inputs'!$A$11:$A$46,0)),"")</f>
        <v/>
      </c>
      <c r="E73" s="154" t="str">
        <f>IFERROR(INDEX('Historic Inputs'!$E$11:$E$45,MATCH('Consolidated Inputs'!$B73,'Historic Inputs'!$D$11:$D$45,0)),"")</f>
        <v/>
      </c>
      <c r="F73" s="154" t="str">
        <f>IFERROR(INDEX('Historic Inputs'!$H$11:$H$45,MATCH('Consolidated Inputs'!$B73,'Historic Inputs'!$G$11:$G$45,0)),"")</f>
        <v/>
      </c>
      <c r="G73" s="142">
        <f>IFERROR(INDEX('Forecast Inputs'!B$6:B$49,MATCH('Consolidated Inputs'!$C73,'Forecast Inputs'!$A$6:$A$49,0)),"")</f>
        <v>1559.0547927121227</v>
      </c>
      <c r="H73" s="142">
        <f>IFERROR(INDEX('Forecast Inputs'!C$6:C$49,MATCH('Consolidated Inputs'!$C73,'Forecast Inputs'!$A$6:$A$49,0)),"")</f>
        <v>1604.6891933234706</v>
      </c>
      <c r="I73" s="142">
        <f>IFERROR(INDEX('Forecast Inputs'!D$6:D$49,MATCH('Consolidated Inputs'!$C73,'Forecast Inputs'!$A$6:$A$49,0)),"")</f>
        <v>1201.7656994046577</v>
      </c>
      <c r="J73" s="45" t="str">
        <f t="shared" si="7"/>
        <v/>
      </c>
      <c r="K73" s="45" t="str">
        <f t="shared" si="1"/>
        <v/>
      </c>
      <c r="L73" s="45" t="str">
        <f t="shared" si="2"/>
        <v/>
      </c>
      <c r="M73" s="48">
        <f t="shared" si="8"/>
        <v>1559.0547927121227</v>
      </c>
      <c r="N73" s="48">
        <f t="shared" si="3"/>
        <v>1604.6891933234706</v>
      </c>
      <c r="O73" s="48">
        <f t="shared" si="4"/>
        <v>1201.7656994046577</v>
      </c>
    </row>
    <row r="74" spans="1:15" ht="14.4" x14ac:dyDescent="0.3">
      <c r="A74" s="10"/>
      <c r="B74" s="10"/>
      <c r="C74" s="10"/>
      <c r="D74" s="156"/>
      <c r="E74" s="156"/>
      <c r="F74" s="156"/>
      <c r="G74" s="157"/>
      <c r="H74" s="158"/>
      <c r="I74" s="158"/>
      <c r="J74" s="158"/>
      <c r="K74" s="158"/>
      <c r="L74" s="158"/>
      <c r="M74" s="158"/>
      <c r="N74" s="158"/>
      <c r="O74" s="158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3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9988E"/>
    <pageSetUpPr fitToPage="1"/>
  </sheetPr>
  <dimension ref="A1:R75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5.88671875" customWidth="1"/>
    <col min="2" max="4" width="11.77734375" customWidth="1"/>
    <col min="5" max="5" width="12.77734375" customWidth="1"/>
    <col min="6" max="10" width="11.77734375" customWidth="1"/>
    <col min="11" max="11" width="13" customWidth="1"/>
    <col min="12" max="16" width="11.77734375" customWidth="1"/>
    <col min="17" max="17" width="12.77734375" customWidth="1"/>
    <col min="18" max="18" width="11.77734375" customWidth="1"/>
    <col min="19" max="19" width="9.109375" customWidth="1"/>
  </cols>
  <sheetData>
    <row r="1" spans="1:18" ht="25.8" x14ac:dyDescent="0.5">
      <c r="A1" s="71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9.350000000000001" customHeight="1" x14ac:dyDescent="0.3">
      <c r="A2" s="96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9.350000000000001" customHeight="1" x14ac:dyDescent="0.3">
      <c r="A3" s="96" t="s">
        <v>49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27.75" customHeight="1" x14ac:dyDescent="0.4">
      <c r="A4" s="69"/>
      <c r="B4" s="159" t="str">
        <f>_xlfn.CONCAT("Quarterly ",'Model Inputs'!B13)</f>
        <v>Quarterly LCI
 (all industries)</v>
      </c>
      <c r="C4" s="117"/>
      <c r="D4" s="117"/>
      <c r="E4" s="117"/>
      <c r="F4" s="117"/>
      <c r="G4" s="69"/>
      <c r="H4" s="159" t="str">
        <f>_xlfn.CONCAT("Quarterly ",'Model Inputs'!C13)</f>
        <v>Quarterly PPI
 (input - all industries)</v>
      </c>
      <c r="I4" s="117"/>
      <c r="J4" s="117"/>
      <c r="K4" s="117"/>
      <c r="L4" s="117"/>
      <c r="M4" s="69"/>
      <c r="N4" s="159" t="str">
        <f>_xlfn.CONCAT("Quarterly ",'Model Inputs'!D13)</f>
        <v>Quarterly CGPI
 (all groups)</v>
      </c>
      <c r="O4" s="117"/>
      <c r="P4" s="117"/>
      <c r="Q4" s="117"/>
      <c r="R4" s="117"/>
    </row>
    <row r="5" spans="1:18" ht="69.75" customHeight="1" x14ac:dyDescent="0.3">
      <c r="A5" s="69"/>
      <c r="B5" s="162" t="s">
        <v>13</v>
      </c>
      <c r="C5" s="160" t="s">
        <v>3</v>
      </c>
      <c r="D5" s="160" t="s">
        <v>14</v>
      </c>
      <c r="E5" s="160" t="s">
        <v>42</v>
      </c>
      <c r="F5" s="160" t="s">
        <v>15</v>
      </c>
      <c r="G5" s="161"/>
      <c r="H5" s="162" t="s">
        <v>13</v>
      </c>
      <c r="I5" s="160" t="s">
        <v>3</v>
      </c>
      <c r="J5" s="160" t="s">
        <v>14</v>
      </c>
      <c r="K5" s="160" t="s">
        <v>42</v>
      </c>
      <c r="L5" s="160" t="s">
        <v>15</v>
      </c>
      <c r="M5" s="161"/>
      <c r="N5" s="162" t="s">
        <v>13</v>
      </c>
      <c r="O5" s="160" t="s">
        <v>3</v>
      </c>
      <c r="P5" s="160" t="s">
        <v>14</v>
      </c>
      <c r="Q5" s="160" t="s">
        <v>42</v>
      </c>
      <c r="R5" s="160" t="s">
        <v>15</v>
      </c>
    </row>
    <row r="6" spans="1:18" ht="14.4" x14ac:dyDescent="0.3">
      <c r="A6" s="69"/>
      <c r="B6" s="164">
        <f t="shared" ref="B6" si="0">EOMONTH(B7,-3)</f>
        <v>42185</v>
      </c>
      <c r="C6" s="163">
        <f>INDEX('Consolidated Inputs'!$M$14:$M$73,MATCH('Growth rates'!B6,'Consolidated Inputs'!$A$14:$A$73,0))</f>
        <v>1110</v>
      </c>
      <c r="D6" s="14"/>
      <c r="E6" s="15"/>
      <c r="F6" s="8">
        <f t="shared" ref="F6" si="1">INDEX(Qtr_Wgt,MONTH(B6)/3,1)</f>
        <v>0.25</v>
      </c>
      <c r="G6" s="69"/>
      <c r="H6" s="164">
        <f t="shared" ref="H6" si="2">B6</f>
        <v>42185</v>
      </c>
      <c r="I6" s="163">
        <f>INDEX('Consolidated Inputs'!$N$14:$N$73,MATCH('Growth rates'!H6,'Consolidated Inputs'!$A$14:$A$73,0))</f>
        <v>1031</v>
      </c>
      <c r="J6" s="14"/>
      <c r="K6" s="15"/>
      <c r="L6" s="13">
        <f t="shared" ref="L6" si="3">INDEX(Qtr_Wgt,MONTH(H6)/3,2)</f>
        <v>0.25</v>
      </c>
      <c r="M6" s="69"/>
      <c r="N6" s="164">
        <f t="shared" ref="N6" si="4">B6</f>
        <v>42185</v>
      </c>
      <c r="O6" s="163">
        <f>INDEX('Consolidated Inputs'!$O$14:$O$73,MATCH('Growth rates'!N6,'Consolidated Inputs'!$A$14:$A$73,0))</f>
        <v>722.59392700000001</v>
      </c>
      <c r="P6" s="14"/>
      <c r="Q6" s="15"/>
      <c r="R6" s="13">
        <f t="shared" ref="R6" si="5">INDEX(Qtr_Wgt,MONTH(N6)/3,3)</f>
        <v>0.25</v>
      </c>
    </row>
    <row r="7" spans="1:18" ht="14.4" x14ac:dyDescent="0.3">
      <c r="A7" s="69"/>
      <c r="B7" s="164">
        <f t="shared" ref="B7:B12" si="6">EOMONTH(B8,-3)</f>
        <v>42277</v>
      </c>
      <c r="C7" s="163">
        <f>INDEX('Consolidated Inputs'!$M$14:$M$73,MATCH('Growth rates'!B7,'Consolidated Inputs'!$A$14:$A$73,0))</f>
        <v>1114</v>
      </c>
      <c r="D7" s="14"/>
      <c r="E7" s="15"/>
      <c r="F7" s="8">
        <f t="shared" ref="F7:F53" si="7">INDEX(Qtr_Wgt,MONTH(B7)/3,1)</f>
        <v>0.25</v>
      </c>
      <c r="G7" s="69"/>
      <c r="H7" s="164">
        <f t="shared" ref="H7:H53" si="8">B7</f>
        <v>42277</v>
      </c>
      <c r="I7" s="163">
        <f>INDEX('Consolidated Inputs'!$N$14:$N$73,MATCH('Growth rates'!H7,'Consolidated Inputs'!$A$14:$A$73,0))</f>
        <v>1048</v>
      </c>
      <c r="J7" s="14"/>
      <c r="K7" s="15"/>
      <c r="L7" s="13">
        <f t="shared" ref="L7:L53" si="9">INDEX(Qtr_Wgt,MONTH(H7)/3,2)</f>
        <v>0.25</v>
      </c>
      <c r="M7" s="69"/>
      <c r="N7" s="164">
        <f t="shared" ref="N7:N53" si="10">B7</f>
        <v>42277</v>
      </c>
      <c r="O7" s="163">
        <f>INDEX('Consolidated Inputs'!$O$14:$O$73,MATCH('Growth rates'!N7,'Consolidated Inputs'!$A$14:$A$73,0))</f>
        <v>732.37261999999998</v>
      </c>
      <c r="P7" s="14"/>
      <c r="Q7" s="15"/>
      <c r="R7" s="13">
        <f t="shared" ref="R7:R53" si="11">INDEX(Qtr_Wgt,MONTH(N7)/3,3)</f>
        <v>0.25</v>
      </c>
    </row>
    <row r="8" spans="1:18" ht="14.4" x14ac:dyDescent="0.3">
      <c r="A8" s="69"/>
      <c r="B8" s="164">
        <f t="shared" si="6"/>
        <v>42369</v>
      </c>
      <c r="C8" s="165">
        <f>INDEX('Consolidated Inputs'!$M$14:$M$73,MATCH('Growth rates'!B8,'Consolidated Inputs'!$A$14:$A$73,0))</f>
        <v>1119</v>
      </c>
      <c r="D8" s="14"/>
      <c r="E8" s="15"/>
      <c r="F8" s="8">
        <f t="shared" si="7"/>
        <v>0.25</v>
      </c>
      <c r="G8" s="69"/>
      <c r="H8" s="164">
        <f t="shared" si="8"/>
        <v>42369</v>
      </c>
      <c r="I8" s="165">
        <f>INDEX('Consolidated Inputs'!$N$14:$N$73,MATCH('Growth rates'!H8,'Consolidated Inputs'!$A$14:$A$73,0))</f>
        <v>1035</v>
      </c>
      <c r="J8" s="14"/>
      <c r="K8" s="15"/>
      <c r="L8" s="13">
        <f t="shared" si="9"/>
        <v>0.25</v>
      </c>
      <c r="M8" s="69"/>
      <c r="N8" s="164">
        <f t="shared" si="10"/>
        <v>42369</v>
      </c>
      <c r="O8" s="165">
        <f>INDEX('Consolidated Inputs'!$O$14:$O$73,MATCH('Growth rates'!N8,'Consolidated Inputs'!$A$14:$A$73,0))</f>
        <v>737.00463200000002</v>
      </c>
      <c r="P8" s="14"/>
      <c r="Q8" s="15"/>
      <c r="R8" s="13">
        <f t="shared" si="11"/>
        <v>0.25</v>
      </c>
    </row>
    <row r="9" spans="1:18" ht="14.4" x14ac:dyDescent="0.3">
      <c r="A9" s="69"/>
      <c r="B9" s="21">
        <f t="shared" si="6"/>
        <v>42460</v>
      </c>
      <c r="C9" s="167">
        <f>INDEX('Consolidated Inputs'!$M$14:$M$73,MATCH('Growth rates'!B9,'Consolidated Inputs'!$A$14:$A$73,0))</f>
        <v>1123</v>
      </c>
      <c r="D9" s="166">
        <f>SUMPRODUCT(C6:C9,F6:F9)</f>
        <v>1116.5</v>
      </c>
      <c r="E9" s="15"/>
      <c r="F9" s="8">
        <f t="shared" si="7"/>
        <v>0.25</v>
      </c>
      <c r="G9" s="69"/>
      <c r="H9" s="21">
        <f t="shared" si="8"/>
        <v>42460</v>
      </c>
      <c r="I9" s="167">
        <f>INDEX('Consolidated Inputs'!$N$14:$N$73,MATCH('Growth rates'!H9,'Consolidated Inputs'!$A$14:$A$73,0))</f>
        <v>1025</v>
      </c>
      <c r="J9" s="166">
        <f>SUMPRODUCT(I6:I9,L6:L9)</f>
        <v>1034.75</v>
      </c>
      <c r="K9" s="15"/>
      <c r="L9" s="13">
        <f t="shared" si="9"/>
        <v>0.25</v>
      </c>
      <c r="M9" s="69"/>
      <c r="N9" s="21">
        <f t="shared" si="10"/>
        <v>42460</v>
      </c>
      <c r="O9" s="167">
        <f>INDEX('Consolidated Inputs'!$O$14:$O$73,MATCH('Growth rates'!N9,'Consolidated Inputs'!$A$14:$A$73,0))</f>
        <v>740.60730799999999</v>
      </c>
      <c r="P9" s="166">
        <f>SUMPRODUCT(O6:O9,R6:R9)</f>
        <v>733.14462175000006</v>
      </c>
      <c r="Q9" s="15"/>
      <c r="R9" s="13">
        <f t="shared" si="11"/>
        <v>0.25</v>
      </c>
    </row>
    <row r="10" spans="1:18" ht="14.4" x14ac:dyDescent="0.3">
      <c r="A10" s="69"/>
      <c r="B10" s="21">
        <f t="shared" si="6"/>
        <v>42551</v>
      </c>
      <c r="C10" s="167">
        <f>INDEX('Consolidated Inputs'!$M$14:$M$73,MATCH('Growth rates'!B10,'Consolidated Inputs'!$A$14:$A$73,0))</f>
        <v>1127</v>
      </c>
      <c r="D10" s="166">
        <f>SUMPRODUCT(C7:C10,F7:F10)</f>
        <v>1120.75</v>
      </c>
      <c r="E10" s="15"/>
      <c r="F10" s="8">
        <f t="shared" si="7"/>
        <v>0.25</v>
      </c>
      <c r="G10" s="69"/>
      <c r="H10" s="21">
        <f t="shared" si="8"/>
        <v>42551</v>
      </c>
      <c r="I10" s="167">
        <f>INDEX('Consolidated Inputs'!$N$14:$N$73,MATCH('Growth rates'!H10,'Consolidated Inputs'!$A$14:$A$73,0))</f>
        <v>1034</v>
      </c>
      <c r="J10" s="166">
        <f>SUMPRODUCT(I7:I10,L7:L10)</f>
        <v>1035.5</v>
      </c>
      <c r="K10" s="15"/>
      <c r="L10" s="13">
        <f t="shared" si="9"/>
        <v>0.25</v>
      </c>
      <c r="M10" s="69"/>
      <c r="N10" s="21">
        <f t="shared" si="10"/>
        <v>42551</v>
      </c>
      <c r="O10" s="167">
        <f>INDEX('Consolidated Inputs'!$O$14:$O$73,MATCH('Growth rates'!N10,'Consolidated Inputs'!$A$14:$A$73,0))</f>
        <v>747.29799300000002</v>
      </c>
      <c r="P10" s="166">
        <f>SUMPRODUCT(O7:O10,R7:R10)</f>
        <v>739.32063825</v>
      </c>
      <c r="Q10" s="15"/>
      <c r="R10" s="13">
        <f t="shared" si="11"/>
        <v>0.25</v>
      </c>
    </row>
    <row r="11" spans="1:18" ht="14.4" x14ac:dyDescent="0.3">
      <c r="A11" s="69"/>
      <c r="B11" s="21">
        <f t="shared" si="6"/>
        <v>42643</v>
      </c>
      <c r="C11" s="167">
        <f>INDEX('Consolidated Inputs'!$M$14:$M$73,MATCH('Growth rates'!B11,'Consolidated Inputs'!$A$14:$A$73,0))</f>
        <v>1132</v>
      </c>
      <c r="D11" s="166">
        <f>SUMPRODUCT(C8:C11,F8:F11)</f>
        <v>1125.25</v>
      </c>
      <c r="E11" s="15"/>
      <c r="F11" s="8">
        <f t="shared" si="7"/>
        <v>0.25</v>
      </c>
      <c r="G11" s="69"/>
      <c r="H11" s="21">
        <f t="shared" si="8"/>
        <v>42643</v>
      </c>
      <c r="I11" s="167">
        <f>INDEX('Consolidated Inputs'!$N$14:$N$73,MATCH('Growth rates'!H11,'Consolidated Inputs'!$A$14:$A$73,0))</f>
        <v>1049</v>
      </c>
      <c r="J11" s="166">
        <f>SUMPRODUCT(I8:I11,L8:L11)</f>
        <v>1035.75</v>
      </c>
      <c r="K11" s="15"/>
      <c r="L11" s="13">
        <f t="shared" si="9"/>
        <v>0.25</v>
      </c>
      <c r="M11" s="69"/>
      <c r="N11" s="21">
        <f t="shared" si="10"/>
        <v>42643</v>
      </c>
      <c r="O11" s="167">
        <f>INDEX('Consolidated Inputs'!$O$14:$O$73,MATCH('Growth rates'!N11,'Consolidated Inputs'!$A$14:$A$73,0))</f>
        <v>753.47400900000002</v>
      </c>
      <c r="P11" s="166">
        <f>SUMPRODUCT(O8:O11,R8:R11)</f>
        <v>744.59598549999998</v>
      </c>
      <c r="Q11" s="15"/>
      <c r="R11" s="13">
        <f t="shared" si="11"/>
        <v>0.25</v>
      </c>
    </row>
    <row r="12" spans="1:18" thickBot="1" x14ac:dyDescent="0.35">
      <c r="A12" s="69"/>
      <c r="B12" s="21">
        <f t="shared" si="6"/>
        <v>42735</v>
      </c>
      <c r="C12" s="167">
        <f>INDEX('Consolidated Inputs'!$M$14:$M$73,MATCH('Growth rates'!B12,'Consolidated Inputs'!$A$14:$A$73,0))</f>
        <v>1137</v>
      </c>
      <c r="D12" s="168">
        <f t="shared" ref="D12:D52" si="12">SUMPRODUCT(C9:C12,F9:F12)</f>
        <v>1129.75</v>
      </c>
      <c r="E12" s="170"/>
      <c r="F12" s="8">
        <f t="shared" si="7"/>
        <v>0.25</v>
      </c>
      <c r="G12" s="69"/>
      <c r="H12" s="21">
        <f t="shared" si="8"/>
        <v>42735</v>
      </c>
      <c r="I12" s="167">
        <f>INDEX('Consolidated Inputs'!$N$14:$N$73,MATCH('Growth rates'!H12,'Consolidated Inputs'!$A$14:$A$73,0))</f>
        <v>1059</v>
      </c>
      <c r="J12" s="168">
        <f t="shared" ref="J12:J45" si="13">SUMPRODUCT(I9:I12,L9:L12)</f>
        <v>1041.75</v>
      </c>
      <c r="K12" s="170"/>
      <c r="L12" s="13">
        <f t="shared" si="9"/>
        <v>0.25</v>
      </c>
      <c r="M12" s="69"/>
      <c r="N12" s="21">
        <f t="shared" si="10"/>
        <v>42735</v>
      </c>
      <c r="O12" s="167">
        <f>INDEX('Consolidated Inputs'!$O$14:$O$73,MATCH('Growth rates'!N12,'Consolidated Inputs'!$A$14:$A$73,0))</f>
        <v>761.70869800000003</v>
      </c>
      <c r="P12" s="168">
        <f t="shared" ref="P12:P53" si="14">SUMPRODUCT(O9:O12,R9:R12)</f>
        <v>750.77200200000004</v>
      </c>
      <c r="Q12" s="170"/>
      <c r="R12" s="13">
        <f t="shared" si="11"/>
        <v>0.25</v>
      </c>
    </row>
    <row r="13" spans="1:18" ht="15.6" thickTop="1" thickBot="1" x14ac:dyDescent="0.35">
      <c r="A13" s="69"/>
      <c r="B13" s="174">
        <f>EOMONTH('Model Inputs'!$B$6,0)</f>
        <v>42825</v>
      </c>
      <c r="C13" s="165">
        <f>INDEX('Consolidated Inputs'!$M$14:$M$73,MATCH('Growth rates'!B13,'Consolidated Inputs'!$A$14:$A$73,0))</f>
        <v>1141</v>
      </c>
      <c r="D13" s="168">
        <f t="shared" si="12"/>
        <v>1134.25</v>
      </c>
      <c r="E13" s="175">
        <f>(D13-D9)/D9</f>
        <v>1.5897895208240035E-2</v>
      </c>
      <c r="F13" s="172">
        <f t="shared" si="7"/>
        <v>0.25</v>
      </c>
      <c r="G13" s="69"/>
      <c r="H13" s="21">
        <f t="shared" si="8"/>
        <v>42825</v>
      </c>
      <c r="I13" s="165">
        <f>INDEX('Consolidated Inputs'!$N$14:$N$73,MATCH('Growth rates'!H13,'Consolidated Inputs'!$A$14:$A$73,0))</f>
        <v>1068</v>
      </c>
      <c r="J13" s="168">
        <f>SUMPRODUCT(I10:I13,L10:L13)</f>
        <v>1052.5</v>
      </c>
      <c r="K13" s="175">
        <f>(J13-J9)/J9</f>
        <v>1.7153901908673594E-2</v>
      </c>
      <c r="L13" s="173">
        <f t="shared" si="9"/>
        <v>0.25</v>
      </c>
      <c r="M13" s="69"/>
      <c r="N13" s="21">
        <f t="shared" si="10"/>
        <v>42825</v>
      </c>
      <c r="O13" s="165">
        <f>INDEX('Consolidated Inputs'!$O$14:$O$73,MATCH('Growth rates'!N13,'Consolidated Inputs'!$A$14:$A$73,0))</f>
        <v>764.79670599999997</v>
      </c>
      <c r="P13" s="168">
        <f t="shared" si="14"/>
        <v>756.81935150000004</v>
      </c>
      <c r="Q13" s="175">
        <f>(P13-P9)/P9</f>
        <v>3.2292032223449889E-2</v>
      </c>
      <c r="R13" s="173">
        <f t="shared" si="11"/>
        <v>0.25</v>
      </c>
    </row>
    <row r="14" spans="1:18" thickTop="1" x14ac:dyDescent="0.3">
      <c r="A14" s="69"/>
      <c r="B14" s="174">
        <f>IF(EOMONTH(B13,3)&gt;'Model Inputs'!$B$8,"",EOMONTH(B13,3))</f>
        <v>42916</v>
      </c>
      <c r="C14" s="165">
        <f>INDEX('Consolidated Inputs'!$M$14:$M$73,MATCH('Growth rates'!B14,'Consolidated Inputs'!$A$14:$A$73,0))</f>
        <v>1146</v>
      </c>
      <c r="D14" s="168">
        <f t="shared" si="12"/>
        <v>1139</v>
      </c>
      <c r="E14" s="175">
        <f t="shared" ref="E14:E53" si="15">(D14-D10)/D10</f>
        <v>1.6283738567923266E-2</v>
      </c>
      <c r="F14" s="172">
        <f t="shared" si="7"/>
        <v>0.25</v>
      </c>
      <c r="G14" s="69"/>
      <c r="H14" s="21">
        <f t="shared" si="8"/>
        <v>42916</v>
      </c>
      <c r="I14" s="165">
        <f>INDEX('Consolidated Inputs'!$N$14:$N$73,MATCH('Growth rates'!H14,'Consolidated Inputs'!$A$14:$A$73,0))</f>
        <v>1084</v>
      </c>
      <c r="J14" s="168">
        <f t="shared" si="13"/>
        <v>1065</v>
      </c>
      <c r="K14" s="175">
        <f t="shared" ref="K14:K53" si="16">(J14-J10)/J10</f>
        <v>2.8488652824722356E-2</v>
      </c>
      <c r="L14" s="173">
        <f t="shared" si="9"/>
        <v>0.25</v>
      </c>
      <c r="M14" s="69"/>
      <c r="N14" s="21">
        <f t="shared" si="10"/>
        <v>42916</v>
      </c>
      <c r="O14" s="165">
        <f>INDEX('Consolidated Inputs'!$O$14:$O$73,MATCH('Growth rates'!N14,'Consolidated Inputs'!$A$14:$A$73,0))</f>
        <v>771.487391</v>
      </c>
      <c r="P14" s="168">
        <f t="shared" si="14"/>
        <v>762.86670100000003</v>
      </c>
      <c r="Q14" s="175">
        <f t="shared" ref="Q14:Q53" si="17">(P14-P10)/P10</f>
        <v>3.1848242199398705E-2</v>
      </c>
      <c r="R14" s="173">
        <f t="shared" si="11"/>
        <v>0.25</v>
      </c>
    </row>
    <row r="15" spans="1:18" ht="14.4" x14ac:dyDescent="0.3">
      <c r="A15" s="69"/>
      <c r="B15" s="176">
        <f>IF(EOMONTH(B14,3)&gt;'Model Inputs'!$B$8,"",EOMONTH(B14,3))</f>
        <v>43008</v>
      </c>
      <c r="C15" s="165">
        <f>INDEX('Consolidated Inputs'!$M$14:$M$73,MATCH('Growth rates'!B15,'Consolidated Inputs'!$A$14:$A$73,0))</f>
        <v>1153</v>
      </c>
      <c r="D15" s="168">
        <f t="shared" si="12"/>
        <v>1144.25</v>
      </c>
      <c r="E15" s="175">
        <f t="shared" si="15"/>
        <v>1.6885136636303043E-2</v>
      </c>
      <c r="F15" s="172">
        <f t="shared" si="7"/>
        <v>0.25</v>
      </c>
      <c r="G15" s="69"/>
      <c r="H15" s="21">
        <f t="shared" si="8"/>
        <v>43008</v>
      </c>
      <c r="I15" s="165">
        <f>INDEX('Consolidated Inputs'!$N$14:$N$73,MATCH('Growth rates'!H15,'Consolidated Inputs'!$A$14:$A$73,0))</f>
        <v>1096</v>
      </c>
      <c r="J15" s="168">
        <f t="shared" si="13"/>
        <v>1076.75</v>
      </c>
      <c r="K15" s="175">
        <f t="shared" si="16"/>
        <v>3.9584841902003377E-2</v>
      </c>
      <c r="L15" s="173">
        <f t="shared" si="9"/>
        <v>0.25</v>
      </c>
      <c r="M15" s="69"/>
      <c r="N15" s="21">
        <f t="shared" si="10"/>
        <v>43008</v>
      </c>
      <c r="O15" s="165">
        <f>INDEX('Consolidated Inputs'!$O$14:$O$73,MATCH('Growth rates'!N15,'Consolidated Inputs'!$A$14:$A$73,0))</f>
        <v>775.60473500000001</v>
      </c>
      <c r="P15" s="168">
        <f t="shared" si="14"/>
        <v>768.3993825</v>
      </c>
      <c r="Q15" s="175">
        <f t="shared" si="17"/>
        <v>3.1968204856780036E-2</v>
      </c>
      <c r="R15" s="173">
        <f t="shared" si="11"/>
        <v>0.25</v>
      </c>
    </row>
    <row r="16" spans="1:18" ht="14.4" x14ac:dyDescent="0.3">
      <c r="A16" s="69"/>
      <c r="B16" s="176">
        <f>IF(EOMONTH(B15,3)&gt;'Model Inputs'!$B$8,"",EOMONTH(B15,3))</f>
        <v>43100</v>
      </c>
      <c r="C16" s="165">
        <f>INDEX('Consolidated Inputs'!$M$14:$M$73,MATCH('Growth rates'!B16,'Consolidated Inputs'!$A$14:$A$73,0))</f>
        <v>1158</v>
      </c>
      <c r="D16" s="168">
        <f t="shared" si="12"/>
        <v>1149.5</v>
      </c>
      <c r="E16" s="175">
        <f>(D16-D12)/D12</f>
        <v>1.7481743748616951E-2</v>
      </c>
      <c r="F16" s="172">
        <f t="shared" si="7"/>
        <v>0.25</v>
      </c>
      <c r="G16" s="69"/>
      <c r="H16" s="21">
        <f t="shared" si="8"/>
        <v>43100</v>
      </c>
      <c r="I16" s="165">
        <f>INDEX('Consolidated Inputs'!$N$14:$N$73,MATCH('Growth rates'!H16,'Consolidated Inputs'!$A$14:$A$73,0))</f>
        <v>1106</v>
      </c>
      <c r="J16" s="168">
        <f t="shared" si="13"/>
        <v>1088.5</v>
      </c>
      <c r="K16" s="175">
        <f t="shared" si="16"/>
        <v>4.4876409887209021E-2</v>
      </c>
      <c r="L16" s="173">
        <f t="shared" si="9"/>
        <v>0.25</v>
      </c>
      <c r="M16" s="69"/>
      <c r="N16" s="21">
        <f t="shared" si="10"/>
        <v>43100</v>
      </c>
      <c r="O16" s="165">
        <f>INDEX('Consolidated Inputs'!$O$14:$O$73,MATCH('Growth rates'!N16,'Consolidated Inputs'!$A$14:$A$73,0))</f>
        <v>781.78075100000001</v>
      </c>
      <c r="P16" s="168">
        <f t="shared" si="14"/>
        <v>773.41739574999997</v>
      </c>
      <c r="Q16" s="175">
        <f t="shared" si="17"/>
        <v>3.0162810666453068E-2</v>
      </c>
      <c r="R16" s="173">
        <f t="shared" si="11"/>
        <v>0.25</v>
      </c>
    </row>
    <row r="17" spans="1:18" ht="14.4" x14ac:dyDescent="0.3">
      <c r="A17" s="69"/>
      <c r="B17" s="176">
        <f>IF(EOMONTH(B16,3)&gt;'Model Inputs'!$B$8,"",EOMONTH(B16,3))</f>
        <v>43190</v>
      </c>
      <c r="C17" s="165">
        <f>INDEX('Consolidated Inputs'!$M$14:$M$73,MATCH('Growth rates'!B17,'Consolidated Inputs'!$A$14:$A$73,0))</f>
        <v>1162</v>
      </c>
      <c r="D17" s="168">
        <f t="shared" si="12"/>
        <v>1154.75</v>
      </c>
      <c r="E17" s="175">
        <f>(D17-D13)/D13</f>
        <v>1.8073616927485121E-2</v>
      </c>
      <c r="F17" s="172">
        <f t="shared" si="7"/>
        <v>0.25</v>
      </c>
      <c r="G17" s="69"/>
      <c r="H17" s="21">
        <f t="shared" si="8"/>
        <v>43190</v>
      </c>
      <c r="I17" s="165">
        <f>INDEX('Consolidated Inputs'!$N$14:$N$73,MATCH('Growth rates'!H17,'Consolidated Inputs'!$A$14:$A$73,0))</f>
        <v>1113</v>
      </c>
      <c r="J17" s="168">
        <f t="shared" si="13"/>
        <v>1099.75</v>
      </c>
      <c r="K17" s="175">
        <f t="shared" si="16"/>
        <v>4.4893111638954868E-2</v>
      </c>
      <c r="L17" s="173">
        <f t="shared" si="9"/>
        <v>0.25</v>
      </c>
      <c r="M17" s="69"/>
      <c r="N17" s="21">
        <f t="shared" si="10"/>
        <v>43190</v>
      </c>
      <c r="O17" s="165">
        <f>INDEX('Consolidated Inputs'!$O$14:$O$73,MATCH('Growth rates'!N17,'Consolidated Inputs'!$A$14:$A$73,0))</f>
        <v>784.35409200000004</v>
      </c>
      <c r="P17" s="168">
        <f t="shared" si="14"/>
        <v>778.30674224999996</v>
      </c>
      <c r="Q17" s="175">
        <f t="shared" si="17"/>
        <v>2.8391703657434712E-2</v>
      </c>
      <c r="R17" s="173">
        <f t="shared" si="11"/>
        <v>0.25</v>
      </c>
    </row>
    <row r="18" spans="1:18" ht="14.4" x14ac:dyDescent="0.3">
      <c r="A18" s="69"/>
      <c r="B18" s="176">
        <f>IF(EOMONTH(B17,3)&gt;'Model Inputs'!$B$8,"",EOMONTH(B17,3))</f>
        <v>43281</v>
      </c>
      <c r="C18" s="165">
        <f>INDEX('Consolidated Inputs'!$M$14:$M$73,MATCH('Growth rates'!B18,'Consolidated Inputs'!$A$14:$A$73,0))</f>
        <v>1168</v>
      </c>
      <c r="D18" s="168">
        <f t="shared" si="12"/>
        <v>1160.25</v>
      </c>
      <c r="E18" s="175">
        <f t="shared" si="15"/>
        <v>1.8656716417910446E-2</v>
      </c>
      <c r="F18" s="172">
        <f t="shared" si="7"/>
        <v>0.25</v>
      </c>
      <c r="G18" s="69"/>
      <c r="H18" s="21">
        <f t="shared" si="8"/>
        <v>43281</v>
      </c>
      <c r="I18" s="165">
        <f>INDEX('Consolidated Inputs'!$N$14:$N$73,MATCH('Growth rates'!H18,'Consolidated Inputs'!$A$14:$A$73,0))</f>
        <v>1124</v>
      </c>
      <c r="J18" s="168">
        <f t="shared" si="13"/>
        <v>1109.75</v>
      </c>
      <c r="K18" s="175">
        <f t="shared" si="16"/>
        <v>4.2018779342723002E-2</v>
      </c>
      <c r="L18" s="173">
        <f t="shared" si="9"/>
        <v>0.25</v>
      </c>
      <c r="M18" s="69"/>
      <c r="N18" s="21">
        <f t="shared" si="10"/>
        <v>43281</v>
      </c>
      <c r="O18" s="165">
        <f>INDEX('Consolidated Inputs'!$O$14:$O$73,MATCH('Growth rates'!N18,'Consolidated Inputs'!$A$14:$A$73,0))</f>
        <v>790.53010800000004</v>
      </c>
      <c r="P18" s="168">
        <f t="shared" si="14"/>
        <v>783.06742150000002</v>
      </c>
      <c r="Q18" s="175">
        <f t="shared" si="17"/>
        <v>2.6480013446018778E-2</v>
      </c>
      <c r="R18" s="173">
        <f t="shared" si="11"/>
        <v>0.25</v>
      </c>
    </row>
    <row r="19" spans="1:18" ht="14.4" x14ac:dyDescent="0.3">
      <c r="A19" s="69"/>
      <c r="B19" s="176">
        <f>IF(EOMONTH(B18,3)&gt;'Model Inputs'!$B$8,"",EOMONTH(B18,3))</f>
        <v>43373</v>
      </c>
      <c r="C19" s="165">
        <f>INDEX('Consolidated Inputs'!$M$14:$M$73,MATCH('Growth rates'!B19,'Consolidated Inputs'!$A$14:$A$73,0))</f>
        <v>1174</v>
      </c>
      <c r="D19" s="168">
        <f t="shared" si="12"/>
        <v>1165.5</v>
      </c>
      <c r="E19" s="175">
        <f t="shared" si="15"/>
        <v>1.857111645182434E-2</v>
      </c>
      <c r="F19" s="172">
        <f t="shared" si="7"/>
        <v>0.25</v>
      </c>
      <c r="G19" s="69"/>
      <c r="H19" s="21">
        <f t="shared" si="8"/>
        <v>43373</v>
      </c>
      <c r="I19" s="165">
        <f>INDEX('Consolidated Inputs'!$N$14:$N$73,MATCH('Growth rates'!H19,'Consolidated Inputs'!$A$14:$A$73,0))</f>
        <v>1140</v>
      </c>
      <c r="J19" s="168">
        <f t="shared" si="13"/>
        <v>1120.75</v>
      </c>
      <c r="K19" s="175">
        <f t="shared" si="16"/>
        <v>4.0863710239145576E-2</v>
      </c>
      <c r="L19" s="173">
        <f t="shared" si="9"/>
        <v>0.25</v>
      </c>
      <c r="M19" s="69"/>
      <c r="N19" s="21">
        <f t="shared" si="10"/>
        <v>43373</v>
      </c>
      <c r="O19" s="165">
        <f>INDEX('Consolidated Inputs'!$O$14:$O$73,MATCH('Growth rates'!N19,'Consolidated Inputs'!$A$14:$A$73,0))</f>
        <v>799.79413299999999</v>
      </c>
      <c r="P19" s="168">
        <f t="shared" si="14"/>
        <v>789.11477100000002</v>
      </c>
      <c r="Q19" s="175">
        <f t="shared" si="17"/>
        <v>2.6959142565422374E-2</v>
      </c>
      <c r="R19" s="173">
        <f t="shared" si="11"/>
        <v>0.25</v>
      </c>
    </row>
    <row r="20" spans="1:18" ht="14.4" x14ac:dyDescent="0.3">
      <c r="A20" s="69"/>
      <c r="B20" s="176">
        <f>IF(EOMONTH(B19,3)&gt;'Model Inputs'!$B$8,"",EOMONTH(B19,3))</f>
        <v>43465</v>
      </c>
      <c r="C20" s="165">
        <f>INDEX('Consolidated Inputs'!$M$14:$M$73,MATCH('Growth rates'!B20,'Consolidated Inputs'!$A$14:$A$73,0))</f>
        <v>1180</v>
      </c>
      <c r="D20" s="168">
        <f t="shared" si="12"/>
        <v>1171</v>
      </c>
      <c r="E20" s="175">
        <f t="shared" si="15"/>
        <v>1.8703784254023487E-2</v>
      </c>
      <c r="F20" s="172">
        <f t="shared" si="7"/>
        <v>0.25</v>
      </c>
      <c r="G20" s="69"/>
      <c r="H20" s="21">
        <f t="shared" si="8"/>
        <v>43465</v>
      </c>
      <c r="I20" s="165">
        <f>INDEX('Consolidated Inputs'!$N$14:$N$73,MATCH('Growth rates'!H20,'Consolidated Inputs'!$A$14:$A$73,0))</f>
        <v>1161</v>
      </c>
      <c r="J20" s="168">
        <f t="shared" si="13"/>
        <v>1134.5</v>
      </c>
      <c r="K20" s="175">
        <f t="shared" si="16"/>
        <v>4.2259990813045475E-2</v>
      </c>
      <c r="L20" s="173">
        <f t="shared" si="9"/>
        <v>0.25</v>
      </c>
      <c r="M20" s="69"/>
      <c r="N20" s="21">
        <f t="shared" si="10"/>
        <v>43465</v>
      </c>
      <c r="O20" s="165">
        <f>INDEX('Consolidated Inputs'!$O$14:$O$73,MATCH('Growth rates'!N20,'Consolidated Inputs'!$A$14:$A$73,0))</f>
        <v>803.39680899999996</v>
      </c>
      <c r="P20" s="168">
        <f t="shared" si="14"/>
        <v>794.51878549999992</v>
      </c>
      <c r="Q20" s="175">
        <f t="shared" si="17"/>
        <v>2.7283314114673447E-2</v>
      </c>
      <c r="R20" s="173">
        <f t="shared" si="11"/>
        <v>0.25</v>
      </c>
    </row>
    <row r="21" spans="1:18" ht="14.4" x14ac:dyDescent="0.3">
      <c r="A21" s="69"/>
      <c r="B21" s="176">
        <f>IF(EOMONTH(B20,3)&gt;'Model Inputs'!$B$8,"",EOMONTH(B20,3))</f>
        <v>43555</v>
      </c>
      <c r="C21" s="165">
        <f>INDEX('Consolidated Inputs'!$M$14:$M$73,MATCH('Growth rates'!B21,'Consolidated Inputs'!$A$14:$A$73,0))</f>
        <v>1185</v>
      </c>
      <c r="D21" s="168">
        <f t="shared" si="12"/>
        <v>1176.75</v>
      </c>
      <c r="E21" s="175">
        <f t="shared" si="15"/>
        <v>1.905174280147218E-2</v>
      </c>
      <c r="F21" s="172">
        <f t="shared" si="7"/>
        <v>0.25</v>
      </c>
      <c r="G21" s="69"/>
      <c r="H21" s="21">
        <f t="shared" si="8"/>
        <v>43555</v>
      </c>
      <c r="I21" s="165">
        <f>INDEX('Consolidated Inputs'!$N$14:$N$73,MATCH('Growth rates'!H21,'Consolidated Inputs'!$A$14:$A$73,0))</f>
        <v>1151</v>
      </c>
      <c r="J21" s="168">
        <f t="shared" si="13"/>
        <v>1144</v>
      </c>
      <c r="K21" s="175">
        <f t="shared" si="16"/>
        <v>4.0236417367583543E-2</v>
      </c>
      <c r="L21" s="173">
        <f t="shared" si="9"/>
        <v>0.25</v>
      </c>
      <c r="M21" s="69"/>
      <c r="N21" s="21">
        <f t="shared" si="10"/>
        <v>43555</v>
      </c>
      <c r="O21" s="165">
        <f>INDEX('Consolidated Inputs'!$O$14:$O$73,MATCH('Growth rates'!N21,'Consolidated Inputs'!$A$14:$A$73,0))</f>
        <v>807.51415299999996</v>
      </c>
      <c r="P21" s="168">
        <f t="shared" si="14"/>
        <v>800.30880075000005</v>
      </c>
      <c r="Q21" s="175">
        <f t="shared" si="17"/>
        <v>2.8269135169502111E-2</v>
      </c>
      <c r="R21" s="173">
        <f t="shared" si="11"/>
        <v>0.25</v>
      </c>
    </row>
    <row r="22" spans="1:18" ht="14.4" x14ac:dyDescent="0.3">
      <c r="A22" s="69"/>
      <c r="B22" s="176">
        <f>IF(EOMONTH(B21,3)&gt;'Model Inputs'!$B$8,"",EOMONTH(B21,3))</f>
        <v>43646</v>
      </c>
      <c r="C22" s="165">
        <f>INDEX('Consolidated Inputs'!$M$14:$M$73,MATCH('Growth rates'!B22,'Consolidated Inputs'!$A$14:$A$73,0))</f>
        <v>1193</v>
      </c>
      <c r="D22" s="168">
        <f t="shared" si="12"/>
        <v>1183</v>
      </c>
      <c r="E22" s="175">
        <f>(D22-D18)/D18</f>
        <v>1.9607843137254902E-2</v>
      </c>
      <c r="F22" s="172">
        <f t="shared" si="7"/>
        <v>0.25</v>
      </c>
      <c r="G22" s="69"/>
      <c r="H22" s="21">
        <f t="shared" si="8"/>
        <v>43646</v>
      </c>
      <c r="I22" s="165">
        <f>INDEX('Consolidated Inputs'!$N$14:$N$73,MATCH('Growth rates'!H22,'Consolidated Inputs'!$A$14:$A$73,0))</f>
        <v>1154</v>
      </c>
      <c r="J22" s="168">
        <f t="shared" si="13"/>
        <v>1151.5</v>
      </c>
      <c r="K22" s="175">
        <f t="shared" si="16"/>
        <v>3.7621085830141926E-2</v>
      </c>
      <c r="L22" s="173">
        <f t="shared" si="9"/>
        <v>0.25</v>
      </c>
      <c r="M22" s="69"/>
      <c r="N22" s="21">
        <f t="shared" si="10"/>
        <v>43646</v>
      </c>
      <c r="O22" s="165">
        <f>INDEX('Consolidated Inputs'!$O$14:$O$73,MATCH('Growth rates'!N22,'Consolidated Inputs'!$A$14:$A$73,0))</f>
        <v>814.71950600000002</v>
      </c>
      <c r="P22" s="168">
        <f t="shared" si="14"/>
        <v>806.35615024999993</v>
      </c>
      <c r="Q22" s="175">
        <f t="shared" si="17"/>
        <v>2.9740387750251854E-2</v>
      </c>
      <c r="R22" s="173">
        <f t="shared" si="11"/>
        <v>0.25</v>
      </c>
    </row>
    <row r="23" spans="1:18" ht="14.4" x14ac:dyDescent="0.3">
      <c r="A23" s="69"/>
      <c r="B23" s="176">
        <f>IF(EOMONTH(B22,3)&gt;'Model Inputs'!$B$8,"",EOMONTH(B22,3))</f>
        <v>43738</v>
      </c>
      <c r="C23" s="165">
        <f>INDEX('Consolidated Inputs'!$M$14:$M$73,MATCH('Growth rates'!B23,'Consolidated Inputs'!$A$14:$A$73,0))</f>
        <v>1202</v>
      </c>
      <c r="D23" s="168">
        <f t="shared" si="12"/>
        <v>1190</v>
      </c>
      <c r="E23" s="175">
        <f t="shared" si="15"/>
        <v>2.1021021021021023E-2</v>
      </c>
      <c r="F23" s="172">
        <f t="shared" si="7"/>
        <v>0.25</v>
      </c>
      <c r="G23" s="69"/>
      <c r="H23" s="21">
        <f t="shared" si="8"/>
        <v>43738</v>
      </c>
      <c r="I23" s="165">
        <f>INDEX('Consolidated Inputs'!$N$14:$N$73,MATCH('Growth rates'!H23,'Consolidated Inputs'!$A$14:$A$73,0))</f>
        <v>1166</v>
      </c>
      <c r="J23" s="168">
        <f t="shared" si="13"/>
        <v>1158</v>
      </c>
      <c r="K23" s="175">
        <f t="shared" si="16"/>
        <v>3.3236671871514613E-2</v>
      </c>
      <c r="L23" s="173">
        <f t="shared" si="9"/>
        <v>0.25</v>
      </c>
      <c r="M23" s="69"/>
      <c r="N23" s="21">
        <f t="shared" si="10"/>
        <v>43738</v>
      </c>
      <c r="O23" s="165">
        <f>INDEX('Consolidated Inputs'!$O$14:$O$73,MATCH('Growth rates'!N23,'Consolidated Inputs'!$A$14:$A$73,0))</f>
        <v>821.41019000000006</v>
      </c>
      <c r="P23" s="168">
        <f t="shared" si="14"/>
        <v>811.76016449999997</v>
      </c>
      <c r="Q23" s="175">
        <f t="shared" si="17"/>
        <v>2.8697211523873445E-2</v>
      </c>
      <c r="R23" s="173">
        <f t="shared" si="11"/>
        <v>0.25</v>
      </c>
    </row>
    <row r="24" spans="1:18" ht="14.4" x14ac:dyDescent="0.3">
      <c r="A24" s="69"/>
      <c r="B24" s="176">
        <f>IF(EOMONTH(B23,3)&gt;'Model Inputs'!$B$8,"",EOMONTH(B23,3))</f>
        <v>43830</v>
      </c>
      <c r="C24" s="165">
        <f>INDEX('Consolidated Inputs'!$M$14:$M$73,MATCH('Growth rates'!B24,'Consolidated Inputs'!$A$14:$A$73,0))</f>
        <v>1211</v>
      </c>
      <c r="D24" s="168">
        <f t="shared" si="12"/>
        <v>1197.75</v>
      </c>
      <c r="E24" s="175">
        <f t="shared" si="15"/>
        <v>2.2843723313407345E-2</v>
      </c>
      <c r="F24" s="172">
        <f t="shared" si="7"/>
        <v>0.25</v>
      </c>
      <c r="G24" s="69"/>
      <c r="H24" s="21">
        <f t="shared" si="8"/>
        <v>43830</v>
      </c>
      <c r="I24" s="165">
        <f>INDEX('Consolidated Inputs'!$N$14:$N$73,MATCH('Growth rates'!H24,'Consolidated Inputs'!$A$14:$A$73,0))</f>
        <v>1168</v>
      </c>
      <c r="J24" s="168">
        <f t="shared" si="13"/>
        <v>1159.75</v>
      </c>
      <c r="K24" s="175">
        <f t="shared" si="16"/>
        <v>2.2256500661084179E-2</v>
      </c>
      <c r="L24" s="173">
        <f t="shared" si="9"/>
        <v>0.25</v>
      </c>
      <c r="M24" s="69"/>
      <c r="N24" s="21">
        <f t="shared" si="10"/>
        <v>43830</v>
      </c>
      <c r="O24" s="165">
        <f>INDEX('Consolidated Inputs'!$O$14:$O$73,MATCH('Growth rates'!N24,'Consolidated Inputs'!$A$14:$A$73,0))</f>
        <v>825.52753499999994</v>
      </c>
      <c r="P24" s="168">
        <f t="shared" si="14"/>
        <v>817.29284600000005</v>
      </c>
      <c r="Q24" s="175">
        <f t="shared" si="17"/>
        <v>2.866396731660429E-2</v>
      </c>
      <c r="R24" s="173">
        <f t="shared" si="11"/>
        <v>0.25</v>
      </c>
    </row>
    <row r="25" spans="1:18" ht="14.4" x14ac:dyDescent="0.3">
      <c r="A25" s="69"/>
      <c r="B25" s="176">
        <f>IF(EOMONTH(B24,3)&gt;'Model Inputs'!$B$8,"",EOMONTH(B24,3))</f>
        <v>43921</v>
      </c>
      <c r="C25" s="165">
        <f>INDEX('Consolidated Inputs'!$M$14:$M$73,MATCH('Growth rates'!B25,'Consolidated Inputs'!$A$14:$A$73,0))</f>
        <v>1215</v>
      </c>
      <c r="D25" s="168">
        <f t="shared" si="12"/>
        <v>1205.25</v>
      </c>
      <c r="E25" s="175">
        <f t="shared" si="15"/>
        <v>2.4219247928616953E-2</v>
      </c>
      <c r="F25" s="172">
        <f t="shared" si="7"/>
        <v>0.25</v>
      </c>
      <c r="G25" s="69"/>
      <c r="H25" s="21">
        <f t="shared" si="8"/>
        <v>43921</v>
      </c>
      <c r="I25" s="165">
        <f>INDEX('Consolidated Inputs'!$N$14:$N$73,MATCH('Growth rates'!H25,'Consolidated Inputs'!$A$14:$A$73,0))</f>
        <v>1165</v>
      </c>
      <c r="J25" s="168">
        <f t="shared" si="13"/>
        <v>1163.25</v>
      </c>
      <c r="K25" s="175">
        <f t="shared" si="16"/>
        <v>1.6826923076923076E-2</v>
      </c>
      <c r="L25" s="173">
        <f t="shared" si="9"/>
        <v>0.25</v>
      </c>
      <c r="M25" s="69"/>
      <c r="N25" s="21">
        <f t="shared" si="10"/>
        <v>43921</v>
      </c>
      <c r="O25" s="165">
        <f>INDEX('Consolidated Inputs'!$O$14:$O$73,MATCH('Growth rates'!N25,'Consolidated Inputs'!$A$14:$A$73,0))</f>
        <v>830.674215</v>
      </c>
      <c r="P25" s="168">
        <f t="shared" si="14"/>
        <v>823.08286150000004</v>
      </c>
      <c r="Q25" s="175">
        <f t="shared" si="17"/>
        <v>2.8456591666438685E-2</v>
      </c>
      <c r="R25" s="173">
        <f t="shared" si="11"/>
        <v>0.25</v>
      </c>
    </row>
    <row r="26" spans="1:18" ht="14.4" x14ac:dyDescent="0.3">
      <c r="A26" s="69"/>
      <c r="B26" s="176">
        <f>IF(EOMONTH(B25,3)&gt;'Model Inputs'!$B$8,"",EOMONTH(B25,3))</f>
        <v>44012</v>
      </c>
      <c r="C26" s="165">
        <f>INDEX('Consolidated Inputs'!$M$14:$M$73,MATCH('Growth rates'!B26,'Consolidated Inputs'!$A$14:$A$73,0))</f>
        <v>1218</v>
      </c>
      <c r="D26" s="168">
        <f t="shared" si="12"/>
        <v>1211.5</v>
      </c>
      <c r="E26" s="175">
        <f>(D26-D22)/D22</f>
        <v>2.4091293322062553E-2</v>
      </c>
      <c r="F26" s="172">
        <f t="shared" si="7"/>
        <v>0.25</v>
      </c>
      <c r="G26" s="69"/>
      <c r="H26" s="21">
        <f t="shared" si="8"/>
        <v>44012</v>
      </c>
      <c r="I26" s="165">
        <f>INDEX('Consolidated Inputs'!$N$14:$N$73,MATCH('Growth rates'!H26,'Consolidated Inputs'!$A$14:$A$73,0))</f>
        <v>1154</v>
      </c>
      <c r="J26" s="168">
        <f t="shared" si="13"/>
        <v>1163.25</v>
      </c>
      <c r="K26" s="175">
        <f t="shared" si="16"/>
        <v>1.020408163265306E-2</v>
      </c>
      <c r="L26" s="173">
        <f t="shared" si="9"/>
        <v>0.25</v>
      </c>
      <c r="M26" s="69"/>
      <c r="N26" s="21">
        <f t="shared" si="10"/>
        <v>44012</v>
      </c>
      <c r="O26" s="165">
        <f>INDEX('Consolidated Inputs'!$O$14:$O$73,MATCH('Growth rates'!N26,'Consolidated Inputs'!$A$14:$A$73,0))</f>
        <v>833.24755500000003</v>
      </c>
      <c r="P26" s="168">
        <f t="shared" si="14"/>
        <v>827.71487374999992</v>
      </c>
      <c r="Q26" s="175">
        <f t="shared" si="17"/>
        <v>2.648795261669178E-2</v>
      </c>
      <c r="R26" s="173">
        <f t="shared" si="11"/>
        <v>0.25</v>
      </c>
    </row>
    <row r="27" spans="1:18" ht="14.4" x14ac:dyDescent="0.3">
      <c r="A27" s="69"/>
      <c r="B27" s="176">
        <f>IF(EOMONTH(B26,3)&gt;'Model Inputs'!$B$8,"",EOMONTH(B26,3))</f>
        <v>44104</v>
      </c>
      <c r="C27" s="165">
        <f>INDEX('Consolidated Inputs'!$M$14:$M$73,MATCH('Growth rates'!B27,'Consolidated Inputs'!$A$14:$A$73,0))</f>
        <v>1225</v>
      </c>
      <c r="D27" s="168">
        <f t="shared" si="12"/>
        <v>1217.25</v>
      </c>
      <c r="E27" s="175">
        <f t="shared" si="15"/>
        <v>2.2899159663865545E-2</v>
      </c>
      <c r="F27" s="172">
        <f t="shared" si="7"/>
        <v>0.25</v>
      </c>
      <c r="G27" s="69"/>
      <c r="H27" s="21">
        <f t="shared" si="8"/>
        <v>44104</v>
      </c>
      <c r="I27" s="165">
        <f>INDEX('Consolidated Inputs'!$N$14:$N$73,MATCH('Growth rates'!H27,'Consolidated Inputs'!$A$14:$A$73,0))</f>
        <v>1161</v>
      </c>
      <c r="J27" s="168">
        <f t="shared" si="13"/>
        <v>1162</v>
      </c>
      <c r="K27" s="175">
        <f t="shared" si="16"/>
        <v>3.4542314335060447E-3</v>
      </c>
      <c r="L27" s="173">
        <f t="shared" si="9"/>
        <v>0.25</v>
      </c>
      <c r="M27" s="69"/>
      <c r="N27" s="21">
        <f t="shared" si="10"/>
        <v>44104</v>
      </c>
      <c r="O27" s="165">
        <f>INDEX('Consolidated Inputs'!$O$14:$O$73,MATCH('Growth rates'!N27,'Consolidated Inputs'!$A$14:$A$73,0))</f>
        <v>835.82089599999995</v>
      </c>
      <c r="P27" s="168">
        <f t="shared" si="14"/>
        <v>831.31755025000007</v>
      </c>
      <c r="Q27" s="175">
        <f t="shared" si="17"/>
        <v>2.4092566505830422E-2</v>
      </c>
      <c r="R27" s="173">
        <f t="shared" si="11"/>
        <v>0.25</v>
      </c>
    </row>
    <row r="28" spans="1:18" ht="14.4" x14ac:dyDescent="0.3">
      <c r="A28" s="69"/>
      <c r="B28" s="176">
        <f>IF(EOMONTH(B27,3)&gt;'Model Inputs'!$B$8,"",EOMONTH(B27,3))</f>
        <v>44196</v>
      </c>
      <c r="C28" s="165">
        <f>INDEX('Consolidated Inputs'!$M$14:$M$73,MATCH('Growth rates'!B28,'Consolidated Inputs'!$A$14:$A$73,0))</f>
        <v>1230</v>
      </c>
      <c r="D28" s="168">
        <f t="shared" si="12"/>
        <v>1222</v>
      </c>
      <c r="E28" s="175">
        <f t="shared" si="15"/>
        <v>2.0246295136714672E-2</v>
      </c>
      <c r="F28" s="172">
        <f t="shared" si="7"/>
        <v>0.25</v>
      </c>
      <c r="G28" s="69"/>
      <c r="H28" s="21">
        <f t="shared" si="8"/>
        <v>44196</v>
      </c>
      <c r="I28" s="165">
        <f>INDEX('Consolidated Inputs'!$N$14:$N$73,MATCH('Growth rates'!H28,'Consolidated Inputs'!$A$14:$A$73,0))</f>
        <v>1162</v>
      </c>
      <c r="J28" s="168">
        <f t="shared" si="13"/>
        <v>1160.5</v>
      </c>
      <c r="K28" s="175">
        <f t="shared" si="16"/>
        <v>6.4669109721922824E-4</v>
      </c>
      <c r="L28" s="173">
        <f t="shared" si="9"/>
        <v>0.25</v>
      </c>
      <c r="M28" s="69"/>
      <c r="N28" s="21">
        <f t="shared" si="10"/>
        <v>44196</v>
      </c>
      <c r="O28" s="165">
        <f>INDEX('Consolidated Inputs'!$O$14:$O$73,MATCH('Growth rates'!N28,'Consolidated Inputs'!$A$14:$A$73,0))</f>
        <v>840.96757600000001</v>
      </c>
      <c r="P28" s="168">
        <f t="shared" si="14"/>
        <v>835.17756050000003</v>
      </c>
      <c r="Q28" s="175">
        <f t="shared" si="17"/>
        <v>2.1882871711812305E-2</v>
      </c>
      <c r="R28" s="173">
        <f t="shared" si="11"/>
        <v>0.25</v>
      </c>
    </row>
    <row r="29" spans="1:18" ht="14.4" x14ac:dyDescent="0.3">
      <c r="A29" s="69"/>
      <c r="B29" s="176">
        <f>IF(EOMONTH(B28,3)&gt;'Model Inputs'!$B$8,"",EOMONTH(B28,3))</f>
        <v>44286</v>
      </c>
      <c r="C29" s="165">
        <f>INDEX('Consolidated Inputs'!$M$14:$M$73,MATCH('Growth rates'!B29,'Consolidated Inputs'!$A$14:$A$73,0))</f>
        <v>1235</v>
      </c>
      <c r="D29" s="168">
        <f>SUMPRODUCT(C26:C29,F26:F29)</f>
        <v>1227</v>
      </c>
      <c r="E29" s="175">
        <f>(D29-D25)/D25</f>
        <v>1.8046048537647789E-2</v>
      </c>
      <c r="F29" s="172">
        <f t="shared" si="7"/>
        <v>0.25</v>
      </c>
      <c r="G29" s="69"/>
      <c r="H29" s="21">
        <f t="shared" si="8"/>
        <v>44286</v>
      </c>
      <c r="I29" s="165">
        <f>INDEX('Consolidated Inputs'!$N$14:$N$73,MATCH('Growth rates'!H29,'Consolidated Inputs'!$A$14:$A$73,0))</f>
        <v>1186</v>
      </c>
      <c r="J29" s="168">
        <f t="shared" si="13"/>
        <v>1165.75</v>
      </c>
      <c r="K29" s="175">
        <f t="shared" si="16"/>
        <v>2.149151085321298E-3</v>
      </c>
      <c r="L29" s="173">
        <f t="shared" si="9"/>
        <v>0.25</v>
      </c>
      <c r="M29" s="69"/>
      <c r="N29" s="21">
        <f t="shared" si="10"/>
        <v>44286</v>
      </c>
      <c r="O29" s="165">
        <f>INDEX('Consolidated Inputs'!$O$14:$O$73,MATCH('Growth rates'!N29,'Consolidated Inputs'!$A$14:$A$73,0))</f>
        <v>846.11425599999995</v>
      </c>
      <c r="P29" s="168">
        <f t="shared" si="14"/>
        <v>839.03757074999999</v>
      </c>
      <c r="Q29" s="175">
        <f t="shared" si="17"/>
        <v>1.9384086337217398E-2</v>
      </c>
      <c r="R29" s="173">
        <f t="shared" si="11"/>
        <v>0.25</v>
      </c>
    </row>
    <row r="30" spans="1:18" ht="14.4" x14ac:dyDescent="0.3">
      <c r="A30" s="69"/>
      <c r="B30" s="176">
        <f>IF(EOMONTH(B29,3)&gt;'Model Inputs'!$B$8,"",EOMONTH(B29,3))</f>
        <v>44377</v>
      </c>
      <c r="C30" s="165">
        <f>INDEX('Consolidated Inputs'!$M$14:$M$73,MATCH('Growth rates'!B30,'Consolidated Inputs'!$A$14:$A$73,0))</f>
        <v>1244</v>
      </c>
      <c r="D30" s="168">
        <f t="shared" si="12"/>
        <v>1233.5</v>
      </c>
      <c r="E30" s="175">
        <f t="shared" si="15"/>
        <v>1.8159306644655385E-2</v>
      </c>
      <c r="F30" s="172">
        <f t="shared" si="7"/>
        <v>0.25</v>
      </c>
      <c r="G30" s="69"/>
      <c r="H30" s="21">
        <f t="shared" si="8"/>
        <v>44377</v>
      </c>
      <c r="I30" s="165">
        <f>INDEX('Consolidated Inputs'!$N$14:$N$73,MATCH('Growth rates'!H30,'Consolidated Inputs'!$A$14:$A$73,0))</f>
        <v>1222</v>
      </c>
      <c r="J30" s="168">
        <f t="shared" si="13"/>
        <v>1182.75</v>
      </c>
      <c r="K30" s="175">
        <f t="shared" si="16"/>
        <v>1.6763378465506126E-2</v>
      </c>
      <c r="L30" s="173">
        <f t="shared" si="9"/>
        <v>0.25</v>
      </c>
      <c r="M30" s="69"/>
      <c r="N30" s="21">
        <f t="shared" si="10"/>
        <v>44377</v>
      </c>
      <c r="O30" s="165">
        <f>INDEX('Consolidated Inputs'!$O$14:$O$73,MATCH('Growth rates'!N30,'Consolidated Inputs'!$A$14:$A$73,0))</f>
        <v>870.81832199999997</v>
      </c>
      <c r="P30" s="168">
        <f t="shared" si="14"/>
        <v>848.43026250000003</v>
      </c>
      <c r="Q30" s="175">
        <f t="shared" si="17"/>
        <v>2.5027203698959874E-2</v>
      </c>
      <c r="R30" s="173">
        <f t="shared" si="11"/>
        <v>0.25</v>
      </c>
    </row>
    <row r="31" spans="1:18" ht="14.4" x14ac:dyDescent="0.3">
      <c r="A31" s="69"/>
      <c r="B31" s="176">
        <f>IF(EOMONTH(B30,3)&gt;'Model Inputs'!$B$8,"",EOMONTH(B30,3))</f>
        <v>44469</v>
      </c>
      <c r="C31" s="165">
        <f>INDEX('Consolidated Inputs'!$M$14:$M$73,MATCH('Growth rates'!B31,'Consolidated Inputs'!$A$14:$A$73,0))</f>
        <v>1254</v>
      </c>
      <c r="D31" s="168">
        <f t="shared" si="12"/>
        <v>1240.75</v>
      </c>
      <c r="E31" s="175">
        <f t="shared" si="15"/>
        <v>1.9305812281782707E-2</v>
      </c>
      <c r="F31" s="172">
        <f t="shared" si="7"/>
        <v>0.25</v>
      </c>
      <c r="G31" s="69"/>
      <c r="H31" s="21">
        <f t="shared" si="8"/>
        <v>44469</v>
      </c>
      <c r="I31" s="165">
        <f>INDEX('Consolidated Inputs'!$N$14:$N$73,MATCH('Growth rates'!H31,'Consolidated Inputs'!$A$14:$A$73,0))</f>
        <v>1242</v>
      </c>
      <c r="J31" s="168">
        <f t="shared" si="13"/>
        <v>1203</v>
      </c>
      <c r="K31" s="175">
        <f t="shared" si="16"/>
        <v>3.5283993115318414E-2</v>
      </c>
      <c r="L31" s="173">
        <f t="shared" si="9"/>
        <v>0.25</v>
      </c>
      <c r="M31" s="69"/>
      <c r="N31" s="21">
        <f t="shared" si="10"/>
        <v>44469</v>
      </c>
      <c r="O31" s="165">
        <f>INDEX('Consolidated Inputs'!$O$14:$O$73,MATCH('Growth rates'!N31,'Consolidated Inputs'!$A$14:$A$73,0))</f>
        <v>892.43438000000003</v>
      </c>
      <c r="P31" s="168">
        <f t="shared" si="14"/>
        <v>862.58363350000002</v>
      </c>
      <c r="Q31" s="175">
        <f t="shared" si="17"/>
        <v>3.7610276891901752E-2</v>
      </c>
      <c r="R31" s="173">
        <f t="shared" si="11"/>
        <v>0.25</v>
      </c>
    </row>
    <row r="32" spans="1:18" ht="14.4" x14ac:dyDescent="0.3">
      <c r="A32" s="69"/>
      <c r="B32" s="176">
        <f>IF(EOMONTH(B31,3)&gt;'Model Inputs'!$B$8,"",EOMONTH(B31,3))</f>
        <v>44561</v>
      </c>
      <c r="C32" s="165">
        <f>INDEX('Consolidated Inputs'!$M$14:$M$73,MATCH('Growth rates'!B32,'Consolidated Inputs'!$A$14:$A$73,0))</f>
        <v>1262</v>
      </c>
      <c r="D32" s="168">
        <f t="shared" si="12"/>
        <v>1248.75</v>
      </c>
      <c r="E32" s="175">
        <f t="shared" si="15"/>
        <v>2.1890343698854339E-2</v>
      </c>
      <c r="F32" s="172">
        <f t="shared" si="7"/>
        <v>0.25</v>
      </c>
      <c r="G32" s="69"/>
      <c r="H32" s="21">
        <f t="shared" si="8"/>
        <v>44561</v>
      </c>
      <c r="I32" s="165">
        <f>INDEX('Consolidated Inputs'!$N$14:$N$73,MATCH('Growth rates'!H32,'Consolidated Inputs'!$A$14:$A$73,0))</f>
        <v>1257</v>
      </c>
      <c r="J32" s="168">
        <f t="shared" si="13"/>
        <v>1226.75</v>
      </c>
      <c r="K32" s="175">
        <f t="shared" si="16"/>
        <v>5.7087462300732444E-2</v>
      </c>
      <c r="L32" s="173">
        <f t="shared" si="9"/>
        <v>0.25</v>
      </c>
      <c r="M32" s="69"/>
      <c r="N32" s="21">
        <f t="shared" si="10"/>
        <v>44561</v>
      </c>
      <c r="O32" s="165">
        <f>INDEX('Consolidated Inputs'!$O$14:$O$73,MATCH('Growth rates'!N32,'Consolidated Inputs'!$A$14:$A$73,0))</f>
        <v>918.68245000000002</v>
      </c>
      <c r="P32" s="168">
        <f t="shared" si="14"/>
        <v>882.01235199999996</v>
      </c>
      <c r="Q32" s="175">
        <f t="shared" si="17"/>
        <v>5.6077645898389691E-2</v>
      </c>
      <c r="R32" s="173">
        <f t="shared" si="11"/>
        <v>0.25</v>
      </c>
    </row>
    <row r="33" spans="1:18" ht="14.4" x14ac:dyDescent="0.3">
      <c r="A33" s="69"/>
      <c r="B33" s="176">
        <f>IF(EOMONTH(B32,3)&gt;'Model Inputs'!$B$8,"",EOMONTH(B32,3))</f>
        <v>44651</v>
      </c>
      <c r="C33" s="165">
        <f>INDEX('Consolidated Inputs'!$M$14:$M$73,MATCH('Growth rates'!B33,'Consolidated Inputs'!$A$14:$A$73,0))</f>
        <v>1272</v>
      </c>
      <c r="D33" s="168">
        <f t="shared" si="12"/>
        <v>1258</v>
      </c>
      <c r="E33" s="175">
        <f t="shared" si="15"/>
        <v>2.526487367563162E-2</v>
      </c>
      <c r="F33" s="172">
        <f t="shared" si="7"/>
        <v>0.25</v>
      </c>
      <c r="G33" s="69"/>
      <c r="H33" s="21">
        <f t="shared" si="8"/>
        <v>44651</v>
      </c>
      <c r="I33" s="165">
        <f>INDEX('Consolidated Inputs'!$N$14:$N$73,MATCH('Growth rates'!H33,'Consolidated Inputs'!$A$14:$A$73,0))</f>
        <v>1300</v>
      </c>
      <c r="J33" s="168">
        <f t="shared" si="13"/>
        <v>1255.25</v>
      </c>
      <c r="K33" s="175">
        <f t="shared" si="16"/>
        <v>7.6774608621059406E-2</v>
      </c>
      <c r="L33" s="173">
        <f t="shared" si="9"/>
        <v>0.25</v>
      </c>
      <c r="M33" s="69"/>
      <c r="N33" s="21">
        <f t="shared" si="10"/>
        <v>44651</v>
      </c>
      <c r="O33" s="165">
        <f>INDEX('Consolidated Inputs'!$O$14:$O$73,MATCH('Growth rates'!N33,'Consolidated Inputs'!$A$14:$A$73,0))</f>
        <v>944.41585199999997</v>
      </c>
      <c r="P33" s="168">
        <f t="shared" si="14"/>
        <v>906.58775100000003</v>
      </c>
      <c r="Q33" s="175">
        <f t="shared" si="17"/>
        <v>8.0509124507521387E-2</v>
      </c>
      <c r="R33" s="173">
        <f t="shared" si="11"/>
        <v>0.25</v>
      </c>
    </row>
    <row r="34" spans="1:18" ht="14.4" x14ac:dyDescent="0.3">
      <c r="A34" s="69"/>
      <c r="B34" s="176">
        <f>IF(EOMONTH(B33,3)&gt;'Model Inputs'!$B$8,"",EOMONTH(B33,3))</f>
        <v>44742</v>
      </c>
      <c r="C34" s="165">
        <f>INDEX('Consolidated Inputs'!$M$14:$M$73,MATCH('Growth rates'!B34,'Consolidated Inputs'!$A$14:$A$73,0))</f>
        <v>1286</v>
      </c>
      <c r="D34" s="168">
        <f t="shared" si="12"/>
        <v>1268.5</v>
      </c>
      <c r="E34" s="175">
        <f t="shared" si="15"/>
        <v>2.837454398054317E-2</v>
      </c>
      <c r="F34" s="172">
        <f t="shared" si="7"/>
        <v>0.25</v>
      </c>
      <c r="G34" s="69"/>
      <c r="H34" s="21">
        <f t="shared" si="8"/>
        <v>44742</v>
      </c>
      <c r="I34" s="165">
        <f>INDEX('Consolidated Inputs'!$N$14:$N$73,MATCH('Growth rates'!H34,'Consolidated Inputs'!$A$14:$A$73,0))</f>
        <v>1340</v>
      </c>
      <c r="J34" s="168">
        <f t="shared" si="13"/>
        <v>1284.75</v>
      </c>
      <c r="K34" s="175">
        <f t="shared" si="16"/>
        <v>8.6239695624603679E-2</v>
      </c>
      <c r="L34" s="173">
        <f t="shared" si="9"/>
        <v>0.25</v>
      </c>
      <c r="M34" s="69"/>
      <c r="N34" s="21">
        <f t="shared" si="10"/>
        <v>44742</v>
      </c>
      <c r="O34" s="165">
        <f>INDEX('Consolidated Inputs'!$O$14:$O$73,MATCH('Growth rates'!N34,'Consolidated Inputs'!$A$14:$A$73,0))</f>
        <v>979.41327799999999</v>
      </c>
      <c r="P34" s="168">
        <f t="shared" si="14"/>
        <v>933.73649</v>
      </c>
      <c r="Q34" s="175">
        <f t="shared" si="17"/>
        <v>0.10054595088184985</v>
      </c>
      <c r="R34" s="173">
        <f t="shared" si="11"/>
        <v>0.25</v>
      </c>
    </row>
    <row r="35" spans="1:18" ht="14.4" x14ac:dyDescent="0.3">
      <c r="A35" s="69"/>
      <c r="B35" s="176">
        <f>IF(EOMONTH(B34,3)&gt;'Model Inputs'!$B$8,"",EOMONTH(B34,3))</f>
        <v>44834</v>
      </c>
      <c r="C35" s="165">
        <f>INDEX('Consolidated Inputs'!$M$14:$M$73,MATCH('Growth rates'!B35,'Consolidated Inputs'!$A$14:$A$73,0))</f>
        <v>1300</v>
      </c>
      <c r="D35" s="168">
        <f t="shared" si="12"/>
        <v>1280</v>
      </c>
      <c r="E35" s="175">
        <f t="shared" si="15"/>
        <v>3.1634092282893413E-2</v>
      </c>
      <c r="F35" s="172">
        <f t="shared" si="7"/>
        <v>0.25</v>
      </c>
      <c r="G35" s="69"/>
      <c r="H35" s="21">
        <f t="shared" si="8"/>
        <v>44834</v>
      </c>
      <c r="I35" s="165">
        <f>INDEX('Consolidated Inputs'!$N$14:$N$73,MATCH('Growth rates'!H35,'Consolidated Inputs'!$A$14:$A$73,0))</f>
        <v>1351</v>
      </c>
      <c r="J35" s="168">
        <f t="shared" si="13"/>
        <v>1312</v>
      </c>
      <c r="K35" s="175">
        <f t="shared" si="16"/>
        <v>9.0606816292601824E-2</v>
      </c>
      <c r="L35" s="173">
        <f t="shared" si="9"/>
        <v>0.25</v>
      </c>
      <c r="M35" s="69"/>
      <c r="N35" s="21">
        <f t="shared" si="10"/>
        <v>44834</v>
      </c>
      <c r="O35" s="165">
        <f>INDEX('Consolidated Inputs'!$O$14:$O$73,MATCH('Growth rates'!N35,'Consolidated Inputs'!$A$14:$A$73,0))</f>
        <v>1000</v>
      </c>
      <c r="P35" s="168">
        <f t="shared" si="14"/>
        <v>960.62789499999997</v>
      </c>
      <c r="Q35" s="175">
        <f t="shared" si="17"/>
        <v>0.1136634845506838</v>
      </c>
      <c r="R35" s="173">
        <f t="shared" si="11"/>
        <v>0.25</v>
      </c>
    </row>
    <row r="36" spans="1:18" ht="14.4" x14ac:dyDescent="0.3">
      <c r="A36" s="69"/>
      <c r="B36" s="176">
        <f>IF(EOMONTH(B35,3)&gt;'Model Inputs'!$B$8,"",EOMONTH(B35,3))</f>
        <v>44926</v>
      </c>
      <c r="C36" s="165">
        <f>INDEX('Consolidated Inputs'!$M$14:$M$73,MATCH('Growth rates'!B36,'Consolidated Inputs'!$A$14:$A$73,0))</f>
        <v>1314</v>
      </c>
      <c r="D36" s="168">
        <f t="shared" si="12"/>
        <v>1293</v>
      </c>
      <c r="E36" s="175">
        <f t="shared" si="15"/>
        <v>3.5435435435435432E-2</v>
      </c>
      <c r="F36" s="172">
        <f t="shared" si="7"/>
        <v>0.25</v>
      </c>
      <c r="G36" s="69"/>
      <c r="H36" s="21">
        <f t="shared" si="8"/>
        <v>44926</v>
      </c>
      <c r="I36" s="165">
        <f>INDEX('Consolidated Inputs'!$N$14:$N$73,MATCH('Growth rates'!H36,'Consolidated Inputs'!$A$14:$A$73,0))</f>
        <v>1358</v>
      </c>
      <c r="J36" s="168">
        <f t="shared" si="13"/>
        <v>1337.25</v>
      </c>
      <c r="K36" s="175">
        <f t="shared" si="16"/>
        <v>9.0075402486244141E-2</v>
      </c>
      <c r="L36" s="173">
        <f t="shared" si="9"/>
        <v>0.25</v>
      </c>
      <c r="M36" s="69"/>
      <c r="N36" s="21">
        <f t="shared" si="10"/>
        <v>44926</v>
      </c>
      <c r="O36" s="165">
        <f>INDEX('Consolidated Inputs'!$O$14:$O$73,MATCH('Growth rates'!N36,'Consolidated Inputs'!$A$14:$A$73,0))</f>
        <v>1021</v>
      </c>
      <c r="P36" s="168">
        <f t="shared" si="14"/>
        <v>986.20728250000002</v>
      </c>
      <c r="Q36" s="175">
        <f t="shared" si="17"/>
        <v>0.11813318743635924</v>
      </c>
      <c r="R36" s="173">
        <f t="shared" si="11"/>
        <v>0.25</v>
      </c>
    </row>
    <row r="37" spans="1:18" ht="14.4" x14ac:dyDescent="0.3">
      <c r="A37" s="69"/>
      <c r="B37" s="176">
        <f>IF(EOMONTH(B36,3)&gt;'Model Inputs'!$B$8,"",EOMONTH(B36,3))</f>
        <v>45016</v>
      </c>
      <c r="C37" s="165">
        <f>INDEX('Consolidated Inputs'!$M$14:$M$73,MATCH('Growth rates'!B37,'Consolidated Inputs'!$A$14:$A$73,0))</f>
        <v>1327</v>
      </c>
      <c r="D37" s="168">
        <f t="shared" si="12"/>
        <v>1306.75</v>
      </c>
      <c r="E37" s="175">
        <f t="shared" si="15"/>
        <v>3.8751987281399045E-2</v>
      </c>
      <c r="F37" s="172">
        <f t="shared" si="7"/>
        <v>0.25</v>
      </c>
      <c r="G37" s="69"/>
      <c r="H37" s="21">
        <f t="shared" si="8"/>
        <v>45016</v>
      </c>
      <c r="I37" s="165">
        <f>INDEX('Consolidated Inputs'!$N$14:$N$73,MATCH('Growth rates'!H37,'Consolidated Inputs'!$A$14:$A$73,0))</f>
        <v>1358</v>
      </c>
      <c r="J37" s="168">
        <f t="shared" si="13"/>
        <v>1351.75</v>
      </c>
      <c r="K37" s="175">
        <f t="shared" si="16"/>
        <v>7.6877116112328225E-2</v>
      </c>
      <c r="L37" s="173">
        <f t="shared" si="9"/>
        <v>0.25</v>
      </c>
      <c r="M37" s="69"/>
      <c r="N37" s="21">
        <f t="shared" si="10"/>
        <v>45016</v>
      </c>
      <c r="O37" s="165">
        <f>INDEX('Consolidated Inputs'!$O$14:$O$73,MATCH('Growth rates'!N37,'Consolidated Inputs'!$A$14:$A$73,0))</f>
        <v>1031</v>
      </c>
      <c r="P37" s="168">
        <f t="shared" si="14"/>
        <v>1007.8533195</v>
      </c>
      <c r="Q37" s="175">
        <f t="shared" si="17"/>
        <v>0.1116996875242361</v>
      </c>
      <c r="R37" s="173">
        <f t="shared" si="11"/>
        <v>0.25</v>
      </c>
    </row>
    <row r="38" spans="1:18" ht="14.4" x14ac:dyDescent="0.3">
      <c r="A38" s="69"/>
      <c r="B38" s="176">
        <f>IF(EOMONTH(B37,3)&gt;'Model Inputs'!$B$8,"",EOMONTH(B37,3))</f>
        <v>45107</v>
      </c>
      <c r="C38" s="165">
        <f>INDEX('Consolidated Inputs'!$M$14:$M$73,MATCH('Growth rates'!B38,'Consolidated Inputs'!$A$14:$A$73,0))</f>
        <v>1341</v>
      </c>
      <c r="D38" s="168">
        <f t="shared" si="12"/>
        <v>1320.5</v>
      </c>
      <c r="E38" s="175">
        <f t="shared" si="15"/>
        <v>4.099329917225069E-2</v>
      </c>
      <c r="F38" s="172">
        <f t="shared" si="7"/>
        <v>0.25</v>
      </c>
      <c r="G38" s="69"/>
      <c r="H38" s="21">
        <f t="shared" si="8"/>
        <v>45107</v>
      </c>
      <c r="I38" s="165">
        <f>INDEX('Consolidated Inputs'!$N$14:$N$73,MATCH('Growth rates'!H38,'Consolidated Inputs'!$A$14:$A$73,0))</f>
        <v>1355</v>
      </c>
      <c r="J38" s="168">
        <f t="shared" si="13"/>
        <v>1355.5</v>
      </c>
      <c r="K38" s="175">
        <f t="shared" si="16"/>
        <v>5.5069079587468379E-2</v>
      </c>
      <c r="L38" s="173">
        <f t="shared" si="9"/>
        <v>0.25</v>
      </c>
      <c r="M38" s="69"/>
      <c r="N38" s="21">
        <f t="shared" si="10"/>
        <v>45107</v>
      </c>
      <c r="O38" s="165">
        <f>INDEX('Consolidated Inputs'!$O$14:$O$73,MATCH('Growth rates'!N38,'Consolidated Inputs'!$A$14:$A$73,0))</f>
        <v>1042</v>
      </c>
      <c r="P38" s="168">
        <f t="shared" si="14"/>
        <v>1023.5</v>
      </c>
      <c r="Q38" s="175">
        <f t="shared" si="17"/>
        <v>9.6133664006212288E-2</v>
      </c>
      <c r="R38" s="173">
        <f t="shared" si="11"/>
        <v>0.25</v>
      </c>
    </row>
    <row r="39" spans="1:18" ht="14.4" x14ac:dyDescent="0.3">
      <c r="A39" s="69"/>
      <c r="B39" s="176">
        <f>IF(EOMONTH(B38,3)&gt;'Model Inputs'!$B$8,"",EOMONTH(B38,3))</f>
        <v>45199</v>
      </c>
      <c r="C39" s="165">
        <f>INDEX('Consolidated Inputs'!$M$14:$M$73,MATCH('Growth rates'!B39,'Consolidated Inputs'!$A$14:$A$73,0))</f>
        <v>1356</v>
      </c>
      <c r="D39" s="168">
        <f t="shared" si="12"/>
        <v>1334.5</v>
      </c>
      <c r="E39" s="175">
        <f t="shared" si="15"/>
        <v>4.2578125000000001E-2</v>
      </c>
      <c r="F39" s="172">
        <f t="shared" si="7"/>
        <v>0.25</v>
      </c>
      <c r="G39" s="69"/>
      <c r="H39" s="21">
        <f t="shared" si="8"/>
        <v>45199</v>
      </c>
      <c r="I39" s="165">
        <f>INDEX('Consolidated Inputs'!$N$14:$N$73,MATCH('Growth rates'!H39,'Consolidated Inputs'!$A$14:$A$73,0))</f>
        <v>1371</v>
      </c>
      <c r="J39" s="168">
        <f t="shared" si="13"/>
        <v>1360.5</v>
      </c>
      <c r="K39" s="175">
        <f t="shared" si="16"/>
        <v>3.6966463414634144E-2</v>
      </c>
      <c r="L39" s="173">
        <f t="shared" si="9"/>
        <v>0.25</v>
      </c>
      <c r="M39" s="69"/>
      <c r="N39" s="21">
        <f t="shared" si="10"/>
        <v>45199</v>
      </c>
      <c r="O39" s="165">
        <f>INDEX('Consolidated Inputs'!$O$14:$O$73,MATCH('Growth rates'!N39,'Consolidated Inputs'!$A$14:$A$73,0))</f>
        <v>1050</v>
      </c>
      <c r="P39" s="168">
        <f t="shared" si="14"/>
        <v>1036</v>
      </c>
      <c r="Q39" s="175">
        <f t="shared" si="17"/>
        <v>7.8461291195380117E-2</v>
      </c>
      <c r="R39" s="173">
        <f t="shared" si="11"/>
        <v>0.25</v>
      </c>
    </row>
    <row r="40" spans="1:18" ht="14.4" x14ac:dyDescent="0.3">
      <c r="A40" s="69"/>
      <c r="B40" s="176">
        <f>IF(EOMONTH(B39,3)&gt;'Model Inputs'!$B$8,"",EOMONTH(B39,3))</f>
        <v>45291</v>
      </c>
      <c r="C40" s="165">
        <f>INDEX('Consolidated Inputs'!$M$14:$M$73,MATCH('Growth rates'!B40,'Consolidated Inputs'!$A$14:$A$73,0))</f>
        <v>1370</v>
      </c>
      <c r="D40" s="168">
        <f t="shared" si="12"/>
        <v>1348.5</v>
      </c>
      <c r="E40" s="175">
        <f t="shared" si="15"/>
        <v>4.2923433874709975E-2</v>
      </c>
      <c r="F40" s="172">
        <f t="shared" si="7"/>
        <v>0.25</v>
      </c>
      <c r="G40" s="69"/>
      <c r="H40" s="21">
        <f t="shared" si="8"/>
        <v>45291</v>
      </c>
      <c r="I40" s="165">
        <f>INDEX('Consolidated Inputs'!$N$14:$N$73,MATCH('Growth rates'!H40,'Consolidated Inputs'!$A$14:$A$73,0))</f>
        <v>1384</v>
      </c>
      <c r="J40" s="168">
        <f t="shared" si="13"/>
        <v>1367</v>
      </c>
      <c r="K40" s="175">
        <f t="shared" si="16"/>
        <v>2.224714899981305E-2</v>
      </c>
      <c r="L40" s="173">
        <f t="shared" si="9"/>
        <v>0.25</v>
      </c>
      <c r="M40" s="69"/>
      <c r="N40" s="21">
        <f t="shared" si="10"/>
        <v>45291</v>
      </c>
      <c r="O40" s="165">
        <f>INDEX('Consolidated Inputs'!$O$14:$O$73,MATCH('Growth rates'!N40,'Consolidated Inputs'!$A$14:$A$73,0))</f>
        <v>1059</v>
      </c>
      <c r="P40" s="168">
        <f t="shared" si="14"/>
        <v>1045.5</v>
      </c>
      <c r="Q40" s="175">
        <f t="shared" si="17"/>
        <v>6.0121962747724869E-2</v>
      </c>
      <c r="R40" s="173">
        <f t="shared" si="11"/>
        <v>0.25</v>
      </c>
    </row>
    <row r="41" spans="1:18" ht="14.4" x14ac:dyDescent="0.3">
      <c r="A41" s="69"/>
      <c r="B41" s="176">
        <f>IF(EOMONTH(B40,3)&gt;'Model Inputs'!$B$8,"",EOMONTH(B40,3))</f>
        <v>45382</v>
      </c>
      <c r="C41" s="165">
        <f>INDEX('Consolidated Inputs'!$M$14:$M$73,MATCH('Growth rates'!B41,'Consolidated Inputs'!$A$14:$A$73,0))</f>
        <v>1379.59130878412</v>
      </c>
      <c r="D41" s="168">
        <f t="shared" si="12"/>
        <v>1361.64782719603</v>
      </c>
      <c r="E41" s="175">
        <f t="shared" si="15"/>
        <v>4.2010963991605123E-2</v>
      </c>
      <c r="F41" s="172">
        <f t="shared" si="7"/>
        <v>0.25</v>
      </c>
      <c r="G41" s="69"/>
      <c r="H41" s="21">
        <f t="shared" si="8"/>
        <v>45382</v>
      </c>
      <c r="I41" s="165">
        <f>INDEX('Consolidated Inputs'!$N$14:$N$73,MATCH('Growth rates'!H41,'Consolidated Inputs'!$A$14:$A$73,0))</f>
        <v>1391.2272971019609</v>
      </c>
      <c r="J41" s="168">
        <f t="shared" si="13"/>
        <v>1375.3068242754903</v>
      </c>
      <c r="K41" s="175">
        <f t="shared" si="16"/>
        <v>1.7426909025700221E-2</v>
      </c>
      <c r="L41" s="173">
        <f t="shared" si="9"/>
        <v>0.25</v>
      </c>
      <c r="M41" s="69"/>
      <c r="N41" s="21">
        <f t="shared" si="10"/>
        <v>45382</v>
      </c>
      <c r="O41" s="165">
        <f>INDEX('Consolidated Inputs'!$O$14:$O$73,MATCH('Growth rates'!N41,'Consolidated Inputs'!$A$14:$A$73,0))</f>
        <v>1066.3753462263355</v>
      </c>
      <c r="P41" s="168">
        <f t="shared" si="14"/>
        <v>1054.3438365565839</v>
      </c>
      <c r="Q41" s="175">
        <f t="shared" si="17"/>
        <v>4.6128257115477946E-2</v>
      </c>
      <c r="R41" s="173">
        <f t="shared" si="11"/>
        <v>0.25</v>
      </c>
    </row>
    <row r="42" spans="1:18" ht="14.4" x14ac:dyDescent="0.3">
      <c r="A42" s="69"/>
      <c r="B42" s="176">
        <f>IF(EOMONTH(B41,3)&gt;'Model Inputs'!$B$8,"",EOMONTH(B41,3))</f>
        <v>45473</v>
      </c>
      <c r="C42" s="165">
        <f>INDEX('Consolidated Inputs'!$M$14:$M$73,MATCH('Growth rates'!B42,'Consolidated Inputs'!$A$14:$A$73,0))</f>
        <v>1390.5584667808021</v>
      </c>
      <c r="D42" s="168">
        <f t="shared" si="12"/>
        <v>1374.0374438912304</v>
      </c>
      <c r="E42" s="175">
        <f t="shared" si="15"/>
        <v>4.0543312299303594E-2</v>
      </c>
      <c r="F42" s="172">
        <f t="shared" si="7"/>
        <v>0.25</v>
      </c>
      <c r="G42" s="69"/>
      <c r="H42" s="21">
        <f t="shared" si="8"/>
        <v>45473</v>
      </c>
      <c r="I42" s="165">
        <f>INDEX('Consolidated Inputs'!$N$14:$N$73,MATCH('Growth rates'!H42,'Consolidated Inputs'!$A$14:$A$73,0))</f>
        <v>1398.7449451400435</v>
      </c>
      <c r="J42" s="168">
        <f t="shared" si="13"/>
        <v>1386.2430605605011</v>
      </c>
      <c r="K42" s="175">
        <f t="shared" si="16"/>
        <v>2.2680236488750376E-2</v>
      </c>
      <c r="L42" s="173">
        <f t="shared" si="9"/>
        <v>0.25</v>
      </c>
      <c r="M42" s="69"/>
      <c r="N42" s="21">
        <f t="shared" si="10"/>
        <v>45473</v>
      </c>
      <c r="O42" s="165">
        <f>INDEX('Consolidated Inputs'!$O$14:$O$73,MATCH('Growth rates'!N42,'Consolidated Inputs'!$A$14:$A$73,0))</f>
        <v>1073.3412096550865</v>
      </c>
      <c r="P42" s="168">
        <f t="shared" si="14"/>
        <v>1062.1791389703556</v>
      </c>
      <c r="Q42" s="175">
        <f t="shared" si="17"/>
        <v>3.7791049311534493E-2</v>
      </c>
      <c r="R42" s="173">
        <f t="shared" si="11"/>
        <v>0.25</v>
      </c>
    </row>
    <row r="43" spans="1:18" ht="14.4" x14ac:dyDescent="0.3">
      <c r="A43" s="69"/>
      <c r="B43" s="176">
        <f>IF(EOMONTH(B42,3)&gt;'Model Inputs'!$B$8,"",EOMONTH(B42,3))</f>
        <v>45565</v>
      </c>
      <c r="C43" s="165">
        <f>INDEX('Consolidated Inputs'!$M$14:$M$73,MATCH('Growth rates'!B43,'Consolidated Inputs'!$A$14:$A$73,0))</f>
        <v>1399.4511019176114</v>
      </c>
      <c r="D43" s="168">
        <f t="shared" si="12"/>
        <v>1384.9002193706333</v>
      </c>
      <c r="E43" s="175">
        <f t="shared" si="15"/>
        <v>3.7767118299462943E-2</v>
      </c>
      <c r="F43" s="172">
        <f t="shared" si="7"/>
        <v>0.25</v>
      </c>
      <c r="G43" s="69"/>
      <c r="H43" s="21">
        <f t="shared" si="8"/>
        <v>45565</v>
      </c>
      <c r="I43" s="165">
        <f>INDEX('Consolidated Inputs'!$N$14:$N$73,MATCH('Growth rates'!H43,'Consolidated Inputs'!$A$14:$A$73,0))</f>
        <v>1409.6915477952739</v>
      </c>
      <c r="J43" s="168">
        <f t="shared" si="13"/>
        <v>1395.9159475093197</v>
      </c>
      <c r="K43" s="175">
        <f t="shared" si="16"/>
        <v>2.6031567445291968E-2</v>
      </c>
      <c r="L43" s="173">
        <f t="shared" si="9"/>
        <v>0.25</v>
      </c>
      <c r="M43" s="69"/>
      <c r="N43" s="21">
        <f t="shared" si="10"/>
        <v>45565</v>
      </c>
      <c r="O43" s="165">
        <f>INDEX('Consolidated Inputs'!$O$14:$O$73,MATCH('Growth rates'!N43,'Consolidated Inputs'!$A$14:$A$73,0))</f>
        <v>1080.0439517467171</v>
      </c>
      <c r="P43" s="168">
        <f t="shared" si="14"/>
        <v>1069.6901269070349</v>
      </c>
      <c r="Q43" s="175">
        <f t="shared" si="17"/>
        <v>3.2519427516442989E-2</v>
      </c>
      <c r="R43" s="173">
        <f t="shared" si="11"/>
        <v>0.25</v>
      </c>
    </row>
    <row r="44" spans="1:18" ht="14.4" x14ac:dyDescent="0.3">
      <c r="A44" s="69"/>
      <c r="B44" s="176">
        <f>IF(EOMONTH(B43,3)&gt;'Model Inputs'!$B$8,"",EOMONTH(B43,3))</f>
        <v>45657</v>
      </c>
      <c r="C44" s="165">
        <f>INDEX('Consolidated Inputs'!$M$14:$M$73,MATCH('Growth rates'!B44,'Consolidated Inputs'!$A$14:$A$73,0))</f>
        <v>1407.2743138505241</v>
      </c>
      <c r="D44" s="168">
        <f t="shared" si="12"/>
        <v>1394.2187978332643</v>
      </c>
      <c r="E44" s="175">
        <f t="shared" si="15"/>
        <v>3.3903446669087331E-2</v>
      </c>
      <c r="F44" s="172">
        <f t="shared" si="7"/>
        <v>0.25</v>
      </c>
      <c r="G44" s="69"/>
      <c r="H44" s="21">
        <f t="shared" si="8"/>
        <v>45657</v>
      </c>
      <c r="I44" s="165">
        <f>INDEX('Consolidated Inputs'!$N$14:$N$73,MATCH('Growth rates'!H44,'Consolidated Inputs'!$A$14:$A$73,0))</f>
        <v>1417.9698943076153</v>
      </c>
      <c r="J44" s="168">
        <f t="shared" si="13"/>
        <v>1404.4084210862236</v>
      </c>
      <c r="K44" s="175">
        <f t="shared" si="16"/>
        <v>2.7365340955540305E-2</v>
      </c>
      <c r="L44" s="173">
        <f t="shared" si="9"/>
        <v>0.25</v>
      </c>
      <c r="M44" s="69"/>
      <c r="N44" s="21">
        <f t="shared" si="10"/>
        <v>45657</v>
      </c>
      <c r="O44" s="165">
        <f>INDEX('Consolidated Inputs'!$O$14:$O$73,MATCH('Growth rates'!N44,'Consolidated Inputs'!$A$14:$A$73,0))</f>
        <v>1086.2927977832294</v>
      </c>
      <c r="P44" s="168">
        <f t="shared" si="14"/>
        <v>1076.5133263528421</v>
      </c>
      <c r="Q44" s="175">
        <f t="shared" si="17"/>
        <v>2.9663631136147405E-2</v>
      </c>
      <c r="R44" s="173">
        <f t="shared" si="11"/>
        <v>0.25</v>
      </c>
    </row>
    <row r="45" spans="1:18" ht="14.4" x14ac:dyDescent="0.3">
      <c r="A45" s="69"/>
      <c r="B45" s="176">
        <f>IF(EOMONTH(B44,3)&gt;'Model Inputs'!$B$8,"",EOMONTH(B44,3))</f>
        <v>45747</v>
      </c>
      <c r="C45" s="165">
        <f>INDEX('Consolidated Inputs'!$M$14:$M$73,MATCH('Growth rates'!B45,'Consolidated Inputs'!$A$14:$A$73,0))</f>
        <v>1414.8640410880671</v>
      </c>
      <c r="D45" s="168">
        <f t="shared" si="12"/>
        <v>1403.036980909251</v>
      </c>
      <c r="E45" s="175">
        <f t="shared" si="15"/>
        <v>3.0396371871316802E-2</v>
      </c>
      <c r="F45" s="172">
        <f t="shared" si="7"/>
        <v>0.25</v>
      </c>
      <c r="G45" s="69"/>
      <c r="H45" s="21">
        <f t="shared" si="8"/>
        <v>45747</v>
      </c>
      <c r="I45" s="165">
        <f>INDEX('Consolidated Inputs'!$N$14:$N$73,MATCH('Growth rates'!H45,'Consolidated Inputs'!$A$14:$A$73,0))</f>
        <v>1426.0704196277745</v>
      </c>
      <c r="J45" s="168">
        <f t="shared" si="13"/>
        <v>1413.1192017176768</v>
      </c>
      <c r="K45" s="175">
        <f t="shared" si="16"/>
        <v>2.7493775770440189E-2</v>
      </c>
      <c r="L45" s="173">
        <f t="shared" si="9"/>
        <v>0.25</v>
      </c>
      <c r="M45" s="69"/>
      <c r="N45" s="21">
        <f t="shared" si="10"/>
        <v>45747</v>
      </c>
      <c r="O45" s="165">
        <f>INDEX('Consolidated Inputs'!$O$14:$O$73,MATCH('Growth rates'!N45,'Consolidated Inputs'!$A$14:$A$73,0))</f>
        <v>1092.2591602153648</v>
      </c>
      <c r="P45" s="168">
        <f t="shared" si="14"/>
        <v>1082.9842798500995</v>
      </c>
      <c r="Q45" s="175">
        <f t="shared" si="17"/>
        <v>2.7164234569866039E-2</v>
      </c>
      <c r="R45" s="173">
        <f t="shared" si="11"/>
        <v>0.25</v>
      </c>
    </row>
    <row r="46" spans="1:18" ht="14.4" x14ac:dyDescent="0.3">
      <c r="A46" s="69"/>
      <c r="B46" s="176">
        <f>IF(EOMONTH(B45,3)&gt;'Model Inputs'!$B$8,"",EOMONTH(B45,3))</f>
        <v>45838</v>
      </c>
      <c r="C46" s="165">
        <f>INDEX('Consolidated Inputs'!$M$14:$M$73,MATCH('Growth rates'!B46,'Consolidated Inputs'!$A$14:$A$73,0))</f>
        <v>1422.4360024908026</v>
      </c>
      <c r="D46" s="168">
        <f t="shared" si="12"/>
        <v>1411.0063648367513</v>
      </c>
      <c r="E46" s="175">
        <f>(D46-D42)/D42</f>
        <v>2.6905322784236605E-2</v>
      </c>
      <c r="F46" s="172">
        <f t="shared" si="7"/>
        <v>0.25</v>
      </c>
      <c r="G46" s="69"/>
      <c r="H46" s="21">
        <f t="shared" si="8"/>
        <v>45838</v>
      </c>
      <c r="I46" s="165">
        <f>INDEX('Consolidated Inputs'!$N$14:$N$73,MATCH('Growth rates'!H46,'Consolidated Inputs'!$A$14:$A$73,0))</f>
        <v>1433.2630119258047</v>
      </c>
      <c r="J46" s="168">
        <f t="shared" ref="J46:J53" si="18">SUMPRODUCT(I43:I46,L43:L46)</f>
        <v>1421.7487184141171</v>
      </c>
      <c r="K46" s="175">
        <f t="shared" si="16"/>
        <v>2.561286607217346E-2</v>
      </c>
      <c r="L46" s="173">
        <f t="shared" si="9"/>
        <v>0.25</v>
      </c>
      <c r="M46" s="69"/>
      <c r="N46" s="21">
        <f t="shared" si="10"/>
        <v>45838</v>
      </c>
      <c r="O46" s="165">
        <f>INDEX('Consolidated Inputs'!$O$14:$O$73,MATCH('Growth rates'!N46,'Consolidated Inputs'!$A$14:$A$73,0))</f>
        <v>1097.9096929306716</v>
      </c>
      <c r="P46" s="168">
        <f t="shared" si="14"/>
        <v>1089.1264006689958</v>
      </c>
      <c r="Q46" s="175">
        <f t="shared" si="17"/>
        <v>2.536979000054743E-2</v>
      </c>
      <c r="R46" s="173">
        <f t="shared" si="11"/>
        <v>0.25</v>
      </c>
    </row>
    <row r="47" spans="1:18" ht="14.4" x14ac:dyDescent="0.3">
      <c r="A47" s="69"/>
      <c r="B47" s="176">
        <f>IF(EOMONTH(B46,3)&gt;'Model Inputs'!$B$8,"",EOMONTH(B46,3))</f>
        <v>45930</v>
      </c>
      <c r="C47" s="165">
        <f>INDEX('Consolidated Inputs'!$M$14:$M$73,MATCH('Growth rates'!B47,'Consolidated Inputs'!$A$14:$A$73,0))</f>
        <v>1429.6027747524445</v>
      </c>
      <c r="D47" s="168">
        <f t="shared" si="12"/>
        <v>1418.5442830454595</v>
      </c>
      <c r="E47" s="175">
        <f t="shared" si="15"/>
        <v>2.4293492920461571E-2</v>
      </c>
      <c r="F47" s="172">
        <f t="shared" si="7"/>
        <v>0.25</v>
      </c>
      <c r="G47" s="69"/>
      <c r="H47" s="21">
        <f t="shared" si="8"/>
        <v>45930</v>
      </c>
      <c r="I47" s="165">
        <f>INDEX('Consolidated Inputs'!$N$14:$N$73,MATCH('Growth rates'!H47,'Consolidated Inputs'!$A$14:$A$73,0))</f>
        <v>1442.5912441601288</v>
      </c>
      <c r="J47" s="168">
        <f t="shared" si="18"/>
        <v>1429.9736425053306</v>
      </c>
      <c r="K47" s="175">
        <f t="shared" si="16"/>
        <v>2.4398098651124939E-2</v>
      </c>
      <c r="L47" s="173">
        <f t="shared" si="9"/>
        <v>0.25</v>
      </c>
      <c r="M47" s="69"/>
      <c r="N47" s="21">
        <f t="shared" si="10"/>
        <v>45930</v>
      </c>
      <c r="O47" s="165">
        <f>INDEX('Consolidated Inputs'!$O$14:$O$73,MATCH('Growth rates'!N47,'Consolidated Inputs'!$A$14:$A$73,0))</f>
        <v>1103.6616135039426</v>
      </c>
      <c r="P47" s="168">
        <f t="shared" si="14"/>
        <v>1095.0308161083021</v>
      </c>
      <c r="Q47" s="175">
        <f t="shared" si="17"/>
        <v>2.3689747679114099E-2</v>
      </c>
      <c r="R47" s="173">
        <f t="shared" si="11"/>
        <v>0.25</v>
      </c>
    </row>
    <row r="48" spans="1:18" ht="14.4" x14ac:dyDescent="0.3">
      <c r="A48" s="69"/>
      <c r="B48" s="176">
        <f>IF(EOMONTH(B47,3)&gt;'Model Inputs'!$B$8,"",EOMONTH(B47,3))</f>
        <v>46022</v>
      </c>
      <c r="C48" s="165">
        <f>INDEX('Consolidated Inputs'!$M$14:$M$73,MATCH('Growth rates'!B48,'Consolidated Inputs'!$A$14:$A$73,0))</f>
        <v>1436.8029818417019</v>
      </c>
      <c r="D48" s="168">
        <f t="shared" si="12"/>
        <v>1425.9264500432541</v>
      </c>
      <c r="E48" s="175">
        <f t="shared" si="15"/>
        <v>2.274223547929944E-2</v>
      </c>
      <c r="F48" s="172">
        <f t="shared" si="7"/>
        <v>0.25</v>
      </c>
      <c r="G48" s="69"/>
      <c r="H48" s="21">
        <f t="shared" si="8"/>
        <v>46022</v>
      </c>
      <c r="I48" s="165">
        <f>INDEX('Consolidated Inputs'!$N$14:$N$73,MATCH('Growth rates'!H48,'Consolidated Inputs'!$A$14:$A$73,0))</f>
        <v>1450.2222440848916</v>
      </c>
      <c r="J48" s="168">
        <f t="shared" si="18"/>
        <v>1438.03672994965</v>
      </c>
      <c r="K48" s="175">
        <f t="shared" si="16"/>
        <v>2.3944821434078931E-2</v>
      </c>
      <c r="L48" s="173">
        <f t="shared" si="9"/>
        <v>0.25</v>
      </c>
      <c r="M48" s="69"/>
      <c r="N48" s="21">
        <f t="shared" si="10"/>
        <v>46022</v>
      </c>
      <c r="O48" s="165">
        <f>INDEX('Consolidated Inputs'!$O$14:$O$73,MATCH('Growth rates'!N48,'Consolidated Inputs'!$A$14:$A$73,0))</f>
        <v>1109.0567315828528</v>
      </c>
      <c r="P48" s="168">
        <f t="shared" si="14"/>
        <v>1100.721799558208</v>
      </c>
      <c r="Q48" s="175">
        <f t="shared" si="17"/>
        <v>2.2487852786163467E-2</v>
      </c>
      <c r="R48" s="173">
        <f t="shared" si="11"/>
        <v>0.25</v>
      </c>
    </row>
    <row r="49" spans="1:18" ht="14.4" x14ac:dyDescent="0.3">
      <c r="A49" s="69"/>
      <c r="B49" s="176">
        <f>IF(EOMONTH(B48,3)&gt;'Model Inputs'!$B$8,"",EOMONTH(B48,3))</f>
        <v>46112</v>
      </c>
      <c r="C49" s="165">
        <f>INDEX('Consolidated Inputs'!$M$14:$M$73,MATCH('Growth rates'!B49,'Consolidated Inputs'!$A$14:$A$73,0))</f>
        <v>1444.0850123515904</v>
      </c>
      <c r="D49" s="168">
        <f t="shared" si="12"/>
        <v>1433.2316928591347</v>
      </c>
      <c r="E49" s="175">
        <f t="shared" si="15"/>
        <v>2.1520966560921066E-2</v>
      </c>
      <c r="F49" s="172">
        <f t="shared" si="7"/>
        <v>0.25</v>
      </c>
      <c r="G49" s="69"/>
      <c r="H49" s="21">
        <f t="shared" si="8"/>
        <v>46112</v>
      </c>
      <c r="I49" s="165">
        <f>INDEX('Consolidated Inputs'!$N$14:$N$73,MATCH('Growth rates'!H49,'Consolidated Inputs'!$A$14:$A$73,0))</f>
        <v>1458.9389987922368</v>
      </c>
      <c r="J49" s="168">
        <f t="shared" si="18"/>
        <v>1446.2538747407655</v>
      </c>
      <c r="K49" s="175">
        <f t="shared" si="16"/>
        <v>2.3447896669164761E-2</v>
      </c>
      <c r="L49" s="173">
        <f t="shared" si="9"/>
        <v>0.25</v>
      </c>
      <c r="M49" s="69"/>
      <c r="N49" s="21">
        <f t="shared" si="10"/>
        <v>46112</v>
      </c>
      <c r="O49" s="165">
        <f>INDEX('Consolidated Inputs'!$O$14:$O$73,MATCH('Growth rates'!N49,'Consolidated Inputs'!$A$14:$A$73,0))</f>
        <v>1114.5278741412842</v>
      </c>
      <c r="P49" s="168">
        <f t="shared" si="14"/>
        <v>1106.2889780396877</v>
      </c>
      <c r="Q49" s="175">
        <f t="shared" si="17"/>
        <v>2.1518962577013474E-2</v>
      </c>
      <c r="R49" s="173">
        <f t="shared" si="11"/>
        <v>0.25</v>
      </c>
    </row>
    <row r="50" spans="1:18" ht="14.4" x14ac:dyDescent="0.3">
      <c r="A50" s="69"/>
      <c r="B50" s="176">
        <f>IF(EOMONTH(B49,3)&gt;'Model Inputs'!$B$8,"",EOMONTH(B49,3))</f>
        <v>46203</v>
      </c>
      <c r="C50" s="165">
        <f>INDEX('Consolidated Inputs'!$M$14:$M$73,MATCH('Growth rates'!B50,'Consolidated Inputs'!$A$14:$A$73,0))</f>
        <v>1450.6718210115375</v>
      </c>
      <c r="D50" s="168">
        <f t="shared" si="12"/>
        <v>1440.2906474893186</v>
      </c>
      <c r="E50" s="175">
        <f t="shared" si="15"/>
        <v>2.0754181825363625E-2</v>
      </c>
      <c r="F50" s="172">
        <f t="shared" si="7"/>
        <v>0.25</v>
      </c>
      <c r="G50" s="69"/>
      <c r="H50" s="21">
        <f t="shared" si="8"/>
        <v>46203</v>
      </c>
      <c r="I50" s="165">
        <f>INDEX('Consolidated Inputs'!$N$14:$N$73,MATCH('Growth rates'!H50,'Consolidated Inputs'!$A$14:$A$73,0))</f>
        <v>1466.4985818003649</v>
      </c>
      <c r="J50" s="168">
        <f t="shared" si="18"/>
        <v>1454.5627672094056</v>
      </c>
      <c r="K50" s="175">
        <f t="shared" si="16"/>
        <v>2.308006215886783E-2</v>
      </c>
      <c r="L50" s="173">
        <f t="shared" si="9"/>
        <v>0.25</v>
      </c>
      <c r="M50" s="69"/>
      <c r="N50" s="21">
        <f t="shared" si="10"/>
        <v>46203</v>
      </c>
      <c r="O50" s="165">
        <f>INDEX('Consolidated Inputs'!$O$14:$O$73,MATCH('Growth rates'!N50,'Consolidated Inputs'!$A$14:$A$73,0))</f>
        <v>1119.7548491497646</v>
      </c>
      <c r="P50" s="168">
        <f t="shared" si="14"/>
        <v>1111.7502670944609</v>
      </c>
      <c r="Q50" s="175">
        <f t="shared" si="17"/>
        <v>2.0772489227667661E-2</v>
      </c>
      <c r="R50" s="173">
        <f t="shared" si="11"/>
        <v>0.25</v>
      </c>
    </row>
    <row r="51" spans="1:18" ht="14.4" x14ac:dyDescent="0.3">
      <c r="A51" s="69"/>
      <c r="B51" s="176">
        <f>IF(EOMONTH(B50,3)&gt;'Model Inputs'!$B$8,"",EOMONTH(B50,3))</f>
        <v>46295</v>
      </c>
      <c r="C51" s="165">
        <f>INDEX('Consolidated Inputs'!$M$14:$M$73,MATCH('Growth rates'!B51,'Consolidated Inputs'!$A$14:$A$73,0))</f>
        <v>1456.7457097494155</v>
      </c>
      <c r="D51" s="168">
        <f t="shared" si="12"/>
        <v>1447.0763812385612</v>
      </c>
      <c r="E51" s="175">
        <f t="shared" si="15"/>
        <v>2.0113646457230423E-2</v>
      </c>
      <c r="F51" s="172">
        <f t="shared" si="7"/>
        <v>0.25</v>
      </c>
      <c r="G51" s="69"/>
      <c r="H51" s="21">
        <f t="shared" si="8"/>
        <v>46295</v>
      </c>
      <c r="I51" s="165">
        <f>INDEX('Consolidated Inputs'!$N$14:$N$73,MATCH('Growth rates'!H51,'Consolidated Inputs'!$A$14:$A$73,0))</f>
        <v>1475.3524405134701</v>
      </c>
      <c r="J51" s="168">
        <f t="shared" si="18"/>
        <v>1462.753066297741</v>
      </c>
      <c r="K51" s="175">
        <f t="shared" si="16"/>
        <v>2.292309649496788E-2</v>
      </c>
      <c r="L51" s="173">
        <f t="shared" si="9"/>
        <v>0.25</v>
      </c>
      <c r="M51" s="69"/>
      <c r="N51" s="21">
        <f t="shared" si="10"/>
        <v>46295</v>
      </c>
      <c r="O51" s="165">
        <f>INDEX('Consolidated Inputs'!$O$14:$O$73,MATCH('Growth rates'!N51,'Consolidated Inputs'!$A$14:$A$73,0))</f>
        <v>1125.1284523600445</v>
      </c>
      <c r="P51" s="168">
        <f t="shared" si="14"/>
        <v>1117.1169768084865</v>
      </c>
      <c r="Q51" s="175">
        <f t="shared" si="17"/>
        <v>2.0169442152027931E-2</v>
      </c>
      <c r="R51" s="173">
        <f t="shared" si="11"/>
        <v>0.25</v>
      </c>
    </row>
    <row r="52" spans="1:18" ht="14.4" x14ac:dyDescent="0.3">
      <c r="A52" s="69"/>
      <c r="B52" s="176">
        <f>IF(EOMONTH(B51,3)&gt;'Model Inputs'!$B$8,"",EOMONTH(B51,3))</f>
        <v>46387</v>
      </c>
      <c r="C52" s="165">
        <f>INDEX('Consolidated Inputs'!$M$14:$M$73,MATCH('Growth rates'!B52,'Consolidated Inputs'!$A$14:$A$73,0))</f>
        <v>1462.6035423105911</v>
      </c>
      <c r="D52" s="168">
        <f t="shared" si="12"/>
        <v>1453.5265213557836</v>
      </c>
      <c r="E52" s="175">
        <f t="shared" si="15"/>
        <v>1.9355887052724414E-2</v>
      </c>
      <c r="F52" s="172">
        <f t="shared" si="7"/>
        <v>0.25</v>
      </c>
      <c r="G52" s="69"/>
      <c r="H52" s="21">
        <f t="shared" si="8"/>
        <v>46387</v>
      </c>
      <c r="I52" s="165">
        <f>INDEX('Consolidated Inputs'!$N$14:$N$73,MATCH('Growth rates'!H52,'Consolidated Inputs'!$A$14:$A$73,0))</f>
        <v>1482.8858532941706</v>
      </c>
      <c r="J52" s="168">
        <f t="shared" si="18"/>
        <v>1470.9189686000607</v>
      </c>
      <c r="K52" s="175">
        <f t="shared" si="16"/>
        <v>2.2866063130085722E-2</v>
      </c>
      <c r="L52" s="173">
        <f t="shared" si="9"/>
        <v>0.25</v>
      </c>
      <c r="M52" s="69"/>
      <c r="N52" s="21">
        <f t="shared" si="10"/>
        <v>46387</v>
      </c>
      <c r="O52" s="165">
        <f>INDEX('Consolidated Inputs'!$O$14:$O$73,MATCH('Growth rates'!N52,'Consolidated Inputs'!$A$14:$A$73,0))</f>
        <v>1130.3069564843768</v>
      </c>
      <c r="P52" s="168">
        <f t="shared" si="14"/>
        <v>1122.4295330338673</v>
      </c>
      <c r="Q52" s="175">
        <f t="shared" si="17"/>
        <v>1.9721362368195182E-2</v>
      </c>
      <c r="R52" s="173">
        <f t="shared" si="11"/>
        <v>0.25</v>
      </c>
    </row>
    <row r="53" spans="1:18" ht="14.4" x14ac:dyDescent="0.3">
      <c r="A53" s="69"/>
      <c r="B53" s="176">
        <f>IF(EOMONTH(B52,3)&gt;'Model Inputs'!$B$8,"",EOMONTH(B52,3))</f>
        <v>46477</v>
      </c>
      <c r="C53" s="165">
        <f>INDEX('Consolidated Inputs'!$M$14:$M$73,MATCH('Growth rates'!B53,'Consolidated Inputs'!$A$14:$A$73,0))</f>
        <v>1468.7283130591193</v>
      </c>
      <c r="D53" s="168">
        <f>SUMPRODUCT(C50:C53,F50:F53)</f>
        <v>1459.687346532666</v>
      </c>
      <c r="E53" s="175">
        <f t="shared" si="15"/>
        <v>1.8458741741019736E-2</v>
      </c>
      <c r="F53" s="172">
        <f t="shared" si="7"/>
        <v>0.25</v>
      </c>
      <c r="G53" s="69"/>
      <c r="H53" s="21">
        <f t="shared" si="8"/>
        <v>46477</v>
      </c>
      <c r="I53" s="165">
        <f>INDEX('Consolidated Inputs'!$N$14:$N$73,MATCH('Growth rates'!H53,'Consolidated Inputs'!$A$14:$A$73,0))</f>
        <v>1492.118321804362</v>
      </c>
      <c r="J53" s="168">
        <f t="shared" si="18"/>
        <v>1479.2137993530919</v>
      </c>
      <c r="K53" s="175">
        <f t="shared" si="16"/>
        <v>2.2789860886792315E-2</v>
      </c>
      <c r="L53" s="173">
        <f t="shared" si="9"/>
        <v>0.25</v>
      </c>
      <c r="M53" s="69"/>
      <c r="N53" s="21">
        <f t="shared" si="10"/>
        <v>46477</v>
      </c>
      <c r="O53" s="165">
        <f>INDEX('Consolidated Inputs'!$O$14:$O$73,MATCH('Growth rates'!N53,'Consolidated Inputs'!$A$14:$A$73,0))</f>
        <v>1135.7014932936445</v>
      </c>
      <c r="P53" s="168">
        <f t="shared" si="14"/>
        <v>1127.7229378219577</v>
      </c>
      <c r="Q53" s="175">
        <f t="shared" si="17"/>
        <v>1.9374648222791079E-2</v>
      </c>
      <c r="R53" s="173">
        <f t="shared" si="11"/>
        <v>0.25</v>
      </c>
    </row>
    <row r="54" spans="1:18" ht="14.4" x14ac:dyDescent="0.3">
      <c r="A54" s="69"/>
      <c r="B54" s="176">
        <f>IF(EOMONTH(B53,3)&gt;'Model Inputs'!$B$8,"",EOMONTH(B53,3))</f>
        <v>46568</v>
      </c>
      <c r="C54" s="165">
        <f>INDEX('Consolidated Inputs'!$M$14:$M$73,MATCH('Growth rates'!B54,'Consolidated Inputs'!$A$14:$A$73,0))</f>
        <v>1475.2467180533015</v>
      </c>
      <c r="D54" s="168">
        <f t="shared" ref="D54:D65" si="19">SUMPRODUCT(C51:C54,F51:F54)</f>
        <v>1465.8310707931068</v>
      </c>
      <c r="E54" s="175">
        <f t="shared" ref="E54:E65" si="20">(D54-D50)/D50</f>
        <v>1.7732825904486486E-2</v>
      </c>
      <c r="F54" s="172">
        <f t="shared" ref="F54:F65" si="21">INDEX(Qtr_Wgt,MONTH(B54)/3,1)</f>
        <v>0.25</v>
      </c>
      <c r="G54" s="69"/>
      <c r="H54" s="21">
        <f t="shared" ref="H54:H65" si="22">B54</f>
        <v>46568</v>
      </c>
      <c r="I54" s="165">
        <f>INDEX('Consolidated Inputs'!$N$14:$N$73,MATCH('Growth rates'!H54,'Consolidated Inputs'!$A$14:$A$73,0))</f>
        <v>1499.920764015468</v>
      </c>
      <c r="J54" s="168">
        <f t="shared" ref="J54:J65" si="23">SUMPRODUCT(I51:I54,L51:L54)</f>
        <v>1487.5693449068679</v>
      </c>
      <c r="K54" s="175">
        <f t="shared" ref="K54:K65" si="24">(J54-J50)/J50</f>
        <v>2.2691752079414033E-2</v>
      </c>
      <c r="L54" s="173">
        <f t="shared" ref="L54:L65" si="25">INDEX(Qtr_Wgt,MONTH(H54)/3,2)</f>
        <v>0.25</v>
      </c>
      <c r="M54" s="69"/>
      <c r="N54" s="21">
        <f t="shared" ref="N54:N65" si="26">B54</f>
        <v>46568</v>
      </c>
      <c r="O54" s="165">
        <f>INDEX('Consolidated Inputs'!$O$14:$O$73,MATCH('Growth rates'!N54,'Consolidated Inputs'!$A$14:$A$73,0))</f>
        <v>1140.8855932188878</v>
      </c>
      <c r="P54" s="168">
        <f t="shared" ref="P54:P65" si="27">SUMPRODUCT(O51:O54,R51:R54)</f>
        <v>1133.0056238392385</v>
      </c>
      <c r="Q54" s="175">
        <f t="shared" ref="Q54:Q65" si="28">(P54-P50)/P50</f>
        <v>1.9118823151109365E-2</v>
      </c>
      <c r="R54" s="173">
        <f t="shared" ref="R54:R65" si="29">INDEX(Qtr_Wgt,MONTH(N54)/3,3)</f>
        <v>0.25</v>
      </c>
    </row>
    <row r="55" spans="1:18" ht="14.4" x14ac:dyDescent="0.3">
      <c r="A55" s="69"/>
      <c r="B55" s="176">
        <f>IF(EOMONTH(B54,3)&gt;'Model Inputs'!$B$8,"",EOMONTH(B54,3))</f>
        <v>46660</v>
      </c>
      <c r="C55" s="165">
        <f>INDEX('Consolidated Inputs'!$M$14:$M$73,MATCH('Growth rates'!B55,'Consolidated Inputs'!$A$14:$A$73,0))</f>
        <v>1482.3430998352219</v>
      </c>
      <c r="D55" s="168">
        <f t="shared" si="19"/>
        <v>1472.2304183145584</v>
      </c>
      <c r="E55" s="175">
        <f t="shared" si="20"/>
        <v>1.7382660239722576E-2</v>
      </c>
      <c r="F55" s="172">
        <f t="shared" si="21"/>
        <v>0.25</v>
      </c>
      <c r="G55" s="69"/>
      <c r="H55" s="21">
        <f t="shared" si="22"/>
        <v>46660</v>
      </c>
      <c r="I55" s="165">
        <f>INDEX('Consolidated Inputs'!$N$14:$N$73,MATCH('Growth rates'!H55,'Consolidated Inputs'!$A$14:$A$73,0))</f>
        <v>1509.7110657289313</v>
      </c>
      <c r="J55" s="168">
        <f t="shared" si="23"/>
        <v>1496.1590012107331</v>
      </c>
      <c r="K55" s="175">
        <f t="shared" si="24"/>
        <v>2.2837713133320021E-2</v>
      </c>
      <c r="L55" s="173">
        <f t="shared" si="25"/>
        <v>0.25</v>
      </c>
      <c r="M55" s="69"/>
      <c r="N55" s="21">
        <f t="shared" si="26"/>
        <v>46660</v>
      </c>
      <c r="O55" s="165">
        <f>INDEX('Consolidated Inputs'!$O$14:$O$73,MATCH('Growth rates'!N55,'Consolidated Inputs'!$A$14:$A$73,0))</f>
        <v>1146.343656055609</v>
      </c>
      <c r="P55" s="168">
        <f t="shared" si="27"/>
        <v>1138.3094247631295</v>
      </c>
      <c r="Q55" s="175">
        <f t="shared" si="28"/>
        <v>1.8970661438865766E-2</v>
      </c>
      <c r="R55" s="173">
        <f t="shared" si="29"/>
        <v>0.25</v>
      </c>
    </row>
    <row r="56" spans="1:18" ht="14.4" x14ac:dyDescent="0.3">
      <c r="A56" s="69"/>
      <c r="B56" s="176">
        <f>IF(EOMONTH(B55,3)&gt;'Model Inputs'!$B$8,"",EOMONTH(B55,3))</f>
        <v>46752</v>
      </c>
      <c r="C56" s="165">
        <f>INDEX('Consolidated Inputs'!$M$14:$M$73,MATCH('Growth rates'!B56,'Consolidated Inputs'!$A$14:$A$73,0))</f>
        <v>1489.8413257107625</v>
      </c>
      <c r="D56" s="168">
        <f t="shared" si="19"/>
        <v>1479.0398641646011</v>
      </c>
      <c r="E56" s="175">
        <f t="shared" si="20"/>
        <v>1.7552719151639407E-2</v>
      </c>
      <c r="F56" s="172">
        <f t="shared" si="21"/>
        <v>0.25</v>
      </c>
      <c r="G56" s="69"/>
      <c r="H56" s="21">
        <f t="shared" si="22"/>
        <v>46752</v>
      </c>
      <c r="I56" s="165">
        <f>INDEX('Consolidated Inputs'!$N$14:$N$73,MATCH('Growth rates'!H56,'Consolidated Inputs'!$A$14:$A$73,0))</f>
        <v>1518.2413577962882</v>
      </c>
      <c r="J56" s="168">
        <f t="shared" si="23"/>
        <v>1504.9978773362623</v>
      </c>
      <c r="K56" s="175">
        <f t="shared" si="24"/>
        <v>2.3168447388122272E-2</v>
      </c>
      <c r="L56" s="173">
        <f t="shared" si="25"/>
        <v>0.25</v>
      </c>
      <c r="M56" s="69"/>
      <c r="N56" s="21">
        <f t="shared" si="26"/>
        <v>46752</v>
      </c>
      <c r="O56" s="165">
        <f>INDEX('Consolidated Inputs'!$O$14:$O$73,MATCH('Growth rates'!N56,'Consolidated Inputs'!$A$14:$A$73,0))</f>
        <v>1151.6330083148412</v>
      </c>
      <c r="P56" s="168">
        <f t="shared" si="27"/>
        <v>1143.6409377207458</v>
      </c>
      <c r="Q56" s="175">
        <f t="shared" si="28"/>
        <v>1.8897760672373969E-2</v>
      </c>
      <c r="R56" s="173">
        <f t="shared" si="29"/>
        <v>0.25</v>
      </c>
    </row>
    <row r="57" spans="1:18" ht="14.4" x14ac:dyDescent="0.3">
      <c r="A57" s="69"/>
      <c r="B57" s="176">
        <f>IF(EOMONTH(B56,3)&gt;'Model Inputs'!$B$8,"",EOMONTH(B56,3))</f>
        <v>46843</v>
      </c>
      <c r="C57" s="165">
        <f>INDEX('Consolidated Inputs'!$M$14:$M$73,MATCH('Growth rates'!B57,'Consolidated Inputs'!$A$14:$A$73,0))</f>
        <v>1497.2386639931938</v>
      </c>
      <c r="D57" s="168">
        <f t="shared" si="19"/>
        <v>1486.1674518981199</v>
      </c>
      <c r="E57" s="175">
        <f t="shared" si="20"/>
        <v>1.814094328374816E-2</v>
      </c>
      <c r="F57" s="172">
        <f t="shared" si="21"/>
        <v>0.25</v>
      </c>
      <c r="G57" s="69"/>
      <c r="H57" s="21">
        <f t="shared" si="22"/>
        <v>46843</v>
      </c>
      <c r="I57" s="165">
        <f>INDEX('Consolidated Inputs'!$N$14:$N$73,MATCH('Growth rates'!H57,'Consolidated Inputs'!$A$14:$A$73,0))</f>
        <v>1528.0078331591571</v>
      </c>
      <c r="J57" s="168">
        <f t="shared" si="23"/>
        <v>1513.970255174961</v>
      </c>
      <c r="K57" s="175">
        <f t="shared" si="24"/>
        <v>2.3496573542694972E-2</v>
      </c>
      <c r="L57" s="173">
        <f t="shared" si="25"/>
        <v>0.25</v>
      </c>
      <c r="M57" s="69"/>
      <c r="N57" s="21">
        <f t="shared" si="26"/>
        <v>46843</v>
      </c>
      <c r="O57" s="165">
        <f>INDEX('Consolidated Inputs'!$O$14:$O$73,MATCH('Growth rates'!N57,'Consolidated Inputs'!$A$14:$A$73,0))</f>
        <v>1157.1104750875581</v>
      </c>
      <c r="P57" s="168">
        <f t="shared" si="27"/>
        <v>1148.993183169224</v>
      </c>
      <c r="Q57" s="175">
        <f t="shared" si="28"/>
        <v>1.8861233228391137E-2</v>
      </c>
      <c r="R57" s="173">
        <f t="shared" si="29"/>
        <v>0.25</v>
      </c>
    </row>
    <row r="58" spans="1:18" ht="14.4" x14ac:dyDescent="0.3">
      <c r="A58" s="69"/>
      <c r="B58" s="176">
        <f>IF(EOMONTH(B57,3)&gt;'Model Inputs'!$B$8,"",EOMONTH(B57,3))</f>
        <v>46934</v>
      </c>
      <c r="C58" s="165">
        <f>INDEX('Consolidated Inputs'!$M$14:$M$73,MATCH('Growth rates'!B58,'Consolidated Inputs'!$A$14:$A$73,0))</f>
        <v>1504.7069067022251</v>
      </c>
      <c r="D58" s="168">
        <f t="shared" si="19"/>
        <v>1493.5324990603508</v>
      </c>
      <c r="E58" s="175">
        <f t="shared" si="20"/>
        <v>1.8898104167116434E-2</v>
      </c>
      <c r="F58" s="172">
        <f t="shared" si="21"/>
        <v>0.25</v>
      </c>
      <c r="G58" s="69"/>
      <c r="H58" s="21">
        <f t="shared" si="22"/>
        <v>46934</v>
      </c>
      <c r="I58" s="165">
        <f>INDEX('Consolidated Inputs'!$N$14:$N$73,MATCH('Growth rates'!H58,'Consolidated Inputs'!$A$14:$A$73,0))</f>
        <v>1536.4766832784387</v>
      </c>
      <c r="J58" s="168">
        <f t="shared" si="23"/>
        <v>1523.109234990704</v>
      </c>
      <c r="K58" s="175">
        <f t="shared" si="24"/>
        <v>2.3891249309161543E-2</v>
      </c>
      <c r="L58" s="173">
        <f t="shared" si="25"/>
        <v>0.25</v>
      </c>
      <c r="M58" s="69"/>
      <c r="N58" s="21">
        <f t="shared" si="26"/>
        <v>46934</v>
      </c>
      <c r="O58" s="165">
        <f>INDEX('Consolidated Inputs'!$O$14:$O$73,MATCH('Growth rates'!N58,'Consolidated Inputs'!$A$14:$A$73,0))</f>
        <v>1162.4386754229308</v>
      </c>
      <c r="P58" s="168">
        <f t="shared" si="27"/>
        <v>1154.3814537202347</v>
      </c>
      <c r="Q58" s="175">
        <f t="shared" si="28"/>
        <v>1.8866481711329274E-2</v>
      </c>
      <c r="R58" s="173">
        <f t="shared" si="29"/>
        <v>0.25</v>
      </c>
    </row>
    <row r="59" spans="1:18" ht="14.4" x14ac:dyDescent="0.3">
      <c r="A59" s="69"/>
      <c r="B59" s="176">
        <f>IF(EOMONTH(B58,3)&gt;'Model Inputs'!$B$8,"",EOMONTH(B58,3))</f>
        <v>47026</v>
      </c>
      <c r="C59" s="165">
        <f>INDEX('Consolidated Inputs'!$M$14:$M$73,MATCH('Growth rates'!B59,'Consolidated Inputs'!$A$14:$A$73,0))</f>
        <v>1512.1990264490375</v>
      </c>
      <c r="D59" s="168">
        <f t="shared" si="19"/>
        <v>1500.9964807138047</v>
      </c>
      <c r="E59" s="175">
        <f t="shared" si="20"/>
        <v>1.9539103418456931E-2</v>
      </c>
      <c r="F59" s="172">
        <f t="shared" si="21"/>
        <v>0.25</v>
      </c>
      <c r="G59" s="69"/>
      <c r="H59" s="21">
        <f t="shared" si="22"/>
        <v>47026</v>
      </c>
      <c r="I59" s="165">
        <f>INDEX('Consolidated Inputs'!$N$14:$N$73,MATCH('Growth rates'!H59,'Consolidated Inputs'!$A$14:$A$73,0))</f>
        <v>1546.798961309901</v>
      </c>
      <c r="J59" s="168">
        <f t="shared" si="23"/>
        <v>1532.3812088859463</v>
      </c>
      <c r="K59" s="175">
        <f t="shared" si="24"/>
        <v>2.4210132509914523E-2</v>
      </c>
      <c r="L59" s="173">
        <f t="shared" si="25"/>
        <v>0.25</v>
      </c>
      <c r="M59" s="69"/>
      <c r="N59" s="21">
        <f t="shared" si="26"/>
        <v>47026</v>
      </c>
      <c r="O59" s="165">
        <f>INDEX('Consolidated Inputs'!$O$14:$O$73,MATCH('Growth rates'!N59,'Consolidated Inputs'!$A$14:$A$73,0))</f>
        <v>1168.0576277059135</v>
      </c>
      <c r="P59" s="168">
        <f t="shared" si="27"/>
        <v>1159.8099466328108</v>
      </c>
      <c r="Q59" s="175">
        <f t="shared" si="28"/>
        <v>1.8888117239436297E-2</v>
      </c>
      <c r="R59" s="173">
        <f t="shared" si="29"/>
        <v>0.25</v>
      </c>
    </row>
    <row r="60" spans="1:18" ht="14.4" x14ac:dyDescent="0.3">
      <c r="A60" s="69"/>
      <c r="B60" s="176">
        <f>IF(EOMONTH(B59,3)&gt;'Model Inputs'!$B$8,"",EOMONTH(B59,3))</f>
        <v>47118</v>
      </c>
      <c r="C60" s="165">
        <f>INDEX('Consolidated Inputs'!$M$14:$M$73,MATCH('Growth rates'!B60,'Consolidated Inputs'!$A$14:$A$73,0))</f>
        <v>1519.6890613957</v>
      </c>
      <c r="D60" s="168">
        <f t="shared" si="19"/>
        <v>1508.4584146350392</v>
      </c>
      <c r="E60" s="175">
        <f t="shared" si="20"/>
        <v>1.989030260996676E-2</v>
      </c>
      <c r="F60" s="172">
        <f t="shared" si="21"/>
        <v>0.25</v>
      </c>
      <c r="G60" s="69"/>
      <c r="H60" s="21">
        <f t="shared" si="22"/>
        <v>47118</v>
      </c>
      <c r="I60" s="165">
        <f>INDEX('Consolidated Inputs'!$N$14:$N$73,MATCH('Growth rates'!H60,'Consolidated Inputs'!$A$14:$A$73,0))</f>
        <v>1555.6310828522787</v>
      </c>
      <c r="J60" s="168">
        <f t="shared" si="23"/>
        <v>1541.7286401499437</v>
      </c>
      <c r="K60" s="175">
        <f t="shared" si="24"/>
        <v>2.440585688977329E-2</v>
      </c>
      <c r="L60" s="173">
        <f t="shared" si="25"/>
        <v>0.25</v>
      </c>
      <c r="M60" s="69"/>
      <c r="N60" s="21">
        <f t="shared" si="26"/>
        <v>47118</v>
      </c>
      <c r="O60" s="165">
        <f>INDEX('Consolidated Inputs'!$O$14:$O$73,MATCH('Growth rates'!N60,'Consolidated Inputs'!$A$14:$A$73,0))</f>
        <v>1173.5137324897703</v>
      </c>
      <c r="P60" s="168">
        <f t="shared" si="27"/>
        <v>1165.2801276765433</v>
      </c>
      <c r="Q60" s="175">
        <f t="shared" si="28"/>
        <v>1.8921314585785994E-2</v>
      </c>
      <c r="R60" s="173">
        <f t="shared" si="29"/>
        <v>0.25</v>
      </c>
    </row>
    <row r="61" spans="1:18" ht="14.4" x14ac:dyDescent="0.3">
      <c r="A61" s="69"/>
      <c r="B61" s="176">
        <f>IF(EOMONTH(B60,3)&gt;'Model Inputs'!$B$8,"",EOMONTH(B60,3))</f>
        <v>47208</v>
      </c>
      <c r="C61" s="165">
        <f>INDEX('Consolidated Inputs'!$M$14:$M$73,MATCH('Growth rates'!B61,'Consolidated Inputs'!$A$14:$A$73,0))</f>
        <v>1527.392201897421</v>
      </c>
      <c r="D61" s="168">
        <f t="shared" si="19"/>
        <v>1515.9967991110959</v>
      </c>
      <c r="E61" s="175">
        <f t="shared" si="20"/>
        <v>2.007132317080302E-2</v>
      </c>
      <c r="F61" s="172">
        <f t="shared" si="21"/>
        <v>0.25</v>
      </c>
      <c r="G61" s="69"/>
      <c r="H61" s="21">
        <f t="shared" si="22"/>
        <v>47208</v>
      </c>
      <c r="I61" s="165">
        <f>INDEX('Consolidated Inputs'!$N$14:$N$73,MATCH('Growth rates'!H61,'Consolidated Inputs'!$A$14:$A$73,0))</f>
        <v>1565.8879935293066</v>
      </c>
      <c r="J61" s="168">
        <f t="shared" si="23"/>
        <v>1551.1986802424813</v>
      </c>
      <c r="K61" s="175">
        <f t="shared" si="24"/>
        <v>2.4589931631924921E-2</v>
      </c>
      <c r="L61" s="173">
        <f t="shared" si="25"/>
        <v>0.25</v>
      </c>
      <c r="M61" s="69"/>
      <c r="N61" s="21">
        <f t="shared" si="26"/>
        <v>47208</v>
      </c>
      <c r="O61" s="165">
        <f>INDEX('Consolidated Inputs'!$O$14:$O$73,MATCH('Growth rates'!N61,'Consolidated Inputs'!$A$14:$A$73,0))</f>
        <v>1179.1839057680154</v>
      </c>
      <c r="P61" s="168">
        <f t="shared" si="27"/>
        <v>1170.7984853466576</v>
      </c>
      <c r="Q61" s="175">
        <f t="shared" si="28"/>
        <v>1.8977747211074654E-2</v>
      </c>
      <c r="R61" s="173">
        <f t="shared" si="29"/>
        <v>0.25</v>
      </c>
    </row>
    <row r="62" spans="1:18" ht="14.4" x14ac:dyDescent="0.3">
      <c r="A62" s="69"/>
      <c r="B62" s="176">
        <f>IF(EOMONTH(B61,3)&gt;'Model Inputs'!$B$8,"",EOMONTH(B61,3))</f>
        <v>47299</v>
      </c>
      <c r="C62" s="165">
        <f>INDEX('Consolidated Inputs'!$M$14:$M$73,MATCH('Growth rates'!B62,'Consolidated Inputs'!$A$14:$A$73,0))</f>
        <v>1535.1511324990454</v>
      </c>
      <c r="D62" s="168">
        <f t="shared" si="19"/>
        <v>1523.607855560301</v>
      </c>
      <c r="E62" s="175">
        <f t="shared" si="20"/>
        <v>2.0137061978143748E-2</v>
      </c>
      <c r="F62" s="172">
        <f t="shared" si="21"/>
        <v>0.25</v>
      </c>
      <c r="G62" s="69"/>
      <c r="H62" s="21">
        <f t="shared" si="22"/>
        <v>47299</v>
      </c>
      <c r="I62" s="165">
        <f>INDEX('Consolidated Inputs'!$N$14:$N$73,MATCH('Growth rates'!H62,'Consolidated Inputs'!$A$14:$A$73,0))</f>
        <v>1574.7150186170304</v>
      </c>
      <c r="J62" s="168">
        <f t="shared" si="23"/>
        <v>1560.7582640771291</v>
      </c>
      <c r="K62" s="175">
        <f t="shared" si="24"/>
        <v>2.471853510011375E-2</v>
      </c>
      <c r="L62" s="173">
        <f t="shared" si="25"/>
        <v>0.25</v>
      </c>
      <c r="M62" s="69"/>
      <c r="N62" s="21">
        <f t="shared" si="26"/>
        <v>47299</v>
      </c>
      <c r="O62" s="165">
        <f>INDEX('Consolidated Inputs'!$O$14:$O$73,MATCH('Growth rates'!N62,'Consolidated Inputs'!$A$14:$A$73,0))</f>
        <v>1184.6790350030319</v>
      </c>
      <c r="P62" s="168">
        <f t="shared" si="27"/>
        <v>1176.358575241683</v>
      </c>
      <c r="Q62" s="175">
        <f t="shared" si="28"/>
        <v>1.9038006415143256E-2</v>
      </c>
      <c r="R62" s="173">
        <f t="shared" si="29"/>
        <v>0.25</v>
      </c>
    </row>
    <row r="63" spans="1:18" ht="14.4" x14ac:dyDescent="0.3">
      <c r="A63" s="69"/>
      <c r="B63" s="176">
        <f>IF(EOMONTH(B62,3)&gt;'Model Inputs'!$B$8,"",EOMONTH(B62,3))</f>
        <v>47391</v>
      </c>
      <c r="C63" s="165">
        <f>INDEX('Consolidated Inputs'!$M$14:$M$73,MATCH('Growth rates'!B63,'Consolidated Inputs'!$A$14:$A$73,0))</f>
        <v>1542.9562817045069</v>
      </c>
      <c r="D63" s="168">
        <f t="shared" si="19"/>
        <v>1531.2971693741683</v>
      </c>
      <c r="E63" s="175">
        <f t="shared" si="20"/>
        <v>2.0187048437284853E-2</v>
      </c>
      <c r="F63" s="172">
        <f t="shared" si="21"/>
        <v>0.25</v>
      </c>
      <c r="G63" s="69"/>
      <c r="H63" s="21">
        <f t="shared" si="22"/>
        <v>47391</v>
      </c>
      <c r="I63" s="165">
        <f>INDEX('Consolidated Inputs'!$N$14:$N$73,MATCH('Growth rates'!H63,'Consolidated Inputs'!$A$14:$A$73,0))</f>
        <v>1585.2460801451321</v>
      </c>
      <c r="J63" s="168">
        <f t="shared" si="23"/>
        <v>1570.370043785937</v>
      </c>
      <c r="K63" s="175">
        <f t="shared" si="24"/>
        <v>2.479072092485975E-2</v>
      </c>
      <c r="L63" s="173">
        <f t="shared" si="25"/>
        <v>0.25</v>
      </c>
      <c r="M63" s="69"/>
      <c r="N63" s="21">
        <f t="shared" si="26"/>
        <v>47391</v>
      </c>
      <c r="O63" s="165">
        <f>INDEX('Consolidated Inputs'!$O$14:$O$73,MATCH('Growth rates'!N63,'Consolidated Inputs'!$A$14:$A$73,0))</f>
        <v>1190.4268720492039</v>
      </c>
      <c r="P63" s="168">
        <f t="shared" si="27"/>
        <v>1181.9508863275055</v>
      </c>
      <c r="Q63" s="175">
        <f t="shared" si="28"/>
        <v>1.9090144690494169E-2</v>
      </c>
      <c r="R63" s="173">
        <f t="shared" si="29"/>
        <v>0.25</v>
      </c>
    </row>
    <row r="64" spans="1:18" ht="14.4" x14ac:dyDescent="0.3">
      <c r="A64" s="69"/>
      <c r="B64" s="176">
        <f>IF(EOMONTH(B63,3)&gt;'Model Inputs'!$B$8,"",EOMONTH(B63,3))</f>
        <v>47483</v>
      </c>
      <c r="C64" s="165">
        <f>INDEX('Consolidated Inputs'!$M$14:$M$73,MATCH('Growth rates'!B64,'Consolidated Inputs'!$A$14:$A$73,0))</f>
        <v>1550.9581744629234</v>
      </c>
      <c r="D64" s="168">
        <f t="shared" si="19"/>
        <v>1539.114447640974</v>
      </c>
      <c r="E64" s="175">
        <f t="shared" si="20"/>
        <v>2.0322756470122445E-2</v>
      </c>
      <c r="F64" s="172">
        <f t="shared" si="21"/>
        <v>0.25</v>
      </c>
      <c r="G64" s="69"/>
      <c r="H64" s="21">
        <f t="shared" si="22"/>
        <v>47483</v>
      </c>
      <c r="I64" s="165">
        <f>INDEX('Consolidated Inputs'!$N$14:$N$73,MATCH('Growth rates'!H64,'Consolidated Inputs'!$A$14:$A$73,0))</f>
        <v>1594.2170597037029</v>
      </c>
      <c r="J64" s="168">
        <f t="shared" si="23"/>
        <v>1580.0165379987932</v>
      </c>
      <c r="K64" s="175">
        <f t="shared" si="24"/>
        <v>2.4834394881012113E-2</v>
      </c>
      <c r="L64" s="173">
        <f t="shared" si="25"/>
        <v>0.25</v>
      </c>
      <c r="M64" s="69"/>
      <c r="N64" s="21">
        <f t="shared" si="26"/>
        <v>47483</v>
      </c>
      <c r="O64" s="165">
        <f>INDEX('Consolidated Inputs'!$O$14:$O$73,MATCH('Growth rates'!N64,'Consolidated Inputs'!$A$14:$A$73,0))</f>
        <v>1195.9850561851172</v>
      </c>
      <c r="P64" s="168">
        <f t="shared" si="27"/>
        <v>1187.5687172513422</v>
      </c>
      <c r="Q64" s="175">
        <f t="shared" si="28"/>
        <v>1.9127237344414464E-2</v>
      </c>
      <c r="R64" s="173">
        <f t="shared" si="29"/>
        <v>0.25</v>
      </c>
    </row>
    <row r="65" spans="1:18" ht="14.4" x14ac:dyDescent="0.3">
      <c r="A65" s="69"/>
      <c r="B65" s="34">
        <f>IF(EOMONTH(B64,3)&gt;'Model Inputs'!$B$8,"",EOMONTH(B64,3))</f>
        <v>47573</v>
      </c>
      <c r="C65" s="163">
        <f>INDEX('Consolidated Inputs'!$M$14:$M$73,MATCH('Growth rates'!B65,'Consolidated Inputs'!$A$14:$A$73,0))</f>
        <v>1559.0547927121227</v>
      </c>
      <c r="D65" s="166">
        <f t="shared" si="19"/>
        <v>1547.0300953446495</v>
      </c>
      <c r="E65" s="171">
        <f t="shared" si="20"/>
        <v>2.0470555249028157E-2</v>
      </c>
      <c r="F65" s="172">
        <f t="shared" si="21"/>
        <v>0.25</v>
      </c>
      <c r="G65" s="69"/>
      <c r="H65" s="9">
        <f t="shared" si="22"/>
        <v>47573</v>
      </c>
      <c r="I65" s="163">
        <f>INDEX('Consolidated Inputs'!$N$14:$N$73,MATCH('Growth rates'!H65,'Consolidated Inputs'!$A$14:$A$73,0))</f>
        <v>1604.6891933234706</v>
      </c>
      <c r="J65" s="166">
        <f t="shared" si="23"/>
        <v>1589.7168379473342</v>
      </c>
      <c r="K65" s="171">
        <f t="shared" si="24"/>
        <v>2.4831221297088653E-2</v>
      </c>
      <c r="L65" s="173">
        <f t="shared" si="25"/>
        <v>0.25</v>
      </c>
      <c r="M65" s="69"/>
      <c r="N65" s="9">
        <f t="shared" si="26"/>
        <v>47573</v>
      </c>
      <c r="O65" s="163">
        <f>INDEX('Consolidated Inputs'!$O$14:$O$73,MATCH('Growth rates'!N65,'Consolidated Inputs'!$A$14:$A$73,0))</f>
        <v>1201.7656994046577</v>
      </c>
      <c r="P65" s="166">
        <f t="shared" si="27"/>
        <v>1193.2141656605027</v>
      </c>
      <c r="Q65" s="171">
        <f t="shared" si="28"/>
        <v>1.9145634876020622E-2</v>
      </c>
      <c r="R65" s="173">
        <f t="shared" si="29"/>
        <v>0.25</v>
      </c>
    </row>
    <row r="66" spans="1:18" ht="14.4" x14ac:dyDescent="0.3">
      <c r="A66" s="69"/>
      <c r="B66" s="158"/>
      <c r="C66" s="177"/>
      <c r="D66" s="158"/>
      <c r="E66" s="158"/>
      <c r="F66" s="158"/>
      <c r="G66" s="69"/>
      <c r="H66" s="158"/>
      <c r="I66" s="177"/>
      <c r="J66" s="158"/>
      <c r="K66" s="158"/>
      <c r="L66" s="158"/>
      <c r="M66" s="69"/>
      <c r="N66" s="158"/>
      <c r="O66" s="177"/>
      <c r="P66" s="158"/>
      <c r="Q66" s="158"/>
      <c r="R66" s="158"/>
    </row>
    <row r="67" spans="1:18" ht="27" customHeight="1" x14ac:dyDescent="0.45">
      <c r="A67" s="74" t="s">
        <v>1</v>
      </c>
      <c r="B67" s="95"/>
      <c r="C67" s="95"/>
      <c r="D67" s="9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</row>
    <row r="68" spans="1:18" ht="16.2" customHeight="1" x14ac:dyDescent="0.3">
      <c r="A68" s="96" t="s">
        <v>168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4.7" customHeight="1" x14ac:dyDescent="0.3">
      <c r="A69" s="96" t="s">
        <v>45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4.7" customHeight="1" x14ac:dyDescent="0.3">
      <c r="A70" s="116"/>
      <c r="B70" s="117"/>
      <c r="C70" s="117"/>
      <c r="D70" s="117"/>
      <c r="E70" s="69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1:18" ht="14.4" x14ac:dyDescent="0.3">
      <c r="A71" s="178" t="s">
        <v>48</v>
      </c>
      <c r="B71" s="179"/>
      <c r="C71" s="180"/>
      <c r="D71" s="180"/>
      <c r="E71" s="183">
        <v>2017</v>
      </c>
      <c r="F71" s="182">
        <f>E71+1</f>
        <v>2018</v>
      </c>
      <c r="G71" s="181">
        <f t="shared" ref="G71:R71" si="30">F71+1</f>
        <v>2019</v>
      </c>
      <c r="H71" s="181">
        <f t="shared" si="30"/>
        <v>2020</v>
      </c>
      <c r="I71" s="181">
        <f t="shared" si="30"/>
        <v>2021</v>
      </c>
      <c r="J71" s="181">
        <f t="shared" si="30"/>
        <v>2022</v>
      </c>
      <c r="K71" s="181">
        <f t="shared" si="30"/>
        <v>2023</v>
      </c>
      <c r="L71" s="181">
        <f t="shared" si="30"/>
        <v>2024</v>
      </c>
      <c r="M71" s="181">
        <f t="shared" si="30"/>
        <v>2025</v>
      </c>
      <c r="N71" s="181">
        <f t="shared" si="30"/>
        <v>2026</v>
      </c>
      <c r="O71" s="181">
        <f t="shared" si="30"/>
        <v>2027</v>
      </c>
      <c r="P71" s="181">
        <f t="shared" si="30"/>
        <v>2028</v>
      </c>
      <c r="Q71" s="181">
        <f t="shared" si="30"/>
        <v>2029</v>
      </c>
      <c r="R71" s="181">
        <f t="shared" si="30"/>
        <v>2030</v>
      </c>
    </row>
    <row r="72" spans="1:18" ht="14.4" x14ac:dyDescent="0.3">
      <c r="A72" s="180" t="s">
        <v>19</v>
      </c>
      <c r="B72" s="180"/>
      <c r="C72" s="180"/>
      <c r="D72" s="180"/>
      <c r="E72" s="184">
        <f>'Model Inputs'!$B$6</f>
        <v>42825</v>
      </c>
      <c r="F72" s="185">
        <f>IF(OR(EOMONTH(E72,12)&gt;'Model Inputs'!$B$8,E72=""),"",EOMONTH(E72,12))</f>
        <v>43190</v>
      </c>
      <c r="G72" s="11">
        <f>IF(OR(EOMONTH(F72,12)&gt;'Model Inputs'!$B$8,F72=""),"",EOMONTH(F72,12))</f>
        <v>43555</v>
      </c>
      <c r="H72" s="11">
        <f>IF(OR(EOMONTH(G72,12)&gt;'Model Inputs'!$B$8,G72=""),"",EOMONTH(G72,12))</f>
        <v>43921</v>
      </c>
      <c r="I72" s="11">
        <f>IF(OR(EOMONTH(H72,12)&gt;'Model Inputs'!$B$8,H72=""),"",EOMONTH(H72,12))</f>
        <v>44286</v>
      </c>
      <c r="J72" s="11">
        <f>IF(OR(EOMONTH(I72,12)&gt;'Model Inputs'!$B$8,I72=""),"",EOMONTH(I72,12))</f>
        <v>44651</v>
      </c>
      <c r="K72" s="11">
        <f>IF(OR(EOMONTH(J72,12)&gt;'Model Inputs'!$B$8,J72=""),"",EOMONTH(J72,12))</f>
        <v>45016</v>
      </c>
      <c r="L72" s="11">
        <f>IF(OR(EOMONTH(K72,12)&gt;'Model Inputs'!$B$8,K72=""),"",EOMONTH(K72,12))</f>
        <v>45382</v>
      </c>
      <c r="M72" s="11">
        <f>IF(OR(EOMONTH(L72,12)&gt;'Model Inputs'!$B$8,L72=""),"",EOMONTH(L72,12))</f>
        <v>45747</v>
      </c>
      <c r="N72" s="11">
        <f>IF(OR(EOMONTH(M72,12)&gt;'Model Inputs'!$B$8,M72=""),"",EOMONTH(M72,12))</f>
        <v>46112</v>
      </c>
      <c r="O72" s="11">
        <f>IF(OR(EOMONTH(N72,12)&gt;'Model Inputs'!$B$8,N72=""),"",EOMONTH(N72,12))</f>
        <v>46477</v>
      </c>
      <c r="P72" s="11">
        <f>IF(OR(EOMONTH(O72,12)&gt;'Model Inputs'!$B$8,O72=""),"",EOMONTH(O72,12))</f>
        <v>46843</v>
      </c>
      <c r="Q72" s="11">
        <f>IF(OR(EOMONTH(P72,12)&gt;'Model Inputs'!$B$8,P72=""),"",EOMONTH(P72,12))</f>
        <v>47208</v>
      </c>
      <c r="R72" s="11">
        <f>IF(OR(EOMONTH(Q72,12)&gt;'Model Inputs'!$B$8,Q72=""),"",EOMONTH(Q72,12))</f>
        <v>47573</v>
      </c>
    </row>
    <row r="73" spans="1:18" ht="14.4" x14ac:dyDescent="0.3">
      <c r="A73" s="180" t="str">
        <f>'Model Inputs'!B13</f>
        <v>LCI
 (all industries)</v>
      </c>
      <c r="B73" s="180"/>
      <c r="C73" s="180"/>
      <c r="D73" s="180"/>
      <c r="E73" s="19">
        <f>IFERROR(VLOOKUP(E$72,$B$6:$F$65,4,FALSE),"")</f>
        <v>1.5897895208240035E-2</v>
      </c>
      <c r="F73" s="19">
        <f t="shared" ref="F73:R73" si="31">IFERROR(VLOOKUP(F$72,$B$6:$F$65,4,FALSE),"")</f>
        <v>1.8073616927485121E-2</v>
      </c>
      <c r="G73" s="19">
        <f t="shared" si="31"/>
        <v>1.905174280147218E-2</v>
      </c>
      <c r="H73" s="19">
        <f t="shared" si="31"/>
        <v>2.4219247928616953E-2</v>
      </c>
      <c r="I73" s="19">
        <f t="shared" si="31"/>
        <v>1.8046048537647789E-2</v>
      </c>
      <c r="J73" s="19">
        <f t="shared" si="31"/>
        <v>2.526487367563162E-2</v>
      </c>
      <c r="K73" s="19">
        <f t="shared" si="31"/>
        <v>3.8751987281399045E-2</v>
      </c>
      <c r="L73" s="19">
        <f t="shared" si="31"/>
        <v>4.2010963991605123E-2</v>
      </c>
      <c r="M73" s="19">
        <f t="shared" si="31"/>
        <v>3.0396371871316802E-2</v>
      </c>
      <c r="N73" s="19">
        <f t="shared" si="31"/>
        <v>2.1520966560921066E-2</v>
      </c>
      <c r="O73" s="19">
        <f t="shared" si="31"/>
        <v>1.8458741741019736E-2</v>
      </c>
      <c r="P73" s="19">
        <f t="shared" si="31"/>
        <v>1.814094328374816E-2</v>
      </c>
      <c r="Q73" s="19">
        <f t="shared" si="31"/>
        <v>2.007132317080302E-2</v>
      </c>
      <c r="R73" s="19">
        <f t="shared" si="31"/>
        <v>2.0470555249028157E-2</v>
      </c>
    </row>
    <row r="74" spans="1:18" ht="14.4" x14ac:dyDescent="0.3">
      <c r="A74" s="180" t="str">
        <f>'Model Inputs'!C13</f>
        <v>PPI
 (input - all industries)</v>
      </c>
      <c r="B74" s="180"/>
      <c r="C74" s="180"/>
      <c r="D74" s="180"/>
      <c r="E74" s="19">
        <f>IFERROR(VLOOKUP(E$72,$H$6:$L$65,4,FALSE),"")</f>
        <v>1.7153901908673594E-2</v>
      </c>
      <c r="F74" s="19">
        <f t="shared" ref="F74:R74" si="32">IFERROR(VLOOKUP(F$72,$H$6:$L$65,4,FALSE),"")</f>
        <v>4.4893111638954868E-2</v>
      </c>
      <c r="G74" s="19">
        <f t="shared" si="32"/>
        <v>4.0236417367583543E-2</v>
      </c>
      <c r="H74" s="19">
        <f t="shared" si="32"/>
        <v>1.6826923076923076E-2</v>
      </c>
      <c r="I74" s="19">
        <f t="shared" si="32"/>
        <v>2.149151085321298E-3</v>
      </c>
      <c r="J74" s="19">
        <f t="shared" si="32"/>
        <v>7.6774608621059406E-2</v>
      </c>
      <c r="K74" s="19">
        <f t="shared" si="32"/>
        <v>7.6877116112328225E-2</v>
      </c>
      <c r="L74" s="19">
        <f t="shared" si="32"/>
        <v>1.7426909025700221E-2</v>
      </c>
      <c r="M74" s="19">
        <f t="shared" si="32"/>
        <v>2.7493775770440189E-2</v>
      </c>
      <c r="N74" s="19">
        <f t="shared" si="32"/>
        <v>2.3447896669164761E-2</v>
      </c>
      <c r="O74" s="19">
        <f t="shared" si="32"/>
        <v>2.2789860886792315E-2</v>
      </c>
      <c r="P74" s="19">
        <f t="shared" si="32"/>
        <v>2.3496573542694972E-2</v>
      </c>
      <c r="Q74" s="19">
        <f t="shared" si="32"/>
        <v>2.4589931631924921E-2</v>
      </c>
      <c r="R74" s="19">
        <f t="shared" si="32"/>
        <v>2.4831221297088653E-2</v>
      </c>
    </row>
    <row r="75" spans="1:18" ht="14.4" x14ac:dyDescent="0.3">
      <c r="A75" s="180" t="str">
        <f>'Model Inputs'!D13</f>
        <v>CGPI
 (all groups)</v>
      </c>
      <c r="B75" s="180"/>
      <c r="C75" s="180"/>
      <c r="D75" s="180"/>
      <c r="E75" s="19">
        <f>IFERROR(VLOOKUP(E$72,$N$6:$R$65,4,FALSE),"")</f>
        <v>3.2292032223449889E-2</v>
      </c>
      <c r="F75" s="19">
        <f t="shared" ref="F75:R75" si="33">IFERROR(VLOOKUP(F$72,$N$6:$R$65,4,FALSE),"")</f>
        <v>2.8391703657434712E-2</v>
      </c>
      <c r="G75" s="19">
        <f t="shared" si="33"/>
        <v>2.8269135169502111E-2</v>
      </c>
      <c r="H75" s="19">
        <f t="shared" si="33"/>
        <v>2.8456591666438685E-2</v>
      </c>
      <c r="I75" s="19">
        <f t="shared" si="33"/>
        <v>1.9384086337217398E-2</v>
      </c>
      <c r="J75" s="19">
        <f t="shared" si="33"/>
        <v>8.0509124507521387E-2</v>
      </c>
      <c r="K75" s="19">
        <f t="shared" si="33"/>
        <v>0.1116996875242361</v>
      </c>
      <c r="L75" s="19">
        <f t="shared" si="33"/>
        <v>4.6128257115477946E-2</v>
      </c>
      <c r="M75" s="19">
        <f t="shared" si="33"/>
        <v>2.7164234569866039E-2</v>
      </c>
      <c r="N75" s="19">
        <f t="shared" si="33"/>
        <v>2.1518962577013474E-2</v>
      </c>
      <c r="O75" s="19">
        <f t="shared" si="33"/>
        <v>1.9374648222791079E-2</v>
      </c>
      <c r="P75" s="19">
        <f t="shared" si="33"/>
        <v>1.8861233228391137E-2</v>
      </c>
      <c r="Q75" s="19">
        <f t="shared" si="33"/>
        <v>1.8977747211074654E-2</v>
      </c>
      <c r="R75" s="19">
        <f t="shared" si="33"/>
        <v>1.9145634876020622E-2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59" fitToHeight="0" orientation="landscape" r:id="rId1"/>
  <rowBreaks count="1" manualBreakCount="1">
    <brk id="65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9988E"/>
    <pageSetUpPr fitToPage="1"/>
  </sheetPr>
  <dimension ref="A1:R81"/>
  <sheetViews>
    <sheetView showGridLines="0" view="pageBreakPreview" zoomScaleNormal="100" zoomScaleSheetLayoutView="100" workbookViewId="0"/>
  </sheetViews>
  <sheetFormatPr defaultRowHeight="15" customHeight="1" x14ac:dyDescent="0.3"/>
  <cols>
    <col min="1" max="1" width="51.44140625" bestFit="1" customWidth="1"/>
    <col min="2" max="2" width="12.44140625" bestFit="1" customWidth="1"/>
    <col min="3" max="16" width="10" customWidth="1"/>
    <col min="17" max="17" width="3.21875" customWidth="1"/>
    <col min="18" max="18" width="9.109375" customWidth="1"/>
  </cols>
  <sheetData>
    <row r="1" spans="1:18" ht="25.8" x14ac:dyDescent="0.5">
      <c r="A1" s="71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7" customHeight="1" x14ac:dyDescent="0.45">
      <c r="A2" s="74" t="s">
        <v>5</v>
      </c>
      <c r="B2" s="186"/>
      <c r="C2" s="186"/>
      <c r="D2" s="18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9"/>
      <c r="R2" s="76"/>
    </row>
    <row r="3" spans="1:18" ht="13.95" customHeight="1" x14ac:dyDescent="0.3">
      <c r="A3" s="96" t="s">
        <v>59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69"/>
      <c r="R3" s="69"/>
    </row>
    <row r="4" spans="1:18" ht="13.95" customHeight="1" x14ac:dyDescent="0.3">
      <c r="A4" s="116"/>
      <c r="B4" s="117"/>
      <c r="C4" s="11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6.95" customHeight="1" x14ac:dyDescent="0.3">
      <c r="A5" s="180"/>
      <c r="B5" s="187" t="s">
        <v>2</v>
      </c>
      <c r="C5" s="187" t="s">
        <v>0</v>
      </c>
      <c r="D5" s="2"/>
      <c r="E5" s="2"/>
      <c r="F5" s="2"/>
      <c r="G5" s="2"/>
      <c r="H5" s="2"/>
      <c r="I5" s="2"/>
      <c r="J5" s="2"/>
      <c r="K5" s="2"/>
      <c r="L5" s="69"/>
      <c r="M5" s="69"/>
      <c r="N5" s="69"/>
      <c r="O5" s="69"/>
      <c r="P5" s="69"/>
      <c r="Q5" s="69"/>
      <c r="R5" s="69"/>
    </row>
    <row r="6" spans="1:18" ht="14.4" x14ac:dyDescent="0.3">
      <c r="A6" s="188" t="str">
        <f>'Model Inputs'!A7</f>
        <v>Index year for models</v>
      </c>
      <c r="B6" s="25" t="s">
        <v>5</v>
      </c>
      <c r="C6" s="34">
        <f>'Model Inputs'!B7</f>
        <v>45382</v>
      </c>
      <c r="D6" s="2"/>
      <c r="E6" s="2"/>
      <c r="F6" s="2"/>
      <c r="G6" s="2"/>
      <c r="H6" s="2"/>
      <c r="I6" s="2"/>
      <c r="J6" s="2"/>
      <c r="K6" s="2"/>
      <c r="L6" s="128"/>
      <c r="M6" s="128"/>
      <c r="N6" s="128"/>
      <c r="O6" s="128"/>
      <c r="P6" s="128"/>
      <c r="Q6" s="69"/>
      <c r="R6" s="69"/>
    </row>
    <row r="7" spans="1:18" ht="14.4" x14ac:dyDescent="0.3">
      <c r="A7" s="25"/>
      <c r="B7" s="25"/>
      <c r="C7" s="189"/>
      <c r="D7" s="190"/>
      <c r="E7" s="190"/>
      <c r="F7" s="190"/>
      <c r="G7" s="190"/>
      <c r="H7" s="190"/>
      <c r="I7" s="190"/>
      <c r="J7" s="190"/>
      <c r="K7" s="190"/>
      <c r="L7" s="191"/>
      <c r="M7" s="191"/>
      <c r="N7" s="191"/>
      <c r="O7" s="191"/>
      <c r="P7" s="191"/>
      <c r="Q7" s="69"/>
      <c r="R7" s="69"/>
    </row>
    <row r="8" spans="1:18" ht="35.700000000000003" customHeight="1" x14ac:dyDescent="0.3">
      <c r="A8" s="28" t="s">
        <v>169</v>
      </c>
      <c r="B8" s="187" t="s">
        <v>2</v>
      </c>
      <c r="C8" s="192">
        <f>'Growth rates'!E71</f>
        <v>2017</v>
      </c>
      <c r="D8" s="181">
        <f>'Growth rates'!F71</f>
        <v>2018</v>
      </c>
      <c r="E8" s="181">
        <f>'Growth rates'!G71</f>
        <v>2019</v>
      </c>
      <c r="F8" s="181">
        <f>'Growth rates'!H71</f>
        <v>2020</v>
      </c>
      <c r="G8" s="181">
        <f>'Growth rates'!I71</f>
        <v>2021</v>
      </c>
      <c r="H8" s="181">
        <f>'Growth rates'!J71</f>
        <v>2022</v>
      </c>
      <c r="I8" s="181">
        <f>'Growth rates'!K71</f>
        <v>2023</v>
      </c>
      <c r="J8" s="181">
        <f>'Growth rates'!L71</f>
        <v>2024</v>
      </c>
      <c r="K8" s="181">
        <f>'Growth rates'!M71</f>
        <v>2025</v>
      </c>
      <c r="L8" s="181">
        <f>'Growth rates'!N71</f>
        <v>2026</v>
      </c>
      <c r="M8" s="181">
        <f>'Growth rates'!O71</f>
        <v>2027</v>
      </c>
      <c r="N8" s="181">
        <f>'Growth rates'!P71</f>
        <v>2028</v>
      </c>
      <c r="O8" s="181">
        <f>'Growth rates'!Q71</f>
        <v>2029</v>
      </c>
      <c r="P8" s="181">
        <f>'Growth rates'!R71</f>
        <v>2030</v>
      </c>
      <c r="Q8" s="69"/>
      <c r="R8" s="69"/>
    </row>
    <row r="9" spans="1:18" ht="14.4" x14ac:dyDescent="0.3">
      <c r="A9" s="180" t="str">
        <f>'Growth rates'!A73</f>
        <v>LCI
 (all industries)</v>
      </c>
      <c r="B9" s="25" t="s">
        <v>23</v>
      </c>
      <c r="C9" s="56">
        <f>'Growth rates'!E73</f>
        <v>1.5897895208240035E-2</v>
      </c>
      <c r="D9" s="57">
        <f>'Growth rates'!F73</f>
        <v>1.8073616927485121E-2</v>
      </c>
      <c r="E9" s="57">
        <f>'Growth rates'!G73</f>
        <v>1.905174280147218E-2</v>
      </c>
      <c r="F9" s="57">
        <f>'Growth rates'!H73</f>
        <v>2.4219247928616953E-2</v>
      </c>
      <c r="G9" s="57">
        <f>'Growth rates'!I73</f>
        <v>1.8046048537647789E-2</v>
      </c>
      <c r="H9" s="57">
        <f>'Growth rates'!J73</f>
        <v>2.526487367563162E-2</v>
      </c>
      <c r="I9" s="57">
        <f>'Growth rates'!K73</f>
        <v>3.8751987281399045E-2</v>
      </c>
      <c r="J9" s="57">
        <f>'Growth rates'!L73</f>
        <v>4.2010963991605123E-2</v>
      </c>
      <c r="K9" s="57">
        <f>'Growth rates'!M73</f>
        <v>3.0396371871316802E-2</v>
      </c>
      <c r="L9" s="57">
        <f>'Growth rates'!N73</f>
        <v>2.1520966560921066E-2</v>
      </c>
      <c r="M9" s="57">
        <f>'Growth rates'!O73</f>
        <v>1.8458741741019736E-2</v>
      </c>
      <c r="N9" s="57">
        <f>'Growth rates'!P73</f>
        <v>1.814094328374816E-2</v>
      </c>
      <c r="O9" s="57">
        <f>'Growth rates'!Q73</f>
        <v>2.007132317080302E-2</v>
      </c>
      <c r="P9" s="57">
        <f>'Growth rates'!R73</f>
        <v>2.0470555249028157E-2</v>
      </c>
      <c r="Q9" s="69"/>
      <c r="R9" s="69"/>
    </row>
    <row r="10" spans="1:18" ht="14.4" x14ac:dyDescent="0.3">
      <c r="A10" s="180" t="str">
        <f>'Growth rates'!A74</f>
        <v>PPI
 (input - all industries)</v>
      </c>
      <c r="B10" s="25" t="s">
        <v>23</v>
      </c>
      <c r="C10" s="56">
        <f>'Growth rates'!E74</f>
        <v>1.7153901908673594E-2</v>
      </c>
      <c r="D10" s="57">
        <f>'Growth rates'!F74</f>
        <v>4.4893111638954868E-2</v>
      </c>
      <c r="E10" s="57">
        <f>'Growth rates'!G74</f>
        <v>4.0236417367583543E-2</v>
      </c>
      <c r="F10" s="57">
        <f>'Growth rates'!H74</f>
        <v>1.6826923076923076E-2</v>
      </c>
      <c r="G10" s="57">
        <f>'Growth rates'!I74</f>
        <v>2.149151085321298E-3</v>
      </c>
      <c r="H10" s="57">
        <f>'Growth rates'!J74</f>
        <v>7.6774608621059406E-2</v>
      </c>
      <c r="I10" s="57">
        <f>'Growth rates'!K74</f>
        <v>7.6877116112328225E-2</v>
      </c>
      <c r="J10" s="57">
        <f>'Growth rates'!L74</f>
        <v>1.7426909025700221E-2</v>
      </c>
      <c r="K10" s="57">
        <f>'Growth rates'!M74</f>
        <v>2.7493775770440189E-2</v>
      </c>
      <c r="L10" s="57">
        <f>'Growth rates'!N74</f>
        <v>2.3447896669164761E-2</v>
      </c>
      <c r="M10" s="57">
        <f>'Growth rates'!O74</f>
        <v>2.2789860886792315E-2</v>
      </c>
      <c r="N10" s="57">
        <f>'Growth rates'!P74</f>
        <v>2.3496573542694972E-2</v>
      </c>
      <c r="O10" s="57">
        <f>'Growth rates'!Q74</f>
        <v>2.4589931631924921E-2</v>
      </c>
      <c r="P10" s="57">
        <f>'Growth rates'!R74</f>
        <v>2.4831221297088653E-2</v>
      </c>
      <c r="Q10" s="69"/>
      <c r="R10" s="69"/>
    </row>
    <row r="11" spans="1:18" ht="14.4" x14ac:dyDescent="0.3">
      <c r="A11" s="180" t="str">
        <f>'Growth rates'!A75</f>
        <v>CGPI
 (all groups)</v>
      </c>
      <c r="B11" s="25" t="s">
        <v>23</v>
      </c>
      <c r="C11" s="56">
        <f>'Growth rates'!E75</f>
        <v>3.2292032223449889E-2</v>
      </c>
      <c r="D11" s="57">
        <f>'Growth rates'!F75</f>
        <v>2.8391703657434712E-2</v>
      </c>
      <c r="E11" s="57">
        <f>'Growth rates'!G75</f>
        <v>2.8269135169502111E-2</v>
      </c>
      <c r="F11" s="57">
        <f>'Growth rates'!H75</f>
        <v>2.8456591666438685E-2</v>
      </c>
      <c r="G11" s="57">
        <f>'Growth rates'!I75</f>
        <v>1.9384086337217398E-2</v>
      </c>
      <c r="H11" s="57">
        <f>'Growth rates'!J75</f>
        <v>8.0509124507521387E-2</v>
      </c>
      <c r="I11" s="57">
        <f>'Growth rates'!K75</f>
        <v>0.1116996875242361</v>
      </c>
      <c r="J11" s="57">
        <f>'Growth rates'!L75</f>
        <v>4.6128257115477946E-2</v>
      </c>
      <c r="K11" s="57">
        <f>'Growth rates'!M75</f>
        <v>2.7164234569866039E-2</v>
      </c>
      <c r="L11" s="57">
        <f>'Growth rates'!N75</f>
        <v>2.1518962577013474E-2</v>
      </c>
      <c r="M11" s="57">
        <f>'Growth rates'!O75</f>
        <v>1.9374648222791079E-2</v>
      </c>
      <c r="N11" s="57">
        <f>'Growth rates'!P75</f>
        <v>1.8861233228391137E-2</v>
      </c>
      <c r="O11" s="57">
        <f>'Growth rates'!Q75</f>
        <v>1.8977747211074654E-2</v>
      </c>
      <c r="P11" s="57">
        <f>'Growth rates'!R75</f>
        <v>1.9145634876020622E-2</v>
      </c>
      <c r="Q11" s="69"/>
      <c r="R11" s="69"/>
    </row>
    <row r="12" spans="1:18" ht="15.6" x14ac:dyDescent="0.3">
      <c r="A12" s="193"/>
      <c r="B12" s="158"/>
      <c r="C12" s="194"/>
      <c r="D12" s="3"/>
      <c r="E12" s="3"/>
      <c r="F12" s="3"/>
      <c r="G12" s="3"/>
      <c r="H12" s="3"/>
      <c r="I12" s="3"/>
      <c r="J12" s="3"/>
      <c r="K12" s="3"/>
      <c r="L12" s="127"/>
      <c r="M12" s="127"/>
      <c r="N12" s="127"/>
      <c r="O12" s="127"/>
      <c r="P12" s="127"/>
      <c r="Q12" s="69"/>
      <c r="R12" s="69"/>
    </row>
    <row r="13" spans="1:18" ht="15.6" x14ac:dyDescent="0.3">
      <c r="A13" s="195" t="s">
        <v>33</v>
      </c>
      <c r="B13" s="117"/>
      <c r="C13" s="191"/>
      <c r="D13" s="2"/>
      <c r="E13" s="2"/>
      <c r="F13" s="2"/>
      <c r="G13" s="2"/>
      <c r="H13" s="2"/>
      <c r="I13" s="2"/>
      <c r="J13" s="2"/>
      <c r="K13" s="2"/>
      <c r="L13" s="128"/>
      <c r="M13" s="128"/>
      <c r="N13" s="128"/>
      <c r="O13" s="128"/>
      <c r="P13" s="128"/>
      <c r="Q13" s="69"/>
      <c r="R13" s="69"/>
    </row>
    <row r="14" spans="1:18" ht="14.4" x14ac:dyDescent="0.3">
      <c r="A14" s="180" t="str">
        <f>A9</f>
        <v>LCI
 (all industries)</v>
      </c>
      <c r="B14" s="25" t="s">
        <v>5</v>
      </c>
      <c r="C14" s="58">
        <f>'Model Inputs'!B$15</f>
        <v>0.6</v>
      </c>
      <c r="D14" s="2"/>
      <c r="E14" s="2"/>
      <c r="F14" s="2"/>
      <c r="G14" s="2"/>
      <c r="H14" s="2"/>
      <c r="I14" s="2"/>
      <c r="J14" s="2"/>
      <c r="K14" s="2"/>
      <c r="L14" s="128"/>
      <c r="M14" s="128"/>
      <c r="N14" s="128"/>
      <c r="O14" s="128"/>
      <c r="P14" s="128"/>
      <c r="Q14" s="69"/>
      <c r="R14" s="69"/>
    </row>
    <row r="15" spans="1:18" ht="14.4" x14ac:dyDescent="0.3">
      <c r="A15" s="180" t="str">
        <f t="shared" ref="A15:A16" si="0">A10</f>
        <v>PPI
 (input - all industries)</v>
      </c>
      <c r="B15" s="25" t="s">
        <v>5</v>
      </c>
      <c r="C15" s="58">
        <f>'Model Inputs'!C$15</f>
        <v>0.4</v>
      </c>
      <c r="D15" s="2"/>
      <c r="E15" s="2"/>
      <c r="F15" s="2"/>
      <c r="G15" s="2"/>
      <c r="H15" s="2"/>
      <c r="I15" s="2"/>
      <c r="J15" s="2"/>
      <c r="K15" s="2"/>
      <c r="L15" s="128"/>
      <c r="M15" s="128"/>
      <c r="N15" s="128"/>
      <c r="O15" s="128"/>
      <c r="P15" s="128"/>
      <c r="Q15" s="69"/>
      <c r="R15" s="69"/>
    </row>
    <row r="16" spans="1:18" ht="14.4" x14ac:dyDescent="0.3">
      <c r="A16" s="180" t="str">
        <f t="shared" si="0"/>
        <v>CGPI
 (all groups)</v>
      </c>
      <c r="B16" s="25" t="s">
        <v>5</v>
      </c>
      <c r="C16" s="58">
        <f>'Model Inputs'!D$15</f>
        <v>0</v>
      </c>
      <c r="D16" s="2"/>
      <c r="E16" s="2"/>
      <c r="F16" s="2"/>
      <c r="G16" s="2"/>
      <c r="H16" s="2"/>
      <c r="I16" s="2"/>
      <c r="J16" s="2"/>
      <c r="K16" s="2"/>
      <c r="L16" s="128"/>
      <c r="M16" s="128"/>
      <c r="N16" s="128"/>
      <c r="O16" s="128"/>
      <c r="P16" s="128"/>
      <c r="Q16" s="69"/>
      <c r="R16" s="69"/>
    </row>
    <row r="17" spans="1:18" ht="14.4" x14ac:dyDescent="0.3">
      <c r="A17" s="158"/>
      <c r="B17" s="158"/>
      <c r="C17" s="196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69"/>
      <c r="R17" s="69"/>
    </row>
    <row r="18" spans="1:18" ht="15.6" x14ac:dyDescent="0.3">
      <c r="A18" s="195" t="s">
        <v>34</v>
      </c>
      <c r="B18" s="117"/>
      <c r="C18" s="197"/>
      <c r="D18" s="2"/>
      <c r="E18" s="2"/>
      <c r="F18" s="2"/>
      <c r="G18" s="2"/>
      <c r="H18" s="2"/>
      <c r="I18" s="2"/>
      <c r="J18" s="2"/>
      <c r="K18" s="2"/>
      <c r="L18" s="128"/>
      <c r="M18" s="128"/>
      <c r="N18" s="128"/>
      <c r="O18" s="128"/>
      <c r="P18" s="128"/>
      <c r="Q18" s="69"/>
      <c r="R18" s="69"/>
    </row>
    <row r="19" spans="1:18" ht="14.4" x14ac:dyDescent="0.3">
      <c r="A19" s="180" t="str">
        <f>A9</f>
        <v>LCI
 (all industries)</v>
      </c>
      <c r="B19" s="25" t="s">
        <v>5</v>
      </c>
      <c r="C19" s="58">
        <f>'Model Inputs'!B$16</f>
        <v>0.6</v>
      </c>
      <c r="D19" s="2"/>
      <c r="E19" s="2"/>
      <c r="F19" s="2"/>
      <c r="G19" s="2"/>
      <c r="H19" s="2"/>
      <c r="I19" s="2"/>
      <c r="J19" s="2"/>
      <c r="K19" s="2"/>
      <c r="L19" s="128"/>
      <c r="M19" s="128"/>
      <c r="N19" s="128"/>
      <c r="O19" s="128"/>
      <c r="P19" s="128"/>
      <c r="Q19" s="69"/>
      <c r="R19" s="69"/>
    </row>
    <row r="20" spans="1:18" ht="14.4" x14ac:dyDescent="0.3">
      <c r="A20" s="180" t="str">
        <f t="shared" ref="A20:A21" si="1">A10</f>
        <v>PPI
 (input - all industries)</v>
      </c>
      <c r="B20" s="25" t="s">
        <v>5</v>
      </c>
      <c r="C20" s="58">
        <f>'Model Inputs'!C$16</f>
        <v>0.4</v>
      </c>
      <c r="D20" s="2"/>
      <c r="E20" s="2"/>
      <c r="F20" s="2"/>
      <c r="G20" s="2"/>
      <c r="H20" s="2"/>
      <c r="I20" s="2"/>
      <c r="J20" s="2"/>
      <c r="K20" s="2"/>
      <c r="L20" s="128"/>
      <c r="M20" s="128"/>
      <c r="N20" s="128"/>
      <c r="O20" s="128"/>
      <c r="P20" s="128"/>
      <c r="Q20" s="69"/>
      <c r="R20" s="69"/>
    </row>
    <row r="21" spans="1:18" ht="14.4" x14ac:dyDescent="0.3">
      <c r="A21" s="180" t="str">
        <f t="shared" si="1"/>
        <v>CGPI
 (all groups)</v>
      </c>
      <c r="B21" s="25" t="s">
        <v>5</v>
      </c>
      <c r="C21" s="58">
        <f>'Model Inputs'!D$16</f>
        <v>0</v>
      </c>
      <c r="D21" s="2"/>
      <c r="E21" s="2"/>
      <c r="F21" s="2"/>
      <c r="G21" s="2"/>
      <c r="H21" s="2"/>
      <c r="I21" s="2"/>
      <c r="J21" s="2"/>
      <c r="K21" s="2"/>
      <c r="L21" s="128"/>
      <c r="M21" s="128"/>
      <c r="N21" s="128"/>
      <c r="O21" s="128"/>
      <c r="P21" s="128"/>
      <c r="Q21" s="69"/>
      <c r="R21" s="69"/>
    </row>
    <row r="22" spans="1:18" ht="14.4" x14ac:dyDescent="0.3">
      <c r="A22" s="158"/>
      <c r="B22" s="158"/>
      <c r="C22" s="196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69"/>
      <c r="R22" s="69"/>
    </row>
    <row r="23" spans="1:18" ht="15.6" x14ac:dyDescent="0.3">
      <c r="A23" s="195" t="s">
        <v>35</v>
      </c>
      <c r="B23" s="117"/>
      <c r="C23" s="197"/>
      <c r="D23" s="2"/>
      <c r="E23" s="2"/>
      <c r="F23" s="2"/>
      <c r="G23" s="2"/>
      <c r="H23" s="2"/>
      <c r="I23" s="2"/>
      <c r="J23" s="2"/>
      <c r="K23" s="2"/>
      <c r="L23" s="128"/>
      <c r="M23" s="128"/>
      <c r="N23" s="128"/>
      <c r="O23" s="128"/>
      <c r="P23" s="128"/>
      <c r="Q23" s="69"/>
      <c r="R23" s="69"/>
    </row>
    <row r="24" spans="1:18" ht="14.4" x14ac:dyDescent="0.3">
      <c r="A24" s="180" t="str">
        <f>A9</f>
        <v>LCI
 (all industries)</v>
      </c>
      <c r="B24" s="25" t="s">
        <v>5</v>
      </c>
      <c r="C24" s="58">
        <f>'Model Inputs'!B$17</f>
        <v>0</v>
      </c>
      <c r="D24" s="2"/>
      <c r="E24" s="2"/>
      <c r="F24" s="2"/>
      <c r="G24" s="2"/>
      <c r="H24" s="2"/>
      <c r="I24" s="2"/>
      <c r="J24" s="2"/>
      <c r="K24" s="2"/>
      <c r="L24" s="128"/>
      <c r="M24" s="128"/>
      <c r="N24" s="128"/>
      <c r="O24" s="128"/>
      <c r="P24" s="128"/>
      <c r="Q24" s="69"/>
      <c r="R24" s="69"/>
    </row>
    <row r="25" spans="1:18" ht="14.4" x14ac:dyDescent="0.3">
      <c r="A25" s="180" t="str">
        <f t="shared" ref="A25:A26" si="2">A10</f>
        <v>PPI
 (input - all industries)</v>
      </c>
      <c r="B25" s="25" t="s">
        <v>5</v>
      </c>
      <c r="C25" s="58">
        <f>'Model Inputs'!C$17</f>
        <v>0</v>
      </c>
      <c r="D25" s="2"/>
      <c r="E25" s="2"/>
      <c r="F25" s="2"/>
      <c r="G25" s="2"/>
      <c r="H25" s="2"/>
      <c r="I25" s="2"/>
      <c r="J25" s="2"/>
      <c r="K25" s="2"/>
      <c r="L25" s="128"/>
      <c r="M25" s="128"/>
      <c r="N25" s="128"/>
      <c r="O25" s="128"/>
      <c r="P25" s="128"/>
      <c r="Q25" s="69"/>
      <c r="R25" s="69"/>
    </row>
    <row r="26" spans="1:18" ht="14.4" x14ac:dyDescent="0.3">
      <c r="A26" s="180" t="str">
        <f t="shared" si="2"/>
        <v>CGPI
 (all groups)</v>
      </c>
      <c r="B26" s="25" t="s">
        <v>5</v>
      </c>
      <c r="C26" s="58">
        <f>'Model Inputs'!D$17</f>
        <v>1</v>
      </c>
      <c r="D26" s="2"/>
      <c r="E26" s="2"/>
      <c r="F26" s="2"/>
      <c r="G26" s="2"/>
      <c r="H26" s="2"/>
      <c r="I26" s="2"/>
      <c r="J26" s="2"/>
      <c r="K26" s="2"/>
      <c r="L26" s="128"/>
      <c r="M26" s="128"/>
      <c r="N26" s="128"/>
      <c r="O26" s="128"/>
      <c r="P26" s="128"/>
      <c r="Q26" s="69"/>
      <c r="R26" s="69"/>
    </row>
    <row r="27" spans="1:18" ht="14.4" x14ac:dyDescent="0.3">
      <c r="A27" s="25"/>
      <c r="B27" s="25"/>
      <c r="C27" s="15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4.4" x14ac:dyDescent="0.3">
      <c r="A28" s="24" t="s">
        <v>64</v>
      </c>
      <c r="B28" s="124"/>
      <c r="C28" s="35"/>
      <c r="D28" s="35"/>
      <c r="E28" s="11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ht="14.4" x14ac:dyDescent="0.3">
      <c r="A29" s="1" t="s">
        <v>26</v>
      </c>
      <c r="B29" s="37">
        <f>'Model Inputs'!B22</f>
        <v>3.0000000000000001E-3</v>
      </c>
      <c r="C29" s="36"/>
      <c r="D29" s="36"/>
      <c r="E29" s="11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4.4" x14ac:dyDescent="0.3">
      <c r="A30" s="1" t="s">
        <v>27</v>
      </c>
      <c r="B30" s="37">
        <f>'Model Inputs'!B23</f>
        <v>3.0000000000000001E-3</v>
      </c>
      <c r="C30" s="36"/>
      <c r="D30" s="36"/>
      <c r="E30" s="11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ht="14.4" x14ac:dyDescent="0.3">
      <c r="A31" s="1" t="s">
        <v>28</v>
      </c>
      <c r="B31" s="37">
        <f>'Model Inputs'!B24</f>
        <v>8.0000000000000002E-3</v>
      </c>
      <c r="C31" s="36"/>
      <c r="D31" s="36"/>
      <c r="E31" s="11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4.4" x14ac:dyDescent="0.3">
      <c r="A32" s="158"/>
      <c r="B32" s="15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27" customHeight="1" x14ac:dyDescent="0.45">
      <c r="A33" s="74" t="s">
        <v>4</v>
      </c>
      <c r="B33" s="186"/>
      <c r="C33" s="186"/>
      <c r="D33" s="18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69"/>
      <c r="R33" s="76"/>
    </row>
    <row r="34" spans="1:18" ht="16.5" customHeight="1" x14ac:dyDescent="0.3">
      <c r="A34" s="96" t="s">
        <v>179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69"/>
      <c r="R34" s="69"/>
    </row>
    <row r="35" spans="1:18" ht="14.4" x14ac:dyDescent="0.3">
      <c r="A35" s="117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5.6" x14ac:dyDescent="0.3">
      <c r="A36" s="28" t="s">
        <v>36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69"/>
      <c r="R36" s="69"/>
    </row>
    <row r="37" spans="1:18" ht="27.75" customHeight="1" x14ac:dyDescent="0.3">
      <c r="A37" s="25"/>
      <c r="B37" s="200" t="s">
        <v>15</v>
      </c>
      <c r="C37" s="198">
        <f t="shared" ref="C37:P37" si="3">C$8</f>
        <v>2017</v>
      </c>
      <c r="D37" s="198">
        <f t="shared" si="3"/>
        <v>2018</v>
      </c>
      <c r="E37" s="198">
        <f t="shared" si="3"/>
        <v>2019</v>
      </c>
      <c r="F37" s="198">
        <f t="shared" si="3"/>
        <v>2020</v>
      </c>
      <c r="G37" s="198">
        <f t="shared" si="3"/>
        <v>2021</v>
      </c>
      <c r="H37" s="198">
        <f t="shared" si="3"/>
        <v>2022</v>
      </c>
      <c r="I37" s="198">
        <f t="shared" si="3"/>
        <v>2023</v>
      </c>
      <c r="J37" s="198">
        <f t="shared" si="3"/>
        <v>2024</v>
      </c>
      <c r="K37" s="198">
        <f t="shared" si="3"/>
        <v>2025</v>
      </c>
      <c r="L37" s="198">
        <f t="shared" si="3"/>
        <v>2026</v>
      </c>
      <c r="M37" s="198">
        <f t="shared" si="3"/>
        <v>2027</v>
      </c>
      <c r="N37" s="198">
        <f t="shared" si="3"/>
        <v>2028</v>
      </c>
      <c r="O37" s="198">
        <f t="shared" si="3"/>
        <v>2029</v>
      </c>
      <c r="P37" s="198">
        <f t="shared" si="3"/>
        <v>2030</v>
      </c>
      <c r="Q37" s="69"/>
      <c r="R37" s="69"/>
    </row>
    <row r="38" spans="1:18" ht="14.4" x14ac:dyDescent="0.3">
      <c r="A38" s="199" t="s">
        <v>170</v>
      </c>
      <c r="B38" s="202">
        <f>C14</f>
        <v>0.6</v>
      </c>
      <c r="C38" s="169">
        <f>C$9*$B38</f>
        <v>9.5387371249440207E-3</v>
      </c>
      <c r="D38" s="15">
        <f>D$9*$B38</f>
        <v>1.0844170156491072E-2</v>
      </c>
      <c r="E38" s="15">
        <f t="shared" ref="E38:P38" si="4">E$9*$B38</f>
        <v>1.1431045680883307E-2</v>
      </c>
      <c r="F38" s="15">
        <f t="shared" si="4"/>
        <v>1.4531548757170172E-2</v>
      </c>
      <c r="G38" s="15">
        <f t="shared" si="4"/>
        <v>1.0827629122588674E-2</v>
      </c>
      <c r="H38" s="15">
        <f t="shared" si="4"/>
        <v>1.5158924205378971E-2</v>
      </c>
      <c r="I38" s="15">
        <f t="shared" si="4"/>
        <v>2.3251192368839425E-2</v>
      </c>
      <c r="J38" s="15">
        <f t="shared" si="4"/>
        <v>2.5206578394963073E-2</v>
      </c>
      <c r="K38" s="15">
        <f t="shared" si="4"/>
        <v>1.823782312279008E-2</v>
      </c>
      <c r="L38" s="15">
        <f t="shared" si="4"/>
        <v>1.291257993655264E-2</v>
      </c>
      <c r="M38" s="15">
        <f t="shared" si="4"/>
        <v>1.1075245044611841E-2</v>
      </c>
      <c r="N38" s="15">
        <f t="shared" si="4"/>
        <v>1.0884565970248896E-2</v>
      </c>
      <c r="O38" s="15">
        <f t="shared" si="4"/>
        <v>1.2042793902481811E-2</v>
      </c>
      <c r="P38" s="15">
        <f t="shared" si="4"/>
        <v>1.2282333149416893E-2</v>
      </c>
      <c r="Q38" s="69"/>
      <c r="R38" s="69"/>
    </row>
    <row r="39" spans="1:18" ht="14.4" x14ac:dyDescent="0.3">
      <c r="A39" s="199" t="s">
        <v>171</v>
      </c>
      <c r="B39" s="202">
        <f>C15</f>
        <v>0.4</v>
      </c>
      <c r="C39" s="169">
        <f t="shared" ref="C39:P39" si="5">C$10*$B39</f>
        <v>6.8615607634694379E-3</v>
      </c>
      <c r="D39" s="15">
        <f t="shared" si="5"/>
        <v>1.7957244655581947E-2</v>
      </c>
      <c r="E39" s="15">
        <f t="shared" si="5"/>
        <v>1.6094566947033418E-2</v>
      </c>
      <c r="F39" s="15">
        <f t="shared" si="5"/>
        <v>6.7307692307692311E-3</v>
      </c>
      <c r="G39" s="15">
        <f t="shared" si="5"/>
        <v>8.596604341285192E-4</v>
      </c>
      <c r="H39" s="15">
        <f t="shared" si="5"/>
        <v>3.0709843448423764E-2</v>
      </c>
      <c r="I39" s="15">
        <f t="shared" si="5"/>
        <v>3.0750846444931292E-2</v>
      </c>
      <c r="J39" s="15">
        <f t="shared" si="5"/>
        <v>6.9707636102800882E-3</v>
      </c>
      <c r="K39" s="15">
        <f t="shared" si="5"/>
        <v>1.0997510308176077E-2</v>
      </c>
      <c r="L39" s="15">
        <f t="shared" si="5"/>
        <v>9.3791586676659055E-3</v>
      </c>
      <c r="M39" s="15">
        <f t="shared" si="5"/>
        <v>9.1159443547169268E-3</v>
      </c>
      <c r="N39" s="15">
        <f t="shared" si="5"/>
        <v>9.3986294170779888E-3</v>
      </c>
      <c r="O39" s="15">
        <f t="shared" si="5"/>
        <v>9.8359726527699684E-3</v>
      </c>
      <c r="P39" s="15">
        <f t="shared" si="5"/>
        <v>9.9324885188354622E-3</v>
      </c>
      <c r="Q39" s="69"/>
      <c r="R39" s="69"/>
    </row>
    <row r="40" spans="1:18" ht="14.4" x14ac:dyDescent="0.3">
      <c r="A40" s="199" t="s">
        <v>172</v>
      </c>
      <c r="B40" s="203">
        <f>C16</f>
        <v>0</v>
      </c>
      <c r="C40" s="169">
        <f t="shared" ref="C40:P40" si="6">C$11*$B40</f>
        <v>0</v>
      </c>
      <c r="D40" s="15">
        <f t="shared" si="6"/>
        <v>0</v>
      </c>
      <c r="E40" s="15">
        <f t="shared" si="6"/>
        <v>0</v>
      </c>
      <c r="F40" s="15">
        <f t="shared" si="6"/>
        <v>0</v>
      </c>
      <c r="G40" s="15">
        <f t="shared" si="6"/>
        <v>0</v>
      </c>
      <c r="H40" s="15">
        <f t="shared" si="6"/>
        <v>0</v>
      </c>
      <c r="I40" s="15">
        <f t="shared" si="6"/>
        <v>0</v>
      </c>
      <c r="J40" s="15">
        <f t="shared" si="6"/>
        <v>0</v>
      </c>
      <c r="K40" s="15">
        <f t="shared" si="6"/>
        <v>0</v>
      </c>
      <c r="L40" s="15">
        <f t="shared" si="6"/>
        <v>0</v>
      </c>
      <c r="M40" s="15">
        <f t="shared" si="6"/>
        <v>0</v>
      </c>
      <c r="N40" s="15">
        <f t="shared" si="6"/>
        <v>0</v>
      </c>
      <c r="O40" s="15">
        <f t="shared" si="6"/>
        <v>0</v>
      </c>
      <c r="P40" s="15">
        <f t="shared" si="6"/>
        <v>0</v>
      </c>
      <c r="Q40" s="69"/>
      <c r="R40" s="69"/>
    </row>
    <row r="41" spans="1:18" ht="14.4" x14ac:dyDescent="0.3">
      <c r="A41" s="199" t="s">
        <v>173</v>
      </c>
      <c r="B41" s="26"/>
      <c r="C41" s="15">
        <f t="shared" ref="C41:M41" si="7">SUM(C38:C40)</f>
        <v>1.6400297888413459E-2</v>
      </c>
      <c r="D41" s="15">
        <f>SUM(D38:D40)</f>
        <v>2.8801414812073017E-2</v>
      </c>
      <c r="E41" s="15">
        <f t="shared" si="7"/>
        <v>2.7525612627916723E-2</v>
      </c>
      <c r="F41" s="15">
        <f t="shared" si="7"/>
        <v>2.1262317987939403E-2</v>
      </c>
      <c r="G41" s="15">
        <f t="shared" si="7"/>
        <v>1.1687289556717193E-2</v>
      </c>
      <c r="H41" s="15">
        <f t="shared" si="7"/>
        <v>4.5868767653802739E-2</v>
      </c>
      <c r="I41" s="15">
        <f t="shared" si="7"/>
        <v>5.400203881377072E-2</v>
      </c>
      <c r="J41" s="15">
        <f t="shared" si="7"/>
        <v>3.2177342005243165E-2</v>
      </c>
      <c r="K41" s="15">
        <f t="shared" si="7"/>
        <v>2.9235333430966157E-2</v>
      </c>
      <c r="L41" s="15">
        <f t="shared" si="7"/>
        <v>2.2291738604218545E-2</v>
      </c>
      <c r="M41" s="15">
        <f t="shared" si="7"/>
        <v>2.019118939932877E-2</v>
      </c>
      <c r="N41" s="15">
        <f t="shared" ref="N41:P41" si="8">SUM(N38:N40)</f>
        <v>2.0283195387326883E-2</v>
      </c>
      <c r="O41" s="15">
        <f t="shared" si="8"/>
        <v>2.1878766555251779E-2</v>
      </c>
      <c r="P41" s="15">
        <f t="shared" si="8"/>
        <v>2.2214821668252355E-2</v>
      </c>
      <c r="Q41" s="69"/>
      <c r="R41" s="69"/>
    </row>
    <row r="42" spans="1:18" ht="14.4" x14ac:dyDescent="0.3">
      <c r="A42" s="180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58"/>
      <c r="P42" s="25"/>
      <c r="Q42" s="69"/>
      <c r="R42" s="69"/>
    </row>
    <row r="43" spans="1:18" ht="14.4" x14ac:dyDescent="0.3">
      <c r="A43" s="204" t="s">
        <v>29</v>
      </c>
      <c r="B43" s="22"/>
      <c r="C43" s="23">
        <f>IF((DATE(C37,3,31))=$C$6,1,IF(DATE(C37,3,31)&lt;$C$6,D43/(1+D41),B43*(1+C41)))</f>
        <v>0.80467261811807722</v>
      </c>
      <c r="D43" s="23">
        <f>IF((DATE(D37,3,31))=$C$6,1,IF(DATE(D37,3,31)&lt;$C$6,E43/(1+E41),C43*(1+D41)))</f>
        <v>0.82784832798041275</v>
      </c>
      <c r="E43" s="23">
        <f t="shared" ref="E43:N43" si="9">IF((DATE(E37,3,31))=$C$6,1,IF(DATE(E37,3,31)&lt;$C$6,F43/(1+F41),D43*(1+E41)))</f>
        <v>0.85063536037107013</v>
      </c>
      <c r="F43" s="23">
        <f t="shared" si="9"/>
        <v>0.86872183989506524</v>
      </c>
      <c r="G43" s="23">
        <f t="shared" si="9"/>
        <v>0.87887484358216306</v>
      </c>
      <c r="H43" s="23">
        <f t="shared" si="9"/>
        <v>0.91918774957920557</v>
      </c>
      <c r="I43" s="23">
        <f t="shared" si="9"/>
        <v>0.96882576210912441</v>
      </c>
      <c r="J43" s="23">
        <f t="shared" si="9"/>
        <v>1</v>
      </c>
      <c r="K43" s="23">
        <f t="shared" si="9"/>
        <v>1.0292353334309661</v>
      </c>
      <c r="L43" s="23">
        <f t="shared" si="9"/>
        <v>1.0521787784460348</v>
      </c>
      <c r="M43" s="23">
        <f t="shared" si="9"/>
        <v>1.073423519443593</v>
      </c>
      <c r="N43" s="23">
        <f t="shared" si="9"/>
        <v>1.0951959784218195</v>
      </c>
      <c r="O43" s="205">
        <f>IF((DATE(O37,3,31))=$C$6,1,IF(DATE(O37,3,31)&lt;$C$6,P43/(1+P41),N43*(1+O41)))</f>
        <v>1.119157515565961</v>
      </c>
      <c r="P43" s="206">
        <f>IF((DATE(P37,3,31))=$C$6,1,IF(DATE(P37,3,31)&lt;$C$6,#REF!/(1+#REF!),O43*(1+P41)))</f>
        <v>1.1440194001929431</v>
      </c>
      <c r="Q43" s="69"/>
      <c r="R43" s="69"/>
    </row>
    <row r="44" spans="1:18" ht="14.4" x14ac:dyDescent="0.3">
      <c r="A44" s="25"/>
      <c r="B44" s="158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69"/>
      <c r="R44" s="69"/>
    </row>
    <row r="45" spans="1:18" ht="15.6" x14ac:dyDescent="0.3">
      <c r="A45" s="28" t="s">
        <v>37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69"/>
      <c r="R45" s="69"/>
    </row>
    <row r="46" spans="1:18" ht="27.75" customHeight="1" x14ac:dyDescent="0.3">
      <c r="A46" s="25"/>
      <c r="B46" s="200" t="s">
        <v>15</v>
      </c>
      <c r="C46" s="198">
        <f t="shared" ref="C46:P46" si="10">C$8</f>
        <v>2017</v>
      </c>
      <c r="D46" s="198">
        <f t="shared" si="10"/>
        <v>2018</v>
      </c>
      <c r="E46" s="198">
        <f t="shared" si="10"/>
        <v>2019</v>
      </c>
      <c r="F46" s="198">
        <f t="shared" si="10"/>
        <v>2020</v>
      </c>
      <c r="G46" s="198">
        <f t="shared" si="10"/>
        <v>2021</v>
      </c>
      <c r="H46" s="198">
        <f t="shared" si="10"/>
        <v>2022</v>
      </c>
      <c r="I46" s="198">
        <f t="shared" si="10"/>
        <v>2023</v>
      </c>
      <c r="J46" s="198">
        <f t="shared" si="10"/>
        <v>2024</v>
      </c>
      <c r="K46" s="198">
        <f t="shared" si="10"/>
        <v>2025</v>
      </c>
      <c r="L46" s="198">
        <f t="shared" si="10"/>
        <v>2026</v>
      </c>
      <c r="M46" s="198">
        <f t="shared" si="10"/>
        <v>2027</v>
      </c>
      <c r="N46" s="198">
        <f t="shared" si="10"/>
        <v>2028</v>
      </c>
      <c r="O46" s="198">
        <f t="shared" si="10"/>
        <v>2029</v>
      </c>
      <c r="P46" s="198">
        <f t="shared" si="10"/>
        <v>2030</v>
      </c>
      <c r="Q46" s="69"/>
      <c r="R46" s="69"/>
    </row>
    <row r="47" spans="1:18" ht="14.4" x14ac:dyDescent="0.3">
      <c r="A47" s="180" t="s">
        <v>170</v>
      </c>
      <c r="B47" s="202">
        <f>C19</f>
        <v>0.6</v>
      </c>
      <c r="C47" s="169">
        <f t="shared" ref="C47:P47" si="11">C$9*$B47</f>
        <v>9.5387371249440207E-3</v>
      </c>
      <c r="D47" s="15">
        <f t="shared" si="11"/>
        <v>1.0844170156491072E-2</v>
      </c>
      <c r="E47" s="15">
        <f t="shared" si="11"/>
        <v>1.1431045680883307E-2</v>
      </c>
      <c r="F47" s="15">
        <f t="shared" si="11"/>
        <v>1.4531548757170172E-2</v>
      </c>
      <c r="G47" s="15">
        <f t="shared" si="11"/>
        <v>1.0827629122588674E-2</v>
      </c>
      <c r="H47" s="15">
        <f t="shared" si="11"/>
        <v>1.5158924205378971E-2</v>
      </c>
      <c r="I47" s="15">
        <f t="shared" si="11"/>
        <v>2.3251192368839425E-2</v>
      </c>
      <c r="J47" s="15">
        <f t="shared" si="11"/>
        <v>2.5206578394963073E-2</v>
      </c>
      <c r="K47" s="15">
        <f t="shared" si="11"/>
        <v>1.823782312279008E-2</v>
      </c>
      <c r="L47" s="15">
        <f t="shared" si="11"/>
        <v>1.291257993655264E-2</v>
      </c>
      <c r="M47" s="15">
        <f t="shared" si="11"/>
        <v>1.1075245044611841E-2</v>
      </c>
      <c r="N47" s="15">
        <f t="shared" si="11"/>
        <v>1.0884565970248896E-2</v>
      </c>
      <c r="O47" s="15">
        <f t="shared" si="11"/>
        <v>1.2042793902481811E-2</v>
      </c>
      <c r="P47" s="15">
        <f t="shared" si="11"/>
        <v>1.2282333149416893E-2</v>
      </c>
      <c r="Q47" s="69"/>
      <c r="R47" s="69"/>
    </row>
    <row r="48" spans="1:18" ht="14.4" x14ac:dyDescent="0.3">
      <c r="A48" s="180" t="s">
        <v>171</v>
      </c>
      <c r="B48" s="202">
        <f>C20</f>
        <v>0.4</v>
      </c>
      <c r="C48" s="169">
        <f t="shared" ref="C48:P48" si="12">C$10*$B48</f>
        <v>6.8615607634694379E-3</v>
      </c>
      <c r="D48" s="15">
        <f t="shared" si="12"/>
        <v>1.7957244655581947E-2</v>
      </c>
      <c r="E48" s="15">
        <f t="shared" si="12"/>
        <v>1.6094566947033418E-2</v>
      </c>
      <c r="F48" s="15">
        <f t="shared" si="12"/>
        <v>6.7307692307692311E-3</v>
      </c>
      <c r="G48" s="15">
        <f t="shared" si="12"/>
        <v>8.596604341285192E-4</v>
      </c>
      <c r="H48" s="15">
        <f t="shared" si="12"/>
        <v>3.0709843448423764E-2</v>
      </c>
      <c r="I48" s="15">
        <f t="shared" si="12"/>
        <v>3.0750846444931292E-2</v>
      </c>
      <c r="J48" s="15">
        <f t="shared" si="12"/>
        <v>6.9707636102800882E-3</v>
      </c>
      <c r="K48" s="15">
        <f t="shared" si="12"/>
        <v>1.0997510308176077E-2</v>
      </c>
      <c r="L48" s="15">
        <f t="shared" si="12"/>
        <v>9.3791586676659055E-3</v>
      </c>
      <c r="M48" s="15">
        <f t="shared" si="12"/>
        <v>9.1159443547169268E-3</v>
      </c>
      <c r="N48" s="15">
        <f t="shared" si="12"/>
        <v>9.3986294170779888E-3</v>
      </c>
      <c r="O48" s="15">
        <f t="shared" si="12"/>
        <v>9.8359726527699684E-3</v>
      </c>
      <c r="P48" s="15">
        <f t="shared" si="12"/>
        <v>9.9324885188354622E-3</v>
      </c>
      <c r="Q48" s="69"/>
      <c r="R48" s="69"/>
    </row>
    <row r="49" spans="1:18" ht="14.4" x14ac:dyDescent="0.3">
      <c r="A49" s="180" t="s">
        <v>172</v>
      </c>
      <c r="B49" s="208">
        <f>C21</f>
        <v>0</v>
      </c>
      <c r="C49" s="169">
        <f t="shared" ref="C49:P49" si="13">C$11*$B49</f>
        <v>0</v>
      </c>
      <c r="D49" s="15">
        <f t="shared" si="13"/>
        <v>0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0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3"/>
        <v>0</v>
      </c>
      <c r="O49" s="15">
        <f t="shared" si="13"/>
        <v>0</v>
      </c>
      <c r="P49" s="15">
        <f t="shared" si="13"/>
        <v>0</v>
      </c>
      <c r="Q49" s="69"/>
      <c r="R49" s="69"/>
    </row>
    <row r="50" spans="1:18" ht="14.4" x14ac:dyDescent="0.3">
      <c r="A50" s="180" t="s">
        <v>173</v>
      </c>
      <c r="B50" s="27"/>
      <c r="C50" s="15">
        <f t="shared" ref="C50:M50" si="14">SUM(C47:C49)</f>
        <v>1.6400297888413459E-2</v>
      </c>
      <c r="D50" s="15">
        <f t="shared" si="14"/>
        <v>2.8801414812073017E-2</v>
      </c>
      <c r="E50" s="15">
        <f t="shared" si="14"/>
        <v>2.7525612627916723E-2</v>
      </c>
      <c r="F50" s="15">
        <f t="shared" si="14"/>
        <v>2.1262317987939403E-2</v>
      </c>
      <c r="G50" s="15">
        <f t="shared" si="14"/>
        <v>1.1687289556717193E-2</v>
      </c>
      <c r="H50" s="15">
        <f t="shared" si="14"/>
        <v>4.5868767653802739E-2</v>
      </c>
      <c r="I50" s="15">
        <f t="shared" si="14"/>
        <v>5.400203881377072E-2</v>
      </c>
      <c r="J50" s="15">
        <f t="shared" si="14"/>
        <v>3.2177342005243165E-2</v>
      </c>
      <c r="K50" s="15">
        <f t="shared" si="14"/>
        <v>2.9235333430966157E-2</v>
      </c>
      <c r="L50" s="15">
        <f t="shared" si="14"/>
        <v>2.2291738604218545E-2</v>
      </c>
      <c r="M50" s="15">
        <f t="shared" si="14"/>
        <v>2.019118939932877E-2</v>
      </c>
      <c r="N50" s="15">
        <f t="shared" ref="N50:P50" si="15">SUM(N47:N49)</f>
        <v>2.0283195387326883E-2</v>
      </c>
      <c r="O50" s="15">
        <f t="shared" si="15"/>
        <v>2.1878766555251779E-2</v>
      </c>
      <c r="P50" s="15">
        <f t="shared" si="15"/>
        <v>2.2214821668252355E-2</v>
      </c>
      <c r="Q50" s="69"/>
      <c r="R50" s="69"/>
    </row>
    <row r="51" spans="1:18" ht="14.4" x14ac:dyDescent="0.3">
      <c r="A51" s="180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58"/>
      <c r="P51" s="25"/>
      <c r="Q51" s="69"/>
      <c r="R51" s="69"/>
    </row>
    <row r="52" spans="1:18" ht="14.4" x14ac:dyDescent="0.3">
      <c r="A52" s="204" t="s">
        <v>30</v>
      </c>
      <c r="B52" s="22"/>
      <c r="C52" s="23">
        <f>IF((DATE(C46,3,31))=$C$6,1,IF(DATE(C46,3,31)&lt;$C$6,D52/(1+D50),B52*(1+C50)))</f>
        <v>0.80467261811807722</v>
      </c>
      <c r="D52" s="23">
        <f t="shared" ref="D52:N52" si="16">IF((DATE(D46,3,31))=$C$6,1,IF(DATE(D46,3,31)&lt;$C$6,E52/(1+E50),C52*(1+D50)))</f>
        <v>0.82784832798041275</v>
      </c>
      <c r="E52" s="23">
        <f t="shared" si="16"/>
        <v>0.85063536037107013</v>
      </c>
      <c r="F52" s="23">
        <f t="shared" si="16"/>
        <v>0.86872183989506524</v>
      </c>
      <c r="G52" s="23">
        <f t="shared" si="16"/>
        <v>0.87887484358216306</v>
      </c>
      <c r="H52" s="23">
        <f t="shared" si="16"/>
        <v>0.91918774957920557</v>
      </c>
      <c r="I52" s="23">
        <f t="shared" si="16"/>
        <v>0.96882576210912441</v>
      </c>
      <c r="J52" s="23">
        <f t="shared" si="16"/>
        <v>1</v>
      </c>
      <c r="K52" s="23">
        <f t="shared" si="16"/>
        <v>1.0292353334309661</v>
      </c>
      <c r="L52" s="23">
        <f t="shared" si="16"/>
        <v>1.0521787784460348</v>
      </c>
      <c r="M52" s="23">
        <f t="shared" si="16"/>
        <v>1.073423519443593</v>
      </c>
      <c r="N52" s="23">
        <f t="shared" si="16"/>
        <v>1.0951959784218195</v>
      </c>
      <c r="O52" s="205">
        <f>IF((DATE(O46,3,31))=$C$6,1,IF(DATE(O46,3,31)&lt;$C$6,P52/(1+P50),N52*(1+O50)))</f>
        <v>1.119157515565961</v>
      </c>
      <c r="P52" s="206">
        <f>IF((DATE(P46,3,31))=$C$6,1,IF(DATE(P46,3,31)&lt;$C$6,#REF!/(1+#REF!),O52*(1+P50)))</f>
        <v>1.1440194001929431</v>
      </c>
      <c r="Q52" s="69"/>
      <c r="R52" s="69"/>
    </row>
    <row r="53" spans="1:18" ht="14.4" x14ac:dyDescent="0.3">
      <c r="A53" s="25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69"/>
      <c r="R53" s="69"/>
    </row>
    <row r="54" spans="1:18" ht="15.6" x14ac:dyDescent="0.3">
      <c r="A54" s="28" t="s">
        <v>38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69"/>
      <c r="R54" s="69"/>
    </row>
    <row r="55" spans="1:18" ht="14.4" x14ac:dyDescent="0.3">
      <c r="A55" s="25"/>
      <c r="B55" s="200" t="s">
        <v>15</v>
      </c>
      <c r="C55" s="198">
        <f t="shared" ref="C55:P55" si="17">C$8</f>
        <v>2017</v>
      </c>
      <c r="D55" s="198">
        <f t="shared" si="17"/>
        <v>2018</v>
      </c>
      <c r="E55" s="198">
        <f t="shared" si="17"/>
        <v>2019</v>
      </c>
      <c r="F55" s="198">
        <f t="shared" si="17"/>
        <v>2020</v>
      </c>
      <c r="G55" s="198">
        <f t="shared" si="17"/>
        <v>2021</v>
      </c>
      <c r="H55" s="198">
        <f t="shared" si="17"/>
        <v>2022</v>
      </c>
      <c r="I55" s="198">
        <f t="shared" si="17"/>
        <v>2023</v>
      </c>
      <c r="J55" s="198">
        <f t="shared" si="17"/>
        <v>2024</v>
      </c>
      <c r="K55" s="198">
        <f t="shared" si="17"/>
        <v>2025</v>
      </c>
      <c r="L55" s="198">
        <f t="shared" si="17"/>
        <v>2026</v>
      </c>
      <c r="M55" s="198">
        <f t="shared" si="17"/>
        <v>2027</v>
      </c>
      <c r="N55" s="198">
        <f t="shared" si="17"/>
        <v>2028</v>
      </c>
      <c r="O55" s="198">
        <f t="shared" si="17"/>
        <v>2029</v>
      </c>
      <c r="P55" s="198">
        <f t="shared" si="17"/>
        <v>2030</v>
      </c>
      <c r="Q55" s="69"/>
      <c r="R55" s="69"/>
    </row>
    <row r="56" spans="1:18" ht="14.4" x14ac:dyDescent="0.3">
      <c r="A56" s="180" t="s">
        <v>170</v>
      </c>
      <c r="B56" s="202">
        <f>C24</f>
        <v>0</v>
      </c>
      <c r="C56" s="169">
        <f t="shared" ref="C56:P56" si="18">C$9*$B56</f>
        <v>0</v>
      </c>
      <c r="D56" s="15">
        <f t="shared" si="18"/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69"/>
      <c r="R56" s="69"/>
    </row>
    <row r="57" spans="1:18" ht="14.4" x14ac:dyDescent="0.3">
      <c r="A57" s="180" t="s">
        <v>171</v>
      </c>
      <c r="B57" s="202">
        <f>C25</f>
        <v>0</v>
      </c>
      <c r="C57" s="169">
        <f t="shared" ref="C57:P57" si="19">C$10*$B57</f>
        <v>0</v>
      </c>
      <c r="D57" s="15">
        <f t="shared" si="19"/>
        <v>0</v>
      </c>
      <c r="E57" s="15">
        <f t="shared" si="19"/>
        <v>0</v>
      </c>
      <c r="F57" s="15">
        <f t="shared" si="19"/>
        <v>0</v>
      </c>
      <c r="G57" s="15">
        <f t="shared" si="19"/>
        <v>0</v>
      </c>
      <c r="H57" s="15">
        <f t="shared" si="19"/>
        <v>0</v>
      </c>
      <c r="I57" s="15">
        <f t="shared" si="19"/>
        <v>0</v>
      </c>
      <c r="J57" s="15">
        <f t="shared" si="19"/>
        <v>0</v>
      </c>
      <c r="K57" s="15">
        <f t="shared" si="19"/>
        <v>0</v>
      </c>
      <c r="L57" s="15">
        <f t="shared" si="19"/>
        <v>0</v>
      </c>
      <c r="M57" s="15">
        <f t="shared" si="19"/>
        <v>0</v>
      </c>
      <c r="N57" s="15">
        <f t="shared" si="19"/>
        <v>0</v>
      </c>
      <c r="O57" s="15">
        <f t="shared" si="19"/>
        <v>0</v>
      </c>
      <c r="P57" s="15">
        <f t="shared" si="19"/>
        <v>0</v>
      </c>
      <c r="Q57" s="69"/>
      <c r="R57" s="69"/>
    </row>
    <row r="58" spans="1:18" ht="14.4" x14ac:dyDescent="0.3">
      <c r="A58" s="180" t="s">
        <v>172</v>
      </c>
      <c r="B58" s="201">
        <f>C26</f>
        <v>1</v>
      </c>
      <c r="C58" s="169">
        <f t="shared" ref="C58:P58" si="20">C$11*$B58</f>
        <v>3.2292032223449889E-2</v>
      </c>
      <c r="D58" s="15">
        <f t="shared" si="20"/>
        <v>2.8391703657434712E-2</v>
      </c>
      <c r="E58" s="15">
        <f t="shared" si="20"/>
        <v>2.8269135169502111E-2</v>
      </c>
      <c r="F58" s="15">
        <f t="shared" si="20"/>
        <v>2.8456591666438685E-2</v>
      </c>
      <c r="G58" s="15">
        <f t="shared" si="20"/>
        <v>1.9384086337217398E-2</v>
      </c>
      <c r="H58" s="15">
        <f t="shared" si="20"/>
        <v>8.0509124507521387E-2</v>
      </c>
      <c r="I58" s="15">
        <f t="shared" si="20"/>
        <v>0.1116996875242361</v>
      </c>
      <c r="J58" s="15">
        <f t="shared" si="20"/>
        <v>4.6128257115477946E-2</v>
      </c>
      <c r="K58" s="15">
        <f t="shared" si="20"/>
        <v>2.7164234569866039E-2</v>
      </c>
      <c r="L58" s="15">
        <f t="shared" si="20"/>
        <v>2.1518962577013474E-2</v>
      </c>
      <c r="M58" s="15">
        <f t="shared" si="20"/>
        <v>1.9374648222791079E-2</v>
      </c>
      <c r="N58" s="15">
        <f t="shared" si="20"/>
        <v>1.8861233228391137E-2</v>
      </c>
      <c r="O58" s="15">
        <f t="shared" si="20"/>
        <v>1.8977747211074654E-2</v>
      </c>
      <c r="P58" s="15">
        <f t="shared" si="20"/>
        <v>1.9145634876020622E-2</v>
      </c>
      <c r="Q58" s="69"/>
      <c r="R58" s="69"/>
    </row>
    <row r="59" spans="1:18" ht="14.4" x14ac:dyDescent="0.3">
      <c r="A59" s="180" t="s">
        <v>173</v>
      </c>
      <c r="B59" s="27"/>
      <c r="C59" s="15">
        <f t="shared" ref="C59:M59" si="21">SUM(C56:C58)</f>
        <v>3.2292032223449889E-2</v>
      </c>
      <c r="D59" s="15">
        <f t="shared" si="21"/>
        <v>2.8391703657434712E-2</v>
      </c>
      <c r="E59" s="15">
        <f t="shared" si="21"/>
        <v>2.8269135169502111E-2</v>
      </c>
      <c r="F59" s="15">
        <f t="shared" si="21"/>
        <v>2.8456591666438685E-2</v>
      </c>
      <c r="G59" s="15">
        <f t="shared" si="21"/>
        <v>1.9384086337217398E-2</v>
      </c>
      <c r="H59" s="15">
        <f t="shared" si="21"/>
        <v>8.0509124507521387E-2</v>
      </c>
      <c r="I59" s="15">
        <f t="shared" si="21"/>
        <v>0.1116996875242361</v>
      </c>
      <c r="J59" s="15">
        <f t="shared" si="21"/>
        <v>4.6128257115477946E-2</v>
      </c>
      <c r="K59" s="15">
        <f t="shared" si="21"/>
        <v>2.7164234569866039E-2</v>
      </c>
      <c r="L59" s="15">
        <f t="shared" si="21"/>
        <v>2.1518962577013474E-2</v>
      </c>
      <c r="M59" s="15">
        <f t="shared" si="21"/>
        <v>1.9374648222791079E-2</v>
      </c>
      <c r="N59" s="15">
        <f t="shared" ref="N59:P59" si="22">SUM(N56:N58)</f>
        <v>1.8861233228391137E-2</v>
      </c>
      <c r="O59" s="15">
        <f t="shared" si="22"/>
        <v>1.8977747211074654E-2</v>
      </c>
      <c r="P59" s="15">
        <f t="shared" si="22"/>
        <v>1.9145634876020622E-2</v>
      </c>
      <c r="Q59" s="69"/>
      <c r="R59" s="69"/>
    </row>
    <row r="60" spans="1:18" ht="14.4" x14ac:dyDescent="0.3">
      <c r="A60" s="18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58"/>
      <c r="P60" s="25"/>
      <c r="Q60" s="69"/>
      <c r="R60" s="69"/>
    </row>
    <row r="61" spans="1:18" ht="14.4" x14ac:dyDescent="0.3">
      <c r="A61" s="204" t="s">
        <v>31</v>
      </c>
      <c r="B61" s="22"/>
      <c r="C61" s="23">
        <f>IF((DATE(C55,3,31))=$C$6,1,IF(DATE(C55,3,31)&lt;$C$6,D61/(1+D59),B61*(1+C59)))</f>
        <v>0.71781076083464479</v>
      </c>
      <c r="D61" s="23">
        <f t="shared" ref="D61:N61" si="23">IF((DATE(D55,3,31))=$C$6,1,IF(DATE(D55,3,31)&lt;$C$6,E61/(1+E59),C61*(1+D59)))</f>
        <v>0.7381906312383798</v>
      </c>
      <c r="E61" s="23">
        <f t="shared" si="23"/>
        <v>0.75905864197371764</v>
      </c>
      <c r="F61" s="23">
        <f t="shared" si="23"/>
        <v>0.78065886379924521</v>
      </c>
      <c r="G61" s="23">
        <f t="shared" si="23"/>
        <v>0.79579122261504387</v>
      </c>
      <c r="H61" s="23">
        <f t="shared" si="23"/>
        <v>0.85985967723855106</v>
      </c>
      <c r="I61" s="23">
        <f t="shared" si="23"/>
        <v>0.95590573450078786</v>
      </c>
      <c r="J61" s="23">
        <f t="shared" si="23"/>
        <v>1</v>
      </c>
      <c r="K61" s="23">
        <f t="shared" si="23"/>
        <v>1.0271642345698659</v>
      </c>
      <c r="L61" s="23">
        <f t="shared" si="23"/>
        <v>1.0492677432940216</v>
      </c>
      <c r="M61" s="23">
        <f t="shared" si="23"/>
        <v>1.069596936711865</v>
      </c>
      <c r="N61" s="23">
        <f t="shared" si="23"/>
        <v>1.0897708539955602</v>
      </c>
      <c r="O61" s="205">
        <f>IF((DATE(O55,3,31))=$C$6,1,IF(DATE(O55,3,31)&lt;$C$6,P61/(1+P59),N61*(1+O59)))</f>
        <v>1.1104522497806848</v>
      </c>
      <c r="P61" s="206">
        <f>IF((DATE(P55,3,31))=$C$6,1,IF(DATE(P55,3,31)&lt;$C$6,#REF!/(1+#REF!),O61*(1+P59)))</f>
        <v>1.1317125631022413</v>
      </c>
      <c r="Q61" s="69"/>
      <c r="R61" s="69"/>
    </row>
    <row r="62" spans="1:18" ht="14.4" x14ac:dyDescent="0.3">
      <c r="A62" s="180"/>
      <c r="B62" s="209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69"/>
      <c r="R62" s="69"/>
    </row>
    <row r="63" spans="1:18" ht="15.6" x14ac:dyDescent="0.3">
      <c r="A63" s="28" t="s">
        <v>63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1:18" ht="14.4" x14ac:dyDescent="0.3">
      <c r="A64" s="211" t="s">
        <v>61</v>
      </c>
      <c r="B64" s="122"/>
      <c r="C64" s="122"/>
      <c r="D64" s="122"/>
      <c r="E64" s="122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69"/>
      <c r="R64" s="69"/>
    </row>
    <row r="65" spans="1:18" ht="15.6" x14ac:dyDescent="0.3">
      <c r="A65" s="28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69"/>
      <c r="R65" s="69"/>
    </row>
    <row r="66" spans="1:18" ht="14.4" x14ac:dyDescent="0.3">
      <c r="A66" s="199" t="s">
        <v>65</v>
      </c>
      <c r="B66" s="17"/>
      <c r="C66" s="38">
        <f>C55-YEAR('Model Inputs'!$B$7)</f>
        <v>-7</v>
      </c>
      <c r="D66" s="38">
        <f>D55-YEAR('Model Inputs'!$B$7)</f>
        <v>-6</v>
      </c>
      <c r="E66" s="38">
        <f>E55-YEAR('Model Inputs'!$B$7)</f>
        <v>-5</v>
      </c>
      <c r="F66" s="38">
        <f>F55-YEAR('Model Inputs'!$B$7)</f>
        <v>-4</v>
      </c>
      <c r="G66" s="38">
        <f>G55-YEAR('Model Inputs'!$B$7)</f>
        <v>-3</v>
      </c>
      <c r="H66" s="38">
        <f>H55-YEAR('Model Inputs'!$B$7)</f>
        <v>-2</v>
      </c>
      <c r="I66" s="38">
        <f>I55-YEAR('Model Inputs'!$B$7)</f>
        <v>-1</v>
      </c>
      <c r="J66" s="38">
        <f>J55-YEAR('Model Inputs'!$B$7)</f>
        <v>0</v>
      </c>
      <c r="K66" s="38">
        <f>K55-YEAR('Model Inputs'!$B$7)</f>
        <v>1</v>
      </c>
      <c r="L66" s="38">
        <f>L55-YEAR('Model Inputs'!$B$7)</f>
        <v>2</v>
      </c>
      <c r="M66" s="38">
        <f>M55-YEAR('Model Inputs'!$B$7)</f>
        <v>3</v>
      </c>
      <c r="N66" s="38">
        <f>N55-YEAR('Model Inputs'!$B$7)</f>
        <v>4</v>
      </c>
      <c r="O66" s="38">
        <f>O55-YEAR('Model Inputs'!$B$7)</f>
        <v>5</v>
      </c>
      <c r="P66" s="38">
        <f>P55-YEAR('Model Inputs'!$B$7)</f>
        <v>6</v>
      </c>
      <c r="Q66" s="69"/>
      <c r="R66" s="69"/>
    </row>
    <row r="67" spans="1:18" ht="14.4" x14ac:dyDescent="0.3">
      <c r="A67" s="212" t="str">
        <f>A29</f>
        <v xml:space="preserve">Network opex input cost inflator </v>
      </c>
      <c r="B67" s="17"/>
      <c r="C67" s="39">
        <f t="shared" ref="C67:I67" si="24">(1+$B29)^C$66</f>
        <v>0.97924974889840477</v>
      </c>
      <c r="D67" s="39">
        <f t="shared" si="24"/>
        <v>0.98218749814509987</v>
      </c>
      <c r="E67" s="39">
        <f t="shared" si="24"/>
        <v>0.9851340606395349</v>
      </c>
      <c r="F67" s="39">
        <f t="shared" si="24"/>
        <v>0.98808946282145349</v>
      </c>
      <c r="G67" s="39">
        <f t="shared" si="24"/>
        <v>0.99105373120991769</v>
      </c>
      <c r="H67" s="39">
        <f t="shared" si="24"/>
        <v>0.99402689240354736</v>
      </c>
      <c r="I67" s="39">
        <f t="shared" si="24"/>
        <v>0.99700897308075787</v>
      </c>
      <c r="J67" s="39">
        <f>(1+$B29)^J$66</f>
        <v>1</v>
      </c>
      <c r="K67" s="39">
        <f t="shared" ref="K67:P67" si="25">(1+$B29)^K$66</f>
        <v>1.0029999999999999</v>
      </c>
      <c r="L67" s="39">
        <f t="shared" si="25"/>
        <v>1.0060089999999997</v>
      </c>
      <c r="M67" s="39">
        <f t="shared" si="25"/>
        <v>1.0090270269999997</v>
      </c>
      <c r="N67" s="39">
        <f t="shared" si="25"/>
        <v>1.0120541080809995</v>
      </c>
      <c r="O67" s="39">
        <f t="shared" si="25"/>
        <v>1.0150902704052425</v>
      </c>
      <c r="P67" s="39">
        <f t="shared" si="25"/>
        <v>1.0181355412164579</v>
      </c>
      <c r="Q67" s="69"/>
      <c r="R67" s="69"/>
    </row>
    <row r="68" spans="1:18" ht="14.4" x14ac:dyDescent="0.3">
      <c r="A68" s="212" t="str">
        <f>A30</f>
        <v xml:space="preserve">Non-network opex input cost inflator </v>
      </c>
      <c r="B68" s="26"/>
      <c r="C68" s="39">
        <f t="shared" ref="C68:P68" si="26">(1+$B30)^C$66</f>
        <v>0.97924974889840477</v>
      </c>
      <c r="D68" s="39">
        <f t="shared" si="26"/>
        <v>0.98218749814509987</v>
      </c>
      <c r="E68" s="39">
        <f t="shared" si="26"/>
        <v>0.9851340606395349</v>
      </c>
      <c r="F68" s="39">
        <f t="shared" si="26"/>
        <v>0.98808946282145349</v>
      </c>
      <c r="G68" s="39">
        <f t="shared" si="26"/>
        <v>0.99105373120991769</v>
      </c>
      <c r="H68" s="39">
        <f t="shared" si="26"/>
        <v>0.99402689240354736</v>
      </c>
      <c r="I68" s="39">
        <f t="shared" si="26"/>
        <v>0.99700897308075787</v>
      </c>
      <c r="J68" s="39">
        <f t="shared" si="26"/>
        <v>1</v>
      </c>
      <c r="K68" s="39">
        <f t="shared" si="26"/>
        <v>1.0029999999999999</v>
      </c>
      <c r="L68" s="39">
        <f t="shared" si="26"/>
        <v>1.0060089999999997</v>
      </c>
      <c r="M68" s="39">
        <f t="shared" si="26"/>
        <v>1.0090270269999997</v>
      </c>
      <c r="N68" s="39">
        <f t="shared" si="26"/>
        <v>1.0120541080809995</v>
      </c>
      <c r="O68" s="39">
        <f t="shared" si="26"/>
        <v>1.0150902704052425</v>
      </c>
      <c r="P68" s="39">
        <f t="shared" si="26"/>
        <v>1.0181355412164579</v>
      </c>
      <c r="Q68" s="69"/>
      <c r="R68" s="69"/>
    </row>
    <row r="69" spans="1:18" ht="14.4" x14ac:dyDescent="0.3">
      <c r="A69" s="212" t="str">
        <f>A31</f>
        <v xml:space="preserve">Capex input cost inflator </v>
      </c>
      <c r="B69" s="26"/>
      <c r="C69" s="39">
        <f t="shared" ref="C69:P69" si="27">(1+$B31)^C$66</f>
        <v>0.94574983725985573</v>
      </c>
      <c r="D69" s="39">
        <f t="shared" si="27"/>
        <v>0.95331583595793479</v>
      </c>
      <c r="E69" s="39">
        <f t="shared" si="27"/>
        <v>0.96094236264559829</v>
      </c>
      <c r="F69" s="39">
        <f t="shared" si="27"/>
        <v>0.96862990154676298</v>
      </c>
      <c r="G69" s="39">
        <f t="shared" si="27"/>
        <v>0.97637894075913712</v>
      </c>
      <c r="H69" s="39">
        <f t="shared" si="27"/>
        <v>0.98418997228521032</v>
      </c>
      <c r="I69" s="39">
        <f t="shared" si="27"/>
        <v>0.99206349206349209</v>
      </c>
      <c r="J69" s="39">
        <f t="shared" si="27"/>
        <v>1</v>
      </c>
      <c r="K69" s="39">
        <f t="shared" si="27"/>
        <v>1.008</v>
      </c>
      <c r="L69" s="39">
        <f t="shared" si="27"/>
        <v>1.0160640000000001</v>
      </c>
      <c r="M69" s="39">
        <f t="shared" si="27"/>
        <v>1.0241925120000002</v>
      </c>
      <c r="N69" s="39">
        <f t="shared" si="27"/>
        <v>1.0323860520960002</v>
      </c>
      <c r="O69" s="39">
        <f t="shared" si="27"/>
        <v>1.0406451405127681</v>
      </c>
      <c r="P69" s="39">
        <f t="shared" si="27"/>
        <v>1.0489703016368703</v>
      </c>
      <c r="Q69" s="69"/>
      <c r="R69" s="69"/>
    </row>
    <row r="70" spans="1:18" ht="14.4" x14ac:dyDescent="0.3">
      <c r="A70" s="180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69"/>
      <c r="R70" s="69"/>
    </row>
    <row r="71" spans="1:18" ht="15.6" x14ac:dyDescent="0.3">
      <c r="A71" s="28" t="s">
        <v>66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69"/>
      <c r="R71" s="69"/>
    </row>
    <row r="72" spans="1:18" ht="14.4" x14ac:dyDescent="0.3">
      <c r="A72" s="212" t="str">
        <f>A67</f>
        <v xml:space="preserve">Network opex input cost inflator </v>
      </c>
      <c r="B72" s="17"/>
      <c r="C72" s="40">
        <f>C43*C67</f>
        <v>0.78797545923754908</v>
      </c>
      <c r="D72" s="40">
        <f t="shared" ref="D72:P72" si="28">D43*D67</f>
        <v>0.81310227810268565</v>
      </c>
      <c r="E72" s="40">
        <f t="shared" si="28"/>
        <v>0.83798986668592645</v>
      </c>
      <c r="F72" s="40">
        <f t="shared" si="28"/>
        <v>0.85837489612317974</v>
      </c>
      <c r="G72" s="40">
        <f t="shared" si="28"/>
        <v>0.87101219299863553</v>
      </c>
      <c r="H72" s="40">
        <f t="shared" si="28"/>
        <v>0.91369734224962784</v>
      </c>
      <c r="I72" s="40">
        <f t="shared" si="28"/>
        <v>0.96592797817460074</v>
      </c>
      <c r="J72" s="40">
        <f t="shared" si="28"/>
        <v>1</v>
      </c>
      <c r="K72" s="40">
        <f>K43*K67</f>
        <v>1.0323230394312588</v>
      </c>
      <c r="L72" s="40">
        <f>L43*L67</f>
        <v>1.0585013207257168</v>
      </c>
      <c r="M72" s="40">
        <f t="shared" si="28"/>
        <v>1.0831133425360451</v>
      </c>
      <c r="N72" s="40">
        <f t="shared" si="28"/>
        <v>1.1083975891155922</v>
      </c>
      <c r="O72" s="40">
        <f t="shared" si="28"/>
        <v>1.1360459051019107</v>
      </c>
      <c r="P72" s="40">
        <f t="shared" si="28"/>
        <v>1.1647668111775697</v>
      </c>
      <c r="Q72" s="69"/>
      <c r="R72" s="69"/>
    </row>
    <row r="73" spans="1:18" ht="14.4" x14ac:dyDescent="0.3">
      <c r="A73" s="212" t="str">
        <f t="shared" ref="A73:A74" si="29">A68</f>
        <v xml:space="preserve">Non-network opex input cost inflator </v>
      </c>
      <c r="B73" s="26"/>
      <c r="C73" s="40">
        <f>C52*C68</f>
        <v>0.78797545923754908</v>
      </c>
      <c r="D73" s="40">
        <f t="shared" ref="D73:P73" si="30">D52*D68</f>
        <v>0.81310227810268565</v>
      </c>
      <c r="E73" s="40">
        <f t="shared" si="30"/>
        <v>0.83798986668592645</v>
      </c>
      <c r="F73" s="40">
        <f t="shared" si="30"/>
        <v>0.85837489612317974</v>
      </c>
      <c r="G73" s="40">
        <f t="shared" si="30"/>
        <v>0.87101219299863553</v>
      </c>
      <c r="H73" s="40">
        <f t="shared" si="30"/>
        <v>0.91369734224962784</v>
      </c>
      <c r="I73" s="40">
        <f t="shared" si="30"/>
        <v>0.96592797817460074</v>
      </c>
      <c r="J73" s="40">
        <f t="shared" si="30"/>
        <v>1</v>
      </c>
      <c r="K73" s="40">
        <f t="shared" si="30"/>
        <v>1.0323230394312588</v>
      </c>
      <c r="L73" s="40">
        <f t="shared" si="30"/>
        <v>1.0585013207257168</v>
      </c>
      <c r="M73" s="40">
        <f t="shared" si="30"/>
        <v>1.0831133425360451</v>
      </c>
      <c r="N73" s="40">
        <f t="shared" si="30"/>
        <v>1.1083975891155922</v>
      </c>
      <c r="O73" s="40">
        <f t="shared" si="30"/>
        <v>1.1360459051019107</v>
      </c>
      <c r="P73" s="40">
        <f t="shared" si="30"/>
        <v>1.1647668111775697</v>
      </c>
      <c r="Q73" s="69"/>
      <c r="R73" s="69"/>
    </row>
    <row r="74" spans="1:18" ht="14.4" x14ac:dyDescent="0.3">
      <c r="A74" s="212" t="str">
        <f t="shared" si="29"/>
        <v xml:space="preserve">Capex input cost inflator </v>
      </c>
      <c r="B74" s="26"/>
      <c r="C74" s="40">
        <f>C61*C69</f>
        <v>0.6788694102427385</v>
      </c>
      <c r="D74" s="40">
        <f t="shared" ref="D74:P74" si="31">D61*D69</f>
        <v>0.70372881871533166</v>
      </c>
      <c r="E74" s="40">
        <f t="shared" si="31"/>
        <v>0.72941160480478351</v>
      </c>
      <c r="F74" s="40">
        <f t="shared" si="31"/>
        <v>0.75616951838347068</v>
      </c>
      <c r="G74" s="40">
        <f t="shared" si="31"/>
        <v>0.77699379100229526</v>
      </c>
      <c r="H74" s="40">
        <f t="shared" si="31"/>
        <v>0.84626527191057943</v>
      </c>
      <c r="I74" s="40">
        <f>I61*I69</f>
        <v>0.9483191810523689</v>
      </c>
      <c r="J74" s="40">
        <f t="shared" si="31"/>
        <v>1</v>
      </c>
      <c r="K74" s="40">
        <f t="shared" si="31"/>
        <v>1.0353815484464248</v>
      </c>
      <c r="L74" s="40">
        <f t="shared" si="31"/>
        <v>1.0661231803222968</v>
      </c>
      <c r="M74" s="40">
        <f t="shared" si="31"/>
        <v>1.0954731734384302</v>
      </c>
      <c r="N74" s="40">
        <f t="shared" si="31"/>
        <v>1.1250642296457629</v>
      </c>
      <c r="O74" s="40">
        <f t="shared" si="31"/>
        <v>1.1555867375057403</v>
      </c>
      <c r="P74" s="40">
        <f t="shared" si="31"/>
        <v>1.1871328686835938</v>
      </c>
      <c r="Q74" s="69"/>
      <c r="R74" s="69"/>
    </row>
    <row r="75" spans="1:18" ht="14.4" x14ac:dyDescent="0.3">
      <c r="A75" s="180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69"/>
      <c r="R75" s="69"/>
    </row>
    <row r="76" spans="1:18" ht="27" customHeight="1" x14ac:dyDescent="0.45">
      <c r="A76" s="213" t="s">
        <v>1</v>
      </c>
      <c r="B76" s="186"/>
      <c r="C76" s="186"/>
      <c r="D76" s="18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69"/>
      <c r="R76" s="76"/>
    </row>
    <row r="77" spans="1:18" ht="13.95" customHeight="1" x14ac:dyDescent="0.3">
      <c r="A77" s="214" t="s">
        <v>60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69"/>
      <c r="R77" s="69"/>
    </row>
    <row r="78" spans="1:18" ht="14.4" x14ac:dyDescent="0.3">
      <c r="A78" s="180"/>
      <c r="B78" s="199"/>
      <c r="C78" s="198">
        <f t="shared" ref="C78:P78" si="32">C$8</f>
        <v>2017</v>
      </c>
      <c r="D78" s="198">
        <f t="shared" si="32"/>
        <v>2018</v>
      </c>
      <c r="E78" s="198">
        <f t="shared" si="32"/>
        <v>2019</v>
      </c>
      <c r="F78" s="198">
        <f t="shared" si="32"/>
        <v>2020</v>
      </c>
      <c r="G78" s="198">
        <f t="shared" si="32"/>
        <v>2021</v>
      </c>
      <c r="H78" s="198">
        <f t="shared" si="32"/>
        <v>2022</v>
      </c>
      <c r="I78" s="198">
        <f t="shared" si="32"/>
        <v>2023</v>
      </c>
      <c r="J78" s="198">
        <f t="shared" si="32"/>
        <v>2024</v>
      </c>
      <c r="K78" s="198">
        <f t="shared" si="32"/>
        <v>2025</v>
      </c>
      <c r="L78" s="198">
        <f t="shared" si="32"/>
        <v>2026</v>
      </c>
      <c r="M78" s="198">
        <f t="shared" si="32"/>
        <v>2027</v>
      </c>
      <c r="N78" s="198">
        <f t="shared" si="32"/>
        <v>2028</v>
      </c>
      <c r="O78" s="198">
        <f t="shared" si="32"/>
        <v>2029</v>
      </c>
      <c r="P78" s="198">
        <f t="shared" si="32"/>
        <v>2030</v>
      </c>
      <c r="Q78" s="69"/>
      <c r="R78" s="69"/>
    </row>
    <row r="79" spans="1:18" ht="14.4" x14ac:dyDescent="0.3">
      <c r="A79" s="180" t="str">
        <f>A43</f>
        <v>Network opex index of cost inflator</v>
      </c>
      <c r="B79" s="199"/>
      <c r="C79" s="16">
        <f>C72</f>
        <v>0.78797545923754908</v>
      </c>
      <c r="D79" s="16">
        <f t="shared" ref="D79:P79" si="33">D72</f>
        <v>0.81310227810268565</v>
      </c>
      <c r="E79" s="16">
        <f t="shared" si="33"/>
        <v>0.83798986668592645</v>
      </c>
      <c r="F79" s="16">
        <f t="shared" si="33"/>
        <v>0.85837489612317974</v>
      </c>
      <c r="G79" s="16">
        <f t="shared" si="33"/>
        <v>0.87101219299863553</v>
      </c>
      <c r="H79" s="16">
        <f t="shared" si="33"/>
        <v>0.91369734224962784</v>
      </c>
      <c r="I79" s="16">
        <f t="shared" si="33"/>
        <v>0.96592797817460074</v>
      </c>
      <c r="J79" s="16">
        <f t="shared" si="33"/>
        <v>1</v>
      </c>
      <c r="K79" s="16">
        <f t="shared" si="33"/>
        <v>1.0323230394312588</v>
      </c>
      <c r="L79" s="16">
        <f t="shared" si="33"/>
        <v>1.0585013207257168</v>
      </c>
      <c r="M79" s="16">
        <f t="shared" si="33"/>
        <v>1.0831133425360451</v>
      </c>
      <c r="N79" s="16">
        <f t="shared" si="33"/>
        <v>1.1083975891155922</v>
      </c>
      <c r="O79" s="16">
        <f t="shared" si="33"/>
        <v>1.1360459051019107</v>
      </c>
      <c r="P79" s="16">
        <f t="shared" si="33"/>
        <v>1.1647668111775697</v>
      </c>
      <c r="Q79" s="69"/>
      <c r="R79" s="69"/>
    </row>
    <row r="80" spans="1:18" ht="14.4" x14ac:dyDescent="0.3">
      <c r="A80" s="180" t="str">
        <f>A52</f>
        <v>Non-network opex index of cost inflator</v>
      </c>
      <c r="B80" s="199"/>
      <c r="C80" s="16">
        <f t="shared" ref="C80:P81" si="34">C73</f>
        <v>0.78797545923754908</v>
      </c>
      <c r="D80" s="16">
        <f t="shared" si="34"/>
        <v>0.81310227810268565</v>
      </c>
      <c r="E80" s="16">
        <f t="shared" si="34"/>
        <v>0.83798986668592645</v>
      </c>
      <c r="F80" s="16">
        <f t="shared" si="34"/>
        <v>0.85837489612317974</v>
      </c>
      <c r="G80" s="16">
        <f t="shared" si="34"/>
        <v>0.87101219299863553</v>
      </c>
      <c r="H80" s="16">
        <f t="shared" si="34"/>
        <v>0.91369734224962784</v>
      </c>
      <c r="I80" s="16">
        <f t="shared" si="34"/>
        <v>0.96592797817460074</v>
      </c>
      <c r="J80" s="16">
        <f t="shared" si="34"/>
        <v>1</v>
      </c>
      <c r="K80" s="16">
        <f t="shared" si="34"/>
        <v>1.0323230394312588</v>
      </c>
      <c r="L80" s="16">
        <f t="shared" si="34"/>
        <v>1.0585013207257168</v>
      </c>
      <c r="M80" s="16">
        <f t="shared" si="34"/>
        <v>1.0831133425360451</v>
      </c>
      <c r="N80" s="16">
        <f t="shared" si="34"/>
        <v>1.1083975891155922</v>
      </c>
      <c r="O80" s="16">
        <f t="shared" si="34"/>
        <v>1.1360459051019107</v>
      </c>
      <c r="P80" s="16">
        <f t="shared" si="34"/>
        <v>1.1647668111775697</v>
      </c>
      <c r="Q80" s="69"/>
      <c r="R80" s="69"/>
    </row>
    <row r="81" spans="1:18" ht="14.4" x14ac:dyDescent="0.3">
      <c r="A81" s="180" t="str">
        <f>A61</f>
        <v>Capex index of cost inflator</v>
      </c>
      <c r="B81" s="199"/>
      <c r="C81" s="16">
        <f t="shared" si="34"/>
        <v>0.6788694102427385</v>
      </c>
      <c r="D81" s="16">
        <f t="shared" si="34"/>
        <v>0.70372881871533166</v>
      </c>
      <c r="E81" s="16">
        <f t="shared" si="34"/>
        <v>0.72941160480478351</v>
      </c>
      <c r="F81" s="16">
        <f t="shared" si="34"/>
        <v>0.75616951838347068</v>
      </c>
      <c r="G81" s="16">
        <f t="shared" si="34"/>
        <v>0.77699379100229526</v>
      </c>
      <c r="H81" s="16">
        <f t="shared" si="34"/>
        <v>0.84626527191057943</v>
      </c>
      <c r="I81" s="16">
        <f t="shared" si="34"/>
        <v>0.9483191810523689</v>
      </c>
      <c r="J81" s="16">
        <f t="shared" si="34"/>
        <v>1</v>
      </c>
      <c r="K81" s="16">
        <f t="shared" si="34"/>
        <v>1.0353815484464248</v>
      </c>
      <c r="L81" s="16">
        <f t="shared" si="34"/>
        <v>1.0661231803222968</v>
      </c>
      <c r="M81" s="16">
        <f t="shared" si="34"/>
        <v>1.0954731734384302</v>
      </c>
      <c r="N81" s="16">
        <f t="shared" si="34"/>
        <v>1.1250642296457629</v>
      </c>
      <c r="O81" s="16">
        <f t="shared" si="34"/>
        <v>1.1555867375057403</v>
      </c>
      <c r="P81" s="16">
        <f t="shared" si="34"/>
        <v>1.1871328686835938</v>
      </c>
      <c r="Q81" s="69"/>
      <c r="R81" s="6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3" fitToHeight="0" orientation="landscape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CoverSheet</vt:lpstr>
      <vt:lpstr>Description</vt:lpstr>
      <vt:lpstr>Table of Contents</vt:lpstr>
      <vt:lpstr>Historic Inputs</vt:lpstr>
      <vt:lpstr>Forecast Inputs</vt:lpstr>
      <vt:lpstr>Model Inputs</vt:lpstr>
      <vt:lpstr>Consolidated Inputs</vt:lpstr>
      <vt:lpstr>Growth rates</vt:lpstr>
      <vt:lpstr>Inflator calculations</vt:lpstr>
      <vt:lpstr>Outputs</vt:lpstr>
      <vt:lpstr>'Consolidated Inputs'!Indiv_Data</vt:lpstr>
      <vt:lpstr>Indiv_Data</vt:lpstr>
      <vt:lpstr>'Consolidated Inputs'!Print_Area</vt:lpstr>
      <vt:lpstr>CoverSheet!Print_Area</vt:lpstr>
      <vt:lpstr>Description!Print_Area</vt:lpstr>
      <vt:lpstr>'Forecast Inputs'!Print_Area</vt:lpstr>
      <vt:lpstr>'Growth rates'!Print_Area</vt:lpstr>
      <vt:lpstr>'Historic Inputs'!Print_Area</vt:lpstr>
      <vt:lpstr>'Inflator calculations'!Print_Area</vt:lpstr>
      <vt:lpstr>'Model Inputs'!Print_Area</vt:lpstr>
      <vt:lpstr>Outputs!Print_Area</vt:lpstr>
      <vt:lpstr>'Table of Contents'!Print_Area</vt:lpstr>
      <vt:lpstr>Qtr_Wgt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2019-05-27T08:19:25Z</dcterms:created>
  <dcterms:modified xsi:type="dcterms:W3CDTF">2024-05-27T00:52:50Z</dcterms:modified>
</cp:coreProperties>
</file>