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filterPrivacy="1" codeName="ThisWorkbook"/>
  <xr:revisionPtr revIDLastSave="0" documentId="13_ncr:1_{BAF951CD-4E05-4FE0-BB4A-2C503E7A6E9A}" xr6:coauthVersionLast="47" xr6:coauthVersionMax="47" xr10:uidLastSave="{00000000-0000-0000-0000-000000000000}"/>
  <bookViews>
    <workbookView xWindow="18855" yWindow="-15870" windowWidth="25440" windowHeight="15390" tabRatio="772" activeTab="5" xr2:uid="{DC74868C-88EF-4792-A758-F8468C4A0F88}"/>
  </bookViews>
  <sheets>
    <sheet name="CoverSheet" sheetId="20" r:id="rId1"/>
    <sheet name="Table of Contents" sheetId="24" r:id="rId2"/>
    <sheet name="Description" sheetId="19" r:id="rId3"/>
    <sheet name="Inputs" sheetId="17" r:id="rId4"/>
    <sheet name="Calculations" sheetId="21" r:id="rId5"/>
    <sheet name="Elasticity" sheetId="22" r:id="rId6"/>
    <sheet name="Output" sheetId="23" r:id="rId7"/>
  </sheets>
  <externalReferences>
    <externalReference r:id="rId8"/>
    <externalReference r:id="rId9"/>
  </externalReferences>
  <definedNames>
    <definedName name="_xlnm._FilterDatabase" hidden="1">'[1]1.0 RABx'!#REF!</definedName>
    <definedName name="_TAB1" localSheetId="5">#REF!</definedName>
    <definedName name="_TAB1">#REF!</definedName>
    <definedName name="_TAB2" localSheetId="5">#REF!</definedName>
    <definedName name="_TAB2">#REF!</definedName>
    <definedName name="_TAB3" localSheetId="5">#REF!</definedName>
    <definedName name="_TAB3">#REF!</definedName>
    <definedName name="ADF_FGD">[2]Outputs!$D$44</definedName>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OpenFileNames" localSheetId="5">{"1","2"}</definedName>
    <definedName name="dOpenFileNames">{"1","2"}</definedName>
    <definedName name="EarlyBaseYear">'[2]GPB data'!$B$16</definedName>
    <definedName name="GPB_name">[2]Inputs!$C$3</definedName>
    <definedName name="List1" localSheetId="5">#REF!</definedName>
    <definedName name="List1">#REF!</definedName>
    <definedName name="List2" localSheetId="5">#REF!</definedName>
    <definedName name="List2">#REF!</definedName>
    <definedName name="Listt" localSheetId="5">#REF!</definedName>
    <definedName name="Listt">#REF!</definedName>
    <definedName name="_xlnm.Print_Area" localSheetId="4">Calculations!$A$1:$F$66</definedName>
    <definedName name="_xlnm.Print_Area" localSheetId="0">CoverSheet!$A$1:$D$16</definedName>
    <definedName name="_xlnm.Print_Area" localSheetId="2">Description!$A$1:$G$6</definedName>
    <definedName name="_xlnm.Print_Area" localSheetId="5">Elasticity!$A$1:$V$51</definedName>
    <definedName name="_xlnm.Print_Area" localSheetId="3">Inputs!$A$1:$T$135</definedName>
    <definedName name="_xlnm.Print_Area" localSheetId="1">'Table of Contents'!$B$3:$C$17</definedName>
    <definedName name="R_Spec_Rows" localSheetId="5">#REF!,#REF!,#REF!,#REF!,#REF!,#REF!,#REF!,#REF!,#REF!,#REF!,#REF!,#REF!,#REF!,#REF!,#REF!,#REF!,#REF!</definedName>
    <definedName name="R_Spec_Rows">#REF!,#REF!,#REF!,#REF!,#REF!,#REF!,#REF!,#REF!,#REF!,#REF!,#REF!,#REF!,#REF!,#REF!,#REF!,#REF!,#REF!</definedName>
    <definedName name="rGPBNames">[2]Inputs!$B$22:$F$22</definedName>
    <definedName name="Scenario">'[2]GPB data'!$C$4</definedName>
    <definedName name="Slicer_edb">#N/A</definedName>
    <definedName name="Slicer_schedule1">#N/A</definedName>
    <definedName name="WACC">'[2]GPB data'!$B$7</definedName>
  </definedNames>
  <calcPr calcId="191029"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22" l="1"/>
  <c r="Q20" i="22"/>
  <c r="R20" i="22"/>
  <c r="F4" i="22" l="1"/>
  <c r="Q4" i="22" s="1"/>
  <c r="G4" i="22"/>
  <c r="H4" i="22"/>
  <c r="I4" i="22"/>
  <c r="J4" i="22"/>
  <c r="K4" i="22"/>
  <c r="L4" i="22"/>
  <c r="M4" i="22"/>
  <c r="F5" i="22"/>
  <c r="Q5" i="22" s="1"/>
  <c r="G5" i="22"/>
  <c r="H5" i="22"/>
  <c r="I5" i="22"/>
  <c r="J5" i="22"/>
  <c r="K5" i="22"/>
  <c r="L5" i="22"/>
  <c r="M5" i="22"/>
  <c r="F6" i="22"/>
  <c r="Q6" i="22" s="1"/>
  <c r="G6" i="22"/>
  <c r="H6" i="22"/>
  <c r="I6" i="22"/>
  <c r="J6" i="22"/>
  <c r="K6" i="22"/>
  <c r="L6" i="22"/>
  <c r="M6" i="22"/>
  <c r="F7" i="22"/>
  <c r="Q7" i="22" s="1"/>
  <c r="G7" i="22"/>
  <c r="H7" i="22"/>
  <c r="I7" i="22"/>
  <c r="J7" i="22"/>
  <c r="K7" i="22"/>
  <c r="L7" i="22"/>
  <c r="M7" i="22"/>
  <c r="F8" i="22"/>
  <c r="Q8" i="22" s="1"/>
  <c r="G8" i="22"/>
  <c r="S8" i="22" s="1"/>
  <c r="H8" i="22"/>
  <c r="I8" i="22"/>
  <c r="J8" i="22"/>
  <c r="K8" i="22"/>
  <c r="L8" i="22"/>
  <c r="M8" i="22"/>
  <c r="F9" i="22"/>
  <c r="Q9" i="22" s="1"/>
  <c r="G9" i="22"/>
  <c r="H9" i="22"/>
  <c r="I9" i="22"/>
  <c r="J9" i="22"/>
  <c r="K9" i="22"/>
  <c r="L9" i="22"/>
  <c r="M9" i="22"/>
  <c r="F10" i="22"/>
  <c r="Q10" i="22" s="1"/>
  <c r="G10" i="22"/>
  <c r="S10" i="22" s="1"/>
  <c r="H10" i="22"/>
  <c r="I10" i="22"/>
  <c r="J10" i="22"/>
  <c r="K10" i="22"/>
  <c r="L10" i="22"/>
  <c r="M10" i="22"/>
  <c r="F11" i="22"/>
  <c r="Q11" i="22" s="1"/>
  <c r="G11" i="22"/>
  <c r="H11" i="22"/>
  <c r="I11" i="22"/>
  <c r="J11" i="22"/>
  <c r="K11" i="22"/>
  <c r="L11" i="22"/>
  <c r="M11" i="22"/>
  <c r="F12" i="22"/>
  <c r="Q12" i="22" s="1"/>
  <c r="G12" i="22"/>
  <c r="H12" i="22"/>
  <c r="I12" i="22"/>
  <c r="J12" i="22"/>
  <c r="K12" i="22"/>
  <c r="L12" i="22"/>
  <c r="M12" i="22"/>
  <c r="F13" i="22"/>
  <c r="Q13" i="22" s="1"/>
  <c r="G13" i="22"/>
  <c r="H13" i="22"/>
  <c r="I13" i="22"/>
  <c r="J13" i="22"/>
  <c r="K13" i="22"/>
  <c r="L13" i="22"/>
  <c r="M13" i="22"/>
  <c r="F14" i="22"/>
  <c r="Q14" i="22" s="1"/>
  <c r="G14" i="22"/>
  <c r="S14" i="22" s="1"/>
  <c r="H14" i="22"/>
  <c r="I14" i="22"/>
  <c r="J14" i="22"/>
  <c r="K14" i="22"/>
  <c r="L14" i="22"/>
  <c r="M14" i="22"/>
  <c r="S4" i="22"/>
  <c r="S6" i="22"/>
  <c r="E5" i="22"/>
  <c r="R5" i="22" s="1"/>
  <c r="E6" i="22"/>
  <c r="R6" i="22" s="1"/>
  <c r="E7" i="22"/>
  <c r="R7" i="22" s="1"/>
  <c r="E8" i="22"/>
  <c r="E9" i="22"/>
  <c r="E10" i="22"/>
  <c r="R10" i="22" s="1"/>
  <c r="E11" i="22"/>
  <c r="E12" i="22"/>
  <c r="R12" i="22" s="1"/>
  <c r="E13" i="22"/>
  <c r="R13" i="22" s="1"/>
  <c r="E14" i="22"/>
  <c r="R14" i="22" s="1"/>
  <c r="E4" i="22"/>
  <c r="R4" i="22" s="1"/>
  <c r="B134" i="17"/>
  <c r="B13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A98" i="17"/>
  <c r="A97" i="17" s="1"/>
  <c r="A96" i="17" s="1"/>
  <c r="A95" i="17" s="1"/>
  <c r="A94" i="17" s="1"/>
  <c r="A93" i="17" s="1"/>
  <c r="A92" i="17" s="1"/>
  <c r="A91" i="17" s="1"/>
  <c r="A90" i="17" s="1"/>
  <c r="A89" i="17" s="1"/>
  <c r="A88" i="17" s="1"/>
  <c r="A87" i="17" s="1"/>
  <c r="A86" i="17" s="1"/>
  <c r="A85" i="17" s="1"/>
  <c r="A84" i="17" s="1"/>
  <c r="A83" i="17" s="1"/>
  <c r="A82" i="17" s="1"/>
  <c r="A81" i="17" s="1"/>
  <c r="A80" i="17" s="1"/>
  <c r="A79" i="17" s="1"/>
  <c r="A78" i="17" s="1"/>
  <c r="A77" i="17" s="1"/>
  <c r="A76" i="17" s="1"/>
  <c r="A75" i="17" s="1"/>
  <c r="C97" i="17"/>
  <c r="C96" i="17"/>
  <c r="C95" i="17"/>
  <c r="C94" i="17"/>
  <c r="C93" i="17"/>
  <c r="C92" i="17"/>
  <c r="C91" i="17"/>
  <c r="C90" i="17"/>
  <c r="E90" i="17" s="1"/>
  <c r="C89" i="17"/>
  <c r="C88" i="17"/>
  <c r="C87" i="17"/>
  <c r="C86" i="17"/>
  <c r="C85" i="17"/>
  <c r="C84" i="17"/>
  <c r="C83" i="17"/>
  <c r="C82" i="17"/>
  <c r="C81" i="17"/>
  <c r="C80" i="17"/>
  <c r="C79" i="17"/>
  <c r="C78" i="17"/>
  <c r="S21" i="22"/>
  <c r="T21" i="22" s="1"/>
  <c r="U21" i="22" s="1"/>
  <c r="R21" i="22"/>
  <c r="N21" i="22"/>
  <c r="S20" i="22"/>
  <c r="T20" i="22" s="1"/>
  <c r="U20" i="22" s="1"/>
  <c r="N20" i="22"/>
  <c r="S13" i="22"/>
  <c r="R11" i="22"/>
  <c r="S9" i="22"/>
  <c r="R9" i="22"/>
  <c r="R8" i="22"/>
  <c r="S5" i="22"/>
  <c r="C10" i="21"/>
  <c r="D10" i="21"/>
  <c r="E10" i="21"/>
  <c r="B10" i="21"/>
  <c r="C9" i="21"/>
  <c r="G15" i="22" s="1"/>
  <c r="S15" i="22" s="1"/>
  <c r="D9" i="21"/>
  <c r="G16" i="22" s="1"/>
  <c r="S16" i="22" s="1"/>
  <c r="E9" i="21"/>
  <c r="G17" i="22" s="1"/>
  <c r="S17" i="22" s="1"/>
  <c r="B9" i="21"/>
  <c r="G18" i="22" s="1"/>
  <c r="C8" i="21"/>
  <c r="F15" i="22" s="1"/>
  <c r="Q15" i="22" s="1"/>
  <c r="D8" i="21"/>
  <c r="F16" i="22" s="1"/>
  <c r="Q16" i="22" s="1"/>
  <c r="E8" i="21"/>
  <c r="F17" i="22" s="1"/>
  <c r="Q17" i="22" s="1"/>
  <c r="B8" i="21"/>
  <c r="F18" i="22" s="1"/>
  <c r="E7" i="21"/>
  <c r="E17" i="22" s="1"/>
  <c r="D7" i="21"/>
  <c r="D12" i="21" s="1"/>
  <c r="I16" i="22" s="1"/>
  <c r="C7" i="21"/>
  <c r="E15" i="22" s="1"/>
  <c r="R15" i="22" s="1"/>
  <c r="B7" i="21"/>
  <c r="E18" i="22" s="1"/>
  <c r="E98" i="17" l="1"/>
  <c r="E106" i="17"/>
  <c r="E114" i="17"/>
  <c r="C50" i="21" s="1"/>
  <c r="D50" i="21" s="1"/>
  <c r="E50" i="21" s="1"/>
  <c r="E122" i="17"/>
  <c r="D85" i="17"/>
  <c r="D93" i="17"/>
  <c r="C35" i="21" s="1"/>
  <c r="E86" i="17"/>
  <c r="E94" i="17"/>
  <c r="C45" i="21" s="1"/>
  <c r="D45" i="21" s="1"/>
  <c r="E45" i="21" s="1"/>
  <c r="D101" i="17"/>
  <c r="D109" i="17"/>
  <c r="D117" i="17"/>
  <c r="C31" i="21" s="1"/>
  <c r="D31" i="21" s="1"/>
  <c r="E31" i="21" s="1"/>
  <c r="E102" i="17"/>
  <c r="C58" i="21" s="1"/>
  <c r="D58" i="21" s="1"/>
  <c r="E58" i="21" s="1"/>
  <c r="E110" i="17"/>
  <c r="E118" i="17"/>
  <c r="C62" i="21" s="1"/>
  <c r="D62" i="21" s="1"/>
  <c r="E62" i="21" s="1"/>
  <c r="D89" i="17"/>
  <c r="C34" i="21" s="1"/>
  <c r="D97" i="17"/>
  <c r="C26" i="21" s="1"/>
  <c r="D26" i="21" s="1"/>
  <c r="E26" i="21" s="1"/>
  <c r="D105" i="17"/>
  <c r="D113" i="17"/>
  <c r="D121" i="17"/>
  <c r="C57" i="21"/>
  <c r="C46" i="21"/>
  <c r="D46" i="21" s="1"/>
  <c r="E46" i="21" s="1"/>
  <c r="C59" i="21"/>
  <c r="D59" i="21" s="1"/>
  <c r="E59" i="21" s="1"/>
  <c r="C48" i="21"/>
  <c r="C61" i="21"/>
  <c r="D61" i="21" s="1"/>
  <c r="E61" i="21" s="1"/>
  <c r="C37" i="21"/>
  <c r="D37" i="21" s="1"/>
  <c r="E37" i="21" s="1"/>
  <c r="C27" i="21"/>
  <c r="D27" i="21" s="1"/>
  <c r="E27" i="21" s="1"/>
  <c r="C39" i="21"/>
  <c r="D39" i="21" s="1"/>
  <c r="E39" i="21" s="1"/>
  <c r="C29" i="21"/>
  <c r="C41" i="21"/>
  <c r="C60" i="21"/>
  <c r="D60" i="21" s="1"/>
  <c r="E60" i="21" s="1"/>
  <c r="C49" i="21"/>
  <c r="D49" i="21" s="1"/>
  <c r="E49" i="21" s="1"/>
  <c r="C24" i="21"/>
  <c r="D24" i="21" s="1"/>
  <c r="E24" i="21" s="1"/>
  <c r="C55" i="21"/>
  <c r="C44" i="21"/>
  <c r="D44" i="21" s="1"/>
  <c r="E44" i="21" s="1"/>
  <c r="C38" i="21"/>
  <c r="D38" i="21" s="1"/>
  <c r="E38" i="21" s="1"/>
  <c r="C28" i="21"/>
  <c r="C40" i="21"/>
  <c r="D40" i="21" s="1"/>
  <c r="E40" i="21" s="1"/>
  <c r="C30" i="21"/>
  <c r="D30" i="21" s="1"/>
  <c r="E30" i="21" s="1"/>
  <c r="O12" i="22"/>
  <c r="O11" i="22"/>
  <c r="O9" i="22"/>
  <c r="O5" i="22"/>
  <c r="E16" i="22"/>
  <c r="R16" i="22" s="1"/>
  <c r="T16" i="22" s="1"/>
  <c r="U16" i="22" s="1"/>
  <c r="D36" i="22" s="1"/>
  <c r="O8" i="22"/>
  <c r="S18" i="22"/>
  <c r="N13" i="22"/>
  <c r="C33" i="22" s="1"/>
  <c r="N11" i="22"/>
  <c r="C31" i="22" s="1"/>
  <c r="S11" i="22"/>
  <c r="T11" i="22" s="1"/>
  <c r="U11" i="22" s="1"/>
  <c r="D31" i="22" s="1"/>
  <c r="O13" i="22"/>
  <c r="O10" i="22"/>
  <c r="N12" i="22"/>
  <c r="C32" i="22" s="1"/>
  <c r="N9" i="22"/>
  <c r="C29" i="22" s="1"/>
  <c r="N7" i="22"/>
  <c r="C27" i="22" s="1"/>
  <c r="N5" i="22"/>
  <c r="C25" i="22" s="1"/>
  <c r="R18" i="22"/>
  <c r="R17" i="22"/>
  <c r="T17" i="22" s="1"/>
  <c r="U17" i="22" s="1"/>
  <c r="D37" i="22" s="1"/>
  <c r="T15" i="22"/>
  <c r="U15" i="22" s="1"/>
  <c r="D35" i="22" s="1"/>
  <c r="N10" i="22"/>
  <c r="C30" i="22" s="1"/>
  <c r="N14" i="22"/>
  <c r="C34" i="22" s="1"/>
  <c r="S7" i="22"/>
  <c r="T7" i="22" s="1"/>
  <c r="U7" i="22" s="1"/>
  <c r="D27" i="22" s="1"/>
  <c r="O14" i="22"/>
  <c r="O6" i="22"/>
  <c r="T8" i="22"/>
  <c r="U8" i="22" s="1"/>
  <c r="D28" i="22" s="1"/>
  <c r="N8" i="22"/>
  <c r="P8" i="22" s="1"/>
  <c r="S12" i="22"/>
  <c r="T12" i="22" s="1"/>
  <c r="U12" i="22" s="1"/>
  <c r="D32" i="22" s="1"/>
  <c r="T14" i="22"/>
  <c r="U14" i="22" s="1"/>
  <c r="D34" i="22" s="1"/>
  <c r="N6" i="22"/>
  <c r="C26" i="22" s="1"/>
  <c r="T9" i="22"/>
  <c r="U9" i="22" s="1"/>
  <c r="D29" i="22" s="1"/>
  <c r="T5" i="22"/>
  <c r="U5" i="22" s="1"/>
  <c r="D25" i="22" s="1"/>
  <c r="T4" i="22"/>
  <c r="U4" i="22" s="1"/>
  <c r="D24" i="22" s="1"/>
  <c r="T6" i="22"/>
  <c r="U6" i="22" s="1"/>
  <c r="D26" i="22" s="1"/>
  <c r="N4" i="22"/>
  <c r="C24" i="22" s="1"/>
  <c r="T13" i="22"/>
  <c r="U13" i="22" s="1"/>
  <c r="D33" i="22" s="1"/>
  <c r="T10" i="22"/>
  <c r="U10" i="22" s="1"/>
  <c r="D30" i="22" s="1"/>
  <c r="O7" i="22"/>
  <c r="O4" i="22"/>
  <c r="D41" i="21"/>
  <c r="E41" i="21" s="1"/>
  <c r="D48" i="21"/>
  <c r="E48" i="21" s="1"/>
  <c r="D29" i="21"/>
  <c r="E29" i="21" s="1"/>
  <c r="D28" i="21"/>
  <c r="E28" i="21" s="1"/>
  <c r="E11" i="21"/>
  <c r="H17" i="22" s="1"/>
  <c r="C13" i="21"/>
  <c r="J15" i="22" s="1"/>
  <c r="C12" i="21"/>
  <c r="I15" i="22" s="1"/>
  <c r="E12" i="21"/>
  <c r="I17" i="22" s="1"/>
  <c r="B11" i="21"/>
  <c r="H18" i="22" s="1"/>
  <c r="B12" i="21"/>
  <c r="I18" i="22" s="1"/>
  <c r="D13" i="21"/>
  <c r="J16" i="22" s="1"/>
  <c r="Q18" i="22"/>
  <c r="P9" i="22"/>
  <c r="P10" i="22"/>
  <c r="P13" i="22"/>
  <c r="D11" i="21"/>
  <c r="H16" i="22" s="1"/>
  <c r="E13" i="21"/>
  <c r="J17" i="22" s="1"/>
  <c r="C11" i="21"/>
  <c r="H15" i="22" s="1"/>
  <c r="B13" i="21"/>
  <c r="J18" i="22" s="1"/>
  <c r="C36" i="21" l="1"/>
  <c r="E65" i="21"/>
  <c r="N17" i="22" s="1"/>
  <c r="C37" i="22" s="1"/>
  <c r="C56" i="21"/>
  <c r="P12" i="22"/>
  <c r="D65" i="21"/>
  <c r="N16" i="22" s="1"/>
  <c r="C36" i="22" s="1"/>
  <c r="C51" i="21"/>
  <c r="D51" i="21" s="1"/>
  <c r="E51" i="21" s="1"/>
  <c r="C25" i="21"/>
  <c r="D25" i="21" s="1"/>
  <c r="E25" i="21" s="1"/>
  <c r="B65" i="21" s="1"/>
  <c r="C47" i="21"/>
  <c r="D47" i="21" s="1"/>
  <c r="E47" i="21" s="1"/>
  <c r="C65" i="21" s="1"/>
  <c r="N15" i="22" s="1"/>
  <c r="C35" i="22" s="1"/>
  <c r="P11" i="22"/>
  <c r="P5" i="22"/>
  <c r="P7" i="22"/>
  <c r="T18" i="22"/>
  <c r="U18" i="22" s="1"/>
  <c r="D38" i="22" s="1"/>
  <c r="P14" i="22"/>
  <c r="C28" i="22"/>
  <c r="P4" i="22"/>
  <c r="P6" i="22"/>
  <c r="D16" i="21"/>
  <c r="M16" i="22" s="1"/>
  <c r="D14" i="21"/>
  <c r="K16" i="22" s="1"/>
  <c r="O16" i="22" s="1"/>
  <c r="D15" i="21"/>
  <c r="L16" i="22" s="1"/>
  <c r="E16" i="21"/>
  <c r="M17" i="22" s="1"/>
  <c r="E14" i="21"/>
  <c r="K17" i="22" s="1"/>
  <c r="O17" i="22" s="1"/>
  <c r="P17" i="22" s="1"/>
  <c r="E15" i="21"/>
  <c r="L17" i="22" s="1"/>
  <c r="P16" i="22" l="1"/>
  <c r="N18" i="22"/>
  <c r="B15" i="21"/>
  <c r="L18" i="22" s="1"/>
  <c r="B16" i="21"/>
  <c r="M18" i="22" s="1"/>
  <c r="B14" i="21"/>
  <c r="K18" i="22" s="1"/>
  <c r="C16" i="21"/>
  <c r="M15" i="22" s="1"/>
  <c r="C14" i="21"/>
  <c r="K15" i="22" s="1"/>
  <c r="O15" i="22" s="1"/>
  <c r="P15" i="22" s="1"/>
  <c r="C15" i="21"/>
  <c r="L15" i="22" s="1"/>
  <c r="C38" i="22" l="1"/>
  <c r="R24" i="22" s="1"/>
  <c r="R25" i="22" l="1"/>
  <c r="C4" i="23" s="1"/>
  <c r="C3" i="23"/>
  <c r="O18" i="22"/>
  <c r="P18" i="22" s="1"/>
</calcChain>
</file>

<file path=xl/sharedStrings.xml><?xml version="1.0" encoding="utf-8"?>
<sst xmlns="http://schemas.openxmlformats.org/spreadsheetml/2006/main" count="359" uniqueCount="175">
  <si>
    <t>Value</t>
  </si>
  <si>
    <t>GasNet</t>
  </si>
  <si>
    <t>TJ/km</t>
  </si>
  <si>
    <t>Quantity of gas delivered (TJ)</t>
  </si>
  <si>
    <t>TJ</t>
  </si>
  <si>
    <t>Km</t>
  </si>
  <si>
    <t>OPEX</t>
  </si>
  <si>
    <t>Company</t>
  </si>
  <si>
    <t>Period</t>
  </si>
  <si>
    <t>Cust.</t>
  </si>
  <si>
    <t>cust/km</t>
  </si>
  <si>
    <t>TJ/cust</t>
  </si>
  <si>
    <t>PowerCo</t>
  </si>
  <si>
    <t>2013-2020</t>
  </si>
  <si>
    <t>2014-2018</t>
  </si>
  <si>
    <t>https://www.aer.gov.au/system/files/AGN%20-%20Attachment%207.5%20-%20EI%20-%20Benchmarking%20Opex%20and%20Capex%20-%201%20July%202020.pdf</t>
  </si>
  <si>
    <t>Vector</t>
  </si>
  <si>
    <t>2016-2019</t>
  </si>
  <si>
    <t>2016-2020</t>
  </si>
  <si>
    <t>source:</t>
  </si>
  <si>
    <t>Calculations</t>
  </si>
  <si>
    <t>CPI index</t>
  </si>
  <si>
    <t>Four quarter average</t>
  </si>
  <si>
    <t>September year index</t>
  </si>
  <si>
    <t>June year index</t>
  </si>
  <si>
    <t>https://data.oecd.org/conversion/purchasing-power-parities-ppp.htm</t>
  </si>
  <si>
    <t>OECD (2021), Purchasing power parities (PPP) (indicator). doi: 10.1787/1290ee5a-en (Accessed on 09 November 2021)</t>
  </si>
  <si>
    <t>PPP</t>
  </si>
  <si>
    <t>LOCATION</t>
  </si>
  <si>
    <t>INDICATOR</t>
  </si>
  <si>
    <t>SUBJECT</t>
  </si>
  <si>
    <t>MEASURE</t>
  </si>
  <si>
    <t>FREQUENCY</t>
  </si>
  <si>
    <t>TIME</t>
  </si>
  <si>
    <t>AUS</t>
  </si>
  <si>
    <t>TOT</t>
  </si>
  <si>
    <t>NATUSD</t>
  </si>
  <si>
    <t>A</t>
  </si>
  <si>
    <t>NZL</t>
  </si>
  <si>
    <t>1USD=1.502766AUD</t>
  </si>
  <si>
    <t>1USD=1.496126NZD</t>
  </si>
  <si>
    <t>1.496126NZD=1.502766AUD</t>
  </si>
  <si>
    <t>1NZD =</t>
  </si>
  <si>
    <t>AUD</t>
  </si>
  <si>
    <t>1AUD=</t>
  </si>
  <si>
    <t>NZD</t>
  </si>
  <si>
    <t>Location</t>
  </si>
  <si>
    <t>opex/TJ</t>
  </si>
  <si>
    <t>opex/cust</t>
  </si>
  <si>
    <t>opex/km</t>
  </si>
  <si>
    <t>tot opex (av)</t>
  </si>
  <si>
    <t>tot opex (tj)</t>
  </si>
  <si>
    <t>diff %</t>
  </si>
  <si>
    <t>CSV</t>
  </si>
  <si>
    <t>ln(CSV)</t>
  </si>
  <si>
    <t>AGN</t>
  </si>
  <si>
    <t>Albury</t>
  </si>
  <si>
    <t>2013-2017</t>
  </si>
  <si>
    <t>Vic</t>
  </si>
  <si>
    <t>Multinet</t>
  </si>
  <si>
    <t>AusNet</t>
  </si>
  <si>
    <t>2015-2019</t>
  </si>
  <si>
    <t>SA</t>
  </si>
  <si>
    <t>Qld</t>
  </si>
  <si>
    <t>2012-2016</t>
  </si>
  <si>
    <t>Allgas</t>
  </si>
  <si>
    <t>Wagga</t>
  </si>
  <si>
    <t>2011-2015</t>
  </si>
  <si>
    <t>JGN</t>
  </si>
  <si>
    <t>Evoenergy</t>
  </si>
  <si>
    <t>ATCO</t>
  </si>
  <si>
    <t>WA</t>
  </si>
  <si>
    <t>NZ</t>
  </si>
  <si>
    <t>FirstGas</t>
  </si>
  <si>
    <t>Replaced:</t>
  </si>
  <si>
    <t>Pwrco</t>
  </si>
  <si>
    <t>ln(opex)</t>
  </si>
  <si>
    <t>gradient</t>
  </si>
  <si>
    <t>elasticity</t>
  </si>
  <si>
    <t>Price-Quality Regulation 1 October 2022 Reset</t>
  </si>
  <si>
    <t>General Description</t>
  </si>
  <si>
    <t>Data</t>
  </si>
  <si>
    <t>Inputs</t>
  </si>
  <si>
    <t>https://www.ofgem.gov.uk/sites/default/files/docs/2003/09/4720-background_cepa_report_and_efficiency_dpcr300903.pdf</t>
  </si>
  <si>
    <t>Information Inputs</t>
  </si>
  <si>
    <t>Description:</t>
  </si>
  <si>
    <t>Source:</t>
  </si>
  <si>
    <t>https://comcom.govt.nz/regulated-industries/gas-pipelines/gas-pipelines-performance-and-data/information-disclosed-by-gas-pipeline-businesses</t>
  </si>
  <si>
    <t>Initial analysis:  Economic Insights report in support of AGN Benchmarking report</t>
  </si>
  <si>
    <t>https://www.stats.govt.nz/assets/Uploads/Consumers-price-index/Consumers-price-index-September-2021-quarter/Download-data/consumers-price-index-September-2021-quarter-index-numbers-csv.csv</t>
  </si>
  <si>
    <t>StatsNZ  -  CPI rates</t>
  </si>
  <si>
    <t>Information disclosed by gas businesses</t>
  </si>
  <si>
    <t>Information disclosed by gas distribution businesses</t>
  </si>
  <si>
    <t>FirstGas Distribution</t>
  </si>
  <si>
    <t>Quantity of gas delivered (TJ) in DY ending 2013:</t>
  </si>
  <si>
    <t>Quantity of gas delivered (TJ) in DY ending 2014:</t>
  </si>
  <si>
    <t>Quantity of gas delivered (TJ) in DY ending 2015:</t>
  </si>
  <si>
    <t>Quantity of gas delivered (TJ) in DY ending 2016:</t>
  </si>
  <si>
    <t>Quantity of gas delivered (TJ) in DY ending 2017:</t>
  </si>
  <si>
    <t>Quantity of gas delivered (TJ) in DY ending 2018:</t>
  </si>
  <si>
    <t>Quantity of gas delivered (TJ) in DY ending 2019:</t>
  </si>
  <si>
    <t>Quantity of gas delivered (TJ) in DY ending 2020:</t>
  </si>
  <si>
    <t>Average no. of ICPs in DY ending 2013:</t>
  </si>
  <si>
    <t>Average no. of ICPs in DY ending 2016:</t>
  </si>
  <si>
    <t>Average no. of ICPs in DY ending 2017:</t>
  </si>
  <si>
    <t>Average no. of ICPs in DY ending 2018:</t>
  </si>
  <si>
    <t>Average no. of ICPs in DY ending 2019:</t>
  </si>
  <si>
    <t>Average no. of ICPs in DY ending 2020:</t>
  </si>
  <si>
    <t>Average no. of ICPs in DY ending 2014:</t>
  </si>
  <si>
    <t>Average no. of ICPs in DY ending 2015:</t>
  </si>
  <si>
    <t>Average no. of ICPs</t>
  </si>
  <si>
    <t>Length of pipeline in DY ending 2013:</t>
  </si>
  <si>
    <t>Length of pipeline in DY ending 2014:</t>
  </si>
  <si>
    <t>Length of pipeline in DY ending 2015:</t>
  </si>
  <si>
    <t>Length of pipeline in DY ending 2016:</t>
  </si>
  <si>
    <t>Length of pipeline in DY ending 2017:</t>
  </si>
  <si>
    <t>Length of pipeline in DY ending 2018:</t>
  </si>
  <si>
    <t>Length of pipeline in DY ending 2019:</t>
  </si>
  <si>
    <t>Length of pipeline in DY ending 2020:</t>
  </si>
  <si>
    <t>OPEX in DY ending 2013:</t>
  </si>
  <si>
    <t>OPEX in DY ending 2014:</t>
  </si>
  <si>
    <t>OPEX in DY ending 2015:</t>
  </si>
  <si>
    <t>OPEX in DY ending 2016:</t>
  </si>
  <si>
    <t>OPEX in DY ending 2017:</t>
  </si>
  <si>
    <t>OPEX in DY ending 2018:</t>
  </si>
  <si>
    <t>OPEX in DY ending 2019:</t>
  </si>
  <si>
    <t>OPEX in DY ending 2020:</t>
  </si>
  <si>
    <t>OPEX ($000)</t>
  </si>
  <si>
    <t xml:space="preserve">Note: Average for period indicated. TJ is terajoules, km is kilometres, cust is customers, opex/unit is opex per unit of a
comprehensive output index, assets is the regulatory value of fixed assets. All costs in 2010 Australian dollars. </t>
  </si>
  <si>
    <t>Operating and performance indicators, Australian and New Zealand GDBs, AGN Benchmarking report</t>
  </si>
  <si>
    <t>Operating and performance indicators, all New Zealand GDBs</t>
  </si>
  <si>
    <t>period:</t>
  </si>
  <si>
    <t>Length of pipeline in km</t>
  </si>
  <si>
    <t>Methodology used in AGN Benchmarking report:</t>
  </si>
  <si>
    <t xml:space="preserve">OPEX NZD into $ AUD 2010 real terms </t>
  </si>
  <si>
    <t>CPI  index</t>
  </si>
  <si>
    <t>Quarter</t>
  </si>
  <si>
    <t>Purchasing Power Parity</t>
  </si>
  <si>
    <t>June YE Index to 2010 real baseline</t>
  </si>
  <si>
    <t>Vector in 2010 real NZD$</t>
  </si>
  <si>
    <t>GasNet in 2010 real NZD$</t>
  </si>
  <si>
    <t>September YE Index to 2010 real baseline</t>
  </si>
  <si>
    <t>PowerCo in 2010 real NZD$</t>
  </si>
  <si>
    <t>FirstGas Distribution in 2010 real NZD$</t>
  </si>
  <si>
    <t>OPEX ($000) Vector</t>
  </si>
  <si>
    <t>OPEX ($000) GasNet</t>
  </si>
  <si>
    <t>OPEX ($000) PowerCo</t>
  </si>
  <si>
    <t>OPEX ($000) FirstGas Distribution</t>
  </si>
  <si>
    <t>OPEX in 2010 real AUD using PPP conversion rate</t>
  </si>
  <si>
    <t>Average OPEX in 2010 real AUD $</t>
  </si>
  <si>
    <t>opex/TJ*</t>
  </si>
  <si>
    <t>* workings for OPEX are below</t>
  </si>
  <si>
    <t xml:space="preserve">CEPA report from Sep 2003 to defining how the CSV (Composite Scale Variable) is calculated </t>
  </si>
  <si>
    <t>Description</t>
  </si>
  <si>
    <t>This is the elasticity analysis model prepared by the Commerce Commission to inform decisions around Trend and Expenditure Model .
The objective was to update the Composite Scale VariablePurpose was to update CSV elasticity function with the latest NZ data from the most recent Information Disclosures.</t>
  </si>
  <si>
    <t>Data were obtained from ID's or publicly available sources. Most notably AGN Benchmarking report, CEPA and NZ Stats with information on CPI and OECD with PPP conversion rates.</t>
  </si>
  <si>
    <t>CSV1 (alpha - customers)</t>
  </si>
  <si>
    <t>CSV2 (beta - TJ)</t>
  </si>
  <si>
    <t>CSV3 (gamma - km)</t>
  </si>
  <si>
    <t>Elasticity</t>
  </si>
  <si>
    <t>Outputs</t>
  </si>
  <si>
    <t>Formula used:</t>
  </si>
  <si>
    <t>Restriction:</t>
  </si>
  <si>
    <t>Weights:</t>
  </si>
  <si>
    <t>Formula and weights</t>
  </si>
  <si>
    <t>Gradient</t>
  </si>
  <si>
    <t>Sheet Name</t>
  </si>
  <si>
    <t>Link</t>
  </si>
  <si>
    <t>Output</t>
  </si>
  <si>
    <t>Table of Contents</t>
  </si>
  <si>
    <t>* based on 2013 Gas DPP methodology</t>
  </si>
  <si>
    <t>Gas Pipeline Business</t>
  </si>
  <si>
    <t>Published 10 February 2022 v1</t>
  </si>
  <si>
    <t>Default Price Path Draft Elasticity Model</t>
  </si>
  <si>
    <r>
      <t xml:space="preserve">The data derived from public sources relate to the time periods normally reported by each GDB, and some GDBs use calendar year reporting while others use financial year reporting, and sources varied in reporting data in nominal and real terms. All cost data were first converted to nominal terms (where necessary) using the All Groups Consumer Price Index in Australia and the equivalent in New Zealand. </t>
    </r>
    <r>
      <rPr>
        <b/>
        <i/>
        <sz val="10"/>
        <rFont val="Calibri"/>
        <family val="2"/>
        <scheme val="minor"/>
      </rPr>
      <t>The nominal series were then converted to real series in 2010 dollars using the same price indexes. The New Zealand data were then converted to Australian dollars using the OECD (2014) purchasing power parity for 2010. Purchasing power parities are the rates of currency conversion that eliminate differences in international price levels and are commonly used to make comparisons of real variables between countries.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</si>
</sst>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_);_(* \(#,##0.00\);_(* &quot;-&quot;??_);_(@_)"/>
    <numFmt numFmtId="165" formatCode="&quot;$&quot;#,##0"/>
    <numFmt numFmtId="166" formatCode="_-* #,##0_-;\-* #,##0_-;_-* &quot;-&quot;??_-;_-@_-"/>
    <numFmt numFmtId="167" formatCode="_(* #,##0.000_);_(* \(#,##0.000\);_(* &quot;–&quot;???_);_(* @_)"/>
    <numFmt numFmtId="168" formatCode="_(* #,##0_);_(* \(#,##0\);_(* &quot;-&quot;??_);_(@_)"/>
    <numFmt numFmtId="169" formatCode="#,##0.0"/>
    <numFmt numFmtId="171" formatCode="0.0"/>
    <numFmt numFmtId="172" formatCode="_(* #,##0.0000_);_(* \(#,##0.0000\);_(* &quot;-&quot;??_);_(@_)"/>
    <numFmt numFmtId="173" formatCode="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u/>
      <sz val="11"/>
      <color theme="10"/>
      <name val="Calibri"/>
      <family val="2"/>
      <scheme val="minor"/>
    </font>
    <font>
      <b/>
      <sz val="10"/>
      <name val="Calibri"/>
      <family val="4"/>
      <scheme val="minor"/>
    </font>
    <font>
      <i/>
      <sz val="11"/>
      <color rgb="FFFF0000"/>
      <name val="Calibri"/>
      <family val="2"/>
      <scheme val="minor"/>
    </font>
    <font>
      <sz val="11"/>
      <color theme="0" tint="-0.499984740745262"/>
      <name val="Calibri"/>
      <family val="2"/>
      <scheme val="minor"/>
    </font>
    <font>
      <b/>
      <sz val="12"/>
      <color rgb="FF202124"/>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20"/>
      <color theme="2"/>
      <name val="Calibri"/>
      <family val="2"/>
      <scheme val="minor"/>
    </font>
    <font>
      <b/>
      <sz val="10"/>
      <color theme="1"/>
      <name val="Calibri"/>
      <family val="2"/>
    </font>
    <font>
      <b/>
      <sz val="18"/>
      <color theme="3"/>
      <name val="Cambria"/>
      <family val="1"/>
      <scheme val="major"/>
    </font>
    <font>
      <b/>
      <sz val="20"/>
      <color rgb="FFC00000"/>
      <name val="Calibri"/>
      <family val="2"/>
      <scheme val="minor"/>
    </font>
    <font>
      <b/>
      <sz val="18"/>
      <color theme="4"/>
      <name val="Cambria"/>
      <family val="1"/>
      <scheme val="major"/>
    </font>
    <font>
      <b/>
      <sz val="12"/>
      <color theme="1"/>
      <name val="Calibri"/>
      <family val="2"/>
      <scheme val="minor"/>
    </font>
    <font>
      <b/>
      <sz val="14"/>
      <name val="Calibri"/>
      <family val="2"/>
      <scheme val="minor"/>
    </font>
    <font>
      <i/>
      <sz val="10"/>
      <color rgb="FF7F7F7F"/>
      <name val="Calibri"/>
      <family val="2"/>
      <scheme val="minor"/>
    </font>
    <font>
      <i/>
      <sz val="10"/>
      <name val="Calibri"/>
      <family val="2"/>
      <scheme val="minor"/>
    </font>
    <font>
      <b/>
      <sz val="11"/>
      <name val="Calibri"/>
      <family val="2"/>
      <scheme val="minor"/>
    </font>
    <font>
      <sz val="10"/>
      <name val="Calibri"/>
      <family val="2"/>
      <scheme val="minor"/>
    </font>
    <font>
      <b/>
      <i/>
      <sz val="10"/>
      <name val="Calibri"/>
      <family val="2"/>
      <scheme val="minor"/>
    </font>
  </fonts>
  <fills count="9">
    <fill>
      <patternFill patternType="none"/>
    </fill>
    <fill>
      <patternFill patternType="gray125"/>
    </fill>
    <fill>
      <patternFill patternType="solid">
        <fgColor theme="6"/>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s>
  <borders count="24">
    <border>
      <left/>
      <right/>
      <top/>
      <bottom/>
      <diagonal/>
    </border>
    <border>
      <left/>
      <right/>
      <top style="thin">
        <color theme="7"/>
      </top>
      <bottom style="thin">
        <color theme="7"/>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thin">
        <color theme="7"/>
      </bottom>
      <diagonal/>
    </border>
    <border>
      <left/>
      <right/>
      <top style="thin">
        <color theme="6"/>
      </top>
      <bottom style="thin">
        <color theme="6"/>
      </bottom>
      <diagonal/>
    </border>
    <border>
      <left/>
      <right/>
      <top style="thin">
        <color theme="8"/>
      </top>
      <bottom style="thin">
        <color theme="8"/>
      </bottom>
      <diagonal/>
    </border>
  </borders>
  <cellStyleXfs count="14">
    <xf numFmtId="0" fontId="0" fillId="0" borderId="0"/>
    <xf numFmtId="164" fontId="1" fillId="0" borderId="0" applyFont="0" applyFill="0" applyBorder="0" applyAlignment="0" applyProtection="0"/>
    <xf numFmtId="0" fontId="3" fillId="0" borderId="0"/>
    <xf numFmtId="0" fontId="4" fillId="0" borderId="0" applyNumberFormat="0" applyFill="0" applyBorder="0" applyAlignment="0" applyProtection="0"/>
    <xf numFmtId="0" fontId="5" fillId="2" borderId="1" applyNumberFormat="0" applyFill="0">
      <alignment horizontal="centerContinuous" wrapText="1"/>
    </xf>
    <xf numFmtId="167" fontId="3" fillId="0" borderId="0" applyFont="0" applyFill="0" applyBorder="0" applyAlignment="0" applyProtection="0">
      <protection locked="0"/>
    </xf>
    <xf numFmtId="41" fontId="1"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3" fillId="0" borderId="0" applyNumberFormat="0" applyFill="0" applyBorder="0" applyAlignment="0" applyProtection="0"/>
    <xf numFmtId="0" fontId="1" fillId="5" borderId="0" applyNumberFormat="0" applyBorder="0" applyAlignment="0" applyProtection="0"/>
    <xf numFmtId="49" fontId="14" fillId="0" borderId="0" applyFill="0" applyAlignment="0"/>
  </cellStyleXfs>
  <cellXfs count="109">
    <xf numFmtId="0" fontId="0" fillId="0" borderId="0" xfId="0"/>
    <xf numFmtId="0" fontId="6" fillId="0" borderId="0" xfId="0" applyFont="1" applyAlignment="1">
      <alignment wrapText="1"/>
    </xf>
    <xf numFmtId="0" fontId="6" fillId="0" borderId="0" xfId="0" applyFont="1"/>
    <xf numFmtId="0" fontId="7" fillId="0" borderId="0" xfId="0" applyFont="1"/>
    <xf numFmtId="3" fontId="7" fillId="0" borderId="0" xfId="0" applyNumberFormat="1" applyFont="1"/>
    <xf numFmtId="165" fontId="7" fillId="0" borderId="0" xfId="0" applyNumberFormat="1" applyFont="1"/>
    <xf numFmtId="4" fontId="7" fillId="0" borderId="0" xfId="0" applyNumberFormat="1" applyFont="1"/>
    <xf numFmtId="2" fontId="7" fillId="0" borderId="0" xfId="0" applyNumberFormat="1" applyFont="1"/>
    <xf numFmtId="169" fontId="7" fillId="0" borderId="0" xfId="0" applyNumberFormat="1" applyFont="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Alignment="1">
      <alignment horizontal="centerContinuous"/>
    </xf>
    <xf numFmtId="0" fontId="0" fillId="0" borderId="9" xfId="0" applyBorder="1" applyAlignment="1">
      <alignment horizontal="centerContinuous"/>
    </xf>
    <xf numFmtId="0" fontId="0" fillId="0" borderId="10" xfId="0" applyBorder="1"/>
    <xf numFmtId="0" fontId="0" fillId="0" borderId="11" xfId="0" applyBorder="1"/>
    <xf numFmtId="0" fontId="0" fillId="0" borderId="12" xfId="0" applyBorder="1"/>
    <xf numFmtId="15" fontId="15" fillId="0" borderId="0" xfId="0" applyNumberFormat="1" applyFont="1" applyAlignment="1">
      <alignment horizontal="centerContinuous"/>
    </xf>
    <xf numFmtId="0" fontId="16" fillId="0" borderId="8" xfId="7" applyFont="1" applyBorder="1"/>
    <xf numFmtId="49" fontId="17" fillId="0" borderId="0" xfId="13" applyFont="1"/>
    <xf numFmtId="0" fontId="10" fillId="0" borderId="0" xfId="8" applyFill="1" applyBorder="1" applyAlignment="1">
      <alignment horizontal="left" indent="1"/>
    </xf>
    <xf numFmtId="0" fontId="12" fillId="0" borderId="0" xfId="10" applyFill="1" applyBorder="1" applyAlignment="1">
      <alignment horizontal="left"/>
    </xf>
    <xf numFmtId="0" fontId="0" fillId="0" borderId="0" xfId="0" applyAlignment="1">
      <alignment vertical="top" wrapText="1"/>
    </xf>
    <xf numFmtId="0" fontId="10" fillId="0" borderId="0" xfId="8" applyBorder="1"/>
    <xf numFmtId="0" fontId="0" fillId="0" borderId="0" xfId="0" applyAlignment="1">
      <alignment vertical="top"/>
    </xf>
    <xf numFmtId="0" fontId="18" fillId="0" borderId="0" xfId="7" applyFont="1"/>
    <xf numFmtId="0" fontId="13" fillId="0" borderId="0" xfId="11"/>
    <xf numFmtId="0" fontId="0" fillId="0" borderId="0" xfId="0" applyBorder="1"/>
    <xf numFmtId="0" fontId="2" fillId="0" borderId="3" xfId="9" applyFont="1"/>
    <xf numFmtId="0" fontId="13" fillId="0" borderId="0" xfId="11" applyAlignment="1">
      <alignment wrapText="1"/>
    </xf>
    <xf numFmtId="0" fontId="2" fillId="0" borderId="0" xfId="9" applyFont="1" applyBorder="1"/>
    <xf numFmtId="0" fontId="5" fillId="0" borderId="1" xfId="4" applyFill="1">
      <alignment horizontal="centerContinuous" wrapText="1"/>
    </xf>
    <xf numFmtId="0" fontId="5" fillId="0" borderId="1" xfId="4" applyFill="1" applyAlignment="1">
      <alignment horizontal="left" wrapText="1"/>
    </xf>
    <xf numFmtId="0" fontId="0" fillId="0" borderId="0" xfId="0" applyFill="1"/>
    <xf numFmtId="0" fontId="19" fillId="6" borderId="13" xfId="0" applyFont="1" applyFill="1" applyBorder="1"/>
    <xf numFmtId="0" fontId="19" fillId="6" borderId="14" xfId="0" applyFont="1" applyFill="1" applyBorder="1"/>
    <xf numFmtId="49" fontId="0" fillId="7" borderId="15" xfId="0" applyNumberFormat="1" applyFill="1" applyBorder="1"/>
    <xf numFmtId="0" fontId="4" fillId="7" borderId="16" xfId="3" applyFill="1" applyBorder="1" applyAlignment="1"/>
    <xf numFmtId="49" fontId="0" fillId="7" borderId="17" xfId="0" applyNumberFormat="1" applyFill="1" applyBorder="1"/>
    <xf numFmtId="0" fontId="4" fillId="7" borderId="18" xfId="3" applyFill="1" applyBorder="1" applyAlignment="1">
      <alignment horizontal="left" indent="1"/>
    </xf>
    <xf numFmtId="49" fontId="0" fillId="8" borderId="15" xfId="0" applyNumberFormat="1" applyFill="1" applyBorder="1"/>
    <xf numFmtId="0" fontId="4" fillId="8" borderId="16" xfId="3" applyFill="1" applyBorder="1" applyAlignment="1"/>
    <xf numFmtId="49" fontId="0" fillId="8" borderId="17" xfId="0" applyNumberFormat="1" applyFill="1" applyBorder="1"/>
    <xf numFmtId="0" fontId="4" fillId="8" borderId="18" xfId="3" applyFill="1" applyBorder="1" applyAlignment="1">
      <alignment horizontal="left" indent="1"/>
    </xf>
    <xf numFmtId="49" fontId="0" fillId="8" borderId="19" xfId="0" applyNumberFormat="1" applyFill="1" applyBorder="1"/>
    <xf numFmtId="0" fontId="4" fillId="8" borderId="20" xfId="3" applyFill="1" applyBorder="1" applyAlignment="1">
      <alignment horizontal="left" indent="1"/>
    </xf>
    <xf numFmtId="49" fontId="17" fillId="0" borderId="0" xfId="13" applyFont="1" applyFill="1"/>
    <xf numFmtId="49" fontId="17" fillId="0" borderId="8" xfId="13" applyFont="1" applyFill="1" applyBorder="1" applyAlignment="1">
      <alignment horizontal="centerContinuous"/>
    </xf>
    <xf numFmtId="49" fontId="17" fillId="0" borderId="8" xfId="7" applyNumberFormat="1" applyFont="1" applyFill="1" applyBorder="1" applyAlignment="1">
      <alignment horizontal="centerContinuous"/>
    </xf>
    <xf numFmtId="0" fontId="0" fillId="0" borderId="0" xfId="0" applyFill="1" applyAlignment="1">
      <alignment horizontal="left" vertical="top" wrapText="1"/>
    </xf>
    <xf numFmtId="0" fontId="0" fillId="0" borderId="0" xfId="0" applyAlignment="1">
      <alignment horizontal="left" vertical="top" wrapText="1"/>
    </xf>
    <xf numFmtId="49" fontId="14" fillId="0" borderId="0" xfId="13"/>
    <xf numFmtId="0" fontId="20" fillId="0" borderId="0" xfId="10" applyFont="1" applyFill="1" applyBorder="1" applyAlignment="1" applyProtection="1">
      <alignment horizontal="left"/>
    </xf>
    <xf numFmtId="0" fontId="22" fillId="0" borderId="21" xfId="11" applyFont="1" applyFill="1" applyBorder="1" applyAlignment="1">
      <alignment horizontal="left" wrapText="1"/>
    </xf>
    <xf numFmtId="0" fontId="0" fillId="0" borderId="1" xfId="0" applyBorder="1"/>
    <xf numFmtId="0" fontId="1" fillId="0" borderId="1" xfId="0" applyFont="1" applyBorder="1"/>
    <xf numFmtId="0" fontId="23" fillId="0" borderId="1" xfId="4" applyFont="1" applyFill="1" applyBorder="1" applyAlignment="1">
      <alignment horizontal="left" wrapText="1"/>
    </xf>
    <xf numFmtId="0" fontId="4" fillId="0" borderId="1" xfId="3" applyFont="1" applyBorder="1"/>
    <xf numFmtId="0" fontId="21" fillId="0" borderId="21" xfId="11" applyFont="1" applyFill="1" applyBorder="1" applyAlignment="1">
      <alignment horizontal="left" wrapText="1"/>
    </xf>
    <xf numFmtId="0" fontId="1" fillId="0" borderId="21" xfId="0" applyFont="1" applyBorder="1"/>
    <xf numFmtId="41" fontId="0" fillId="0" borderId="1" xfId="6" applyFont="1" applyBorder="1"/>
    <xf numFmtId="0" fontId="11" fillId="0" borderId="0" xfId="9" applyBorder="1"/>
    <xf numFmtId="0" fontId="0" fillId="0" borderId="22" xfId="0" applyBorder="1"/>
    <xf numFmtId="41" fontId="0" fillId="0" borderId="22" xfId="6" applyFont="1" applyBorder="1"/>
    <xf numFmtId="166" fontId="0" fillId="0" borderId="22" xfId="0" applyNumberFormat="1" applyBorder="1"/>
    <xf numFmtId="14" fontId="0" fillId="0" borderId="22" xfId="0" applyNumberFormat="1" applyFont="1" applyBorder="1"/>
    <xf numFmtId="164" fontId="1" fillId="0" borderId="22" xfId="1" applyFont="1" applyBorder="1"/>
    <xf numFmtId="1" fontId="0" fillId="0" borderId="22" xfId="0" applyNumberFormat="1" applyBorder="1"/>
    <xf numFmtId="14" fontId="0" fillId="3" borderId="22" xfId="0" applyNumberFormat="1" applyFont="1" applyFill="1" applyBorder="1"/>
    <xf numFmtId="164" fontId="1" fillId="3" borderId="22" xfId="1" applyFont="1" applyFill="1" applyBorder="1"/>
    <xf numFmtId="14" fontId="0" fillId="0" borderId="22" xfId="0" applyNumberFormat="1" applyFont="1" applyFill="1" applyBorder="1"/>
    <xf numFmtId="164" fontId="1" fillId="0" borderId="22" xfId="1" applyFont="1" applyFill="1" applyBorder="1"/>
    <xf numFmtId="2" fontId="0" fillId="0" borderId="22" xfId="0" applyNumberFormat="1" applyBorder="1"/>
    <xf numFmtId="0" fontId="22" fillId="0" borderId="0" xfId="11" applyFont="1" applyBorder="1" applyAlignment="1">
      <alignment wrapText="1"/>
    </xf>
    <xf numFmtId="0" fontId="22" fillId="0" borderId="0" xfId="11" applyFont="1" applyBorder="1" applyAlignment="1">
      <alignment horizontal="left" wrapText="1"/>
    </xf>
    <xf numFmtId="0" fontId="2" fillId="5" borderId="22" xfId="12" applyFont="1" applyBorder="1"/>
    <xf numFmtId="0" fontId="2" fillId="5" borderId="22" xfId="12" applyFont="1" applyBorder="1" applyAlignment="1">
      <alignment horizontal="center"/>
    </xf>
    <xf numFmtId="0" fontId="1" fillId="0" borderId="22" xfId="0" applyFont="1" applyBorder="1"/>
    <xf numFmtId="3" fontId="1" fillId="0" borderId="22" xfId="0" applyNumberFormat="1" applyFont="1" applyBorder="1"/>
    <xf numFmtId="0" fontId="2" fillId="0" borderId="0" xfId="12" applyFont="1" applyFill="1" applyBorder="1" applyAlignment="1">
      <alignment wrapText="1"/>
    </xf>
    <xf numFmtId="14" fontId="0" fillId="0" borderId="1" xfId="0" applyNumberFormat="1" applyFont="1" applyFill="1" applyBorder="1"/>
    <xf numFmtId="1" fontId="0" fillId="0" borderId="1" xfId="0" applyNumberFormat="1" applyBorder="1"/>
    <xf numFmtId="2" fontId="0" fillId="0" borderId="1" xfId="0" applyNumberFormat="1" applyBorder="1"/>
    <xf numFmtId="1" fontId="0" fillId="0" borderId="1" xfId="0" applyNumberFormat="1" applyFont="1" applyFill="1" applyBorder="1"/>
    <xf numFmtId="173" fontId="0" fillId="0" borderId="1" xfId="0" applyNumberFormat="1" applyFont="1" applyFill="1" applyBorder="1"/>
    <xf numFmtId="0" fontId="22" fillId="0" borderId="0" xfId="11" applyFont="1"/>
    <xf numFmtId="0" fontId="24" fillId="0" borderId="21" xfId="0" applyFont="1" applyBorder="1"/>
    <xf numFmtId="0" fontId="22" fillId="0" borderId="0" xfId="11" applyFont="1" applyBorder="1" applyAlignment="1">
      <alignment wrapText="1"/>
    </xf>
    <xf numFmtId="0" fontId="2" fillId="0" borderId="0" xfId="9" applyFont="1" applyBorder="1" applyAlignment="1">
      <alignment horizontal="center"/>
    </xf>
    <xf numFmtId="0" fontId="2" fillId="0" borderId="0" xfId="9" applyFont="1" applyBorder="1" applyAlignment="1">
      <alignment wrapText="1"/>
    </xf>
    <xf numFmtId="166" fontId="0" fillId="0" borderId="1" xfId="0" applyNumberFormat="1" applyBorder="1" applyAlignment="1">
      <alignment horizontal="center"/>
    </xf>
    <xf numFmtId="166" fontId="0" fillId="0" borderId="1" xfId="0" applyNumberFormat="1" applyBorder="1"/>
    <xf numFmtId="168" fontId="0" fillId="0" borderId="1" xfId="1" applyNumberFormat="1" applyFont="1" applyBorder="1"/>
    <xf numFmtId="164" fontId="0" fillId="0" borderId="1" xfId="1" applyFont="1" applyBorder="1"/>
    <xf numFmtId="0" fontId="22" fillId="0" borderId="0" xfId="11" applyFont="1" applyAlignment="1">
      <alignment horizontal="left" wrapText="1"/>
    </xf>
    <xf numFmtId="0" fontId="2" fillId="0" borderId="1" xfId="9" applyFont="1" applyBorder="1"/>
    <xf numFmtId="41" fontId="1" fillId="0" borderId="22" xfId="6" applyFont="1" applyBorder="1"/>
    <xf numFmtId="0" fontId="2" fillId="0" borderId="1" xfId="0" applyFont="1" applyBorder="1"/>
    <xf numFmtId="171" fontId="0" fillId="0" borderId="1" xfId="0" applyNumberFormat="1" applyBorder="1"/>
    <xf numFmtId="0" fontId="5" fillId="0" borderId="21" xfId="4" applyFill="1" applyBorder="1">
      <alignment horizontal="centerContinuous" wrapText="1"/>
    </xf>
    <xf numFmtId="0" fontId="5" fillId="0" borderId="1" xfId="4" applyFill="1" applyBorder="1">
      <alignment horizontal="centerContinuous" wrapText="1"/>
    </xf>
    <xf numFmtId="0" fontId="22" fillId="0" borderId="0" xfId="11" applyFont="1" applyBorder="1"/>
    <xf numFmtId="0" fontId="5" fillId="0" borderId="0" xfId="4" applyFill="1" applyBorder="1">
      <alignment horizontal="centerContinuous" wrapText="1"/>
    </xf>
    <xf numFmtId="0" fontId="2" fillId="4" borderId="23" xfId="0" applyFont="1" applyFill="1" applyBorder="1"/>
    <xf numFmtId="172" fontId="8" fillId="4" borderId="23" xfId="1" applyNumberFormat="1" applyFont="1" applyFill="1" applyBorder="1" applyAlignment="1">
      <alignment horizontal="left" indent="1"/>
    </xf>
    <xf numFmtId="0" fontId="23" fillId="0" borderId="1" xfId="8" applyFont="1" applyBorder="1"/>
    <xf numFmtId="0" fontId="23" fillId="0" borderId="21" xfId="8" applyFont="1" applyBorder="1"/>
  </cellXfs>
  <cellStyles count="14">
    <cellStyle name="20% - Accent1" xfId="12" builtinId="30"/>
    <cellStyle name="Comma" xfId="1" builtinId="3"/>
    <cellStyle name="Comma [0]" xfId="6" builtinId="6"/>
    <cellStyle name="Comma [3]" xfId="5" xr:uid="{6DED3132-ABC7-4C8C-95CD-25DA7147F7D8}"/>
    <cellStyle name="Explanatory Text" xfId="11" builtinId="53"/>
    <cellStyle name="Heading 1" xfId="8" builtinId="16"/>
    <cellStyle name="Heading 2" xfId="9" builtinId="17"/>
    <cellStyle name="Heading 3" xfId="10" builtinId="18"/>
    <cellStyle name="Hyperlink" xfId="3" builtinId="8"/>
    <cellStyle name="Label" xfId="4" xr:uid="{5E2163A6-CA79-487A-B894-DED81BF470DB}"/>
    <cellStyle name="Normal" xfId="0" builtinId="0"/>
    <cellStyle name="Normal 3" xfId="2" xr:uid="{E7A23599-89AA-4A8B-9C46-ADF443BDEAE7}"/>
    <cellStyle name="Title" xfId="7" builtinId="15"/>
    <cellStyle name="Title 2" xfId="13" xr:uid="{100062DB-5DB4-4FB6-9B3B-D9D1139F5F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t>Analysis of relationship between opex and scale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586341878872"/>
          <c:y val="0.10953729933899906"/>
          <c:w val="0.85694416123101613"/>
          <c:h val="0.74995932873829863"/>
        </c:manualLayout>
      </c:layout>
      <c:scatterChart>
        <c:scatterStyle val="lineMarker"/>
        <c:varyColors val="0"/>
        <c:ser>
          <c:idx val="0"/>
          <c:order val="0"/>
          <c:spPr>
            <a:ln w="25400" cap="rnd">
              <a:noFill/>
              <a:round/>
            </a:ln>
            <a:effectLst/>
          </c:spPr>
          <c:marker>
            <c:symbol val="circle"/>
            <c:size val="5"/>
            <c:spPr>
              <a:solidFill>
                <a:schemeClr val="bg2"/>
              </a:solidFill>
              <a:ln w="9525">
                <a:solidFill>
                  <a:schemeClr val="accent1"/>
                </a:solidFill>
              </a:ln>
              <a:effectLst/>
            </c:spPr>
          </c:marker>
          <c:trendline>
            <c:spPr>
              <a:ln w="19050" cap="rnd">
                <a:solidFill>
                  <a:schemeClr val="bg2"/>
                </a:solidFill>
                <a:prstDash val="sysDot"/>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Elasticity!$D$24:$D$38</c:f>
              <c:numCache>
                <c:formatCode>0.0</c:formatCode>
                <c:ptCount val="15"/>
                <c:pt idx="0">
                  <c:v>7.9730705255440624</c:v>
                </c:pt>
                <c:pt idx="1">
                  <c:v>11.321990885189791</c:v>
                </c:pt>
                <c:pt idx="2">
                  <c:v>11.337650821611913</c:v>
                </c:pt>
                <c:pt idx="3">
                  <c:v>11.392683288179059</c:v>
                </c:pt>
                <c:pt idx="4">
                  <c:v>11.00642367223745</c:v>
                </c:pt>
                <c:pt idx="5">
                  <c:v>9.6368471194677259</c:v>
                </c:pt>
                <c:pt idx="6">
                  <c:v>9.747180397369462</c:v>
                </c:pt>
                <c:pt idx="7">
                  <c:v>8.2321721851121907</c:v>
                </c:pt>
                <c:pt idx="8">
                  <c:v>12.119365671207861</c:v>
                </c:pt>
                <c:pt idx="9">
                  <c:v>10.140828586667704</c:v>
                </c:pt>
                <c:pt idx="10">
                  <c:v>11.520349255623806</c:v>
                </c:pt>
                <c:pt idx="11">
                  <c:v>10.12807688707073</c:v>
                </c:pt>
                <c:pt idx="12">
                  <c:v>10.195230184044025</c:v>
                </c:pt>
                <c:pt idx="13">
                  <c:v>9.7557431128375267</c:v>
                </c:pt>
                <c:pt idx="14">
                  <c:v>7.8542940084331878</c:v>
                </c:pt>
              </c:numCache>
            </c:numRef>
          </c:xVal>
          <c:yVal>
            <c:numRef>
              <c:f>Elasticity!$C$24:$C$38</c:f>
              <c:numCache>
                <c:formatCode>0.0</c:formatCode>
                <c:ptCount val="15"/>
                <c:pt idx="0">
                  <c:v>14.518236713304542</c:v>
                </c:pt>
                <c:pt idx="1">
                  <c:v>17.79631744770974</c:v>
                </c:pt>
                <c:pt idx="2">
                  <c:v>17.824519737932604</c:v>
                </c:pt>
                <c:pt idx="3">
                  <c:v>17.65026929228673</c:v>
                </c:pt>
                <c:pt idx="4">
                  <c:v>17.699199930324525</c:v>
                </c:pt>
                <c:pt idx="5">
                  <c:v>16.920672676214277</c:v>
                </c:pt>
                <c:pt idx="6">
                  <c:v>16.688980108277455</c:v>
                </c:pt>
                <c:pt idx="7">
                  <c:v>14.658680768456222</c:v>
                </c:pt>
                <c:pt idx="8">
                  <c:v>18.569523159842646</c:v>
                </c:pt>
                <c:pt idx="9">
                  <c:v>16.640606337683071</c:v>
                </c:pt>
                <c:pt idx="10">
                  <c:v>17.662017540655793</c:v>
                </c:pt>
                <c:pt idx="11">
                  <c:v>16.47621986105375</c:v>
                </c:pt>
                <c:pt idx="12">
                  <c:v>16.189290658310373</c:v>
                </c:pt>
                <c:pt idx="13">
                  <c:v>15.829505122468658</c:v>
                </c:pt>
                <c:pt idx="14">
                  <c:v>14.262390121266113</c:v>
                </c:pt>
              </c:numCache>
            </c:numRef>
          </c:yVal>
          <c:smooth val="0"/>
          <c:extLst>
            <c:ext xmlns:c16="http://schemas.microsoft.com/office/drawing/2014/chart" uri="{C3380CC4-5D6E-409C-BE32-E72D297353CC}">
              <c16:uniqueId val="{00000001-F69A-4C26-8265-7FFBFF2ED9AF}"/>
            </c:ext>
          </c:extLst>
        </c:ser>
        <c:dLbls>
          <c:showLegendKey val="0"/>
          <c:showVal val="0"/>
          <c:showCatName val="0"/>
          <c:showSerName val="0"/>
          <c:showPercent val="0"/>
          <c:showBubbleSize val="0"/>
        </c:dLbls>
        <c:axId val="580660640"/>
        <c:axId val="1426699872"/>
      </c:scatterChart>
      <c:valAx>
        <c:axId val="580660640"/>
        <c:scaling>
          <c:orientation val="minMax"/>
          <c:min val="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b="1"/>
                  <a:t>ln(CSV)</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6699872"/>
        <c:crosses val="autoZero"/>
        <c:crossBetween val="midCat"/>
      </c:valAx>
      <c:valAx>
        <c:axId val="1426699872"/>
        <c:scaling>
          <c:orientation val="minMax"/>
          <c:max val="19"/>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b="1"/>
                  <a:t>ln(opex)</a:t>
                </a:r>
              </a:p>
            </c:rich>
          </c:tx>
          <c:layout>
            <c:manualLayout>
              <c:xMode val="edge"/>
              <c:yMode val="edge"/>
              <c:x val="1.205400027024703E-2"/>
              <c:y val="0.3741863145293807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6606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38100</xdr:rowOff>
    </xdr:from>
    <xdr:to>
      <xdr:col>1</xdr:col>
      <xdr:colOff>1220914</xdr:colOff>
      <xdr:row>1</xdr:row>
      <xdr:rowOff>893254</xdr:rowOff>
    </xdr:to>
    <xdr:pic>
      <xdr:nvPicPr>
        <xdr:cNvPr id="2" name="Logo">
          <a:extLst>
            <a:ext uri="{FF2B5EF4-FFF2-40B4-BE49-F238E27FC236}">
              <a16:creationId xmlns:a16="http://schemas.microsoft.com/office/drawing/2014/main" id="{DCD2A953-9FD9-44A5-908C-7F0BE24BD7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28600"/>
          <a:ext cx="2954464" cy="855154"/>
        </a:xfrm>
        <a:prstGeom prst="rect">
          <a:avLst/>
        </a:prstGeom>
      </xdr:spPr>
    </xdr:pic>
    <xdr:clientData/>
  </xdr:twoCellAnchor>
  <xdr:twoCellAnchor editAs="oneCell">
    <xdr:from>
      <xdr:col>0</xdr:col>
      <xdr:colOff>0</xdr:colOff>
      <xdr:row>1</xdr:row>
      <xdr:rowOff>1733550</xdr:rowOff>
    </xdr:from>
    <xdr:to>
      <xdr:col>4</xdr:col>
      <xdr:colOff>0</xdr:colOff>
      <xdr:row>14</xdr:row>
      <xdr:rowOff>95249</xdr:rowOff>
    </xdr:to>
    <xdr:pic>
      <xdr:nvPicPr>
        <xdr:cNvPr id="3" name="Regulation">
          <a:extLst>
            <a:ext uri="{FF2B5EF4-FFF2-40B4-BE49-F238E27FC236}">
              <a16:creationId xmlns:a16="http://schemas.microsoft.com/office/drawing/2014/main" id="{DD38EB09-09E7-4F33-BC6C-62D5FA186C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24050"/>
          <a:ext cx="9639300" cy="377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22</xdr:row>
      <xdr:rowOff>28574</xdr:rowOff>
    </xdr:from>
    <xdr:to>
      <xdr:col>13</xdr:col>
      <xdr:colOff>914400</xdr:colOff>
      <xdr:row>39</xdr:row>
      <xdr:rowOff>152399</xdr:rowOff>
    </xdr:to>
    <xdr:graphicFrame macro="">
      <xdr:nvGraphicFramePr>
        <xdr:cNvPr id="2" name="Chart 1">
          <a:extLst>
            <a:ext uri="{FF2B5EF4-FFF2-40B4-BE49-F238E27FC236}">
              <a16:creationId xmlns:a16="http://schemas.microsoft.com/office/drawing/2014/main" id="{431172CF-22F5-4461-91B4-3E9E0BAD5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142876</xdr:colOff>
      <xdr:row>44</xdr:row>
      <xdr:rowOff>36988</xdr:rowOff>
    </xdr:from>
    <xdr:ext cx="6916364" cy="234038"/>
    <mc:AlternateContent xmlns:mc="http://schemas.openxmlformats.org/markup-compatibility/2006">
      <mc:Choice xmlns:a14="http://schemas.microsoft.com/office/drawing/2010/main" Requires="a14">
        <xdr:sp macro="" textlink="">
          <xdr:nvSpPr>
            <xdr:cNvPr id="4" name="TextBox 3">
              <a:extLst>
                <a:ext uri="{FF2B5EF4-FFF2-40B4-BE49-F238E27FC236}">
                  <a16:creationId xmlns:a16="http://schemas.microsoft.com/office/drawing/2014/main" id="{5D26A2D7-390F-4F58-BF0C-C9ECF5085F15}"/>
                </a:ext>
              </a:extLst>
            </xdr:cNvPr>
            <xdr:cNvSpPr txBox="1"/>
          </xdr:nvSpPr>
          <xdr:spPr>
            <a:xfrm>
              <a:off x="952501" y="8352313"/>
              <a:ext cx="6916364" cy="234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NZ" sz="1400" b="0" i="1">
                        <a:latin typeface="Cambria Math" panose="02040503050406030204" pitchFamily="18" charset="0"/>
                      </a:rPr>
                      <m:t>𝐶𝑜𝑚𝑝𝑜𝑠𝑖𝑡𝑒</m:t>
                    </m:r>
                    <m:r>
                      <a:rPr lang="en-NZ" sz="1400" b="0" i="1">
                        <a:latin typeface="Cambria Math" panose="02040503050406030204" pitchFamily="18" charset="0"/>
                      </a:rPr>
                      <m:t> </m:t>
                    </m:r>
                    <m:r>
                      <a:rPr lang="en-NZ" sz="1400" b="0" i="1">
                        <a:latin typeface="Cambria Math" panose="02040503050406030204" pitchFamily="18" charset="0"/>
                      </a:rPr>
                      <m:t>𝑉𝑎𝑟𝑖𝑎𝑏𝑙𝑒</m:t>
                    </m:r>
                    <m:r>
                      <a:rPr lang="en-NZ" sz="1400" i="1">
                        <a:latin typeface="Cambria Math" panose="02040503050406030204" pitchFamily="18" charset="0"/>
                      </a:rPr>
                      <m:t>=</m:t>
                    </m:r>
                    <m:sSup>
                      <m:sSupPr>
                        <m:ctrlPr>
                          <a:rPr lang="en-NZ" sz="1400" i="1">
                            <a:latin typeface="Cambria Math" panose="02040503050406030204" pitchFamily="18" charset="0"/>
                          </a:rPr>
                        </m:ctrlPr>
                      </m:sSupPr>
                      <m:e>
                        <m:r>
                          <a:rPr lang="en-NZ" sz="1400" b="0" i="1">
                            <a:latin typeface="Cambria Math" panose="02040503050406030204" pitchFamily="18" charset="0"/>
                          </a:rPr>
                          <m:t>(</m:t>
                        </m:r>
                        <m:r>
                          <a:rPr lang="en-NZ" sz="1400" i="1">
                            <a:latin typeface="Cambria Math" panose="02040503050406030204" pitchFamily="18" charset="0"/>
                          </a:rPr>
                          <m:t>𝑐</m:t>
                        </m:r>
                        <m:r>
                          <a:rPr lang="en-NZ" sz="1400" b="0" i="1">
                            <a:latin typeface="Cambria Math" panose="02040503050406030204" pitchFamily="18" charset="0"/>
                          </a:rPr>
                          <m:t>𝑢𝑠𝑡𝑜𝑚𝑒𝑟</m:t>
                        </m:r>
                        <m:r>
                          <a:rPr lang="en-NZ" sz="1400" b="0" i="1">
                            <a:latin typeface="Cambria Math" panose="02040503050406030204" pitchFamily="18" charset="0"/>
                          </a:rPr>
                          <m:t> </m:t>
                        </m:r>
                        <m:r>
                          <a:rPr lang="en-NZ" sz="1400" b="0" i="1">
                            <a:latin typeface="Cambria Math" panose="02040503050406030204" pitchFamily="18" charset="0"/>
                          </a:rPr>
                          <m:t>𝑛𝑢𝑚𝑏𝑒𝑟𝑠</m:t>
                        </m:r>
                        <m:r>
                          <a:rPr lang="en-NZ" sz="1400" b="0" i="1">
                            <a:latin typeface="Cambria Math" panose="02040503050406030204" pitchFamily="18" charset="0"/>
                          </a:rPr>
                          <m:t>)</m:t>
                        </m:r>
                      </m:e>
                      <m:sup>
                        <m:r>
                          <a:rPr lang="en-NZ" sz="1400" i="1">
                            <a:latin typeface="Cambria Math" panose="02040503050406030204" pitchFamily="18" charset="0"/>
                            <a:ea typeface="Cambria Math" panose="02040503050406030204" pitchFamily="18" charset="0"/>
                          </a:rPr>
                          <m:t>𝛼</m:t>
                        </m:r>
                      </m:sup>
                    </m:sSup>
                    <m:sSup>
                      <m:sSupPr>
                        <m:ctrlPr>
                          <a:rPr lang="en-NZ" sz="1400" i="1">
                            <a:solidFill>
                              <a:schemeClr val="tx1"/>
                            </a:solidFill>
                            <a:effectLst/>
                            <a:latin typeface="Cambria Math" panose="02040503050406030204" pitchFamily="18" charset="0"/>
                            <a:ea typeface="+mn-ea"/>
                            <a:cs typeface="+mn-cs"/>
                          </a:rPr>
                        </m:ctrlPr>
                      </m:sSupPr>
                      <m:e>
                        <m:r>
                          <a:rPr lang="en-NZ" sz="1400" b="0" i="1">
                            <a:solidFill>
                              <a:schemeClr val="tx1"/>
                            </a:solidFill>
                            <a:effectLst/>
                            <a:latin typeface="Cambria Math" panose="02040503050406030204" pitchFamily="18" charset="0"/>
                            <a:ea typeface="+mn-ea"/>
                            <a:cs typeface="+mn-cs"/>
                          </a:rPr>
                          <m:t>(</m:t>
                        </m:r>
                        <m:r>
                          <a:rPr lang="en-NZ" sz="1400" i="1">
                            <a:solidFill>
                              <a:schemeClr val="tx1"/>
                            </a:solidFill>
                            <a:effectLst/>
                            <a:latin typeface="Cambria Math" panose="02040503050406030204" pitchFamily="18" charset="0"/>
                            <a:ea typeface="+mn-ea"/>
                            <a:cs typeface="+mn-cs"/>
                          </a:rPr>
                          <m:t>𝑢</m:t>
                        </m:r>
                        <m:r>
                          <a:rPr lang="en-NZ" sz="1400" b="0" i="1">
                            <a:solidFill>
                              <a:schemeClr val="tx1"/>
                            </a:solidFill>
                            <a:effectLst/>
                            <a:latin typeface="Cambria Math" panose="02040503050406030204" pitchFamily="18" charset="0"/>
                            <a:ea typeface="+mn-ea"/>
                            <a:cs typeface="+mn-cs"/>
                          </a:rPr>
                          <m:t>𝑛𝑖𝑡𝑠</m:t>
                        </m:r>
                        <m:r>
                          <a:rPr lang="en-NZ" sz="1400" b="0" i="1">
                            <a:solidFill>
                              <a:schemeClr val="tx1"/>
                            </a:solidFill>
                            <a:effectLst/>
                            <a:latin typeface="Cambria Math" panose="02040503050406030204" pitchFamily="18" charset="0"/>
                            <a:ea typeface="+mn-ea"/>
                            <a:cs typeface="+mn-cs"/>
                          </a:rPr>
                          <m:t> </m:t>
                        </m:r>
                        <m:r>
                          <a:rPr lang="en-NZ" sz="1400" b="0" i="1">
                            <a:solidFill>
                              <a:schemeClr val="tx1"/>
                            </a:solidFill>
                            <a:effectLst/>
                            <a:latin typeface="Cambria Math" panose="02040503050406030204" pitchFamily="18" charset="0"/>
                            <a:ea typeface="+mn-ea"/>
                            <a:cs typeface="+mn-cs"/>
                          </a:rPr>
                          <m:t>𝑑𝑖𝑠𝑡𝑟𝑖𝑏𝑢𝑡𝑒𝑑</m:t>
                        </m:r>
                        <m:r>
                          <a:rPr lang="en-NZ" sz="1400" b="0" i="1">
                            <a:solidFill>
                              <a:schemeClr val="tx1"/>
                            </a:solidFill>
                            <a:effectLst/>
                            <a:latin typeface="Cambria Math" panose="02040503050406030204" pitchFamily="18" charset="0"/>
                            <a:ea typeface="+mn-ea"/>
                            <a:cs typeface="+mn-cs"/>
                          </a:rPr>
                          <m:t>)</m:t>
                        </m:r>
                      </m:e>
                      <m:sup>
                        <m:r>
                          <m:rPr>
                            <m:sty m:val="p"/>
                          </m:rPr>
                          <a:rPr lang="el-GR" sz="1400" b="0" i="1">
                            <a:solidFill>
                              <a:schemeClr val="tx1"/>
                            </a:solidFill>
                            <a:effectLst/>
                            <a:latin typeface="Cambria Math" panose="02040503050406030204" pitchFamily="18" charset="0"/>
                            <a:ea typeface="+mn-ea"/>
                            <a:cs typeface="+mn-cs"/>
                          </a:rPr>
                          <m:t>β</m:t>
                        </m:r>
                      </m:sup>
                    </m:sSup>
                    <m:sSup>
                      <m:sSupPr>
                        <m:ctrlPr>
                          <a:rPr lang="en-NZ" sz="1400" i="1">
                            <a:solidFill>
                              <a:schemeClr val="tx1"/>
                            </a:solidFill>
                            <a:effectLst/>
                            <a:latin typeface="Cambria Math" panose="02040503050406030204" pitchFamily="18" charset="0"/>
                            <a:ea typeface="+mn-ea"/>
                            <a:cs typeface="+mn-cs"/>
                          </a:rPr>
                        </m:ctrlPr>
                      </m:sSupPr>
                      <m:e>
                        <m:r>
                          <a:rPr lang="en-NZ" sz="1400" b="0" i="1">
                            <a:solidFill>
                              <a:schemeClr val="tx1"/>
                            </a:solidFill>
                            <a:effectLst/>
                            <a:latin typeface="Cambria Math" panose="02040503050406030204" pitchFamily="18" charset="0"/>
                            <a:ea typeface="+mn-ea"/>
                            <a:cs typeface="+mn-cs"/>
                          </a:rPr>
                          <m:t>(</m:t>
                        </m:r>
                        <m:r>
                          <a:rPr lang="en-NZ" sz="1400" i="1">
                            <a:solidFill>
                              <a:schemeClr val="tx1"/>
                            </a:solidFill>
                            <a:effectLst/>
                            <a:latin typeface="Cambria Math" panose="02040503050406030204" pitchFamily="18" charset="0"/>
                            <a:ea typeface="+mn-ea"/>
                            <a:cs typeface="+mn-cs"/>
                          </a:rPr>
                          <m:t>𝑛</m:t>
                        </m:r>
                        <m:r>
                          <a:rPr lang="en-NZ" sz="1400" b="0" i="1">
                            <a:solidFill>
                              <a:schemeClr val="tx1"/>
                            </a:solidFill>
                            <a:effectLst/>
                            <a:latin typeface="Cambria Math" panose="02040503050406030204" pitchFamily="18" charset="0"/>
                            <a:ea typeface="+mn-ea"/>
                            <a:cs typeface="+mn-cs"/>
                          </a:rPr>
                          <m:t>𝑒𝑡𝑤𝑜𝑟𝑘</m:t>
                        </m:r>
                        <m:r>
                          <a:rPr lang="en-NZ" sz="1400" b="0" i="1">
                            <a:solidFill>
                              <a:schemeClr val="tx1"/>
                            </a:solidFill>
                            <a:effectLst/>
                            <a:latin typeface="Cambria Math" panose="02040503050406030204" pitchFamily="18" charset="0"/>
                            <a:ea typeface="+mn-ea"/>
                            <a:cs typeface="+mn-cs"/>
                          </a:rPr>
                          <m:t> </m:t>
                        </m:r>
                        <m:r>
                          <a:rPr lang="en-NZ" sz="1400" b="0" i="1">
                            <a:solidFill>
                              <a:schemeClr val="tx1"/>
                            </a:solidFill>
                            <a:effectLst/>
                            <a:latin typeface="Cambria Math" panose="02040503050406030204" pitchFamily="18" charset="0"/>
                            <a:ea typeface="+mn-ea"/>
                            <a:cs typeface="+mn-cs"/>
                          </a:rPr>
                          <m:t>𝑙𝑒𝑛𝑔𝑡h</m:t>
                        </m:r>
                        <m:r>
                          <a:rPr lang="en-NZ" sz="1400" b="0" i="1">
                            <a:solidFill>
                              <a:schemeClr val="tx1"/>
                            </a:solidFill>
                            <a:effectLst/>
                            <a:latin typeface="Cambria Math" panose="02040503050406030204" pitchFamily="18" charset="0"/>
                            <a:ea typeface="+mn-ea"/>
                            <a:cs typeface="+mn-cs"/>
                          </a:rPr>
                          <m:t>)</m:t>
                        </m:r>
                      </m:e>
                      <m:sup>
                        <m:r>
                          <m:rPr>
                            <m:sty m:val="p"/>
                          </m:rPr>
                          <a:rPr lang="el-GR" sz="1400" b="0" i="1">
                            <a:solidFill>
                              <a:schemeClr val="tx1"/>
                            </a:solidFill>
                            <a:effectLst/>
                            <a:latin typeface="Cambria Math" panose="02040503050406030204" pitchFamily="18" charset="0"/>
                            <a:ea typeface="+mn-ea"/>
                            <a:cs typeface="+mn-cs"/>
                          </a:rPr>
                          <m:t>γ</m:t>
                        </m:r>
                      </m:sup>
                    </m:sSup>
                  </m:oMath>
                </m:oMathPara>
              </a14:m>
              <a:endParaRPr lang="en-NZ" sz="1100"/>
            </a:p>
          </xdr:txBody>
        </xdr:sp>
      </mc:Choice>
      <mc:Fallback>
        <xdr:sp macro="" textlink="">
          <xdr:nvSpPr>
            <xdr:cNvPr id="4" name="TextBox 3">
              <a:extLst>
                <a:ext uri="{FF2B5EF4-FFF2-40B4-BE49-F238E27FC236}">
                  <a16:creationId xmlns:a16="http://schemas.microsoft.com/office/drawing/2014/main" id="{5D26A2D7-390F-4F58-BF0C-C9ECF5085F15}"/>
                </a:ext>
              </a:extLst>
            </xdr:cNvPr>
            <xdr:cNvSpPr txBox="1"/>
          </xdr:nvSpPr>
          <xdr:spPr>
            <a:xfrm>
              <a:off x="952501" y="8352313"/>
              <a:ext cx="6916364" cy="234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NZ" sz="1400" b="0" i="0">
                  <a:latin typeface="Cambria Math" panose="02040503050406030204" pitchFamily="18" charset="0"/>
                </a:rPr>
                <a:t>𝐶𝑜𝑚𝑝𝑜𝑠𝑖𝑡𝑒 𝑉𝑎𝑟𝑖𝑎𝑏𝑙𝑒</a:t>
              </a:r>
              <a:r>
                <a:rPr lang="en-NZ" sz="1400" i="0">
                  <a:latin typeface="Cambria Math" panose="02040503050406030204" pitchFamily="18" charset="0"/>
                </a:rPr>
                <a:t>=〖</a:t>
              </a:r>
              <a:r>
                <a:rPr lang="en-NZ" sz="1400" b="0" i="0">
                  <a:latin typeface="Cambria Math" panose="02040503050406030204" pitchFamily="18" charset="0"/>
                </a:rPr>
                <a:t>(</a:t>
              </a:r>
              <a:r>
                <a:rPr lang="en-NZ" sz="1400" i="0">
                  <a:latin typeface="Cambria Math" panose="02040503050406030204" pitchFamily="18" charset="0"/>
                </a:rPr>
                <a:t>𝑐</a:t>
              </a:r>
              <a:r>
                <a:rPr lang="en-NZ" sz="1400" b="0" i="0">
                  <a:latin typeface="Cambria Math" panose="02040503050406030204" pitchFamily="18" charset="0"/>
                </a:rPr>
                <a:t>𝑢𝑠𝑡𝑜𝑚𝑒𝑟 𝑛𝑢𝑚𝑏𝑒𝑟𝑠)〗^</a:t>
              </a:r>
              <a:r>
                <a:rPr lang="en-NZ" sz="1400" i="0">
                  <a:latin typeface="Cambria Math" panose="02040503050406030204" pitchFamily="18" charset="0"/>
                  <a:ea typeface="Cambria Math" panose="02040503050406030204" pitchFamily="18" charset="0"/>
                </a:rPr>
                <a:t>𝛼</a:t>
              </a:r>
              <a:r>
                <a:rPr lang="en-NZ" sz="1400" i="0">
                  <a:solidFill>
                    <a:schemeClr val="tx1"/>
                  </a:solidFill>
                  <a:effectLst/>
                  <a:latin typeface="Cambria Math" panose="02040503050406030204" pitchFamily="18" charset="0"/>
                  <a:ea typeface="+mn-ea"/>
                  <a:cs typeface="+mn-cs"/>
                </a:rPr>
                <a:t> 〖</a:t>
              </a:r>
              <a:r>
                <a:rPr lang="en-NZ" sz="1400" b="0" i="0">
                  <a:solidFill>
                    <a:schemeClr val="tx1"/>
                  </a:solidFill>
                  <a:effectLst/>
                  <a:latin typeface="Cambria Math" panose="02040503050406030204" pitchFamily="18" charset="0"/>
                  <a:ea typeface="+mn-ea"/>
                  <a:cs typeface="+mn-cs"/>
                </a:rPr>
                <a:t>(</a:t>
              </a:r>
              <a:r>
                <a:rPr lang="en-NZ" sz="1400" i="0">
                  <a:solidFill>
                    <a:schemeClr val="tx1"/>
                  </a:solidFill>
                  <a:effectLst/>
                  <a:latin typeface="Cambria Math" panose="02040503050406030204" pitchFamily="18" charset="0"/>
                  <a:ea typeface="+mn-ea"/>
                  <a:cs typeface="+mn-cs"/>
                </a:rPr>
                <a:t>𝑢</a:t>
              </a:r>
              <a:r>
                <a:rPr lang="en-NZ" sz="1400" b="0" i="0">
                  <a:solidFill>
                    <a:schemeClr val="tx1"/>
                  </a:solidFill>
                  <a:effectLst/>
                  <a:latin typeface="Cambria Math" panose="02040503050406030204" pitchFamily="18" charset="0"/>
                  <a:ea typeface="+mn-ea"/>
                  <a:cs typeface="+mn-cs"/>
                </a:rPr>
                <a:t>𝑛𝑖𝑡𝑠 𝑑𝑖𝑠𝑡𝑟𝑖𝑏𝑢𝑡𝑒𝑑)〗^</a:t>
              </a:r>
              <a:r>
                <a:rPr lang="el-GR" sz="1400" b="0" i="0">
                  <a:solidFill>
                    <a:schemeClr val="tx1"/>
                  </a:solidFill>
                  <a:effectLst/>
                  <a:latin typeface="Cambria Math" panose="02040503050406030204" pitchFamily="18" charset="0"/>
                  <a:ea typeface="+mn-ea"/>
                  <a:cs typeface="+mn-cs"/>
                </a:rPr>
                <a:t>β</a:t>
              </a:r>
              <a:r>
                <a:rPr lang="en-NZ" sz="1400" b="0" i="0">
                  <a:solidFill>
                    <a:schemeClr val="tx1"/>
                  </a:solidFill>
                  <a:effectLst/>
                  <a:latin typeface="Cambria Math" panose="02040503050406030204" pitchFamily="18" charset="0"/>
                  <a:ea typeface="+mn-ea"/>
                  <a:cs typeface="+mn-cs"/>
                </a:rPr>
                <a:t> </a:t>
              </a:r>
              <a:r>
                <a:rPr lang="en-NZ" sz="1400" i="0">
                  <a:solidFill>
                    <a:schemeClr val="tx1"/>
                  </a:solidFill>
                  <a:effectLst/>
                  <a:latin typeface="Cambria Math" panose="02040503050406030204" pitchFamily="18" charset="0"/>
                  <a:ea typeface="+mn-ea"/>
                  <a:cs typeface="+mn-cs"/>
                </a:rPr>
                <a:t>〖</a:t>
              </a:r>
              <a:r>
                <a:rPr lang="en-NZ" sz="1400" b="0" i="0">
                  <a:solidFill>
                    <a:schemeClr val="tx1"/>
                  </a:solidFill>
                  <a:effectLst/>
                  <a:latin typeface="Cambria Math" panose="02040503050406030204" pitchFamily="18" charset="0"/>
                  <a:ea typeface="+mn-ea"/>
                  <a:cs typeface="+mn-cs"/>
                </a:rPr>
                <a:t>(</a:t>
              </a:r>
              <a:r>
                <a:rPr lang="en-NZ" sz="1400" i="0">
                  <a:solidFill>
                    <a:schemeClr val="tx1"/>
                  </a:solidFill>
                  <a:effectLst/>
                  <a:latin typeface="Cambria Math" panose="02040503050406030204" pitchFamily="18" charset="0"/>
                  <a:ea typeface="+mn-ea"/>
                  <a:cs typeface="+mn-cs"/>
                </a:rPr>
                <a:t>𝑛</a:t>
              </a:r>
              <a:r>
                <a:rPr lang="en-NZ" sz="1400" b="0" i="0">
                  <a:solidFill>
                    <a:schemeClr val="tx1"/>
                  </a:solidFill>
                  <a:effectLst/>
                  <a:latin typeface="Cambria Math" panose="02040503050406030204" pitchFamily="18" charset="0"/>
                  <a:ea typeface="+mn-ea"/>
                  <a:cs typeface="+mn-cs"/>
                </a:rPr>
                <a:t>𝑒𝑡𝑤𝑜𝑟𝑘 𝑙𝑒𝑛𝑔𝑡ℎ)〗^</a:t>
              </a:r>
              <a:r>
                <a:rPr lang="el-GR" sz="1400" b="0" i="0">
                  <a:solidFill>
                    <a:schemeClr val="tx1"/>
                  </a:solidFill>
                  <a:effectLst/>
                  <a:latin typeface="Cambria Math" panose="02040503050406030204" pitchFamily="18" charset="0"/>
                  <a:ea typeface="+mn-ea"/>
                  <a:cs typeface="+mn-cs"/>
                </a:rPr>
                <a:t>γ</a:t>
              </a:r>
              <a:endParaRPr lang="en-NZ" sz="1100"/>
            </a:p>
          </xdr:txBody>
        </xdr:sp>
      </mc:Fallback>
    </mc:AlternateContent>
    <xdr:clientData/>
  </xdr:oneCellAnchor>
  <xdr:oneCellAnchor>
    <xdr:from>
      <xdr:col>1</xdr:col>
      <xdr:colOff>215900</xdr:colOff>
      <xdr:row>45</xdr:row>
      <xdr:rowOff>0</xdr:rowOff>
    </xdr:from>
    <xdr:ext cx="1479550" cy="21916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D65EC58C-1316-4B38-8AE5-B213078886EC}"/>
                </a:ext>
              </a:extLst>
            </xdr:cNvPr>
            <xdr:cNvSpPr txBox="1"/>
          </xdr:nvSpPr>
          <xdr:spPr>
            <a:xfrm>
              <a:off x="3921125" y="8776176"/>
              <a:ext cx="147955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NZ" sz="1400" i="1">
                        <a:latin typeface="Cambria Math" panose="02040503050406030204" pitchFamily="18" charset="0"/>
                        <a:ea typeface="Cambria Math" panose="02040503050406030204" pitchFamily="18" charset="0"/>
                      </a:rPr>
                      <m:t>𝛼</m:t>
                    </m:r>
                    <m:r>
                      <a:rPr lang="en-NZ" sz="1400" i="1">
                        <a:latin typeface="Cambria Math" panose="02040503050406030204" pitchFamily="18" charset="0"/>
                      </a:rPr>
                      <m:t>+</m:t>
                    </m:r>
                    <m:r>
                      <a:rPr lang="en-NZ" sz="1400" i="1">
                        <a:latin typeface="Cambria Math" panose="02040503050406030204" pitchFamily="18" charset="0"/>
                        <a:ea typeface="Cambria Math" panose="02040503050406030204" pitchFamily="18" charset="0"/>
                      </a:rPr>
                      <m:t>𝛽</m:t>
                    </m:r>
                    <m:r>
                      <a:rPr lang="en-NZ" sz="1400" b="0" i="1">
                        <a:latin typeface="Cambria Math" panose="02040503050406030204" pitchFamily="18" charset="0"/>
                        <a:ea typeface="Cambria Math" panose="02040503050406030204" pitchFamily="18" charset="0"/>
                      </a:rPr>
                      <m:t>+ </m:t>
                    </m:r>
                    <m:r>
                      <m:rPr>
                        <m:nor/>
                      </m:rPr>
                      <a:rPr lang="el-GR" sz="1400">
                        <a:solidFill>
                          <a:schemeClr val="tx1"/>
                        </a:solidFill>
                        <a:effectLst/>
                        <a:latin typeface="+mn-lt"/>
                        <a:ea typeface="+mn-ea"/>
                        <a:cs typeface="+mn-cs"/>
                      </a:rPr>
                      <m:t>γ</m:t>
                    </m:r>
                    <m:r>
                      <a:rPr lang="en-NZ" sz="1400" i="1">
                        <a:latin typeface="Cambria Math" panose="02040503050406030204" pitchFamily="18" charset="0"/>
                      </a:rPr>
                      <m:t>=</m:t>
                    </m:r>
                    <m:r>
                      <a:rPr lang="en-NZ" sz="1400" b="0" i="0">
                        <a:latin typeface="Cambria Math" panose="02040503050406030204" pitchFamily="18" charset="0"/>
                      </a:rPr>
                      <m:t>1</m:t>
                    </m:r>
                  </m:oMath>
                </m:oMathPara>
              </a14:m>
              <a:endParaRPr lang="en-NZ" sz="1100"/>
            </a:p>
          </xdr:txBody>
        </xdr:sp>
      </mc:Choice>
      <mc:Fallback xmlns="">
        <xdr:sp macro="" textlink="">
          <xdr:nvSpPr>
            <xdr:cNvPr id="5" name="TextBox 4">
              <a:extLst>
                <a:ext uri="{FF2B5EF4-FFF2-40B4-BE49-F238E27FC236}">
                  <a16:creationId xmlns:a16="http://schemas.microsoft.com/office/drawing/2014/main" id="{D65EC58C-1316-4B38-8AE5-B213078886EC}"/>
                </a:ext>
              </a:extLst>
            </xdr:cNvPr>
            <xdr:cNvSpPr txBox="1"/>
          </xdr:nvSpPr>
          <xdr:spPr>
            <a:xfrm>
              <a:off x="3921125" y="8776176"/>
              <a:ext cx="147955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NZ" sz="1400" i="0">
                  <a:latin typeface="Cambria Math" panose="02040503050406030204" pitchFamily="18" charset="0"/>
                  <a:ea typeface="Cambria Math" panose="02040503050406030204" pitchFamily="18" charset="0"/>
                </a:rPr>
                <a:t>𝛼</a:t>
              </a:r>
              <a:r>
                <a:rPr lang="en-NZ" sz="1400" i="0">
                  <a:latin typeface="Cambria Math" panose="02040503050406030204" pitchFamily="18" charset="0"/>
                </a:rPr>
                <a:t>+</a:t>
              </a:r>
              <a:r>
                <a:rPr lang="en-NZ" sz="1400" i="0">
                  <a:latin typeface="Cambria Math" panose="02040503050406030204" pitchFamily="18" charset="0"/>
                  <a:ea typeface="Cambria Math" panose="02040503050406030204" pitchFamily="18" charset="0"/>
                </a:rPr>
                <a:t>𝛽</a:t>
              </a:r>
              <a:r>
                <a:rPr lang="en-NZ" sz="1400" b="0" i="0">
                  <a:latin typeface="Cambria Math" panose="02040503050406030204" pitchFamily="18" charset="0"/>
                  <a:ea typeface="Cambria Math" panose="02040503050406030204" pitchFamily="18" charset="0"/>
                </a:rPr>
                <a:t>+ </a:t>
              </a:r>
              <a:r>
                <a:rPr lang="el-GR" sz="1400" b="0" i="0">
                  <a:solidFill>
                    <a:schemeClr val="tx1"/>
                  </a:solidFill>
                  <a:effectLst/>
                  <a:latin typeface="Cambria Math" panose="02040503050406030204" pitchFamily="18" charset="0"/>
                  <a:ea typeface="+mn-ea"/>
                  <a:cs typeface="+mn-cs"/>
                </a:rPr>
                <a:t>"</a:t>
              </a:r>
              <a:r>
                <a:rPr lang="el-GR" sz="1400" i="0">
                  <a:solidFill>
                    <a:schemeClr val="tx1"/>
                  </a:solidFill>
                  <a:effectLst/>
                  <a:latin typeface="Cambria Math" panose="02040503050406030204" pitchFamily="18" charset="0"/>
                  <a:ea typeface="+mn-ea"/>
                  <a:cs typeface="+mn-cs"/>
                </a:rPr>
                <a:t>γ</a:t>
              </a:r>
              <a:r>
                <a:rPr lang="en-NZ" sz="1400" i="0">
                  <a:solidFill>
                    <a:schemeClr val="tx1"/>
                  </a:solidFill>
                  <a:effectLst/>
                  <a:latin typeface="Cambria Math" panose="02040503050406030204" pitchFamily="18" charset="0"/>
                  <a:ea typeface="+mn-ea"/>
                  <a:cs typeface="+mn-cs"/>
                </a:rPr>
                <a:t>"</a:t>
              </a:r>
              <a:r>
                <a:rPr lang="en-NZ" sz="1400" i="0">
                  <a:latin typeface="Cambria Math" panose="02040503050406030204" pitchFamily="18" charset="0"/>
                </a:rPr>
                <a:t>=</a:t>
              </a:r>
              <a:r>
                <a:rPr lang="en-NZ" sz="1400" b="0" i="0">
                  <a:latin typeface="Cambria Math" panose="02040503050406030204" pitchFamily="18" charset="0"/>
                </a:rPr>
                <a:t>1</a:t>
              </a:r>
              <a:endParaRPr lang="en-NZ" sz="1100"/>
            </a:p>
          </xdr:txBody>
        </xdr:sp>
      </mc:Fallback>
    </mc:AlternateContent>
    <xdr:clientData/>
  </xdr:oneCellAnchor>
  <xdr:oneCellAnchor>
    <xdr:from>
      <xdr:col>1</xdr:col>
      <xdr:colOff>466725</xdr:colOff>
      <xdr:row>48</xdr:row>
      <xdr:rowOff>152400</xdr:rowOff>
    </xdr:from>
    <xdr:ext cx="456856" cy="21916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359E377E-3191-466D-9E61-E110CEFD5A3B}"/>
                </a:ext>
              </a:extLst>
            </xdr:cNvPr>
            <xdr:cNvSpPr txBox="1"/>
          </xdr:nvSpPr>
          <xdr:spPr>
            <a:xfrm>
              <a:off x="4171950" y="9505950"/>
              <a:ext cx="45685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l-GR" sz="1400"/>
                <a:t>β</a:t>
              </a:r>
              <a14:m>
                <m:oMath xmlns:m="http://schemas.openxmlformats.org/officeDocument/2006/math">
                  <m:r>
                    <a:rPr lang="en-NZ" sz="1400" b="0" i="1">
                      <a:solidFill>
                        <a:schemeClr val="tx1"/>
                      </a:solidFill>
                      <a:latin typeface="Cambria Math" panose="02040503050406030204" pitchFamily="18" charset="0"/>
                      <a:ea typeface="+mn-ea"/>
                      <a:cs typeface="+mn-cs"/>
                    </a:rPr>
                    <m:t>=</m:t>
                  </m:r>
                </m:oMath>
              </a14:m>
              <a:r>
                <a:rPr lang="en-NZ" sz="1400"/>
                <a:t>0.5</a:t>
              </a:r>
            </a:p>
          </xdr:txBody>
        </xdr:sp>
      </mc:Choice>
      <mc:Fallback xmlns="">
        <xdr:sp macro="" textlink="">
          <xdr:nvSpPr>
            <xdr:cNvPr id="7" name="TextBox 6">
              <a:extLst>
                <a:ext uri="{FF2B5EF4-FFF2-40B4-BE49-F238E27FC236}">
                  <a16:creationId xmlns:a16="http://schemas.microsoft.com/office/drawing/2014/main" id="{359E377E-3191-466D-9E61-E110CEFD5A3B}"/>
                </a:ext>
              </a:extLst>
            </xdr:cNvPr>
            <xdr:cNvSpPr txBox="1"/>
          </xdr:nvSpPr>
          <xdr:spPr>
            <a:xfrm>
              <a:off x="4171950" y="9505950"/>
              <a:ext cx="45685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l-GR" sz="1400"/>
                <a:t>β</a:t>
              </a:r>
              <a:r>
                <a:rPr lang="en-NZ" sz="1400" b="0" i="0">
                  <a:solidFill>
                    <a:schemeClr val="tx1"/>
                  </a:solidFill>
                  <a:latin typeface="Cambria Math" panose="02040503050406030204" pitchFamily="18" charset="0"/>
                  <a:ea typeface="+mn-ea"/>
                  <a:cs typeface="+mn-cs"/>
                </a:rPr>
                <a:t>=</a:t>
              </a:r>
              <a:r>
                <a:rPr lang="en-NZ" sz="1400"/>
                <a:t>0.5</a:t>
              </a:r>
            </a:p>
          </xdr:txBody>
        </xdr:sp>
      </mc:Fallback>
    </mc:AlternateContent>
    <xdr:clientData/>
  </xdr:oneCellAnchor>
  <xdr:oneCellAnchor>
    <xdr:from>
      <xdr:col>1</xdr:col>
      <xdr:colOff>419100</xdr:colOff>
      <xdr:row>46</xdr:row>
      <xdr:rowOff>180975</xdr:rowOff>
    </xdr:from>
    <xdr:ext cx="521489" cy="219163"/>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1D62199A-BA73-4BDA-8007-A458A6F2019B}"/>
                </a:ext>
              </a:extLst>
            </xdr:cNvPr>
            <xdr:cNvSpPr txBox="1"/>
          </xdr:nvSpPr>
          <xdr:spPr>
            <a:xfrm>
              <a:off x="4124325" y="9153525"/>
              <a:ext cx="521489"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l-GR" sz="1400"/>
                <a:t>α</a:t>
              </a:r>
              <a14:m>
                <m:oMath xmlns:m="http://schemas.openxmlformats.org/officeDocument/2006/math">
                  <m:r>
                    <a:rPr lang="en-NZ" sz="1400" i="1">
                      <a:latin typeface="Cambria Math" panose="02040503050406030204" pitchFamily="18" charset="0"/>
                    </a:rPr>
                    <m:t>=</m:t>
                  </m:r>
                  <m:r>
                    <a:rPr lang="en-NZ" sz="1400" b="0" i="1">
                      <a:latin typeface="Cambria Math" panose="02040503050406030204" pitchFamily="18" charset="0"/>
                    </a:rPr>
                    <m:t>0.5</m:t>
                  </m:r>
                </m:oMath>
              </a14:m>
              <a:endParaRPr lang="en-NZ" sz="1400"/>
            </a:p>
          </xdr:txBody>
        </xdr:sp>
      </mc:Choice>
      <mc:Fallback xmlns="">
        <xdr:sp macro="" textlink="">
          <xdr:nvSpPr>
            <xdr:cNvPr id="8" name="TextBox 7">
              <a:extLst>
                <a:ext uri="{FF2B5EF4-FFF2-40B4-BE49-F238E27FC236}">
                  <a16:creationId xmlns:a16="http://schemas.microsoft.com/office/drawing/2014/main" id="{1D62199A-BA73-4BDA-8007-A458A6F2019B}"/>
                </a:ext>
              </a:extLst>
            </xdr:cNvPr>
            <xdr:cNvSpPr txBox="1"/>
          </xdr:nvSpPr>
          <xdr:spPr>
            <a:xfrm>
              <a:off x="4124325" y="9153525"/>
              <a:ext cx="521489"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l-GR" sz="1400"/>
                <a:t>α</a:t>
              </a:r>
              <a:r>
                <a:rPr lang="en-NZ" sz="1400" i="0">
                  <a:latin typeface="Cambria Math" panose="02040503050406030204" pitchFamily="18" charset="0"/>
                </a:rPr>
                <a:t>=</a:t>
              </a:r>
              <a:r>
                <a:rPr lang="en-NZ" sz="1400" b="0" i="0">
                  <a:latin typeface="Cambria Math" panose="02040503050406030204" pitchFamily="18" charset="0"/>
                </a:rPr>
                <a:t>0.5</a:t>
              </a:r>
              <a:endParaRPr lang="en-NZ" sz="14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rus.co.nz\Users\H\503592\Documents\1.%20Regulatory%20reference%20docs\CPP%20Financial%20Model%20-%20Calculation%20Modules%20-%20v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l-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hange log"/>
      <sheetName val="Model notes"/>
      <sheetName val="Error checks master"/>
      <sheetName val="IM compliance"/>
      <sheetName val="Direct inputs"/>
      <sheetName val="Module 1.0&gt;"/>
      <sheetName val="1.0 INPUTS"/>
      <sheetName val="1.0 RABx"/>
      <sheetName val="1.0 TAXx"/>
      <sheetName val="1.0 DTAXx"/>
      <sheetName val="1.0 BBARx"/>
      <sheetName val="1.0 MARx"/>
      <sheetName val="1.0 OUTPUTS"/>
      <sheetName val="Module 3.1&gt;"/>
      <sheetName val="3.1 NZIER indices"/>
      <sheetName val="Escalators"/>
      <sheetName val="3.1 CPI index"/>
      <sheetName val="Module 3.2&gt;"/>
      <sheetName val="3.2 Opex price escalation"/>
      <sheetName val="3.2 Opex aggregation"/>
      <sheetName val="Module 3.3&gt;"/>
      <sheetName val="3.3 Capex price escalation"/>
      <sheetName val="3.3 COF &amp; VCA"/>
      <sheetName val="Module 4.1&gt;"/>
      <sheetName val="4.1 RAB roll forward"/>
      <sheetName val="4.1 RAB proportionate invest"/>
      <sheetName val="Module 4.2&gt;"/>
      <sheetName val="4.2 Tax depreciation"/>
      <sheetName val="Module 4.3&gt;"/>
      <sheetName val="4.3 Initial differences"/>
      <sheetName val="Module 4.4&gt;"/>
      <sheetName val="4.4 RAB excl revals roll"/>
      <sheetName val="Module 4.5&gt;"/>
      <sheetName val="4.5 TCSD"/>
      <sheetName val="Reporting&gt;"/>
      <sheetName val="5.1 Rev change"/>
      <sheetName val="5.2 Live scenario"/>
      <sheetName val="5.3 Opex by portfolio"/>
      <sheetName val="5.4 Capex by portfolio"/>
      <sheetName val="5.5 Capex by asset type"/>
      <sheetName val="Schedule E table 1"/>
      <sheetName val="Schedule E table 2"/>
      <sheetName val="Schedule E table 3"/>
      <sheetName val="Schedule E table 4"/>
      <sheetName val="Schedule E table 5"/>
      <sheetName val="5.7 Capex Summary by Fleet"/>
      <sheetName val="Schedule E table 6"/>
      <sheetName val="Schedule E table 7"/>
      <sheetName val="Schedule E table 8"/>
      <sheetName val="Schedule E table 9"/>
      <sheetName val="S11a.Capex Forecast"/>
      <sheetName val="S11b.Opex Forecast"/>
      <sheetName val="FAMI Tables and chart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GPB data"/>
      <sheetName val="Timing"/>
      <sheetName val="Diag"/>
      <sheetName val="RAB"/>
      <sheetName val="Tax"/>
      <sheetName val="BBAR"/>
      <sheetName val="Rev"/>
      <sheetName val="MAR"/>
      <sheetName val="Outputs"/>
      <sheetName val="Outputs to Chartbook"/>
      <sheetName val="Notes"/>
    </sheetNames>
    <sheetDataSet>
      <sheetData sheetId="0"/>
      <sheetData sheetId="1"/>
      <sheetData sheetId="2"/>
      <sheetData sheetId="3">
        <row r="3">
          <cell r="C3" t="str">
            <v>Powerco</v>
          </cell>
        </row>
        <row r="22">
          <cell r="B22" t="str">
            <v>GasNet</v>
          </cell>
          <cell r="C22" t="str">
            <v>Powerco</v>
          </cell>
          <cell r="D22" t="str">
            <v>Vector</v>
          </cell>
          <cell r="E22" t="str">
            <v>First Gas distribution</v>
          </cell>
          <cell r="F22" t="str">
            <v>First Gas transmission</v>
          </cell>
        </row>
      </sheetData>
      <sheetData sheetId="4">
        <row r="4">
          <cell r="C4">
            <v>2</v>
          </cell>
        </row>
        <row r="7">
          <cell r="B7">
            <v>6.0699999999999997E-2</v>
          </cell>
        </row>
        <row r="16">
          <cell r="B16" t="b">
            <v>1</v>
          </cell>
        </row>
      </sheetData>
      <sheetData sheetId="5"/>
      <sheetData sheetId="6"/>
      <sheetData sheetId="7"/>
      <sheetData sheetId="8"/>
      <sheetData sheetId="9"/>
      <sheetData sheetId="10"/>
      <sheetData sheetId="11"/>
      <sheetData sheetId="12">
        <row r="44">
          <cell r="D44">
            <v>0.84655634101587696</v>
          </cell>
        </row>
      </sheetData>
      <sheetData sheetId="13"/>
      <sheetData sheetId="14"/>
    </sheetDataSet>
  </externalBook>
</externalLink>
</file>

<file path=xl/theme/theme1.xml><?xml version="1.0" encoding="utf-8"?>
<a:theme xmlns:a="http://schemas.openxmlformats.org/drawingml/2006/main" name="ThemeFM">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sites/default/files/docs/2003/09/4720-background_cepa_report_and_efficiency_dpcr300903.pdf" TargetMode="External"/><Relationship Id="rId2" Type="http://schemas.openxmlformats.org/officeDocument/2006/relationships/hyperlink" Target="https://www.ofgem.gov.uk/sites/default/files/docs/2003/09/4720-background_cepa_report_and_efficiency_dpcr300903.pdf" TargetMode="External"/><Relationship Id="rId1" Type="http://schemas.openxmlformats.org/officeDocument/2006/relationships/hyperlink" Target="https://comcom.govt.nz/regulated-industries/gas-pipelines/gas-pipelines-performance-and-data/information-disclosed-by-gas-pipeline-business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3675C-3CD2-431E-AF07-49D87A7F5E2F}">
  <sheetPr codeName="Sheet12">
    <pageSetUpPr fitToPage="1"/>
  </sheetPr>
  <dimension ref="A1:D16"/>
  <sheetViews>
    <sheetView showGridLines="0" view="pageBreakPreview" zoomScaleNormal="100" zoomScaleSheetLayoutView="100" workbookViewId="0"/>
  </sheetViews>
  <sheetFormatPr defaultColWidth="9.1328125" defaultRowHeight="14.25" x14ac:dyDescent="0.45"/>
  <cols>
    <col min="1" max="1" width="26.59765625" customWidth="1"/>
    <col min="2" max="2" width="43.1328125" customWidth="1"/>
    <col min="3" max="3" width="32.73046875" customWidth="1"/>
    <col min="4" max="4" width="32.265625" customWidth="1"/>
  </cols>
  <sheetData>
    <row r="1" spans="1:4" ht="15" customHeight="1" x14ac:dyDescent="0.45">
      <c r="A1" s="9"/>
      <c r="B1" s="10"/>
      <c r="C1" s="10"/>
      <c r="D1" s="11"/>
    </row>
    <row r="2" spans="1:4" ht="189" customHeight="1" x14ac:dyDescent="0.6">
      <c r="A2" s="20"/>
      <c r="D2" s="13"/>
    </row>
    <row r="3" spans="1:4" ht="22.5" customHeight="1" x14ac:dyDescent="0.75">
      <c r="A3" s="50" t="s">
        <v>171</v>
      </c>
      <c r="B3" s="14"/>
      <c r="C3" s="14"/>
      <c r="D3" s="15"/>
    </row>
    <row r="4" spans="1:4" ht="22.5" customHeight="1" x14ac:dyDescent="0.75">
      <c r="A4" s="50" t="s">
        <v>79</v>
      </c>
      <c r="B4" s="14"/>
      <c r="C4" s="14"/>
      <c r="D4" s="15"/>
    </row>
    <row r="5" spans="1:4" ht="22.5" customHeight="1" x14ac:dyDescent="0.75">
      <c r="A5" s="49" t="s">
        <v>173</v>
      </c>
      <c r="B5" s="14"/>
      <c r="C5" s="14"/>
      <c r="D5" s="15"/>
    </row>
    <row r="6" spans="1:4" ht="22.5" customHeight="1" x14ac:dyDescent="0.75">
      <c r="A6" s="49"/>
      <c r="B6" s="14"/>
      <c r="C6" s="14"/>
      <c r="D6" s="15"/>
    </row>
    <row r="7" spans="1:4" ht="42" customHeight="1" x14ac:dyDescent="0.45">
      <c r="A7" s="12"/>
      <c r="D7" s="13"/>
    </row>
    <row r="8" spans="1:4" ht="15" customHeight="1" x14ac:dyDescent="0.45">
      <c r="A8" s="12"/>
      <c r="D8" s="13"/>
    </row>
    <row r="9" spans="1:4" ht="15" customHeight="1" x14ac:dyDescent="0.45">
      <c r="A9" s="12"/>
      <c r="D9" s="13"/>
    </row>
    <row r="10" spans="1:4" ht="15" customHeight="1" x14ac:dyDescent="0.45">
      <c r="A10" s="12"/>
      <c r="D10" s="13"/>
    </row>
    <row r="11" spans="1:4" ht="15" customHeight="1" x14ac:dyDescent="0.45">
      <c r="A11" s="12"/>
      <c r="D11" s="13"/>
    </row>
    <row r="12" spans="1:4" ht="15" customHeight="1" x14ac:dyDescent="0.45">
      <c r="A12" s="12"/>
      <c r="D12" s="13"/>
    </row>
    <row r="13" spans="1:4" ht="15" customHeight="1" x14ac:dyDescent="0.45">
      <c r="A13" s="12"/>
      <c r="D13" s="13"/>
    </row>
    <row r="14" spans="1:4" ht="15" customHeight="1" x14ac:dyDescent="0.45">
      <c r="A14" s="12"/>
      <c r="D14" s="13"/>
    </row>
    <row r="15" spans="1:4" ht="15" customHeight="1" x14ac:dyDescent="0.45">
      <c r="A15" s="16"/>
      <c r="B15" s="17"/>
      <c r="C15" s="17"/>
      <c r="D15" s="18"/>
    </row>
    <row r="16" spans="1:4" ht="15" customHeight="1" x14ac:dyDescent="0.45">
      <c r="A16" s="19" t="s">
        <v>172</v>
      </c>
      <c r="B16" s="14"/>
      <c r="C16" s="14"/>
      <c r="D16" s="14"/>
    </row>
  </sheetData>
  <sheetProtection formatColumns="0" formatRows="0"/>
  <pageMargins left="0.70866141732283472" right="0.70866141732283472" top="0.74803149606299213" bottom="0.74803149606299213" header="0.31496062992125984" footer="0.31496062992125984"/>
  <pageSetup paperSize="9" scale="97" fitToHeight="0" orientation="landscape" r:id="rId1"/>
  <headerFoot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B722-1399-4CEE-A6CE-5241477F75ED}">
  <sheetPr codeName="Sheet1"/>
  <dimension ref="A1:C16"/>
  <sheetViews>
    <sheetView view="pageBreakPreview" zoomScaleNormal="100" zoomScaleSheetLayoutView="100" workbookViewId="0"/>
  </sheetViews>
  <sheetFormatPr defaultRowHeight="14.25" x14ac:dyDescent="0.45"/>
  <cols>
    <col min="2" max="2" width="19.1328125" customWidth="1"/>
    <col min="3" max="3" width="88" customWidth="1"/>
  </cols>
  <sheetData>
    <row r="1" spans="1:3" ht="25.5" x14ac:dyDescent="0.75">
      <c r="A1" s="48" t="s">
        <v>169</v>
      </c>
    </row>
    <row r="3" spans="1:3" ht="14.65" thickBot="1" x14ac:dyDescent="0.5"/>
    <row r="4" spans="1:3" ht="15.75" x14ac:dyDescent="0.5">
      <c r="B4" s="36" t="s">
        <v>166</v>
      </c>
      <c r="C4" s="37" t="s">
        <v>167</v>
      </c>
    </row>
    <row r="5" spans="1:3" x14ac:dyDescent="0.45">
      <c r="B5" s="38" t="s">
        <v>82</v>
      </c>
      <c r="C5" s="39" t="s">
        <v>82</v>
      </c>
    </row>
    <row r="6" spans="1:3" x14ac:dyDescent="0.45">
      <c r="B6" s="40"/>
      <c r="C6" s="41" t="s">
        <v>84</v>
      </c>
    </row>
    <row r="7" spans="1:3" x14ac:dyDescent="0.45">
      <c r="B7" s="40"/>
      <c r="C7" s="41" t="s">
        <v>92</v>
      </c>
    </row>
    <row r="8" spans="1:3" x14ac:dyDescent="0.45">
      <c r="B8" s="40"/>
      <c r="C8" s="41" t="s">
        <v>129</v>
      </c>
    </row>
    <row r="9" spans="1:3" x14ac:dyDescent="0.45">
      <c r="B9" s="42" t="s">
        <v>20</v>
      </c>
      <c r="C9" s="43" t="s">
        <v>20</v>
      </c>
    </row>
    <row r="10" spans="1:3" x14ac:dyDescent="0.45">
      <c r="B10" s="44"/>
      <c r="C10" s="45" t="s">
        <v>130</v>
      </c>
    </row>
    <row r="11" spans="1:3" x14ac:dyDescent="0.45">
      <c r="B11" s="44"/>
      <c r="C11" s="45" t="s">
        <v>134</v>
      </c>
    </row>
    <row r="12" spans="1:3" x14ac:dyDescent="0.45">
      <c r="B12" s="38" t="s">
        <v>159</v>
      </c>
      <c r="C12" s="39" t="s">
        <v>159</v>
      </c>
    </row>
    <row r="13" spans="1:3" x14ac:dyDescent="0.45">
      <c r="B13" s="40"/>
      <c r="C13" s="41" t="s">
        <v>164</v>
      </c>
    </row>
    <row r="14" spans="1:3" x14ac:dyDescent="0.45">
      <c r="B14" s="42" t="s">
        <v>168</v>
      </c>
      <c r="C14" s="43" t="s">
        <v>160</v>
      </c>
    </row>
    <row r="15" spans="1:3" x14ac:dyDescent="0.45">
      <c r="B15" s="44"/>
      <c r="C15" s="45" t="s">
        <v>165</v>
      </c>
    </row>
    <row r="16" spans="1:3" ht="14.65" thickBot="1" x14ac:dyDescent="0.5">
      <c r="B16" s="46"/>
      <c r="C16" s="47" t="s">
        <v>159</v>
      </c>
    </row>
  </sheetData>
  <hyperlinks>
    <hyperlink ref="C5" location="'Inputs'!$A$1" tooltip="Section title. Click once to follow" display="Inputs" xr:uid="{2459C6EA-6A3D-489D-8E82-CA259E29B3A3}"/>
    <hyperlink ref="C6" location="'Inputs'!$A$3" tooltip="Section subtitle. Click once to follow" display="Information Inputs" xr:uid="{5A4AAF80-A4C6-4A8F-BFF4-F39BBE655DCE}"/>
    <hyperlink ref="C7" location="'Inputs'!$A$12" tooltip="Section subtitle. Click once to follow" display="Information disclosed by gas distribution businesses" xr:uid="{0238E679-BD95-4C31-92F3-D47AB381ED91}"/>
    <hyperlink ref="C8" location="'Inputs'!$A$55" tooltip="Section subtitle. Click once to follow" display="Operating and performance indicators, Australian and New Zealand GDBs, AGN Benchmarking report" xr:uid="{8A6183BB-8979-4F59-99D3-2F7543C60FAE}"/>
    <hyperlink ref="C9" location="'Calculations'!$A$1" tooltip="Section title. Click once to follow" display="Calculations" xr:uid="{8BC6C731-71DB-4711-9057-E6C6D06E04F0}"/>
    <hyperlink ref="C10" location="'Calculations'!$A$3" tooltip="Section subtitle. Click once to follow" display="Operating and performance indicators, all New Zealand GDBs" xr:uid="{6896094D-2E46-4C60-B219-618BEDD4F8DF}"/>
    <hyperlink ref="C11" location="'Calculations'!$A$19" tooltip="Section subtitle. Click once to follow" display="OPEX NZD into $ AUD 2010 real terms " xr:uid="{D88B7B72-895B-4E2E-B2F5-9B8C3CCC9F19}"/>
    <hyperlink ref="C12" location="'Elasticity'!$A$1" tooltip="Section title. Click once to follow" display="Elasticity" xr:uid="{8E362B4A-2C46-4635-B91B-EAC25628981D}"/>
    <hyperlink ref="C13" location="'Elasticity'!$A$43" tooltip="Section subtitle. Click once to follow" display="Formula and weights" xr:uid="{34ECB4BC-C0CD-4AB3-8AFA-45882F31053A}"/>
    <hyperlink ref="C14" location="'Output'!$A$1" tooltip="Section title. Click once to follow" display="Outputs" xr:uid="{8AE4BA30-A7A2-484F-AC73-6339FA36DDA6}"/>
    <hyperlink ref="C15" location="'Output'!$A$3" tooltip="Section subtitle. Click once to follow" display="Gradient" xr:uid="{25EEDF21-AD6F-4580-8EF8-F3DA1548CD14}"/>
    <hyperlink ref="C16" location="'Output'!$A$6" tooltip="Section subtitle. Click once to follow" display="Elasticity" xr:uid="{093DAE13-113D-4D1E-B72F-75C1A528C1E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2CE5C-EC20-4BF2-B74C-EE2AB0A5D645}">
  <sheetPr codeName="Sheet2"/>
  <dimension ref="A1:F22"/>
  <sheetViews>
    <sheetView showGridLines="0" view="pageBreakPreview" zoomScaleNormal="100" zoomScaleSheetLayoutView="100" workbookViewId="0"/>
  </sheetViews>
  <sheetFormatPr defaultColWidth="9.1328125" defaultRowHeight="14.25" x14ac:dyDescent="0.45"/>
  <cols>
    <col min="1" max="1" width="4.3984375" customWidth="1"/>
    <col min="2" max="2" width="3.1328125" customWidth="1"/>
    <col min="3" max="3" width="25.265625" customWidth="1"/>
    <col min="4" max="4" width="64.1328125" customWidth="1"/>
    <col min="5" max="5" width="13.265625" customWidth="1"/>
    <col min="6" max="6" width="19.1328125" customWidth="1"/>
    <col min="7" max="7" width="2.73046875" customWidth="1"/>
  </cols>
  <sheetData>
    <row r="1" spans="1:6" ht="25.5" x14ac:dyDescent="0.75">
      <c r="A1" s="21" t="s">
        <v>153</v>
      </c>
    </row>
    <row r="3" spans="1:6" ht="19.5" x14ac:dyDescent="0.6">
      <c r="A3" s="22" t="s">
        <v>80</v>
      </c>
    </row>
    <row r="4" spans="1:6" ht="50.25" customHeight="1" x14ac:dyDescent="0.45">
      <c r="B4" s="51" t="s">
        <v>154</v>
      </c>
      <c r="C4" s="51"/>
      <c r="D4" s="51"/>
      <c r="E4" s="51"/>
      <c r="F4" s="51"/>
    </row>
    <row r="5" spans="1:6" x14ac:dyDescent="0.45">
      <c r="B5" s="23" t="s">
        <v>81</v>
      </c>
      <c r="C5" s="24"/>
    </row>
    <row r="6" spans="1:6" ht="32.25" customHeight="1" x14ac:dyDescent="0.45">
      <c r="B6" s="51" t="s">
        <v>155</v>
      </c>
      <c r="C6" s="51"/>
      <c r="D6" s="51"/>
      <c r="E6" s="51"/>
      <c r="F6" s="51"/>
    </row>
    <row r="10" spans="1:6" ht="19.5" x14ac:dyDescent="0.6">
      <c r="A10" s="25"/>
    </row>
    <row r="11" spans="1:6" ht="32.25" customHeight="1" x14ac:dyDescent="0.45">
      <c r="B11" s="26"/>
      <c r="C11" s="52"/>
      <c r="D11" s="52"/>
      <c r="E11" s="52"/>
      <c r="F11" s="52"/>
    </row>
    <row r="12" spans="1:6" ht="33.75" customHeight="1" x14ac:dyDescent="0.45">
      <c r="B12" s="26"/>
      <c r="C12" s="52"/>
      <c r="D12" s="52"/>
      <c r="E12" s="52"/>
      <c r="F12" s="52"/>
    </row>
    <row r="13" spans="1:6" x14ac:dyDescent="0.45">
      <c r="B13" s="26"/>
    </row>
    <row r="14" spans="1:6" ht="30.75" customHeight="1" x14ac:dyDescent="0.45">
      <c r="B14" s="26"/>
      <c r="C14" s="52"/>
      <c r="D14" s="52"/>
      <c r="E14" s="52"/>
      <c r="F14" s="52"/>
    </row>
    <row r="15" spans="1:6" x14ac:dyDescent="0.45">
      <c r="B15" s="26"/>
    </row>
    <row r="16" spans="1:6" x14ac:dyDescent="0.45">
      <c r="B16" s="26"/>
    </row>
    <row r="17" spans="2:2" x14ac:dyDescent="0.45">
      <c r="B17" s="26"/>
    </row>
    <row r="18" spans="2:2" x14ac:dyDescent="0.45">
      <c r="B18" s="26"/>
    </row>
    <row r="19" spans="2:2" x14ac:dyDescent="0.45">
      <c r="B19" s="26"/>
    </row>
    <row r="20" spans="2:2" x14ac:dyDescent="0.45">
      <c r="B20" s="26"/>
    </row>
    <row r="21" spans="2:2" x14ac:dyDescent="0.45">
      <c r="B21" s="26"/>
    </row>
    <row r="22" spans="2:2" x14ac:dyDescent="0.45">
      <c r="B22" s="26"/>
    </row>
  </sheetData>
  <mergeCells count="5">
    <mergeCell ref="B4:F4"/>
    <mergeCell ref="B6:F6"/>
    <mergeCell ref="C14:F14"/>
    <mergeCell ref="C11:F11"/>
    <mergeCell ref="C12:F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48952-C8D8-4D97-AB72-5CD92FFB2B1C}">
  <sheetPr codeName="Sheet3"/>
  <dimension ref="A1:S134"/>
  <sheetViews>
    <sheetView showGridLines="0" view="pageBreakPreview" topLeftCell="A46" zoomScaleNormal="100" zoomScaleSheetLayoutView="100" workbookViewId="0">
      <selection activeCell="A58" sqref="A58:A71"/>
    </sheetView>
  </sheetViews>
  <sheetFormatPr defaultRowHeight="14.25" x14ac:dyDescent="0.45"/>
  <cols>
    <col min="1" max="1" width="61.265625" bestFit="1" customWidth="1"/>
    <col min="2" max="2" width="10.59765625" customWidth="1"/>
    <col min="3" max="3" width="13" customWidth="1"/>
    <col min="5" max="5" width="10.59765625" customWidth="1"/>
  </cols>
  <sheetData>
    <row r="1" spans="1:19" ht="25.5" x14ac:dyDescent="0.75">
      <c r="A1" s="53" t="s">
        <v>82</v>
      </c>
    </row>
    <row r="3" spans="1:19" ht="18" x14ac:dyDescent="0.55000000000000004">
      <c r="A3" s="54" t="s">
        <v>84</v>
      </c>
      <c r="B3" s="29"/>
      <c r="C3" s="29"/>
      <c r="D3" s="29"/>
      <c r="E3" s="29"/>
      <c r="F3" s="29"/>
      <c r="G3" s="29"/>
      <c r="H3" s="29"/>
      <c r="I3" s="29"/>
      <c r="J3" s="29"/>
      <c r="K3" s="29"/>
      <c r="L3" s="29"/>
      <c r="M3" s="29"/>
      <c r="N3" s="29"/>
      <c r="O3" s="29"/>
      <c r="P3" s="29"/>
      <c r="Q3" s="29"/>
      <c r="R3" s="29"/>
      <c r="S3" s="29"/>
    </row>
    <row r="4" spans="1:19" x14ac:dyDescent="0.45">
      <c r="A4" s="55" t="s">
        <v>85</v>
      </c>
      <c r="B4" s="55" t="s">
        <v>86</v>
      </c>
      <c r="C4" s="60"/>
      <c r="D4" s="61"/>
      <c r="E4" s="61"/>
      <c r="F4" s="61"/>
      <c r="G4" s="61"/>
      <c r="H4" s="61"/>
      <c r="I4" s="61"/>
      <c r="J4" s="61"/>
      <c r="K4" s="61"/>
      <c r="L4" s="61"/>
      <c r="M4" s="61"/>
      <c r="N4" s="61"/>
      <c r="O4" s="61"/>
      <c r="P4" s="61"/>
      <c r="Q4" s="61"/>
      <c r="R4" s="61"/>
      <c r="S4" s="61"/>
    </row>
    <row r="5" spans="1:19" ht="29.45" customHeight="1" x14ac:dyDescent="0.45">
      <c r="A5" s="58" t="s">
        <v>152</v>
      </c>
      <c r="B5" s="57" t="s">
        <v>15</v>
      </c>
      <c r="C5" s="57"/>
      <c r="D5" s="57"/>
      <c r="E5" s="57"/>
      <c r="F5" s="57"/>
      <c r="G5" s="57"/>
      <c r="H5" s="57"/>
      <c r="I5" s="57"/>
      <c r="J5" s="57"/>
      <c r="K5" s="57"/>
      <c r="L5" s="57"/>
      <c r="M5" s="57"/>
      <c r="N5" s="57"/>
      <c r="O5" s="57"/>
      <c r="P5" s="57"/>
      <c r="Q5" s="57"/>
      <c r="R5" s="57"/>
      <c r="S5" s="57"/>
    </row>
    <row r="6" spans="1:19" ht="29.45" customHeight="1" x14ac:dyDescent="0.45">
      <c r="A6" s="58" t="s">
        <v>88</v>
      </c>
      <c r="B6" s="59" t="s">
        <v>83</v>
      </c>
      <c r="C6" s="57"/>
      <c r="D6" s="57"/>
      <c r="E6" s="57"/>
      <c r="F6" s="57"/>
      <c r="G6" s="57"/>
      <c r="H6" s="57"/>
      <c r="I6" s="57"/>
      <c r="J6" s="57"/>
      <c r="K6" s="57"/>
      <c r="L6" s="57"/>
      <c r="M6" s="57"/>
      <c r="N6" s="57"/>
      <c r="O6" s="57"/>
      <c r="P6" s="57"/>
      <c r="Q6" s="57"/>
      <c r="R6" s="57"/>
      <c r="S6" s="57"/>
    </row>
    <row r="7" spans="1:19" ht="29.45" customHeight="1" x14ac:dyDescent="0.45">
      <c r="A7" s="58" t="s">
        <v>26</v>
      </c>
      <c r="B7" s="57" t="s">
        <v>25</v>
      </c>
      <c r="C7" s="57"/>
      <c r="D7" s="57"/>
      <c r="E7" s="57"/>
      <c r="F7" s="57"/>
      <c r="G7" s="57"/>
      <c r="H7" s="57"/>
      <c r="I7" s="57"/>
      <c r="J7" s="57"/>
      <c r="K7" s="57"/>
      <c r="L7" s="57"/>
      <c r="M7" s="57"/>
      <c r="N7" s="57"/>
      <c r="O7" s="57"/>
      <c r="P7" s="57"/>
      <c r="Q7" s="57"/>
      <c r="R7" s="57"/>
      <c r="S7" s="57"/>
    </row>
    <row r="8" spans="1:19" ht="29.45" customHeight="1" x14ac:dyDescent="0.45">
      <c r="A8" s="58" t="s">
        <v>90</v>
      </c>
      <c r="B8" s="57" t="s">
        <v>89</v>
      </c>
      <c r="C8" s="57"/>
      <c r="D8" s="57"/>
      <c r="E8" s="57"/>
      <c r="F8" s="57"/>
      <c r="G8" s="57"/>
      <c r="H8" s="57"/>
      <c r="I8" s="57"/>
      <c r="J8" s="57"/>
      <c r="K8" s="57"/>
      <c r="L8" s="57"/>
      <c r="M8" s="57"/>
      <c r="N8" s="57"/>
      <c r="O8" s="57"/>
      <c r="P8" s="57"/>
      <c r="Q8" s="57"/>
      <c r="R8" s="57"/>
      <c r="S8" s="57"/>
    </row>
    <row r="9" spans="1:19" ht="29.45" customHeight="1" x14ac:dyDescent="0.45">
      <c r="A9" s="58" t="s">
        <v>91</v>
      </c>
      <c r="B9" s="57" t="s">
        <v>87</v>
      </c>
      <c r="C9" s="57"/>
      <c r="D9" s="57"/>
      <c r="E9" s="57"/>
      <c r="F9" s="57"/>
      <c r="G9" s="57"/>
      <c r="H9" s="57"/>
      <c r="I9" s="57"/>
      <c r="J9" s="57"/>
      <c r="K9" s="57"/>
      <c r="L9" s="57"/>
      <c r="M9" s="57"/>
      <c r="N9" s="57"/>
      <c r="O9" s="57"/>
      <c r="P9" s="57"/>
      <c r="Q9" s="57"/>
      <c r="R9" s="57"/>
      <c r="S9" s="57"/>
    </row>
    <row r="12" spans="1:19" ht="19.5" x14ac:dyDescent="0.6">
      <c r="A12" s="54" t="s">
        <v>92</v>
      </c>
      <c r="B12" s="25"/>
      <c r="C12" s="25"/>
      <c r="D12" s="25"/>
      <c r="E12" s="25"/>
      <c r="F12" s="25"/>
      <c r="G12" s="29"/>
    </row>
    <row r="13" spans="1:19" ht="19.5" x14ac:dyDescent="0.6">
      <c r="A13" s="54"/>
      <c r="B13" s="25"/>
      <c r="C13" s="25"/>
      <c r="D13" s="25"/>
      <c r="E13" s="25"/>
      <c r="F13" s="25"/>
      <c r="G13" s="29"/>
    </row>
    <row r="14" spans="1:19" ht="18" x14ac:dyDescent="0.55000000000000004">
      <c r="A14" s="54" t="s">
        <v>3</v>
      </c>
      <c r="B14" s="32" t="s">
        <v>1</v>
      </c>
      <c r="C14" s="32" t="s">
        <v>12</v>
      </c>
      <c r="D14" s="32" t="s">
        <v>16</v>
      </c>
      <c r="E14" s="32" t="s">
        <v>93</v>
      </c>
      <c r="F14" s="32"/>
    </row>
    <row r="15" spans="1:19" x14ac:dyDescent="0.45">
      <c r="A15" s="56" t="s">
        <v>94</v>
      </c>
      <c r="B15" s="62">
        <v>1151</v>
      </c>
      <c r="C15" s="62">
        <v>8744.9068540000007</v>
      </c>
      <c r="D15" s="62"/>
      <c r="E15" s="62"/>
      <c r="F15" s="56"/>
    </row>
    <row r="16" spans="1:19" x14ac:dyDescent="0.45">
      <c r="A16" s="56" t="s">
        <v>95</v>
      </c>
      <c r="B16" s="62">
        <v>1106</v>
      </c>
      <c r="C16" s="62">
        <v>8902.9521080000013</v>
      </c>
      <c r="D16" s="62"/>
      <c r="E16" s="62"/>
      <c r="F16" s="56"/>
    </row>
    <row r="17" spans="1:6" x14ac:dyDescent="0.45">
      <c r="A17" s="56" t="s">
        <v>96</v>
      </c>
      <c r="B17" s="62">
        <v>1125</v>
      </c>
      <c r="C17" s="62">
        <v>9168.8722290000005</v>
      </c>
      <c r="D17" s="62"/>
      <c r="E17" s="62"/>
      <c r="F17" s="56"/>
    </row>
    <row r="18" spans="1:6" x14ac:dyDescent="0.45">
      <c r="A18" s="56" t="s">
        <v>97</v>
      </c>
      <c r="B18" s="62">
        <v>1257</v>
      </c>
      <c r="C18" s="62">
        <v>8438.4160929999998</v>
      </c>
      <c r="D18" s="62">
        <v>13690.609142400001</v>
      </c>
      <c r="E18" s="62">
        <v>9073.5983063999993</v>
      </c>
      <c r="F18" s="56"/>
    </row>
    <row r="19" spans="1:6" x14ac:dyDescent="0.45">
      <c r="A19" s="56" t="s">
        <v>98</v>
      </c>
      <c r="B19" s="62">
        <v>1258</v>
      </c>
      <c r="C19" s="62">
        <v>8723.2850020000005</v>
      </c>
      <c r="D19" s="62">
        <v>14116.5462276</v>
      </c>
      <c r="E19" s="62">
        <v>11031.33724576285</v>
      </c>
      <c r="F19" s="56"/>
    </row>
    <row r="20" spans="1:6" x14ac:dyDescent="0.45">
      <c r="A20" s="56" t="s">
        <v>99</v>
      </c>
      <c r="B20" s="62">
        <v>1224</v>
      </c>
      <c r="C20" s="62">
        <v>8695.5491350000011</v>
      </c>
      <c r="D20" s="62">
        <v>14278.384908</v>
      </c>
      <c r="E20" s="62">
        <v>8908.3369965775782</v>
      </c>
      <c r="F20" s="56"/>
    </row>
    <row r="21" spans="1:6" x14ac:dyDescent="0.45">
      <c r="A21" s="56" t="s">
        <v>100</v>
      </c>
      <c r="B21" s="62">
        <v>1273</v>
      </c>
      <c r="C21" s="62">
        <v>8853.4477369999986</v>
      </c>
      <c r="D21" s="62">
        <v>14394.3888204</v>
      </c>
      <c r="E21" s="62">
        <v>9112.6080827270998</v>
      </c>
      <c r="F21" s="56"/>
    </row>
    <row r="22" spans="1:6" x14ac:dyDescent="0.45">
      <c r="A22" s="56" t="s">
        <v>101</v>
      </c>
      <c r="B22" s="62">
        <v>1283.5889380000001</v>
      </c>
      <c r="C22" s="62">
        <v>8802.3530759999994</v>
      </c>
      <c r="D22" s="62">
        <v>14103.331442964</v>
      </c>
      <c r="E22" s="62">
        <v>9410.4105543219157</v>
      </c>
      <c r="F22" s="56"/>
    </row>
    <row r="24" spans="1:6" ht="18.399999999999999" thickBot="1" x14ac:dyDescent="0.6">
      <c r="A24" s="54" t="s">
        <v>110</v>
      </c>
      <c r="B24" s="32" t="s">
        <v>1</v>
      </c>
      <c r="C24" s="32" t="s">
        <v>12</v>
      </c>
      <c r="D24" s="32" t="s">
        <v>16</v>
      </c>
      <c r="E24" s="32" t="s">
        <v>93</v>
      </c>
      <c r="F24" s="30"/>
    </row>
    <row r="25" spans="1:6" ht="14.65" thickTop="1" x14ac:dyDescent="0.45">
      <c r="A25" s="64" t="s">
        <v>102</v>
      </c>
      <c r="B25" s="65">
        <v>10229</v>
      </c>
      <c r="C25" s="65">
        <v>103020</v>
      </c>
      <c r="D25" s="65"/>
      <c r="E25" s="65"/>
    </row>
    <row r="26" spans="1:6" x14ac:dyDescent="0.45">
      <c r="A26" s="64" t="s">
        <v>108</v>
      </c>
      <c r="B26" s="65">
        <v>10216</v>
      </c>
      <c r="C26" s="65">
        <v>103076</v>
      </c>
      <c r="D26" s="65"/>
      <c r="E26" s="65"/>
    </row>
    <row r="27" spans="1:6" x14ac:dyDescent="0.45">
      <c r="A27" s="64" t="s">
        <v>109</v>
      </c>
      <c r="B27" s="65">
        <v>9904</v>
      </c>
      <c r="C27" s="65">
        <v>103869</v>
      </c>
      <c r="D27" s="65"/>
      <c r="E27" s="65"/>
    </row>
    <row r="28" spans="1:6" x14ac:dyDescent="0.45">
      <c r="A28" s="64" t="s">
        <v>103</v>
      </c>
      <c r="B28" s="65">
        <v>9891</v>
      </c>
      <c r="C28" s="65">
        <v>104808</v>
      </c>
      <c r="D28" s="65">
        <v>103042</v>
      </c>
      <c r="E28" s="65">
        <v>61944</v>
      </c>
    </row>
    <row r="29" spans="1:6" x14ac:dyDescent="0.45">
      <c r="A29" s="64" t="s">
        <v>104</v>
      </c>
      <c r="B29" s="65">
        <v>9903</v>
      </c>
      <c r="C29" s="65">
        <v>106005.5</v>
      </c>
      <c r="D29" s="65">
        <v>105862</v>
      </c>
      <c r="E29" s="65">
        <v>62162</v>
      </c>
    </row>
    <row r="30" spans="1:6" x14ac:dyDescent="0.45">
      <c r="A30" s="64" t="s">
        <v>105</v>
      </c>
      <c r="B30" s="65">
        <v>9929</v>
      </c>
      <c r="C30" s="65">
        <v>107595.5</v>
      </c>
      <c r="D30" s="65">
        <v>108260</v>
      </c>
      <c r="E30" s="65">
        <v>63159</v>
      </c>
    </row>
    <row r="31" spans="1:6" x14ac:dyDescent="0.45">
      <c r="A31" s="64" t="s">
        <v>106</v>
      </c>
      <c r="B31" s="65">
        <v>10019</v>
      </c>
      <c r="C31" s="65">
        <v>109289.5</v>
      </c>
      <c r="D31" s="65">
        <v>110491</v>
      </c>
      <c r="E31" s="65">
        <v>64021</v>
      </c>
    </row>
    <row r="32" spans="1:6" x14ac:dyDescent="0.45">
      <c r="A32" s="64" t="s">
        <v>107</v>
      </c>
      <c r="B32" s="65">
        <v>10057</v>
      </c>
      <c r="C32" s="65">
        <v>110877</v>
      </c>
      <c r="D32" s="65">
        <v>113027</v>
      </c>
      <c r="E32" s="65">
        <v>64898</v>
      </c>
    </row>
    <row r="34" spans="1:6" ht="18.399999999999999" thickBot="1" x14ac:dyDescent="0.6">
      <c r="A34" s="54" t="s">
        <v>132</v>
      </c>
      <c r="B34" s="32" t="s">
        <v>1</v>
      </c>
      <c r="C34" s="32" t="s">
        <v>12</v>
      </c>
      <c r="D34" s="32" t="s">
        <v>16</v>
      </c>
      <c r="E34" s="32" t="s">
        <v>93</v>
      </c>
      <c r="F34" s="30"/>
    </row>
    <row r="35" spans="1:6" ht="14.65" thickTop="1" x14ac:dyDescent="0.45">
      <c r="A35" s="64" t="s">
        <v>111</v>
      </c>
      <c r="B35" s="65">
        <v>645.00800000000004</v>
      </c>
      <c r="C35" s="65">
        <v>5738.1347430336782</v>
      </c>
      <c r="D35" s="65"/>
      <c r="E35" s="65"/>
    </row>
    <row r="36" spans="1:6" x14ac:dyDescent="0.45">
      <c r="A36" s="64" t="s">
        <v>112</v>
      </c>
      <c r="B36" s="65">
        <v>657</v>
      </c>
      <c r="C36" s="65">
        <v>5779.1931791610004</v>
      </c>
      <c r="D36" s="65"/>
      <c r="E36" s="65"/>
    </row>
    <row r="37" spans="1:6" x14ac:dyDescent="0.45">
      <c r="A37" s="64" t="s">
        <v>113</v>
      </c>
      <c r="B37" s="65">
        <v>659</v>
      </c>
      <c r="C37" s="65">
        <v>5815.15</v>
      </c>
      <c r="D37" s="65"/>
      <c r="E37" s="65"/>
    </row>
    <row r="38" spans="1:6" x14ac:dyDescent="0.45">
      <c r="A38" s="64" t="s">
        <v>114</v>
      </c>
      <c r="B38" s="65">
        <v>662</v>
      </c>
      <c r="C38" s="65">
        <v>5882.6909999999998</v>
      </c>
      <c r="D38" s="65">
        <v>6399.0959999999995</v>
      </c>
      <c r="E38" s="65">
        <v>4523</v>
      </c>
    </row>
    <row r="39" spans="1:6" x14ac:dyDescent="0.45">
      <c r="A39" s="64" t="s">
        <v>115</v>
      </c>
      <c r="B39" s="65">
        <v>664</v>
      </c>
      <c r="C39" s="65">
        <v>5941.0099529999998</v>
      </c>
      <c r="D39" s="65">
        <v>6534.8389999999999</v>
      </c>
      <c r="E39" s="65">
        <v>4637.9059999999999</v>
      </c>
    </row>
    <row r="40" spans="1:6" x14ac:dyDescent="0.45">
      <c r="A40" s="64" t="s">
        <v>116</v>
      </c>
      <c r="B40" s="65">
        <v>670</v>
      </c>
      <c r="C40" s="65">
        <v>5997.1569890000001</v>
      </c>
      <c r="D40" s="65">
        <v>6660.19</v>
      </c>
      <c r="E40" s="65">
        <v>4717</v>
      </c>
    </row>
    <row r="41" spans="1:6" x14ac:dyDescent="0.45">
      <c r="A41" s="64" t="s">
        <v>117</v>
      </c>
      <c r="B41" s="65">
        <v>674</v>
      </c>
      <c r="C41" s="65">
        <v>6052.6710999999996</v>
      </c>
      <c r="D41" s="65">
        <v>6733.304000000001</v>
      </c>
      <c r="E41" s="65">
        <v>4801</v>
      </c>
    </row>
    <row r="42" spans="1:6" x14ac:dyDescent="0.45">
      <c r="A42" s="64" t="s">
        <v>118</v>
      </c>
      <c r="B42" s="65">
        <v>671</v>
      </c>
      <c r="C42" s="65">
        <v>6070.2633400000004</v>
      </c>
      <c r="D42" s="65">
        <v>6820.9670000000006</v>
      </c>
      <c r="E42" s="65">
        <v>4857</v>
      </c>
    </row>
    <row r="44" spans="1:6" ht="18.399999999999999" thickBot="1" x14ac:dyDescent="0.6">
      <c r="A44" s="54" t="s">
        <v>127</v>
      </c>
      <c r="B44" s="32" t="s">
        <v>1</v>
      </c>
      <c r="C44" s="32" t="s">
        <v>12</v>
      </c>
      <c r="D44" s="32" t="s">
        <v>16</v>
      </c>
      <c r="E44" s="32" t="s">
        <v>93</v>
      </c>
      <c r="F44" s="30"/>
    </row>
    <row r="45" spans="1:6" ht="14.65" thickTop="1" x14ac:dyDescent="0.45">
      <c r="A45" s="64" t="s">
        <v>119</v>
      </c>
      <c r="B45" s="65">
        <v>1622</v>
      </c>
      <c r="C45" s="65">
        <v>14303.72070220215</v>
      </c>
      <c r="D45" s="65"/>
      <c r="E45" s="65"/>
    </row>
    <row r="46" spans="1:6" x14ac:dyDescent="0.45">
      <c r="A46" s="64" t="s">
        <v>120</v>
      </c>
      <c r="B46" s="65">
        <v>1560</v>
      </c>
      <c r="C46" s="65">
        <v>15190.942931212099</v>
      </c>
      <c r="D46" s="65"/>
      <c r="E46" s="65"/>
    </row>
    <row r="47" spans="1:6" x14ac:dyDescent="0.45">
      <c r="A47" s="64" t="s">
        <v>121</v>
      </c>
      <c r="B47" s="65">
        <v>1579</v>
      </c>
      <c r="C47" s="65">
        <v>15479.824946242319</v>
      </c>
      <c r="D47" s="65"/>
      <c r="E47" s="65"/>
    </row>
    <row r="48" spans="1:6" x14ac:dyDescent="0.45">
      <c r="A48" s="64" t="s">
        <v>122</v>
      </c>
      <c r="B48" s="65">
        <v>1576</v>
      </c>
      <c r="C48" s="65">
        <v>16236.116937730711</v>
      </c>
      <c r="D48" s="65">
        <v>10521</v>
      </c>
      <c r="E48" s="66">
        <v>6775</v>
      </c>
    </row>
    <row r="49" spans="1:12" x14ac:dyDescent="0.45">
      <c r="A49" s="64" t="s">
        <v>123</v>
      </c>
      <c r="B49" s="65">
        <v>1536</v>
      </c>
      <c r="C49" s="65">
        <v>15438.290333239391</v>
      </c>
      <c r="D49" s="65">
        <v>11688</v>
      </c>
      <c r="E49" s="66">
        <v>9623.9500494700005</v>
      </c>
    </row>
    <row r="50" spans="1:12" x14ac:dyDescent="0.45">
      <c r="A50" s="64" t="s">
        <v>124</v>
      </c>
      <c r="B50" s="65">
        <v>1754</v>
      </c>
      <c r="C50" s="65">
        <v>14914.934235609689</v>
      </c>
      <c r="D50" s="65">
        <v>11387.61</v>
      </c>
      <c r="E50" s="66">
        <v>9995.6906000283088</v>
      </c>
    </row>
    <row r="51" spans="1:12" x14ac:dyDescent="0.45">
      <c r="A51" s="64" t="s">
        <v>125</v>
      </c>
      <c r="B51" s="65">
        <v>1767</v>
      </c>
      <c r="C51" s="65">
        <v>16060.826106277769</v>
      </c>
      <c r="D51" s="65">
        <v>13027</v>
      </c>
      <c r="E51" s="66">
        <v>6999.30505311871</v>
      </c>
    </row>
    <row r="52" spans="1:12" x14ac:dyDescent="0.45">
      <c r="A52" s="64" t="s">
        <v>126</v>
      </c>
      <c r="B52" s="65">
        <v>2311</v>
      </c>
      <c r="C52" s="65">
        <v>17945.91086</v>
      </c>
      <c r="D52" s="65">
        <v>13093</v>
      </c>
      <c r="E52" s="66">
        <v>8363.8707919701446</v>
      </c>
    </row>
    <row r="55" spans="1:12" ht="19.5" x14ac:dyDescent="0.6">
      <c r="A55" s="54" t="s">
        <v>129</v>
      </c>
      <c r="B55" s="25"/>
      <c r="C55" s="25"/>
      <c r="D55" s="25"/>
      <c r="E55" s="25"/>
      <c r="F55" s="25"/>
    </row>
    <row r="56" spans="1:12" ht="40.15" customHeight="1" x14ac:dyDescent="0.45">
      <c r="A56" s="75" t="s">
        <v>19</v>
      </c>
      <c r="B56" s="89" t="s">
        <v>83</v>
      </c>
      <c r="C56" s="89"/>
      <c r="D56" s="89"/>
      <c r="E56" s="89"/>
      <c r="F56" s="89"/>
    </row>
    <row r="57" spans="1:12" ht="31.9" customHeight="1" x14ac:dyDescent="0.45">
      <c r="A57" s="76" t="s">
        <v>128</v>
      </c>
      <c r="B57" s="76"/>
      <c r="C57" s="76"/>
      <c r="D57" s="76"/>
      <c r="E57" s="76"/>
      <c r="F57" s="76"/>
    </row>
    <row r="58" spans="1:12" x14ac:dyDescent="0.45">
      <c r="A58" s="77" t="s">
        <v>7</v>
      </c>
      <c r="B58" s="77" t="s">
        <v>46</v>
      </c>
      <c r="C58" s="78" t="s">
        <v>8</v>
      </c>
      <c r="D58" s="78" t="s">
        <v>4</v>
      </c>
      <c r="E58" s="78" t="s">
        <v>9</v>
      </c>
      <c r="F58" s="78" t="s">
        <v>5</v>
      </c>
      <c r="G58" s="78" t="s">
        <v>10</v>
      </c>
      <c r="H58" s="78" t="s">
        <v>2</v>
      </c>
      <c r="I58" s="78" t="s">
        <v>11</v>
      </c>
      <c r="J58" s="78" t="s">
        <v>47</v>
      </c>
      <c r="K58" s="78" t="s">
        <v>48</v>
      </c>
      <c r="L58" s="78" t="s">
        <v>49</v>
      </c>
    </row>
    <row r="59" spans="1:12" x14ac:dyDescent="0.45">
      <c r="A59" s="79" t="s">
        <v>55</v>
      </c>
      <c r="B59" s="79" t="s">
        <v>56</v>
      </c>
      <c r="C59" s="79" t="s">
        <v>57</v>
      </c>
      <c r="D59" s="80">
        <v>2646</v>
      </c>
      <c r="E59" s="80">
        <v>21371</v>
      </c>
      <c r="F59" s="79">
        <v>394</v>
      </c>
      <c r="G59" s="79">
        <v>54</v>
      </c>
      <c r="H59" s="79">
        <v>6.7</v>
      </c>
      <c r="I59" s="79">
        <v>0.124</v>
      </c>
      <c r="J59" s="79">
        <v>764</v>
      </c>
      <c r="K59" s="79">
        <v>94</v>
      </c>
      <c r="L59" s="80">
        <v>5125</v>
      </c>
    </row>
    <row r="60" spans="1:12" x14ac:dyDescent="0.45">
      <c r="A60" s="79" t="s">
        <v>55</v>
      </c>
      <c r="B60" s="79" t="s">
        <v>58</v>
      </c>
      <c r="C60" s="79" t="s">
        <v>14</v>
      </c>
      <c r="D60" s="80">
        <v>56374</v>
      </c>
      <c r="E60" s="80">
        <v>630330</v>
      </c>
      <c r="F60" s="80">
        <v>10829</v>
      </c>
      <c r="G60" s="79">
        <v>58</v>
      </c>
      <c r="H60" s="79">
        <v>5.2</v>
      </c>
      <c r="I60" s="79">
        <v>8.8999999999999996E-2</v>
      </c>
      <c r="J60" s="79">
        <v>952</v>
      </c>
      <c r="K60" s="79">
        <v>85</v>
      </c>
      <c r="L60" s="80">
        <v>4946</v>
      </c>
    </row>
    <row r="61" spans="1:12" x14ac:dyDescent="0.45">
      <c r="A61" s="79" t="s">
        <v>59</v>
      </c>
      <c r="B61" s="79"/>
      <c r="C61" s="79" t="s">
        <v>14</v>
      </c>
      <c r="D61" s="80">
        <v>56219</v>
      </c>
      <c r="E61" s="80">
        <v>693278</v>
      </c>
      <c r="F61" s="80">
        <v>10159</v>
      </c>
      <c r="G61" s="79">
        <v>68</v>
      </c>
      <c r="H61" s="79">
        <v>5.5</v>
      </c>
      <c r="I61" s="79">
        <v>8.1000000000000003E-2</v>
      </c>
      <c r="J61" s="79">
        <v>981</v>
      </c>
      <c r="K61" s="79">
        <v>80</v>
      </c>
      <c r="L61" s="80">
        <v>5423</v>
      </c>
    </row>
    <row r="62" spans="1:12" x14ac:dyDescent="0.45">
      <c r="A62" s="79" t="s">
        <v>60</v>
      </c>
      <c r="B62" s="79"/>
      <c r="C62" s="79" t="s">
        <v>61</v>
      </c>
      <c r="D62" s="80">
        <v>65691</v>
      </c>
      <c r="E62" s="80">
        <v>682921</v>
      </c>
      <c r="F62" s="80">
        <v>11513</v>
      </c>
      <c r="G62" s="79">
        <v>59</v>
      </c>
      <c r="H62" s="79">
        <v>5.7</v>
      </c>
      <c r="I62" s="79">
        <v>9.6000000000000002E-2</v>
      </c>
      <c r="J62" s="79">
        <v>705</v>
      </c>
      <c r="K62" s="79">
        <v>68</v>
      </c>
      <c r="L62" s="80">
        <v>4020</v>
      </c>
    </row>
    <row r="63" spans="1:12" x14ac:dyDescent="0.45">
      <c r="A63" s="79" t="s">
        <v>55</v>
      </c>
      <c r="B63" s="79" t="s">
        <v>62</v>
      </c>
      <c r="C63" s="79" t="s">
        <v>61</v>
      </c>
      <c r="D63" s="80">
        <v>22334</v>
      </c>
      <c r="E63" s="80">
        <v>442298</v>
      </c>
      <c r="F63" s="80">
        <v>8210</v>
      </c>
      <c r="G63" s="79">
        <v>54</v>
      </c>
      <c r="H63" s="79">
        <v>2.7</v>
      </c>
      <c r="I63" s="79">
        <v>5.0999999999999997E-2</v>
      </c>
      <c r="J63" s="80">
        <v>2174</v>
      </c>
      <c r="K63" s="79">
        <v>110</v>
      </c>
      <c r="L63" s="80">
        <v>5920</v>
      </c>
    </row>
    <row r="64" spans="1:12" x14ac:dyDescent="0.45">
      <c r="A64" s="79" t="s">
        <v>55</v>
      </c>
      <c r="B64" s="79" t="s">
        <v>63</v>
      </c>
      <c r="C64" s="79" t="s">
        <v>64</v>
      </c>
      <c r="D64" s="80">
        <v>6055</v>
      </c>
      <c r="E64" s="80">
        <v>92100</v>
      </c>
      <c r="F64" s="79">
        <v>2548</v>
      </c>
      <c r="G64" s="79">
        <v>36</v>
      </c>
      <c r="H64" s="79">
        <v>2.4</v>
      </c>
      <c r="I64" s="79">
        <v>6.6000000000000003E-2</v>
      </c>
      <c r="J64" s="79">
        <v>3686</v>
      </c>
      <c r="K64" s="79">
        <v>242</v>
      </c>
      <c r="L64" s="80">
        <v>8757</v>
      </c>
    </row>
    <row r="65" spans="1:12" x14ac:dyDescent="0.45">
      <c r="A65" s="79" t="s">
        <v>65</v>
      </c>
      <c r="B65" s="79" t="s">
        <v>63</v>
      </c>
      <c r="C65" s="79" t="s">
        <v>64</v>
      </c>
      <c r="D65" s="80">
        <v>10110</v>
      </c>
      <c r="E65" s="80">
        <v>93397</v>
      </c>
      <c r="F65" s="80">
        <v>3133</v>
      </c>
      <c r="G65" s="79">
        <v>30</v>
      </c>
      <c r="H65" s="79">
        <v>3.2</v>
      </c>
      <c r="I65" s="79">
        <v>0.108</v>
      </c>
      <c r="J65" s="79">
        <v>1751</v>
      </c>
      <c r="K65" s="79">
        <v>190</v>
      </c>
      <c r="L65" s="80">
        <v>5649</v>
      </c>
    </row>
    <row r="66" spans="1:12" x14ac:dyDescent="0.45">
      <c r="A66" s="79" t="s">
        <v>55</v>
      </c>
      <c r="B66" s="79" t="s">
        <v>66</v>
      </c>
      <c r="C66" s="79" t="s">
        <v>67</v>
      </c>
      <c r="D66" s="80">
        <v>1609</v>
      </c>
      <c r="E66" s="80">
        <v>19554</v>
      </c>
      <c r="F66" s="79">
        <v>723</v>
      </c>
      <c r="G66" s="79">
        <v>27</v>
      </c>
      <c r="H66" s="79">
        <v>2.2000000000000002</v>
      </c>
      <c r="I66" s="79">
        <v>8.2000000000000003E-2</v>
      </c>
      <c r="J66" s="79">
        <v>1443</v>
      </c>
      <c r="K66" s="79">
        <v>119</v>
      </c>
      <c r="L66" s="80">
        <v>3214</v>
      </c>
    </row>
    <row r="67" spans="1:12" x14ac:dyDescent="0.45">
      <c r="A67" s="79" t="s">
        <v>68</v>
      </c>
      <c r="B67" s="79"/>
      <c r="C67" s="79" t="s">
        <v>14</v>
      </c>
      <c r="D67" s="80">
        <v>89797</v>
      </c>
      <c r="E67" s="80">
        <v>1294269</v>
      </c>
      <c r="F67" s="80">
        <v>25985</v>
      </c>
      <c r="G67" s="79">
        <v>50</v>
      </c>
      <c r="H67" s="79">
        <v>3.5</v>
      </c>
      <c r="I67" s="79">
        <v>7.0000000000000007E-2</v>
      </c>
      <c r="J67" s="79">
        <v>1293</v>
      </c>
      <c r="K67" s="79">
        <v>90</v>
      </c>
      <c r="L67" s="80">
        <v>4466</v>
      </c>
    </row>
    <row r="68" spans="1:12" x14ac:dyDescent="0.45">
      <c r="A68" s="79" t="s">
        <v>69</v>
      </c>
      <c r="B68" s="79"/>
      <c r="C68" s="79" t="s">
        <v>61</v>
      </c>
      <c r="D68" s="80">
        <v>8295</v>
      </c>
      <c r="E68" s="80">
        <v>140516</v>
      </c>
      <c r="F68" s="79">
        <v>4576</v>
      </c>
      <c r="G68" s="79">
        <v>31</v>
      </c>
      <c r="H68" s="79">
        <v>1.8</v>
      </c>
      <c r="I68" s="79">
        <v>5.8999999999999997E-2</v>
      </c>
      <c r="J68" s="79">
        <v>2032</v>
      </c>
      <c r="K68" s="79">
        <v>120</v>
      </c>
      <c r="L68" s="80">
        <v>3685</v>
      </c>
    </row>
    <row r="69" spans="1:12" x14ac:dyDescent="0.45">
      <c r="A69" s="79" t="s">
        <v>70</v>
      </c>
      <c r="B69" s="79" t="s">
        <v>71</v>
      </c>
      <c r="C69" s="79" t="s">
        <v>61</v>
      </c>
      <c r="D69" s="80">
        <v>26287</v>
      </c>
      <c r="E69" s="80">
        <v>734519</v>
      </c>
      <c r="F69" s="80">
        <v>13818</v>
      </c>
      <c r="G69" s="79">
        <v>53</v>
      </c>
      <c r="H69" s="79">
        <v>1.9</v>
      </c>
      <c r="I69" s="79">
        <v>3.5999999999999997E-2</v>
      </c>
      <c r="J69" s="79">
        <v>1782</v>
      </c>
      <c r="K69" s="79">
        <v>64</v>
      </c>
      <c r="L69" s="80">
        <v>3389</v>
      </c>
    </row>
    <row r="70" spans="1:12" x14ac:dyDescent="0.45">
      <c r="A70" s="79" t="s">
        <v>75</v>
      </c>
      <c r="B70" s="79" t="s">
        <v>72</v>
      </c>
      <c r="C70" s="79" t="s">
        <v>14</v>
      </c>
      <c r="D70" s="80">
        <v>8786</v>
      </c>
      <c r="E70" s="80">
        <v>105071</v>
      </c>
      <c r="F70" s="79">
        <v>3878</v>
      </c>
      <c r="G70" s="79">
        <v>27</v>
      </c>
      <c r="H70" s="79">
        <v>2.2999999999999998</v>
      </c>
      <c r="I70" s="79">
        <v>8.4000000000000005E-2</v>
      </c>
      <c r="J70" s="79">
        <v>1622</v>
      </c>
      <c r="K70" s="79">
        <v>136</v>
      </c>
      <c r="L70" s="80">
        <v>3673</v>
      </c>
    </row>
    <row r="71" spans="1:12" x14ac:dyDescent="0.45">
      <c r="A71" s="79" t="s">
        <v>16</v>
      </c>
      <c r="B71" s="79" t="s">
        <v>72</v>
      </c>
      <c r="C71" s="79" t="s">
        <v>17</v>
      </c>
      <c r="D71" s="80">
        <v>15776</v>
      </c>
      <c r="E71" s="80">
        <v>117881</v>
      </c>
      <c r="F71" s="80">
        <v>6725</v>
      </c>
      <c r="G71" s="79">
        <v>17</v>
      </c>
      <c r="H71" s="79">
        <v>2.2999999999999998</v>
      </c>
      <c r="I71" s="79">
        <v>0.13300000000000001</v>
      </c>
      <c r="J71" s="79">
        <v>740</v>
      </c>
      <c r="K71" s="79">
        <v>99</v>
      </c>
      <c r="L71" s="80">
        <v>1717</v>
      </c>
    </row>
    <row r="73" spans="1:12" ht="18" x14ac:dyDescent="0.55000000000000004">
      <c r="A73" s="54" t="s">
        <v>135</v>
      </c>
      <c r="B73" s="63"/>
      <c r="C73" s="63"/>
      <c r="D73" s="63"/>
      <c r="E73" s="63"/>
      <c r="F73" s="63"/>
    </row>
    <row r="74" spans="1:12" ht="28.5" x14ac:dyDescent="0.45">
      <c r="A74" s="81" t="s">
        <v>136</v>
      </c>
      <c r="B74" s="81" t="s">
        <v>21</v>
      </c>
      <c r="C74" s="81" t="s">
        <v>22</v>
      </c>
      <c r="D74" s="81" t="s">
        <v>24</v>
      </c>
      <c r="E74" s="81" t="s">
        <v>23</v>
      </c>
      <c r="F74" s="29"/>
    </row>
    <row r="75" spans="1:12" x14ac:dyDescent="0.45">
      <c r="A75" s="67">
        <f t="shared" ref="A75:A96" si="0">EOMONTH(A76,-3)</f>
        <v>40178</v>
      </c>
      <c r="B75" s="68">
        <v>891.51712887438805</v>
      </c>
      <c r="C75" s="69"/>
      <c r="D75" s="64"/>
      <c r="E75" s="64"/>
    </row>
    <row r="76" spans="1:12" x14ac:dyDescent="0.45">
      <c r="A76" s="67">
        <f t="shared" si="0"/>
        <v>40268</v>
      </c>
      <c r="B76" s="68">
        <v>894.77977161500803</v>
      </c>
      <c r="C76" s="69"/>
      <c r="D76" s="64"/>
      <c r="E76" s="64"/>
    </row>
    <row r="77" spans="1:12" x14ac:dyDescent="0.45">
      <c r="A77" s="67">
        <f t="shared" si="0"/>
        <v>40359</v>
      </c>
      <c r="B77" s="68">
        <v>896.41109298531796</v>
      </c>
      <c r="C77" s="69"/>
      <c r="D77" s="64"/>
      <c r="E77" s="64"/>
    </row>
    <row r="78" spans="1:12" x14ac:dyDescent="0.45">
      <c r="A78" s="67">
        <f t="shared" si="0"/>
        <v>40451</v>
      </c>
      <c r="B78" s="68">
        <v>906.19902120717802</v>
      </c>
      <c r="C78" s="69">
        <f t="shared" ref="C78:C122" si="1">AVERAGE(B75:B78)</f>
        <v>897.22675367047304</v>
      </c>
      <c r="D78" s="64"/>
      <c r="E78" s="64"/>
    </row>
    <row r="79" spans="1:12" x14ac:dyDescent="0.45">
      <c r="A79" s="70">
        <f t="shared" si="0"/>
        <v>40543</v>
      </c>
      <c r="B79" s="71">
        <v>927.40619902120704</v>
      </c>
      <c r="C79" s="69">
        <f t="shared" si="1"/>
        <v>906.19902120717779</v>
      </c>
      <c r="D79" s="64"/>
      <c r="E79" s="64"/>
    </row>
    <row r="80" spans="1:12" x14ac:dyDescent="0.45">
      <c r="A80" s="72">
        <f t="shared" si="0"/>
        <v>40633</v>
      </c>
      <c r="B80" s="73">
        <v>934.74714518760197</v>
      </c>
      <c r="C80" s="69">
        <f t="shared" si="1"/>
        <v>916.19086460032622</v>
      </c>
      <c r="D80" s="64"/>
      <c r="E80" s="64"/>
    </row>
    <row r="81" spans="1:5" x14ac:dyDescent="0.45">
      <c r="A81" s="72">
        <f t="shared" si="0"/>
        <v>40724</v>
      </c>
      <c r="B81" s="73">
        <v>943.71941272430695</v>
      </c>
      <c r="C81" s="69">
        <f t="shared" si="1"/>
        <v>928.01794453507353</v>
      </c>
      <c r="D81" s="64"/>
      <c r="E81" s="64"/>
    </row>
    <row r="82" spans="1:5" x14ac:dyDescent="0.45">
      <c r="A82" s="72">
        <f t="shared" si="0"/>
        <v>40816</v>
      </c>
      <c r="B82" s="73">
        <v>947.79771615008201</v>
      </c>
      <c r="C82" s="69">
        <f t="shared" si="1"/>
        <v>938.41761827079949</v>
      </c>
      <c r="D82" s="64"/>
      <c r="E82" s="64"/>
    </row>
    <row r="83" spans="1:5" x14ac:dyDescent="0.45">
      <c r="A83" s="72">
        <f t="shared" si="0"/>
        <v>40908</v>
      </c>
      <c r="B83" s="73">
        <v>944.53507340946203</v>
      </c>
      <c r="C83" s="69">
        <f t="shared" si="1"/>
        <v>942.69983686786327</v>
      </c>
      <c r="D83" s="64"/>
      <c r="E83" s="64"/>
    </row>
    <row r="84" spans="1:5" x14ac:dyDescent="0.45">
      <c r="A84" s="72">
        <f t="shared" si="0"/>
        <v>40999</v>
      </c>
      <c r="B84" s="73">
        <v>949.42903752039103</v>
      </c>
      <c r="C84" s="69">
        <f t="shared" si="1"/>
        <v>946.37030995106056</v>
      </c>
      <c r="D84" s="64"/>
      <c r="E84" s="64"/>
    </row>
    <row r="85" spans="1:5" x14ac:dyDescent="0.45">
      <c r="A85" s="72">
        <f t="shared" si="0"/>
        <v>41090</v>
      </c>
      <c r="B85" s="73">
        <v>952.69168026101102</v>
      </c>
      <c r="C85" s="69">
        <f t="shared" si="1"/>
        <v>948.61337683523652</v>
      </c>
      <c r="D85" s="74">
        <f>C85/$C$79</f>
        <v>1.0468046804680469</v>
      </c>
      <c r="E85" s="64"/>
    </row>
    <row r="86" spans="1:5" x14ac:dyDescent="0.45">
      <c r="A86" s="72">
        <f t="shared" si="0"/>
        <v>41182</v>
      </c>
      <c r="B86" s="73">
        <v>955.13866231647603</v>
      </c>
      <c r="C86" s="69">
        <f t="shared" si="1"/>
        <v>950.44861337683506</v>
      </c>
      <c r="D86" s="74"/>
      <c r="E86" s="74">
        <f>C86/$C$79</f>
        <v>1.0488298829882987</v>
      </c>
    </row>
    <row r="87" spans="1:5" x14ac:dyDescent="0.45">
      <c r="A87" s="72">
        <f t="shared" si="0"/>
        <v>41274</v>
      </c>
      <c r="B87" s="73">
        <v>953.50734094616598</v>
      </c>
      <c r="C87" s="69">
        <f t="shared" si="1"/>
        <v>952.69168026101113</v>
      </c>
      <c r="D87" s="74"/>
      <c r="E87" s="74"/>
    </row>
    <row r="88" spans="1:5" x14ac:dyDescent="0.45">
      <c r="A88" s="72">
        <f t="shared" si="0"/>
        <v>41364</v>
      </c>
      <c r="B88" s="73">
        <v>957.58564437194104</v>
      </c>
      <c r="C88" s="69">
        <f t="shared" si="1"/>
        <v>954.7308319738986</v>
      </c>
      <c r="D88" s="74"/>
      <c r="E88" s="74"/>
    </row>
    <row r="89" spans="1:5" x14ac:dyDescent="0.45">
      <c r="A89" s="72">
        <f t="shared" si="0"/>
        <v>41455</v>
      </c>
      <c r="B89" s="73">
        <v>959.21696574225098</v>
      </c>
      <c r="C89" s="69">
        <f t="shared" si="1"/>
        <v>956.36215334420854</v>
      </c>
      <c r="D89" s="74">
        <f>C89/$C$79</f>
        <v>1.0553555355535551</v>
      </c>
      <c r="E89" s="74"/>
    </row>
    <row r="90" spans="1:5" x14ac:dyDescent="0.45">
      <c r="A90" s="72">
        <f t="shared" si="0"/>
        <v>41547</v>
      </c>
      <c r="B90" s="73">
        <v>968.18923327895595</v>
      </c>
      <c r="C90" s="69">
        <f t="shared" si="1"/>
        <v>959.6247960848284</v>
      </c>
      <c r="D90" s="74"/>
      <c r="E90" s="74">
        <f>C90/$C$79</f>
        <v>1.0589558955895586</v>
      </c>
    </row>
    <row r="91" spans="1:5" x14ac:dyDescent="0.45">
      <c r="A91" s="72">
        <f t="shared" si="0"/>
        <v>41639</v>
      </c>
      <c r="B91" s="73">
        <v>969.00489396411103</v>
      </c>
      <c r="C91" s="69">
        <f t="shared" si="1"/>
        <v>963.49918433931475</v>
      </c>
      <c r="D91" s="74"/>
      <c r="E91" s="74"/>
    </row>
    <row r="92" spans="1:5" x14ac:dyDescent="0.45">
      <c r="A92" s="72">
        <f t="shared" si="0"/>
        <v>41729</v>
      </c>
      <c r="B92" s="73">
        <v>972.26753670473101</v>
      </c>
      <c r="C92" s="69">
        <f t="shared" si="1"/>
        <v>967.16965742251216</v>
      </c>
      <c r="D92" s="74"/>
      <c r="E92" s="74"/>
    </row>
    <row r="93" spans="1:5" x14ac:dyDescent="0.45">
      <c r="A93" s="72">
        <f t="shared" si="0"/>
        <v>41820</v>
      </c>
      <c r="B93" s="73">
        <v>974.71451876019603</v>
      </c>
      <c r="C93" s="69">
        <f t="shared" si="1"/>
        <v>971.04404567699851</v>
      </c>
      <c r="D93" s="74">
        <f>C93/$C$79</f>
        <v>1.0715571557155716</v>
      </c>
      <c r="E93" s="74"/>
    </row>
    <row r="94" spans="1:5" x14ac:dyDescent="0.45">
      <c r="A94" s="72">
        <f t="shared" si="0"/>
        <v>41912</v>
      </c>
      <c r="B94" s="73">
        <v>977.97716150081601</v>
      </c>
      <c r="C94" s="69">
        <f t="shared" si="1"/>
        <v>973.49102773246341</v>
      </c>
      <c r="D94" s="74"/>
      <c r="E94" s="74">
        <f>C94/$C$79</f>
        <v>1.0742574257425743</v>
      </c>
    </row>
    <row r="95" spans="1:5" x14ac:dyDescent="0.45">
      <c r="A95" s="72">
        <f t="shared" si="0"/>
        <v>42004</v>
      </c>
      <c r="B95" s="73">
        <v>976.34584013050596</v>
      </c>
      <c r="C95" s="69">
        <f t="shared" si="1"/>
        <v>975.32626427406228</v>
      </c>
      <c r="D95" s="74"/>
      <c r="E95" s="74"/>
    </row>
    <row r="96" spans="1:5" x14ac:dyDescent="0.45">
      <c r="A96" s="72">
        <f t="shared" si="0"/>
        <v>42094</v>
      </c>
      <c r="B96" s="73">
        <v>974.71451876019603</v>
      </c>
      <c r="C96" s="69">
        <f t="shared" si="1"/>
        <v>975.93800978792854</v>
      </c>
      <c r="D96" s="74"/>
      <c r="E96" s="74"/>
    </row>
    <row r="97" spans="1:5" x14ac:dyDescent="0.45">
      <c r="A97" s="72">
        <f>EOMONTH(A98,-3)</f>
        <v>42185</v>
      </c>
      <c r="B97" s="73">
        <v>978.79282218597098</v>
      </c>
      <c r="C97" s="69">
        <f t="shared" si="1"/>
        <v>976.95758564437222</v>
      </c>
      <c r="D97" s="74">
        <f>C97/$C$79</f>
        <v>1.0780828082808285</v>
      </c>
      <c r="E97" s="74"/>
    </row>
    <row r="98" spans="1:5" x14ac:dyDescent="0.45">
      <c r="A98" s="72">
        <f>EOMONTH(A99,-3)</f>
        <v>42277</v>
      </c>
      <c r="B98" s="73">
        <v>982.05546489999995</v>
      </c>
      <c r="C98" s="69">
        <f t="shared" si="1"/>
        <v>977.97716149416829</v>
      </c>
      <c r="D98" s="74"/>
      <c r="E98" s="74">
        <f>C98/$C$79</f>
        <v>1.0792079207847438</v>
      </c>
    </row>
    <row r="99" spans="1:5" x14ac:dyDescent="0.45">
      <c r="A99" s="72">
        <v>42369</v>
      </c>
      <c r="B99" s="73">
        <v>977.1615008</v>
      </c>
      <c r="C99" s="69">
        <f t="shared" si="1"/>
        <v>978.18107666154174</v>
      </c>
      <c r="D99" s="74"/>
      <c r="E99" s="74"/>
    </row>
    <row r="100" spans="1:5" x14ac:dyDescent="0.45">
      <c r="A100" s="72">
        <v>42460</v>
      </c>
      <c r="B100" s="73">
        <v>978.79282220000005</v>
      </c>
      <c r="C100" s="69">
        <f t="shared" si="1"/>
        <v>979.20065252149277</v>
      </c>
      <c r="D100" s="74"/>
      <c r="E100" s="74"/>
    </row>
    <row r="101" spans="1:5" x14ac:dyDescent="0.45">
      <c r="A101" s="72">
        <v>42551</v>
      </c>
      <c r="B101" s="73">
        <v>982.87112560000003</v>
      </c>
      <c r="C101" s="69">
        <f t="shared" si="1"/>
        <v>980.22022837500003</v>
      </c>
      <c r="D101" s="74">
        <f>C101/$C$79</f>
        <v>1.0816831683058057</v>
      </c>
      <c r="E101" s="74"/>
    </row>
    <row r="102" spans="1:5" x14ac:dyDescent="0.45">
      <c r="A102" s="72">
        <v>42643</v>
      </c>
      <c r="B102" s="73">
        <v>986.13376800000003</v>
      </c>
      <c r="C102" s="69">
        <f t="shared" si="1"/>
        <v>981.23980415000005</v>
      </c>
      <c r="D102" s="74"/>
      <c r="E102" s="74">
        <f>C102/$C$79</f>
        <v>1.0828082807271828</v>
      </c>
    </row>
    <row r="103" spans="1:5" x14ac:dyDescent="0.45">
      <c r="A103" s="72">
        <v>42735</v>
      </c>
      <c r="B103" s="73">
        <v>990.21207179999999</v>
      </c>
      <c r="C103" s="69">
        <f t="shared" si="1"/>
        <v>984.50244690000011</v>
      </c>
      <c r="D103" s="74"/>
      <c r="E103" s="74"/>
    </row>
    <row r="104" spans="1:5" x14ac:dyDescent="0.45">
      <c r="A104" s="72">
        <v>42825</v>
      </c>
      <c r="B104" s="73">
        <v>1000</v>
      </c>
      <c r="C104" s="69">
        <f t="shared" si="1"/>
        <v>989.80424134999998</v>
      </c>
      <c r="D104" s="74"/>
      <c r="E104" s="74"/>
    </row>
    <row r="105" spans="1:5" x14ac:dyDescent="0.45">
      <c r="A105" s="72">
        <v>42916</v>
      </c>
      <c r="B105" s="73">
        <v>1000</v>
      </c>
      <c r="C105" s="69">
        <f t="shared" si="1"/>
        <v>994.08645995000006</v>
      </c>
      <c r="D105" s="74">
        <f>C105/$C$79</f>
        <v>1.096984698378668</v>
      </c>
      <c r="E105" s="74"/>
    </row>
    <row r="106" spans="1:5" x14ac:dyDescent="0.45">
      <c r="A106" s="72">
        <v>43008</v>
      </c>
      <c r="B106" s="73">
        <v>1004.893964</v>
      </c>
      <c r="C106" s="69">
        <f t="shared" si="1"/>
        <v>998.77650894999999</v>
      </c>
      <c r="D106" s="74"/>
      <c r="E106" s="74">
        <f>C106/$C$79</f>
        <v>1.1021602159970296</v>
      </c>
    </row>
    <row r="107" spans="1:5" x14ac:dyDescent="0.45">
      <c r="A107" s="72">
        <v>43100</v>
      </c>
      <c r="B107" s="73">
        <v>1006</v>
      </c>
      <c r="C107" s="69">
        <f t="shared" si="1"/>
        <v>1002.723491</v>
      </c>
      <c r="D107" s="74"/>
      <c r="E107" s="74"/>
    </row>
    <row r="108" spans="1:5" x14ac:dyDescent="0.45">
      <c r="A108" s="72">
        <v>43190</v>
      </c>
      <c r="B108" s="73">
        <v>1011</v>
      </c>
      <c r="C108" s="69">
        <f t="shared" si="1"/>
        <v>1005.473491</v>
      </c>
      <c r="D108" s="74"/>
      <c r="E108" s="74"/>
    </row>
    <row r="109" spans="1:5" x14ac:dyDescent="0.45">
      <c r="A109" s="72">
        <v>43281</v>
      </c>
      <c r="B109" s="73">
        <v>1015</v>
      </c>
      <c r="C109" s="69">
        <f t="shared" si="1"/>
        <v>1009.223491</v>
      </c>
      <c r="D109" s="74">
        <f>C109/$C$79</f>
        <v>1.1136885688262825</v>
      </c>
      <c r="E109" s="74"/>
    </row>
    <row r="110" spans="1:5" x14ac:dyDescent="0.45">
      <c r="A110" s="72">
        <v>43373</v>
      </c>
      <c r="B110" s="73">
        <v>1024</v>
      </c>
      <c r="C110" s="69">
        <f t="shared" si="1"/>
        <v>1014</v>
      </c>
      <c r="D110" s="74"/>
      <c r="E110" s="74">
        <f>C110/$C$79</f>
        <v>1.118959495949595</v>
      </c>
    </row>
    <row r="111" spans="1:5" x14ac:dyDescent="0.45">
      <c r="A111" s="72">
        <v>43465</v>
      </c>
      <c r="B111" s="73">
        <v>1025</v>
      </c>
      <c r="C111" s="69">
        <f t="shared" si="1"/>
        <v>1018.75</v>
      </c>
      <c r="D111" s="74"/>
      <c r="E111" s="74"/>
    </row>
    <row r="112" spans="1:5" x14ac:dyDescent="0.45">
      <c r="A112" s="72">
        <v>43555</v>
      </c>
      <c r="B112" s="73">
        <v>1026</v>
      </c>
      <c r="C112" s="69">
        <f t="shared" si="1"/>
        <v>1022.5</v>
      </c>
      <c r="D112" s="74"/>
      <c r="E112" s="74"/>
    </row>
    <row r="113" spans="1:7" x14ac:dyDescent="0.45">
      <c r="A113" s="72">
        <v>43646</v>
      </c>
      <c r="B113" s="73">
        <v>1032</v>
      </c>
      <c r="C113" s="69">
        <f t="shared" si="1"/>
        <v>1026.75</v>
      </c>
      <c r="D113" s="74">
        <f>C113/$C$79</f>
        <v>1.1330292529252926</v>
      </c>
      <c r="E113" s="74"/>
    </row>
    <row r="114" spans="1:7" x14ac:dyDescent="0.45">
      <c r="A114" s="72">
        <v>43738</v>
      </c>
      <c r="B114" s="73">
        <v>1039</v>
      </c>
      <c r="C114" s="69">
        <f t="shared" si="1"/>
        <v>1030.5</v>
      </c>
      <c r="D114" s="74"/>
      <c r="E114" s="74">
        <f>C114/$C$79</f>
        <v>1.1371674167416741</v>
      </c>
    </row>
    <row r="115" spans="1:7" x14ac:dyDescent="0.45">
      <c r="A115" s="72">
        <v>43830</v>
      </c>
      <c r="B115" s="73">
        <v>1044</v>
      </c>
      <c r="C115" s="69">
        <f t="shared" si="1"/>
        <v>1035.25</v>
      </c>
      <c r="D115" s="74"/>
      <c r="E115" s="74"/>
    </row>
    <row r="116" spans="1:7" x14ac:dyDescent="0.45">
      <c r="A116" s="72">
        <v>43921</v>
      </c>
      <c r="B116" s="73">
        <v>1052</v>
      </c>
      <c r="C116" s="69">
        <f t="shared" si="1"/>
        <v>1041.75</v>
      </c>
      <c r="D116" s="74"/>
      <c r="E116" s="74"/>
    </row>
    <row r="117" spans="1:7" x14ac:dyDescent="0.45">
      <c r="A117" s="72">
        <v>44012</v>
      </c>
      <c r="B117" s="73">
        <v>1047</v>
      </c>
      <c r="C117" s="69">
        <f t="shared" si="1"/>
        <v>1045.5</v>
      </c>
      <c r="D117" s="74">
        <f>C117/$C$79</f>
        <v>1.1537200720072007</v>
      </c>
      <c r="E117" s="74"/>
    </row>
    <row r="118" spans="1:7" x14ac:dyDescent="0.45">
      <c r="A118" s="72">
        <v>44104</v>
      </c>
      <c r="B118" s="73">
        <v>1054</v>
      </c>
      <c r="C118" s="69">
        <f t="shared" si="1"/>
        <v>1049.25</v>
      </c>
      <c r="D118" s="74"/>
      <c r="E118" s="74">
        <f>C118/$C$79</f>
        <v>1.1578582358235825</v>
      </c>
    </row>
    <row r="119" spans="1:7" x14ac:dyDescent="0.45">
      <c r="A119" s="72">
        <v>44196</v>
      </c>
      <c r="B119" s="73">
        <v>1059</v>
      </c>
      <c r="C119" s="69">
        <f t="shared" si="1"/>
        <v>1053</v>
      </c>
      <c r="D119" s="74"/>
      <c r="E119" s="74"/>
    </row>
    <row r="120" spans="1:7" x14ac:dyDescent="0.45">
      <c r="A120" s="72">
        <v>44286</v>
      </c>
      <c r="B120" s="73">
        <v>1068</v>
      </c>
      <c r="C120" s="69">
        <f t="shared" si="1"/>
        <v>1057</v>
      </c>
      <c r="D120" s="74"/>
      <c r="E120" s="74"/>
    </row>
    <row r="121" spans="1:7" x14ac:dyDescent="0.45">
      <c r="A121" s="72">
        <v>44377</v>
      </c>
      <c r="B121" s="73">
        <v>1082</v>
      </c>
      <c r="C121" s="69">
        <f t="shared" si="1"/>
        <v>1065.75</v>
      </c>
      <c r="D121" s="74">
        <f>C121/$C$79</f>
        <v>1.1760661566156616</v>
      </c>
      <c r="E121" s="74"/>
    </row>
    <row r="122" spans="1:7" x14ac:dyDescent="0.45">
      <c r="A122" s="72">
        <v>44469</v>
      </c>
      <c r="B122" s="73">
        <v>1106</v>
      </c>
      <c r="C122" s="69">
        <f t="shared" si="1"/>
        <v>1078.75</v>
      </c>
      <c r="D122" s="64"/>
      <c r="E122" s="74">
        <f>C122/$C$79</f>
        <v>1.1904117911791179</v>
      </c>
    </row>
    <row r="124" spans="1:7" ht="18" x14ac:dyDescent="0.55000000000000004">
      <c r="A124" s="54" t="s">
        <v>137</v>
      </c>
      <c r="B124" s="63"/>
      <c r="C124" s="63"/>
      <c r="D124" s="63"/>
      <c r="E124" s="63"/>
      <c r="F124" s="63"/>
    </row>
    <row r="125" spans="1:7" x14ac:dyDescent="0.45">
      <c r="A125" s="87" t="s">
        <v>19</v>
      </c>
      <c r="B125" s="87" t="s">
        <v>25</v>
      </c>
      <c r="C125" s="88"/>
      <c r="D125" s="88"/>
      <c r="E125" s="88"/>
      <c r="F125" s="88"/>
    </row>
    <row r="126" spans="1:7" x14ac:dyDescent="0.45">
      <c r="A126" s="82" t="s">
        <v>28</v>
      </c>
      <c r="B126" s="82" t="s">
        <v>29</v>
      </c>
      <c r="C126" s="83" t="s">
        <v>30</v>
      </c>
      <c r="D126" s="84" t="s">
        <v>31</v>
      </c>
      <c r="E126" s="84" t="s">
        <v>32</v>
      </c>
      <c r="F126" s="82" t="s">
        <v>33</v>
      </c>
      <c r="G126" s="82" t="s">
        <v>0</v>
      </c>
    </row>
    <row r="127" spans="1:7" x14ac:dyDescent="0.45">
      <c r="A127" s="82" t="s">
        <v>34</v>
      </c>
      <c r="B127" s="82" t="s">
        <v>27</v>
      </c>
      <c r="C127" s="83" t="s">
        <v>35</v>
      </c>
      <c r="D127" s="56" t="s">
        <v>36</v>
      </c>
      <c r="E127" s="84" t="s">
        <v>37</v>
      </c>
      <c r="F127" s="85">
        <v>2010</v>
      </c>
      <c r="G127" s="86">
        <v>1.502766</v>
      </c>
    </row>
    <row r="128" spans="1:7" x14ac:dyDescent="0.45">
      <c r="A128" s="82" t="s">
        <v>38</v>
      </c>
      <c r="B128" s="82" t="s">
        <v>27</v>
      </c>
      <c r="C128" s="83" t="s">
        <v>35</v>
      </c>
      <c r="D128" s="84" t="s">
        <v>36</v>
      </c>
      <c r="E128" s="84" t="s">
        <v>37</v>
      </c>
      <c r="F128" s="85">
        <v>2010</v>
      </c>
      <c r="G128" s="86">
        <v>1.4961260000000001</v>
      </c>
    </row>
    <row r="130" spans="1:3" x14ac:dyDescent="0.45">
      <c r="A130" s="34" t="s">
        <v>39</v>
      </c>
      <c r="B130" s="33"/>
      <c r="C130" s="33"/>
    </row>
    <row r="131" spans="1:3" x14ac:dyDescent="0.45">
      <c r="A131" s="34" t="s">
        <v>40</v>
      </c>
      <c r="B131" s="33"/>
      <c r="C131" s="33"/>
    </row>
    <row r="132" spans="1:3" x14ac:dyDescent="0.45">
      <c r="A132" s="34" t="s">
        <v>41</v>
      </c>
      <c r="B132" s="33"/>
      <c r="C132" s="33"/>
    </row>
    <row r="133" spans="1:3" x14ac:dyDescent="0.45">
      <c r="A133" s="33" t="s">
        <v>42</v>
      </c>
      <c r="B133" s="33">
        <f>1.502766/1.496126</f>
        <v>1.0044381288741724</v>
      </c>
      <c r="C133" s="33" t="s">
        <v>43</v>
      </c>
    </row>
    <row r="134" spans="1:3" x14ac:dyDescent="0.45">
      <c r="A134" s="33" t="s">
        <v>44</v>
      </c>
      <c r="B134" s="33">
        <f>1.496126/1.502766</f>
        <v>0.99558148108221778</v>
      </c>
      <c r="C134" s="33" t="s">
        <v>45</v>
      </c>
    </row>
  </sheetData>
  <mergeCells count="2">
    <mergeCell ref="A57:F57"/>
    <mergeCell ref="B56:F56"/>
  </mergeCells>
  <hyperlinks>
    <hyperlink ref="B9" r:id="rId1" xr:uid="{B25B46F3-352F-46FF-930E-BC6702E30C59}"/>
    <hyperlink ref="B6" r:id="rId2" xr:uid="{16FB0EED-665E-4DF5-8A0D-9D866013C21B}"/>
    <hyperlink ref="B56" r:id="rId3" xr:uid="{B9A549A0-B2CD-41DA-BF91-ABB8BB5714D6}"/>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C596F-1A12-4A57-BA82-16A34E6A756A}">
  <sheetPr codeName="Sheet4"/>
  <dimension ref="A1:G65"/>
  <sheetViews>
    <sheetView showGridLines="0" view="pageBreakPreview" topLeftCell="A37" zoomScaleNormal="100" zoomScaleSheetLayoutView="100" workbookViewId="0">
      <selection activeCell="A54" sqref="A54"/>
    </sheetView>
  </sheetViews>
  <sheetFormatPr defaultRowHeight="14.25" x14ac:dyDescent="0.45"/>
  <cols>
    <col min="1" max="1" width="36.59765625" customWidth="1"/>
    <col min="2" max="4" width="17" customWidth="1"/>
    <col min="5" max="5" width="25.73046875" customWidth="1"/>
    <col min="6" max="6" width="9.86328125" bestFit="1" customWidth="1"/>
  </cols>
  <sheetData>
    <row r="1" spans="1:7" ht="25.5" x14ac:dyDescent="0.75">
      <c r="A1" s="53" t="s">
        <v>20</v>
      </c>
    </row>
    <row r="3" spans="1:7" ht="19.5" x14ac:dyDescent="0.6">
      <c r="A3" s="54" t="s">
        <v>130</v>
      </c>
      <c r="B3" s="25"/>
      <c r="C3" s="25"/>
      <c r="D3" s="25"/>
      <c r="E3" s="25"/>
    </row>
    <row r="5" spans="1:7" x14ac:dyDescent="0.45">
      <c r="A5" s="32"/>
      <c r="B5" s="32" t="s">
        <v>1</v>
      </c>
      <c r="C5" s="32" t="s">
        <v>12</v>
      </c>
      <c r="D5" s="32" t="s">
        <v>16</v>
      </c>
      <c r="E5" s="32" t="s">
        <v>93</v>
      </c>
      <c r="F5" s="29"/>
    </row>
    <row r="6" spans="1:7" x14ac:dyDescent="0.45">
      <c r="A6" s="97" t="s">
        <v>131</v>
      </c>
      <c r="B6" s="97" t="s">
        <v>13</v>
      </c>
      <c r="C6" s="97" t="s">
        <v>13</v>
      </c>
      <c r="D6" s="97" t="s">
        <v>18</v>
      </c>
      <c r="E6" s="97" t="s">
        <v>18</v>
      </c>
    </row>
    <row r="7" spans="1:7" x14ac:dyDescent="0.45">
      <c r="A7" s="56" t="s">
        <v>4</v>
      </c>
      <c r="B7" s="62">
        <f>AVERAGE(Inputs!B15:B22)</f>
        <v>1209.6986172500001</v>
      </c>
      <c r="C7" s="62">
        <f>AVERAGE(Inputs!C15:C22)</f>
        <v>8791.2227792500016</v>
      </c>
      <c r="D7" s="62">
        <f>AVERAGE(Inputs!D15:D22)</f>
        <v>14116.6521082728</v>
      </c>
      <c r="E7" s="62">
        <f>AVERAGE(Inputs!E15:E22)</f>
        <v>9507.2582371578901</v>
      </c>
      <c r="G7" s="29"/>
    </row>
    <row r="8" spans="1:7" x14ac:dyDescent="0.45">
      <c r="A8" s="56" t="s">
        <v>9</v>
      </c>
      <c r="B8" s="62">
        <f>AVERAGE(Inputs!B25:B32)</f>
        <v>10018.5</v>
      </c>
      <c r="C8" s="62">
        <f>AVERAGE(Inputs!C25:C32)</f>
        <v>106067.5625</v>
      </c>
      <c r="D8" s="62">
        <f>AVERAGE(Inputs!D25:D32)</f>
        <v>108136.4</v>
      </c>
      <c r="E8" s="62">
        <f>AVERAGE(Inputs!E25:E32)</f>
        <v>63236.800000000003</v>
      </c>
    </row>
    <row r="9" spans="1:7" x14ac:dyDescent="0.45">
      <c r="A9" s="56" t="s">
        <v>5</v>
      </c>
      <c r="B9" s="62">
        <f>AVERAGE(Inputs!B35:B42)</f>
        <v>662.75099999999998</v>
      </c>
      <c r="C9" s="62">
        <f>AVERAGE(Inputs!C35:C42)</f>
        <v>5909.5337880243351</v>
      </c>
      <c r="D9" s="62">
        <f>AVERAGE(Inputs!D35:D42)</f>
        <v>6629.6792000000005</v>
      </c>
      <c r="E9" s="62">
        <f>AVERAGE(Inputs!E35:E42)</f>
        <v>4707.1812</v>
      </c>
    </row>
    <row r="10" spans="1:7" x14ac:dyDescent="0.45">
      <c r="A10" s="56" t="s">
        <v>6</v>
      </c>
      <c r="B10" s="62">
        <f>AVERAGE(Inputs!B45:B52)</f>
        <v>1713.125</v>
      </c>
      <c r="C10" s="62">
        <f>AVERAGE(Inputs!C45:C52)</f>
        <v>15696.320881564267</v>
      </c>
      <c r="D10" s="62">
        <f>AVERAGE(Inputs!D45:D52)</f>
        <v>11943.322</v>
      </c>
      <c r="E10" s="62">
        <f>AVERAGE(Inputs!E45:E52)</f>
        <v>8351.5632989174337</v>
      </c>
    </row>
    <row r="11" spans="1:7" x14ac:dyDescent="0.45">
      <c r="A11" s="56" t="s">
        <v>10</v>
      </c>
      <c r="B11" s="62">
        <f>B8/B9</f>
        <v>15.116536979951746</v>
      </c>
      <c r="C11" s="62">
        <f t="shared" ref="C11:E11" si="0">C8/C9</f>
        <v>17.948549971056231</v>
      </c>
      <c r="D11" s="62">
        <f t="shared" si="0"/>
        <v>16.310955136411426</v>
      </c>
      <c r="E11" s="62">
        <f t="shared" si="0"/>
        <v>13.434112117884904</v>
      </c>
    </row>
    <row r="12" spans="1:7" x14ac:dyDescent="0.45">
      <c r="A12" s="56" t="s">
        <v>2</v>
      </c>
      <c r="B12" s="62">
        <f>B7/B9</f>
        <v>1.8252686412393193</v>
      </c>
      <c r="C12" s="62">
        <f t="shared" ref="C12:E12" si="1">C7/C9</f>
        <v>1.4876338971215304</v>
      </c>
      <c r="D12" s="62">
        <f t="shared" si="1"/>
        <v>2.1293114919154457</v>
      </c>
      <c r="E12" s="62">
        <f t="shared" si="1"/>
        <v>2.0197349184598821</v>
      </c>
    </row>
    <row r="13" spans="1:7" x14ac:dyDescent="0.45">
      <c r="A13" s="56" t="s">
        <v>11</v>
      </c>
      <c r="B13" s="62">
        <f>B7/B8</f>
        <v>0.12074648073563908</v>
      </c>
      <c r="C13" s="62">
        <f t="shared" ref="C13:E13" si="2">C7/C8</f>
        <v>8.2883235666417823E-2</v>
      </c>
      <c r="D13" s="62">
        <f t="shared" si="2"/>
        <v>0.13054486840946064</v>
      </c>
      <c r="E13" s="62">
        <f t="shared" si="2"/>
        <v>0.15034375928506644</v>
      </c>
    </row>
    <row r="14" spans="1:7" x14ac:dyDescent="0.45">
      <c r="A14" s="56" t="s">
        <v>150</v>
      </c>
      <c r="B14" s="62">
        <f>B65/B7</f>
        <v>1292.4095074497129</v>
      </c>
      <c r="C14" s="62">
        <f>C65/C7</f>
        <v>1627.3541755341053</v>
      </c>
      <c r="D14" s="62">
        <f>D65/D7</f>
        <v>760.65528446754138</v>
      </c>
      <c r="E14" s="62">
        <f>E65/E7</f>
        <v>788.1546379311726</v>
      </c>
    </row>
    <row r="15" spans="1:7" x14ac:dyDescent="0.45">
      <c r="A15" s="56" t="s">
        <v>48</v>
      </c>
      <c r="B15" s="62">
        <f>B65/B8</f>
        <v>156.05389969383356</v>
      </c>
      <c r="C15" s="62">
        <f>C65/C8</f>
        <v>134.88037964352233</v>
      </c>
      <c r="D15" s="62">
        <f>D65/D8</f>
        <v>99.299644015776053</v>
      </c>
      <c r="E15" s="62">
        <f>E65/E8</f>
        <v>118.49413116453292</v>
      </c>
    </row>
    <row r="16" spans="1:7" x14ac:dyDescent="0.45">
      <c r="A16" s="56" t="s">
        <v>49</v>
      </c>
      <c r="B16" s="62">
        <f>B65/B9</f>
        <v>2358.9945455875154</v>
      </c>
      <c r="C16" s="62">
        <f>C65/C9</f>
        <v>2420.9072341467959</v>
      </c>
      <c r="D16" s="62">
        <f>D65/D9</f>
        <v>1619.6720386029483</v>
      </c>
      <c r="E16" s="62">
        <f>E65/E9</f>
        <v>1591.8634433756947</v>
      </c>
    </row>
    <row r="17" spans="1:6" x14ac:dyDescent="0.45">
      <c r="A17" s="87" t="s">
        <v>151</v>
      </c>
    </row>
    <row r="18" spans="1:6" x14ac:dyDescent="0.45">
      <c r="A18" s="28"/>
    </row>
    <row r="19" spans="1:6" ht="19.5" x14ac:dyDescent="0.6">
      <c r="A19" s="54" t="s">
        <v>134</v>
      </c>
      <c r="B19" s="25"/>
      <c r="C19" s="25"/>
      <c r="D19" s="25"/>
      <c r="E19" s="25"/>
    </row>
    <row r="20" spans="1:6" x14ac:dyDescent="0.45">
      <c r="A20" s="87" t="s">
        <v>133</v>
      </c>
    </row>
    <row r="21" spans="1:6" ht="86.25" customHeight="1" x14ac:dyDescent="0.45">
      <c r="A21" s="96" t="s">
        <v>174</v>
      </c>
      <c r="B21" s="96"/>
      <c r="C21" s="96"/>
      <c r="D21" s="96"/>
      <c r="E21" s="96"/>
      <c r="F21" s="31"/>
    </row>
    <row r="23" spans="1:6" ht="29.25" x14ac:dyDescent="0.55000000000000004">
      <c r="A23" s="54" t="s">
        <v>145</v>
      </c>
      <c r="B23" s="32" t="s">
        <v>1</v>
      </c>
      <c r="C23" s="91" t="s">
        <v>138</v>
      </c>
      <c r="D23" s="91" t="s">
        <v>140</v>
      </c>
      <c r="E23" s="91" t="s">
        <v>148</v>
      </c>
    </row>
    <row r="24" spans="1:6" x14ac:dyDescent="0.45">
      <c r="A24" s="56" t="s">
        <v>119</v>
      </c>
      <c r="B24" s="62">
        <v>1622</v>
      </c>
      <c r="C24" s="95">
        <f>Inputs!$D$89</f>
        <v>1.0553555355535551</v>
      </c>
      <c r="D24" s="94">
        <f t="shared" ref="D24:D31" si="3">B24/C24</f>
        <v>1536.9228144989343</v>
      </c>
      <c r="E24" s="94">
        <f>D24*Inputs!$B$133</f>
        <v>1543.7438760193363</v>
      </c>
    </row>
    <row r="25" spans="1:6" x14ac:dyDescent="0.45">
      <c r="A25" s="56" t="s">
        <v>120</v>
      </c>
      <c r="B25" s="62">
        <v>1560</v>
      </c>
      <c r="C25" s="95">
        <f>Inputs!$D$93</f>
        <v>1.0715571557155716</v>
      </c>
      <c r="D25" s="94">
        <f t="shared" si="3"/>
        <v>1455.8252834943301</v>
      </c>
      <c r="E25" s="94">
        <f>D25*Inputs!$B$133</f>
        <v>1462.2864237207564</v>
      </c>
    </row>
    <row r="26" spans="1:6" x14ac:dyDescent="0.45">
      <c r="A26" s="56" t="s">
        <v>121</v>
      </c>
      <c r="B26" s="62">
        <v>1579</v>
      </c>
      <c r="C26" s="95">
        <f>Inputs!$D$97</f>
        <v>1.0780828082808285</v>
      </c>
      <c r="D26" s="94">
        <f t="shared" si="3"/>
        <v>1464.6370277603835</v>
      </c>
      <c r="E26" s="94">
        <f>D26*Inputs!$B$133</f>
        <v>1471.1372756434689</v>
      </c>
    </row>
    <row r="27" spans="1:6" x14ac:dyDescent="0.45">
      <c r="A27" s="56" t="s">
        <v>122</v>
      </c>
      <c r="B27" s="62">
        <v>1576</v>
      </c>
      <c r="C27" s="95">
        <f>Inputs!$D$101</f>
        <v>1.0816831683058057</v>
      </c>
      <c r="D27" s="94">
        <f t="shared" si="3"/>
        <v>1456.9885583672544</v>
      </c>
      <c r="E27" s="94">
        <f>D27*Inputs!$B$133</f>
        <v>1463.454861357483</v>
      </c>
    </row>
    <row r="28" spans="1:6" x14ac:dyDescent="0.45">
      <c r="A28" s="56" t="s">
        <v>123</v>
      </c>
      <c r="B28" s="62">
        <v>1536</v>
      </c>
      <c r="C28" s="95">
        <f>Inputs!$D$105</f>
        <v>1.096984698378668</v>
      </c>
      <c r="D28" s="94">
        <f t="shared" si="3"/>
        <v>1400.2018462702279</v>
      </c>
      <c r="E28" s="94">
        <f>D28*Inputs!$B$133</f>
        <v>1406.4161225138294</v>
      </c>
    </row>
    <row r="29" spans="1:6" x14ac:dyDescent="0.45">
      <c r="A29" s="56" t="s">
        <v>124</v>
      </c>
      <c r="B29" s="62">
        <v>1754</v>
      </c>
      <c r="C29" s="95">
        <f>Inputs!$D$109</f>
        <v>1.1136885688262825</v>
      </c>
      <c r="D29" s="94">
        <f t="shared" si="3"/>
        <v>1574.9465776132929</v>
      </c>
      <c r="E29" s="94">
        <f>D29*Inputs!$B$133</f>
        <v>1581.9363934946775</v>
      </c>
    </row>
    <row r="30" spans="1:6" x14ac:dyDescent="0.45">
      <c r="A30" s="56" t="s">
        <v>125</v>
      </c>
      <c r="B30" s="62">
        <v>1767</v>
      </c>
      <c r="C30" s="95">
        <f>Inputs!$D$113</f>
        <v>1.1330292529252926</v>
      </c>
      <c r="D30" s="94">
        <f t="shared" si="3"/>
        <v>1559.5360803244052</v>
      </c>
      <c r="E30" s="94">
        <f>D30*Inputs!$B$133</f>
        <v>1566.4575024328067</v>
      </c>
    </row>
    <row r="31" spans="1:6" x14ac:dyDescent="0.45">
      <c r="A31" s="56" t="s">
        <v>126</v>
      </c>
      <c r="B31" s="62">
        <v>2311</v>
      </c>
      <c r="C31" s="95">
        <f>Inputs!$D$117</f>
        <v>1.1537200720072007</v>
      </c>
      <c r="D31" s="94">
        <f t="shared" si="3"/>
        <v>2003.0855456812892</v>
      </c>
      <c r="E31" s="94">
        <f>D31*Inputs!$B$133</f>
        <v>2011.9754974790146</v>
      </c>
    </row>
    <row r="33" spans="1:5" ht="29.25" x14ac:dyDescent="0.55000000000000004">
      <c r="A33" s="54" t="s">
        <v>144</v>
      </c>
      <c r="B33" s="32" t="s">
        <v>16</v>
      </c>
      <c r="C33" s="91" t="s">
        <v>138</v>
      </c>
      <c r="D33" s="91" t="s">
        <v>139</v>
      </c>
      <c r="E33" s="91" t="s">
        <v>148</v>
      </c>
    </row>
    <row r="34" spans="1:5" x14ac:dyDescent="0.45">
      <c r="A34" s="56" t="s">
        <v>119</v>
      </c>
      <c r="B34" s="62"/>
      <c r="C34" s="95">
        <f>Inputs!$D$89</f>
        <v>1.0553555355535551</v>
      </c>
      <c r="D34" s="94"/>
      <c r="E34" s="94"/>
    </row>
    <row r="35" spans="1:5" x14ac:dyDescent="0.45">
      <c r="A35" s="56" t="s">
        <v>120</v>
      </c>
      <c r="B35" s="62"/>
      <c r="C35" s="95">
        <f>Inputs!$D$93</f>
        <v>1.0715571557155716</v>
      </c>
      <c r="D35" s="94"/>
      <c r="E35" s="94"/>
    </row>
    <row r="36" spans="1:5" x14ac:dyDescent="0.45">
      <c r="A36" s="56" t="s">
        <v>121</v>
      </c>
      <c r="B36" s="62"/>
      <c r="C36" s="95">
        <f>Inputs!$D$97</f>
        <v>1.0780828082808285</v>
      </c>
      <c r="D36" s="94"/>
      <c r="E36" s="94"/>
    </row>
    <row r="37" spans="1:5" x14ac:dyDescent="0.45">
      <c r="A37" s="56" t="s">
        <v>122</v>
      </c>
      <c r="B37" s="62">
        <v>10521</v>
      </c>
      <c r="C37" s="95">
        <f>Inputs!$D$101</f>
        <v>1.0816831683058057</v>
      </c>
      <c r="D37" s="94">
        <f>B37/C37</f>
        <v>9726.508009252464</v>
      </c>
      <c r="E37" s="94">
        <f>D37*Inputs!$B$133</f>
        <v>9769.6755052931967</v>
      </c>
    </row>
    <row r="38" spans="1:5" x14ac:dyDescent="0.45">
      <c r="A38" s="56" t="s">
        <v>123</v>
      </c>
      <c r="B38" s="62">
        <v>11688</v>
      </c>
      <c r="C38" s="95">
        <f>Inputs!$D$105</f>
        <v>1.096984698378668</v>
      </c>
      <c r="D38" s="94">
        <f t="shared" ref="D38:D41" si="4">B38/C38</f>
        <v>10654.660923962516</v>
      </c>
      <c r="E38" s="94">
        <f>D38*Inputs!$B$133</f>
        <v>10701.947682253671</v>
      </c>
    </row>
    <row r="39" spans="1:5" x14ac:dyDescent="0.45">
      <c r="A39" s="56" t="s">
        <v>124</v>
      </c>
      <c r="B39" s="62">
        <v>11387.61</v>
      </c>
      <c r="C39" s="95">
        <f>Inputs!$D$109</f>
        <v>1.1136885688262825</v>
      </c>
      <c r="D39" s="94">
        <f t="shared" si="4"/>
        <v>10225.12964463792</v>
      </c>
      <c r="E39" s="94">
        <f>D39*Inputs!$B$133</f>
        <v>10270.510087755943</v>
      </c>
    </row>
    <row r="40" spans="1:5" x14ac:dyDescent="0.45">
      <c r="A40" s="56" t="s">
        <v>125</v>
      </c>
      <c r="B40" s="62">
        <v>13027</v>
      </c>
      <c r="C40" s="95">
        <f>Inputs!$D$113</f>
        <v>1.1330292529252926</v>
      </c>
      <c r="D40" s="94">
        <f t="shared" si="4"/>
        <v>11497.496614819484</v>
      </c>
      <c r="E40" s="94">
        <f>D40*Inputs!$B$133</f>
        <v>11548.523986526414</v>
      </c>
    </row>
    <row r="41" spans="1:5" x14ac:dyDescent="0.45">
      <c r="A41" s="56" t="s">
        <v>126</v>
      </c>
      <c r="B41" s="62">
        <v>13093</v>
      </c>
      <c r="C41" s="95">
        <f>Inputs!$D$117</f>
        <v>1.1537200720072007</v>
      </c>
      <c r="D41" s="94">
        <f t="shared" si="4"/>
        <v>11348.50672851801</v>
      </c>
      <c r="E41" s="94">
        <f>D41*Inputs!$B$133</f>
        <v>11398.872863908586</v>
      </c>
    </row>
    <row r="43" spans="1:5" ht="40.5" customHeight="1" x14ac:dyDescent="0.55000000000000004">
      <c r="A43" s="54" t="s">
        <v>146</v>
      </c>
      <c r="B43" s="32" t="s">
        <v>12</v>
      </c>
      <c r="C43" s="91" t="s">
        <v>141</v>
      </c>
      <c r="D43" s="91" t="s">
        <v>142</v>
      </c>
      <c r="E43" s="91" t="s">
        <v>148</v>
      </c>
    </row>
    <row r="44" spans="1:5" x14ac:dyDescent="0.45">
      <c r="A44" s="56" t="s">
        <v>119</v>
      </c>
      <c r="B44" s="62">
        <v>14303.72070220215</v>
      </c>
      <c r="C44" s="84">
        <f>Inputs!$E$90</f>
        <v>1.0589558955895586</v>
      </c>
      <c r="D44" s="93">
        <f t="shared" ref="D44:D51" si="5">B44/C44</f>
        <v>13507.380960600591</v>
      </c>
      <c r="E44" s="93">
        <f>D44*Inputs!$B$133</f>
        <v>13567.328458056278</v>
      </c>
    </row>
    <row r="45" spans="1:5" x14ac:dyDescent="0.45">
      <c r="A45" s="56" t="s">
        <v>120</v>
      </c>
      <c r="B45" s="62">
        <v>15190.942931212099</v>
      </c>
      <c r="C45" s="84">
        <f>Inputs!$E$94</f>
        <v>1.0742574257425743</v>
      </c>
      <c r="D45" s="93">
        <f t="shared" si="5"/>
        <v>14140.877751635226</v>
      </c>
      <c r="E45" s="93">
        <f>D45*Inputs!$B$133</f>
        <v>14203.6367894909</v>
      </c>
    </row>
    <row r="46" spans="1:5" x14ac:dyDescent="0.45">
      <c r="A46" s="56" t="s">
        <v>121</v>
      </c>
      <c r="B46" s="62">
        <v>15479.824946242319</v>
      </c>
      <c r="C46" s="84">
        <f>Inputs!$E$98</f>
        <v>1.0792079207847438</v>
      </c>
      <c r="D46" s="93">
        <f t="shared" si="5"/>
        <v>14343.691005331202</v>
      </c>
      <c r="E46" s="93">
        <f>D46*Inputs!$B$133</f>
        <v>14407.350154544169</v>
      </c>
    </row>
    <row r="47" spans="1:5" x14ac:dyDescent="0.45">
      <c r="A47" s="56" t="s">
        <v>122</v>
      </c>
      <c r="B47" s="62">
        <v>16236.116937730711</v>
      </c>
      <c r="C47" s="84">
        <f>Inputs!$E$102</f>
        <v>1.0828082807271828</v>
      </c>
      <c r="D47" s="93">
        <f t="shared" si="5"/>
        <v>14994.452135909971</v>
      </c>
      <c r="E47" s="93">
        <f>D47*Inputs!$B$133</f>
        <v>15060.999446886748</v>
      </c>
    </row>
    <row r="48" spans="1:5" x14ac:dyDescent="0.45">
      <c r="A48" s="56" t="s">
        <v>123</v>
      </c>
      <c r="B48" s="62">
        <v>15438.290333239391</v>
      </c>
      <c r="C48" s="84">
        <f>Inputs!$E$106</f>
        <v>1.1021602159970296</v>
      </c>
      <c r="D48" s="93">
        <f t="shared" si="5"/>
        <v>14007.301396987639</v>
      </c>
      <c r="E48" s="93">
        <f>D48*Inputs!$B$133</f>
        <v>14069.467605766846</v>
      </c>
    </row>
    <row r="49" spans="1:5" x14ac:dyDescent="0.45">
      <c r="A49" s="56" t="s">
        <v>124</v>
      </c>
      <c r="B49" s="62">
        <v>14914.934235609689</v>
      </c>
      <c r="C49" s="84">
        <f>Inputs!$E$110</f>
        <v>1.118959495949595</v>
      </c>
      <c r="D49" s="93">
        <f t="shared" si="5"/>
        <v>13329.28876299697</v>
      </c>
      <c r="E49" s="93">
        <f>D49*Inputs!$B$133</f>
        <v>13388.445864328209</v>
      </c>
    </row>
    <row r="50" spans="1:5" x14ac:dyDescent="0.45">
      <c r="A50" s="56" t="s">
        <v>125</v>
      </c>
      <c r="B50" s="62">
        <v>16060.826106277769</v>
      </c>
      <c r="C50" s="84">
        <f>Inputs!$E$114</f>
        <v>1.1371674167416741</v>
      </c>
      <c r="D50" s="93">
        <f t="shared" si="5"/>
        <v>14123.537018231542</v>
      </c>
      <c r="E50" s="93">
        <f>D50*Inputs!$B$133</f>
        <v>14186.219095677598</v>
      </c>
    </row>
    <row r="51" spans="1:5" x14ac:dyDescent="0.45">
      <c r="A51" s="56" t="s">
        <v>126</v>
      </c>
      <c r="B51" s="62">
        <v>17945.91086</v>
      </c>
      <c r="C51" s="84">
        <f>Inputs!$E$118</f>
        <v>1.1578582358235825</v>
      </c>
      <c r="D51" s="93">
        <f t="shared" si="5"/>
        <v>15499.229788899938</v>
      </c>
      <c r="E51" s="93">
        <f>D51*Inputs!$B$133</f>
        <v>15568.017368153487</v>
      </c>
    </row>
    <row r="54" spans="1:5" ht="40.5" customHeight="1" x14ac:dyDescent="0.55000000000000004">
      <c r="A54" s="54" t="s">
        <v>147</v>
      </c>
      <c r="B54" s="32" t="s">
        <v>93</v>
      </c>
      <c r="C54" s="91" t="s">
        <v>141</v>
      </c>
      <c r="D54" s="91" t="s">
        <v>143</v>
      </c>
      <c r="E54" s="91" t="s">
        <v>148</v>
      </c>
    </row>
    <row r="55" spans="1:5" x14ac:dyDescent="0.45">
      <c r="A55" s="56" t="s">
        <v>119</v>
      </c>
      <c r="B55" s="62"/>
      <c r="C55" s="84">
        <f>Inputs!$E$90</f>
        <v>1.0589558955895586</v>
      </c>
      <c r="D55" s="93"/>
      <c r="E55" s="94"/>
    </row>
    <row r="56" spans="1:5" x14ac:dyDescent="0.45">
      <c r="A56" s="56" t="s">
        <v>120</v>
      </c>
      <c r="B56" s="62"/>
      <c r="C56" s="84">
        <f>Inputs!$E$94</f>
        <v>1.0742574257425743</v>
      </c>
      <c r="D56" s="93"/>
      <c r="E56" s="94"/>
    </row>
    <row r="57" spans="1:5" x14ac:dyDescent="0.45">
      <c r="A57" s="56" t="s">
        <v>121</v>
      </c>
      <c r="B57" s="62"/>
      <c r="C57" s="84">
        <f>Inputs!$E$98</f>
        <v>1.0792079207847438</v>
      </c>
      <c r="D57" s="93"/>
      <c r="E57" s="94"/>
    </row>
    <row r="58" spans="1:5" x14ac:dyDescent="0.45">
      <c r="A58" s="56" t="s">
        <v>122</v>
      </c>
      <c r="B58" s="93">
        <v>6775</v>
      </c>
      <c r="C58" s="84">
        <f>Inputs!$E$102</f>
        <v>1.0828082807271828</v>
      </c>
      <c r="D58" s="93">
        <f>B58/C58</f>
        <v>6256.8786373245184</v>
      </c>
      <c r="E58" s="94">
        <f>D58*Inputs!$B$133</f>
        <v>6284.6474710670209</v>
      </c>
    </row>
    <row r="59" spans="1:5" x14ac:dyDescent="0.45">
      <c r="A59" s="56" t="s">
        <v>123</v>
      </c>
      <c r="B59" s="93">
        <v>9623.9500494700005</v>
      </c>
      <c r="C59" s="84">
        <f>Inputs!$E$106</f>
        <v>1.1021602159970296</v>
      </c>
      <c r="D59" s="93">
        <f>B59/C59</f>
        <v>8731.8975134336888</v>
      </c>
      <c r="E59" s="94">
        <f>D59*Inputs!$B$133</f>
        <v>8770.6507999143723</v>
      </c>
    </row>
    <row r="60" spans="1:5" x14ac:dyDescent="0.45">
      <c r="A60" s="56" t="s">
        <v>124</v>
      </c>
      <c r="B60" s="93">
        <v>9995.6906000283088</v>
      </c>
      <c r="C60" s="84">
        <f>Inputs!$E$110</f>
        <v>1.118959495949595</v>
      </c>
      <c r="D60" s="93">
        <f>B60/C60</f>
        <v>8933.0227199560559</v>
      </c>
      <c r="E60" s="94">
        <f>D60*Inputs!$B$133</f>
        <v>8972.6686260231309</v>
      </c>
    </row>
    <row r="61" spans="1:5" x14ac:dyDescent="0.45">
      <c r="A61" s="56" t="s">
        <v>125</v>
      </c>
      <c r="B61" s="93">
        <v>6999.30505311871</v>
      </c>
      <c r="C61" s="84">
        <f>Inputs!$E$114</f>
        <v>1.1371674167416741</v>
      </c>
      <c r="D61" s="93">
        <f>B61/C61</f>
        <v>6155.03482607145</v>
      </c>
      <c r="E61" s="94">
        <f>D61*Inputs!$B$133</f>
        <v>6182.3516638545743</v>
      </c>
    </row>
    <row r="62" spans="1:5" x14ac:dyDescent="0.45">
      <c r="A62" s="56" t="s">
        <v>126</v>
      </c>
      <c r="B62" s="93">
        <v>8363.8707919701446</v>
      </c>
      <c r="C62" s="84">
        <f>Inputs!$E$118</f>
        <v>1.1578582358235825</v>
      </c>
      <c r="D62" s="93">
        <f>B62/C62</f>
        <v>7223.5706697037385</v>
      </c>
      <c r="E62" s="94">
        <f>D62*Inputs!$B$133</f>
        <v>7255.6298072675754</v>
      </c>
    </row>
    <row r="64" spans="1:5" ht="18" x14ac:dyDescent="0.55000000000000004">
      <c r="A64" s="54" t="s">
        <v>149</v>
      </c>
      <c r="B64" s="90" t="s">
        <v>1</v>
      </c>
      <c r="C64" s="90" t="s">
        <v>12</v>
      </c>
      <c r="D64" s="90" t="s">
        <v>16</v>
      </c>
      <c r="E64" s="90" t="s">
        <v>93</v>
      </c>
    </row>
    <row r="65" spans="1:5" x14ac:dyDescent="0.45">
      <c r="A65" s="56" t="s">
        <v>149</v>
      </c>
      <c r="B65" s="92">
        <f>AVERAGE(E24:E31)*1000</f>
        <v>1563425.9940826714</v>
      </c>
      <c r="C65" s="92">
        <f>AVERAGE(E44:E51)*1000</f>
        <v>14306433.097863032</v>
      </c>
      <c r="D65" s="92">
        <f>AVERAGE(E34:E41)*1000</f>
        <v>10737906.025147565</v>
      </c>
      <c r="E65" s="92">
        <f>AVERAGE(E55:E62)*1000</f>
        <v>7493189.6736253351</v>
      </c>
    </row>
  </sheetData>
  <mergeCells count="1">
    <mergeCell ref="A21:E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A86A7-609C-46D2-AFD9-F65A83A06E68}">
  <sheetPr codeName="Sheet5"/>
  <dimension ref="A1:U50"/>
  <sheetViews>
    <sheetView showGridLines="0" tabSelected="1" view="pageBreakPreview" zoomScaleNormal="100" zoomScaleSheetLayoutView="100" workbookViewId="0">
      <selection activeCell="B14" sqref="B14"/>
    </sheetView>
  </sheetViews>
  <sheetFormatPr defaultColWidth="9.1328125" defaultRowHeight="14.25" x14ac:dyDescent="0.45"/>
  <cols>
    <col min="1" max="1" width="11.265625" customWidth="1"/>
    <col min="2" max="2" width="10.3984375" customWidth="1"/>
    <col min="3" max="3" width="12.73046875" customWidth="1"/>
    <col min="4" max="4" width="11.3984375" customWidth="1"/>
    <col min="5" max="5" width="9.73046875" customWidth="1"/>
    <col min="6" max="6" width="11.73046875" bestFit="1" customWidth="1"/>
    <col min="7" max="7" width="9.86328125" customWidth="1"/>
    <col min="8" max="8" width="10.59765625" bestFit="1" customWidth="1"/>
    <col min="11" max="11" width="9.59765625" bestFit="1" customWidth="1"/>
    <col min="12" max="12" width="10.73046875" customWidth="1"/>
    <col min="13" max="13" width="11" customWidth="1"/>
    <col min="14" max="14" width="15.73046875" customWidth="1"/>
    <col min="15" max="16" width="13.86328125" hidden="1" customWidth="1"/>
    <col min="17" max="17" width="23.265625" bestFit="1" customWidth="1"/>
    <col min="18" max="18" width="18" customWidth="1"/>
    <col min="19" max="19" width="18.265625" bestFit="1" customWidth="1"/>
    <col min="20" max="20" width="15" customWidth="1"/>
    <col min="21" max="21" width="11.3984375" customWidth="1"/>
  </cols>
  <sheetData>
    <row r="1" spans="1:21" ht="25.5" x14ac:dyDescent="0.75">
      <c r="A1" s="53" t="s">
        <v>159</v>
      </c>
      <c r="D1" s="1"/>
      <c r="E1" s="2"/>
      <c r="F1" s="2"/>
    </row>
    <row r="2" spans="1:21" ht="22.5" x14ac:dyDescent="0.6">
      <c r="A2" s="27"/>
      <c r="D2" s="1"/>
      <c r="E2" s="2"/>
      <c r="F2" s="2"/>
      <c r="Q2">
        <v>0.5</v>
      </c>
      <c r="R2">
        <v>0</v>
      </c>
      <c r="S2">
        <v>0.5</v>
      </c>
    </row>
    <row r="3" spans="1:21" x14ac:dyDescent="0.45">
      <c r="B3" s="77" t="s">
        <v>7</v>
      </c>
      <c r="C3" s="77" t="s">
        <v>46</v>
      </c>
      <c r="D3" s="77" t="s">
        <v>8</v>
      </c>
      <c r="E3" s="77" t="s">
        <v>4</v>
      </c>
      <c r="F3" s="77" t="s">
        <v>9</v>
      </c>
      <c r="G3" s="77" t="s">
        <v>5</v>
      </c>
      <c r="H3" s="77" t="s">
        <v>10</v>
      </c>
      <c r="I3" s="77" t="s">
        <v>2</v>
      </c>
      <c r="J3" s="77" t="s">
        <v>11</v>
      </c>
      <c r="K3" s="77" t="s">
        <v>47</v>
      </c>
      <c r="L3" s="77" t="s">
        <v>48</v>
      </c>
      <c r="M3" s="77" t="s">
        <v>49</v>
      </c>
      <c r="N3" s="77" t="s">
        <v>50</v>
      </c>
      <c r="O3" s="77" t="s">
        <v>51</v>
      </c>
      <c r="P3" s="77" t="s">
        <v>52</v>
      </c>
      <c r="Q3" s="77" t="s">
        <v>156</v>
      </c>
      <c r="R3" s="77" t="s">
        <v>157</v>
      </c>
      <c r="S3" s="77" t="s">
        <v>158</v>
      </c>
      <c r="T3" s="77" t="s">
        <v>53</v>
      </c>
      <c r="U3" s="77" t="s">
        <v>54</v>
      </c>
    </row>
    <row r="4" spans="1:21" x14ac:dyDescent="0.45">
      <c r="B4" s="79" t="s">
        <v>55</v>
      </c>
      <c r="C4" s="79" t="s">
        <v>56</v>
      </c>
      <c r="D4" s="79" t="s">
        <v>57</v>
      </c>
      <c r="E4" s="98">
        <f>Inputs!D59</f>
        <v>2646</v>
      </c>
      <c r="F4" s="98">
        <f>Inputs!E59</f>
        <v>21371</v>
      </c>
      <c r="G4" s="98">
        <f>Inputs!F59</f>
        <v>394</v>
      </c>
      <c r="H4" s="98">
        <f>Inputs!G59</f>
        <v>54</v>
      </c>
      <c r="I4" s="98">
        <f>Inputs!H59</f>
        <v>6.7</v>
      </c>
      <c r="J4" s="98">
        <f>Inputs!I59</f>
        <v>0.124</v>
      </c>
      <c r="K4" s="98">
        <f>Inputs!J59</f>
        <v>764</v>
      </c>
      <c r="L4" s="98">
        <f>Inputs!K59</f>
        <v>94</v>
      </c>
      <c r="M4" s="98">
        <f>Inputs!L59</f>
        <v>5125</v>
      </c>
      <c r="N4" s="98">
        <f>M4*G4</f>
        <v>2019250</v>
      </c>
      <c r="O4" s="98">
        <f>K4*E4</f>
        <v>2021544</v>
      </c>
      <c r="P4" s="98">
        <f>(O4-N4)/N4</f>
        <v>1.1360653708059924E-3</v>
      </c>
      <c r="Q4" s="98">
        <f t="shared" ref="Q4:Q18" si="0">F4^$Q$2</f>
        <v>146.18823482072693</v>
      </c>
      <c r="R4" s="98">
        <f t="shared" ref="R4:R18" si="1">E4^$R$2</f>
        <v>1</v>
      </c>
      <c r="S4" s="98">
        <f t="shared" ref="S4:S18" si="2">G4^$S$2</f>
        <v>19.849433241279208</v>
      </c>
      <c r="T4" s="98">
        <f>Q4*R4*S4</f>
        <v>2901.7536077344676</v>
      </c>
      <c r="U4" s="98">
        <f>LN(T4)</f>
        <v>7.9730705255440624</v>
      </c>
    </row>
    <row r="5" spans="1:21" x14ac:dyDescent="0.45">
      <c r="B5" s="79" t="s">
        <v>55</v>
      </c>
      <c r="C5" s="79" t="s">
        <v>58</v>
      </c>
      <c r="D5" s="79" t="s">
        <v>14</v>
      </c>
      <c r="E5" s="98">
        <f>Inputs!D60</f>
        <v>56374</v>
      </c>
      <c r="F5" s="98">
        <f>Inputs!E60</f>
        <v>630330</v>
      </c>
      <c r="G5" s="98">
        <f>Inputs!F60</f>
        <v>10829</v>
      </c>
      <c r="H5" s="98">
        <f>Inputs!G60</f>
        <v>58</v>
      </c>
      <c r="I5" s="98">
        <f>Inputs!H60</f>
        <v>5.2</v>
      </c>
      <c r="J5" s="98">
        <f>Inputs!I60</f>
        <v>8.8999999999999996E-2</v>
      </c>
      <c r="K5" s="98">
        <f>Inputs!J60</f>
        <v>952</v>
      </c>
      <c r="L5" s="98">
        <f>Inputs!K60</f>
        <v>85</v>
      </c>
      <c r="M5" s="98">
        <f>Inputs!L60</f>
        <v>4946</v>
      </c>
      <c r="N5" s="98">
        <f t="shared" ref="N5:N14" si="3">M5*G5</f>
        <v>53560234</v>
      </c>
      <c r="O5" s="98">
        <f t="shared" ref="O5:O18" si="4">K5*E5</f>
        <v>53668048</v>
      </c>
      <c r="P5" s="98">
        <f t="shared" ref="P5:P18" si="5">(O5-N5)/N5</f>
        <v>2.0129486364828053E-3</v>
      </c>
      <c r="Q5" s="98">
        <f t="shared" si="0"/>
        <v>793.93324656421839</v>
      </c>
      <c r="R5" s="98">
        <f t="shared" si="1"/>
        <v>1</v>
      </c>
      <c r="S5" s="98">
        <f t="shared" si="2"/>
        <v>104.06248123122954</v>
      </c>
      <c r="T5" s="98">
        <f t="shared" ref="T5:T18" si="6">Q5*R5*S5</f>
        <v>82618.663569438111</v>
      </c>
      <c r="U5" s="98">
        <f t="shared" ref="U5:U14" si="7">LN(T5)</f>
        <v>11.321990885189791</v>
      </c>
    </row>
    <row r="6" spans="1:21" x14ac:dyDescent="0.45">
      <c r="B6" s="79" t="s">
        <v>59</v>
      </c>
      <c r="C6" s="79"/>
      <c r="D6" s="79" t="s">
        <v>14</v>
      </c>
      <c r="E6" s="98">
        <f>Inputs!D61</f>
        <v>56219</v>
      </c>
      <c r="F6" s="98">
        <f>Inputs!E61</f>
        <v>693278</v>
      </c>
      <c r="G6" s="98">
        <f>Inputs!F61</f>
        <v>10159</v>
      </c>
      <c r="H6" s="98">
        <f>Inputs!G61</f>
        <v>68</v>
      </c>
      <c r="I6" s="98">
        <f>Inputs!H61</f>
        <v>5.5</v>
      </c>
      <c r="J6" s="98">
        <f>Inputs!I61</f>
        <v>8.1000000000000003E-2</v>
      </c>
      <c r="K6" s="98">
        <f>Inputs!J61</f>
        <v>981</v>
      </c>
      <c r="L6" s="98">
        <f>Inputs!K61</f>
        <v>80</v>
      </c>
      <c r="M6" s="98">
        <f>Inputs!L61</f>
        <v>5423</v>
      </c>
      <c r="N6" s="98">
        <f t="shared" si="3"/>
        <v>55092257</v>
      </c>
      <c r="O6" s="98">
        <f t="shared" si="4"/>
        <v>55150839</v>
      </c>
      <c r="P6" s="98">
        <f t="shared" si="5"/>
        <v>1.0633436201388517E-3</v>
      </c>
      <c r="Q6" s="98">
        <f t="shared" si="0"/>
        <v>832.63317253157766</v>
      </c>
      <c r="R6" s="98">
        <f t="shared" si="1"/>
        <v>1</v>
      </c>
      <c r="S6" s="98">
        <f t="shared" si="2"/>
        <v>100.79186475107998</v>
      </c>
      <c r="T6" s="98">
        <f t="shared" si="6"/>
        <v>83922.650113065421</v>
      </c>
      <c r="U6" s="98">
        <f t="shared" si="7"/>
        <v>11.337650821611913</v>
      </c>
    </row>
    <row r="7" spans="1:21" x14ac:dyDescent="0.45">
      <c r="B7" s="79" t="s">
        <v>60</v>
      </c>
      <c r="C7" s="79"/>
      <c r="D7" s="79" t="s">
        <v>61</v>
      </c>
      <c r="E7" s="98">
        <f>Inputs!D62</f>
        <v>65691</v>
      </c>
      <c r="F7" s="98">
        <f>Inputs!E62</f>
        <v>682921</v>
      </c>
      <c r="G7" s="98">
        <f>Inputs!F62</f>
        <v>11513</v>
      </c>
      <c r="H7" s="98">
        <f>Inputs!G62</f>
        <v>59</v>
      </c>
      <c r="I7" s="98">
        <f>Inputs!H62</f>
        <v>5.7</v>
      </c>
      <c r="J7" s="98">
        <f>Inputs!I62</f>
        <v>9.6000000000000002E-2</v>
      </c>
      <c r="K7" s="98">
        <f>Inputs!J62</f>
        <v>705</v>
      </c>
      <c r="L7" s="98">
        <f>Inputs!K62</f>
        <v>68</v>
      </c>
      <c r="M7" s="98">
        <f>Inputs!L62</f>
        <v>4020</v>
      </c>
      <c r="N7" s="98">
        <f t="shared" si="3"/>
        <v>46282260</v>
      </c>
      <c r="O7" s="98">
        <f t="shared" si="4"/>
        <v>46312155</v>
      </c>
      <c r="P7" s="98">
        <f t="shared" si="5"/>
        <v>6.4592783498472201E-4</v>
      </c>
      <c r="Q7" s="98">
        <f t="shared" si="0"/>
        <v>826.3903436028279</v>
      </c>
      <c r="R7" s="98">
        <f t="shared" si="1"/>
        <v>1</v>
      </c>
      <c r="S7" s="98">
        <f t="shared" si="2"/>
        <v>107.29864864013899</v>
      </c>
      <c r="T7" s="98">
        <f t="shared" si="6"/>
        <v>88670.567117843559</v>
      </c>
      <c r="U7" s="98">
        <f t="shared" si="7"/>
        <v>11.392683288179059</v>
      </c>
    </row>
    <row r="8" spans="1:21" x14ac:dyDescent="0.45">
      <c r="B8" s="79" t="s">
        <v>55</v>
      </c>
      <c r="C8" s="79" t="s">
        <v>62</v>
      </c>
      <c r="D8" s="79" t="s">
        <v>61</v>
      </c>
      <c r="E8" s="98">
        <f>Inputs!D63</f>
        <v>22334</v>
      </c>
      <c r="F8" s="98">
        <f>Inputs!E63</f>
        <v>442298</v>
      </c>
      <c r="G8" s="98">
        <f>Inputs!F63</f>
        <v>8210</v>
      </c>
      <c r="H8" s="98">
        <f>Inputs!G63</f>
        <v>54</v>
      </c>
      <c r="I8" s="98">
        <f>Inputs!H63</f>
        <v>2.7</v>
      </c>
      <c r="J8" s="98">
        <f>Inputs!I63</f>
        <v>5.0999999999999997E-2</v>
      </c>
      <c r="K8" s="98">
        <f>Inputs!J63</f>
        <v>2174</v>
      </c>
      <c r="L8" s="98">
        <f>Inputs!K63</f>
        <v>110</v>
      </c>
      <c r="M8" s="98">
        <f>Inputs!L63</f>
        <v>5920</v>
      </c>
      <c r="N8" s="98">
        <f t="shared" si="3"/>
        <v>48603200</v>
      </c>
      <c r="O8" s="98">
        <f t="shared" si="4"/>
        <v>48554116</v>
      </c>
      <c r="P8" s="98">
        <f t="shared" si="5"/>
        <v>-1.0098923527668961E-3</v>
      </c>
      <c r="Q8" s="98">
        <f t="shared" si="0"/>
        <v>665.0548849531142</v>
      </c>
      <c r="R8" s="98">
        <f t="shared" si="1"/>
        <v>1</v>
      </c>
      <c r="S8" s="98">
        <f t="shared" si="2"/>
        <v>90.609050320594349</v>
      </c>
      <c r="T8" s="98">
        <f t="shared" si="6"/>
        <v>60259.991536673813</v>
      </c>
      <c r="U8" s="98">
        <f t="shared" si="7"/>
        <v>11.00642367223745</v>
      </c>
    </row>
    <row r="9" spans="1:21" x14ac:dyDescent="0.45">
      <c r="B9" s="79" t="s">
        <v>55</v>
      </c>
      <c r="C9" s="79" t="s">
        <v>63</v>
      </c>
      <c r="D9" s="79" t="s">
        <v>64</v>
      </c>
      <c r="E9" s="98">
        <f>Inputs!D64</f>
        <v>6055</v>
      </c>
      <c r="F9" s="98">
        <f>Inputs!E64</f>
        <v>92100</v>
      </c>
      <c r="G9" s="98">
        <f>Inputs!F64</f>
        <v>2548</v>
      </c>
      <c r="H9" s="98">
        <f>Inputs!G64</f>
        <v>36</v>
      </c>
      <c r="I9" s="98">
        <f>Inputs!H64</f>
        <v>2.4</v>
      </c>
      <c r="J9" s="98">
        <f>Inputs!I64</f>
        <v>6.6000000000000003E-2</v>
      </c>
      <c r="K9" s="98">
        <f>Inputs!J64</f>
        <v>3686</v>
      </c>
      <c r="L9" s="98">
        <f>Inputs!K64</f>
        <v>242</v>
      </c>
      <c r="M9" s="98">
        <f>Inputs!L64</f>
        <v>8757</v>
      </c>
      <c r="N9" s="98">
        <f t="shared" si="3"/>
        <v>22312836</v>
      </c>
      <c r="O9" s="98">
        <f t="shared" si="4"/>
        <v>22318730</v>
      </c>
      <c r="P9" s="98">
        <f t="shared" si="5"/>
        <v>2.6415288491341932E-4</v>
      </c>
      <c r="Q9" s="98">
        <f t="shared" si="0"/>
        <v>303.47981810987034</v>
      </c>
      <c r="R9" s="98">
        <f t="shared" si="1"/>
        <v>1</v>
      </c>
      <c r="S9" s="98">
        <f t="shared" si="2"/>
        <v>50.47771785649585</v>
      </c>
      <c r="T9" s="98">
        <f t="shared" si="6"/>
        <v>15318.968633690714</v>
      </c>
      <c r="U9" s="98">
        <f t="shared" si="7"/>
        <v>9.6368471194677259</v>
      </c>
    </row>
    <row r="10" spans="1:21" x14ac:dyDescent="0.45">
      <c r="B10" s="79" t="s">
        <v>65</v>
      </c>
      <c r="C10" s="79" t="s">
        <v>63</v>
      </c>
      <c r="D10" s="79" t="s">
        <v>64</v>
      </c>
      <c r="E10" s="98">
        <f>Inputs!D65</f>
        <v>10110</v>
      </c>
      <c r="F10" s="98">
        <f>Inputs!E65</f>
        <v>93397</v>
      </c>
      <c r="G10" s="98">
        <f>Inputs!F65</f>
        <v>3133</v>
      </c>
      <c r="H10" s="98">
        <f>Inputs!G65</f>
        <v>30</v>
      </c>
      <c r="I10" s="98">
        <f>Inputs!H65</f>
        <v>3.2</v>
      </c>
      <c r="J10" s="98">
        <f>Inputs!I65</f>
        <v>0.108</v>
      </c>
      <c r="K10" s="98">
        <f>Inputs!J65</f>
        <v>1751</v>
      </c>
      <c r="L10" s="98">
        <f>Inputs!K65</f>
        <v>190</v>
      </c>
      <c r="M10" s="98">
        <f>Inputs!L65</f>
        <v>5649</v>
      </c>
      <c r="N10" s="98">
        <f t="shared" si="3"/>
        <v>17698317</v>
      </c>
      <c r="O10" s="98">
        <f t="shared" si="4"/>
        <v>17702610</v>
      </c>
      <c r="P10" s="98">
        <f t="shared" si="5"/>
        <v>2.4256543715427858E-4</v>
      </c>
      <c r="Q10" s="98">
        <f t="shared" si="0"/>
        <v>305.609227609377</v>
      </c>
      <c r="R10" s="98">
        <f t="shared" si="1"/>
        <v>1</v>
      </c>
      <c r="S10" s="98">
        <f t="shared" si="2"/>
        <v>55.97320787662612</v>
      </c>
      <c r="T10" s="98">
        <f t="shared" si="6"/>
        <v>17105.928825994804</v>
      </c>
      <c r="U10" s="98">
        <f t="shared" si="7"/>
        <v>9.747180397369462</v>
      </c>
    </row>
    <row r="11" spans="1:21" x14ac:dyDescent="0.45">
      <c r="B11" s="79" t="s">
        <v>55</v>
      </c>
      <c r="C11" s="79" t="s">
        <v>66</v>
      </c>
      <c r="D11" s="79" t="s">
        <v>67</v>
      </c>
      <c r="E11" s="98">
        <f>Inputs!D66</f>
        <v>1609</v>
      </c>
      <c r="F11" s="98">
        <f>Inputs!E66</f>
        <v>19554</v>
      </c>
      <c r="G11" s="98">
        <f>Inputs!F66</f>
        <v>723</v>
      </c>
      <c r="H11" s="98">
        <f>Inputs!G66</f>
        <v>27</v>
      </c>
      <c r="I11" s="98">
        <f>Inputs!H66</f>
        <v>2.2000000000000002</v>
      </c>
      <c r="J11" s="98">
        <f>Inputs!I66</f>
        <v>8.2000000000000003E-2</v>
      </c>
      <c r="K11" s="98">
        <f>Inputs!J66</f>
        <v>1443</v>
      </c>
      <c r="L11" s="98">
        <f>Inputs!K66</f>
        <v>119</v>
      </c>
      <c r="M11" s="98">
        <f>Inputs!L66</f>
        <v>3214</v>
      </c>
      <c r="N11" s="98">
        <f t="shared" si="3"/>
        <v>2323722</v>
      </c>
      <c r="O11" s="98">
        <f t="shared" si="4"/>
        <v>2321787</v>
      </c>
      <c r="P11" s="98">
        <f t="shared" si="5"/>
        <v>-8.3271578958240275E-4</v>
      </c>
      <c r="Q11" s="98">
        <f t="shared" si="0"/>
        <v>139.83561778030659</v>
      </c>
      <c r="R11" s="98">
        <f t="shared" si="1"/>
        <v>1</v>
      </c>
      <c r="S11" s="98">
        <f t="shared" si="2"/>
        <v>26.888659319497503</v>
      </c>
      <c r="T11" s="98">
        <f t="shared" si="6"/>
        <v>3759.9922872261313</v>
      </c>
      <c r="U11" s="98">
        <f t="shared" si="7"/>
        <v>8.2321721851121907</v>
      </c>
    </row>
    <row r="12" spans="1:21" x14ac:dyDescent="0.45">
      <c r="B12" s="79" t="s">
        <v>68</v>
      </c>
      <c r="C12" s="79"/>
      <c r="D12" s="79" t="s">
        <v>14</v>
      </c>
      <c r="E12" s="98">
        <f>Inputs!D67</f>
        <v>89797</v>
      </c>
      <c r="F12" s="98">
        <f>Inputs!E67</f>
        <v>1294269</v>
      </c>
      <c r="G12" s="98">
        <f>Inputs!F67</f>
        <v>25985</v>
      </c>
      <c r="H12" s="98">
        <f>Inputs!G67</f>
        <v>50</v>
      </c>
      <c r="I12" s="98">
        <f>Inputs!H67</f>
        <v>3.5</v>
      </c>
      <c r="J12" s="98">
        <f>Inputs!I67</f>
        <v>7.0000000000000007E-2</v>
      </c>
      <c r="K12" s="98">
        <f>Inputs!J67</f>
        <v>1293</v>
      </c>
      <c r="L12" s="98">
        <f>Inputs!K67</f>
        <v>90</v>
      </c>
      <c r="M12" s="98">
        <f>Inputs!L67</f>
        <v>4466</v>
      </c>
      <c r="N12" s="98">
        <f t="shared" si="3"/>
        <v>116049010</v>
      </c>
      <c r="O12" s="98">
        <f t="shared" si="4"/>
        <v>116107521</v>
      </c>
      <c r="P12" s="98">
        <f t="shared" si="5"/>
        <v>5.0419215122989849E-4</v>
      </c>
      <c r="Q12" s="98">
        <f t="shared" si="0"/>
        <v>1137.6594393754222</v>
      </c>
      <c r="R12" s="98">
        <f t="shared" si="1"/>
        <v>1</v>
      </c>
      <c r="S12" s="98">
        <f t="shared" si="2"/>
        <v>161.19863522995473</v>
      </c>
      <c r="T12" s="98">
        <f t="shared" si="6"/>
        <v>183389.14898379348</v>
      </c>
      <c r="U12" s="98">
        <f t="shared" si="7"/>
        <v>12.119365671207861</v>
      </c>
    </row>
    <row r="13" spans="1:21" x14ac:dyDescent="0.45">
      <c r="B13" s="79" t="s">
        <v>69</v>
      </c>
      <c r="C13" s="79"/>
      <c r="D13" s="79" t="s">
        <v>61</v>
      </c>
      <c r="E13" s="98">
        <f>Inputs!D68</f>
        <v>8295</v>
      </c>
      <c r="F13" s="98">
        <f>Inputs!E68</f>
        <v>140516</v>
      </c>
      <c r="G13" s="98">
        <f>Inputs!F68</f>
        <v>4576</v>
      </c>
      <c r="H13" s="98">
        <f>Inputs!G68</f>
        <v>31</v>
      </c>
      <c r="I13" s="98">
        <f>Inputs!H68</f>
        <v>1.8</v>
      </c>
      <c r="J13" s="98">
        <f>Inputs!I68</f>
        <v>5.8999999999999997E-2</v>
      </c>
      <c r="K13" s="98">
        <f>Inputs!J68</f>
        <v>2032</v>
      </c>
      <c r="L13" s="98">
        <f>Inputs!K68</f>
        <v>120</v>
      </c>
      <c r="M13" s="98">
        <f>Inputs!L68</f>
        <v>3685</v>
      </c>
      <c r="N13" s="98">
        <f t="shared" si="3"/>
        <v>16862560</v>
      </c>
      <c r="O13" s="98">
        <f t="shared" si="4"/>
        <v>16855440</v>
      </c>
      <c r="P13" s="98">
        <f t="shared" si="5"/>
        <v>-4.2223719292918749E-4</v>
      </c>
      <c r="Q13" s="98">
        <f t="shared" si="0"/>
        <v>374.85463849337651</v>
      </c>
      <c r="R13" s="98">
        <f t="shared" si="1"/>
        <v>1</v>
      </c>
      <c r="S13" s="98">
        <f t="shared" si="2"/>
        <v>67.646138101151053</v>
      </c>
      <c r="T13" s="98">
        <f t="shared" si="6"/>
        <v>25357.468643380002</v>
      </c>
      <c r="U13" s="98">
        <f t="shared" si="7"/>
        <v>10.140828586667704</v>
      </c>
    </row>
    <row r="14" spans="1:21" x14ac:dyDescent="0.45">
      <c r="A14" s="35"/>
      <c r="B14" s="79" t="s">
        <v>70</v>
      </c>
      <c r="C14" s="79" t="s">
        <v>71</v>
      </c>
      <c r="D14" s="79" t="s">
        <v>61</v>
      </c>
      <c r="E14" s="98">
        <f>Inputs!D69</f>
        <v>26287</v>
      </c>
      <c r="F14" s="98">
        <f>Inputs!E69</f>
        <v>734519</v>
      </c>
      <c r="G14" s="98">
        <f>Inputs!F69</f>
        <v>13818</v>
      </c>
      <c r="H14" s="98">
        <f>Inputs!G69</f>
        <v>53</v>
      </c>
      <c r="I14" s="98">
        <f>Inputs!H69</f>
        <v>1.9</v>
      </c>
      <c r="J14" s="98">
        <f>Inputs!I69</f>
        <v>3.5999999999999997E-2</v>
      </c>
      <c r="K14" s="98">
        <f>Inputs!J69</f>
        <v>1782</v>
      </c>
      <c r="L14" s="98">
        <f>Inputs!K69</f>
        <v>64</v>
      </c>
      <c r="M14" s="98">
        <f>Inputs!L69</f>
        <v>3389</v>
      </c>
      <c r="N14" s="98">
        <f t="shared" si="3"/>
        <v>46829202</v>
      </c>
      <c r="O14" s="98">
        <f t="shared" si="4"/>
        <v>46843434</v>
      </c>
      <c r="P14" s="98">
        <f t="shared" si="5"/>
        <v>3.0391293022674187E-4</v>
      </c>
      <c r="Q14" s="98">
        <f t="shared" si="0"/>
        <v>857.04083916695595</v>
      </c>
      <c r="R14" s="98">
        <f t="shared" si="1"/>
        <v>1</v>
      </c>
      <c r="S14" s="98">
        <f t="shared" si="2"/>
        <v>117.54998936622665</v>
      </c>
      <c r="T14" s="98">
        <f t="shared" si="6"/>
        <v>100745.14153049764</v>
      </c>
      <c r="U14" s="98">
        <f t="shared" si="7"/>
        <v>11.520349255623806</v>
      </c>
    </row>
    <row r="15" spans="1:21" x14ac:dyDescent="0.45">
      <c r="A15" s="35"/>
      <c r="B15" s="79" t="s">
        <v>12</v>
      </c>
      <c r="C15" s="79" t="s">
        <v>72</v>
      </c>
      <c r="D15" s="79" t="s">
        <v>13</v>
      </c>
      <c r="E15" s="98">
        <f>Calculations!$C$7</f>
        <v>8791.2227792500016</v>
      </c>
      <c r="F15" s="98">
        <f>Calculations!$C$8</f>
        <v>106067.5625</v>
      </c>
      <c r="G15" s="98">
        <f>Calculations!$C$9</f>
        <v>5909.5337880243351</v>
      </c>
      <c r="H15" s="98">
        <f>Calculations!$C$11</f>
        <v>17.948549971056231</v>
      </c>
      <c r="I15" s="98">
        <f>Calculations!$C$12</f>
        <v>1.4876338971215304</v>
      </c>
      <c r="J15" s="98">
        <f>Calculations!$C$13</f>
        <v>8.2883235666417823E-2</v>
      </c>
      <c r="K15" s="98">
        <f>Calculations!$C$14</f>
        <v>1627.3541755341053</v>
      </c>
      <c r="L15" s="98">
        <f>Calculations!$C$15</f>
        <v>134.88037964352233</v>
      </c>
      <c r="M15" s="98">
        <f>Calculations!$C$16</f>
        <v>2420.9072341467959</v>
      </c>
      <c r="N15" s="98">
        <f>Calculations!$C$65</f>
        <v>14306433.097863032</v>
      </c>
      <c r="O15" s="98">
        <f t="shared" si="4"/>
        <v>14306433.097863032</v>
      </c>
      <c r="P15" s="98">
        <f t="shared" si="5"/>
        <v>0</v>
      </c>
      <c r="Q15" s="98">
        <f t="shared" si="0"/>
        <v>325.68015367842111</v>
      </c>
      <c r="R15" s="98">
        <f t="shared" si="1"/>
        <v>1</v>
      </c>
      <c r="S15" s="98">
        <f t="shared" si="2"/>
        <v>76.873492102442796</v>
      </c>
      <c r="T15" s="98">
        <f t="shared" si="6"/>
        <v>25036.17072172046</v>
      </c>
      <c r="U15" s="98">
        <f>LN(T15)</f>
        <v>10.12807688707073</v>
      </c>
    </row>
    <row r="16" spans="1:21" x14ac:dyDescent="0.45">
      <c r="A16" s="35"/>
      <c r="B16" s="79" t="s">
        <v>16</v>
      </c>
      <c r="C16" s="79" t="s">
        <v>72</v>
      </c>
      <c r="D16" s="79" t="s">
        <v>18</v>
      </c>
      <c r="E16" s="98">
        <f>Calculations!$D$7</f>
        <v>14116.6521082728</v>
      </c>
      <c r="F16" s="98">
        <f>Calculations!$D$8</f>
        <v>108136.4</v>
      </c>
      <c r="G16" s="98">
        <f>Calculations!$D$9</f>
        <v>6629.6792000000005</v>
      </c>
      <c r="H16" s="98">
        <f>Calculations!$D$11</f>
        <v>16.310955136411426</v>
      </c>
      <c r="I16" s="98">
        <f>Calculations!$D$12</f>
        <v>2.1293114919154457</v>
      </c>
      <c r="J16" s="98">
        <f>Calculations!$D$13</f>
        <v>0.13054486840946064</v>
      </c>
      <c r="K16" s="98">
        <f>Calculations!$D$14</f>
        <v>760.65528446754138</v>
      </c>
      <c r="L16" s="98">
        <f>Calculations!$D$15</f>
        <v>99.299644015776053</v>
      </c>
      <c r="M16" s="98">
        <f>Calculations!$D$16</f>
        <v>1619.6720386029483</v>
      </c>
      <c r="N16" s="98">
        <f>Calculations!$D$65</f>
        <v>10737906.025147565</v>
      </c>
      <c r="O16" s="98">
        <f t="shared" si="4"/>
        <v>10737906.025147565</v>
      </c>
      <c r="P16" s="98">
        <f t="shared" si="5"/>
        <v>0</v>
      </c>
      <c r="Q16" s="98">
        <f t="shared" si="0"/>
        <v>328.84099501126678</v>
      </c>
      <c r="R16" s="98">
        <f t="shared" si="1"/>
        <v>1</v>
      </c>
      <c r="S16" s="98">
        <f t="shared" si="2"/>
        <v>81.422842003948745</v>
      </c>
      <c r="T16" s="98">
        <f t="shared" si="6"/>
        <v>26775.168381223673</v>
      </c>
      <c r="U16" s="98">
        <f>LN(T16)</f>
        <v>10.195230184044025</v>
      </c>
    </row>
    <row r="17" spans="1:21" x14ac:dyDescent="0.45">
      <c r="A17" s="35"/>
      <c r="B17" s="79" t="s">
        <v>73</v>
      </c>
      <c r="C17" s="79" t="s">
        <v>72</v>
      </c>
      <c r="D17" s="79" t="s">
        <v>18</v>
      </c>
      <c r="E17" s="98">
        <f>Calculations!$E$7</f>
        <v>9507.2582371578901</v>
      </c>
      <c r="F17" s="98">
        <f>Calculations!$E$8</f>
        <v>63236.800000000003</v>
      </c>
      <c r="G17" s="98">
        <f>Calculations!$E$9</f>
        <v>4707.1812</v>
      </c>
      <c r="H17" s="98">
        <f>Calculations!$E$11</f>
        <v>13.434112117884904</v>
      </c>
      <c r="I17" s="98">
        <f>Calculations!$E$12</f>
        <v>2.0197349184598821</v>
      </c>
      <c r="J17" s="98">
        <f>Calculations!$E$13</f>
        <v>0.15034375928506644</v>
      </c>
      <c r="K17" s="98">
        <f>Calculations!$E$14</f>
        <v>788.1546379311726</v>
      </c>
      <c r="L17" s="98">
        <f>Calculations!$E$15</f>
        <v>118.49413116453292</v>
      </c>
      <c r="M17" s="98">
        <f>Calculations!$E$16</f>
        <v>1591.8634433756947</v>
      </c>
      <c r="N17" s="98">
        <f>Calculations!$E$65</f>
        <v>7493189.6736253351</v>
      </c>
      <c r="O17" s="98">
        <f t="shared" si="4"/>
        <v>7493189.6736253351</v>
      </c>
      <c r="P17" s="98">
        <f t="shared" si="5"/>
        <v>0</v>
      </c>
      <c r="Q17" s="98">
        <f t="shared" si="0"/>
        <v>251.46928241835025</v>
      </c>
      <c r="R17" s="98">
        <f t="shared" si="1"/>
        <v>1</v>
      </c>
      <c r="S17" s="98">
        <f t="shared" si="2"/>
        <v>68.60890029726464</v>
      </c>
      <c r="T17" s="98">
        <f t="shared" si="6"/>
        <v>17253.030925265277</v>
      </c>
      <c r="U17" s="98">
        <f>LN(T17)</f>
        <v>9.7557431128375267</v>
      </c>
    </row>
    <row r="18" spans="1:21" x14ac:dyDescent="0.45">
      <c r="A18" s="35"/>
      <c r="B18" s="79" t="s">
        <v>1</v>
      </c>
      <c r="C18" s="79" t="s">
        <v>72</v>
      </c>
      <c r="D18" s="79" t="s">
        <v>13</v>
      </c>
      <c r="E18" s="98">
        <f>Calculations!$B$7</f>
        <v>1209.6986172500001</v>
      </c>
      <c r="F18" s="98">
        <f>Calculations!$B$8</f>
        <v>10018.5</v>
      </c>
      <c r="G18" s="98">
        <f>Calculations!$B$9</f>
        <v>662.75099999999998</v>
      </c>
      <c r="H18" s="98">
        <f>Calculations!$B$11</f>
        <v>15.116536979951746</v>
      </c>
      <c r="I18" s="98">
        <f>Calculations!$B$12</f>
        <v>1.8252686412393193</v>
      </c>
      <c r="J18" s="98">
        <f>Calculations!$B$13</f>
        <v>0.12074648073563908</v>
      </c>
      <c r="K18" s="98">
        <f>Calculations!$B$14</f>
        <v>1292.4095074497129</v>
      </c>
      <c r="L18" s="98">
        <f>Calculations!$B$15</f>
        <v>156.05389969383356</v>
      </c>
      <c r="M18" s="98">
        <f>Calculations!$B$16</f>
        <v>2358.9945455875154</v>
      </c>
      <c r="N18" s="98">
        <f>Calculations!$B$65</f>
        <v>1563425.9940826714</v>
      </c>
      <c r="O18" s="98">
        <f t="shared" si="4"/>
        <v>1563425.9940826714</v>
      </c>
      <c r="P18" s="98">
        <f t="shared" si="5"/>
        <v>0</v>
      </c>
      <c r="Q18" s="98">
        <f t="shared" si="0"/>
        <v>100.09245725827697</v>
      </c>
      <c r="R18" s="98">
        <f t="shared" si="1"/>
        <v>1</v>
      </c>
      <c r="S18" s="98">
        <f t="shared" si="2"/>
        <v>25.743950745757729</v>
      </c>
      <c r="T18" s="98">
        <f t="shared" si="6"/>
        <v>2576.775289678943</v>
      </c>
      <c r="U18" s="98">
        <f>LN(T18)</f>
        <v>7.8542940084331878</v>
      </c>
    </row>
    <row r="20" spans="1:21" s="3" customFormat="1" x14ac:dyDescent="0.45">
      <c r="A20" s="3" t="s">
        <v>74</v>
      </c>
      <c r="B20" s="3" t="s">
        <v>75</v>
      </c>
      <c r="C20" s="3" t="s">
        <v>72</v>
      </c>
      <c r="D20" s="3" t="s">
        <v>14</v>
      </c>
      <c r="E20" s="4">
        <v>8786</v>
      </c>
      <c r="F20" s="4">
        <v>105071</v>
      </c>
      <c r="G20" s="4">
        <v>3878</v>
      </c>
      <c r="H20" s="3">
        <v>27</v>
      </c>
      <c r="I20" s="3">
        <v>2.2999999999999998</v>
      </c>
      <c r="J20" s="3">
        <v>8.4000000000000005E-2</v>
      </c>
      <c r="K20" s="4">
        <v>1622</v>
      </c>
      <c r="L20" s="3">
        <v>136</v>
      </c>
      <c r="M20" s="4">
        <v>3673</v>
      </c>
      <c r="N20" s="5">
        <f>M20*G20</f>
        <v>14243894</v>
      </c>
      <c r="Q20" s="6">
        <f>F20^Q2</f>
        <v>324.1465717850491</v>
      </c>
      <c r="R20" s="6">
        <f>E20^R2</f>
        <v>1</v>
      </c>
      <c r="S20" s="7">
        <f>G20^0.5</f>
        <v>62.273589907761057</v>
      </c>
      <c r="T20" s="8">
        <f>Q20*S20</f>
        <v>20185.770681348778</v>
      </c>
      <c r="U20" s="7">
        <f>LN(T20)</f>
        <v>9.9127332134523378</v>
      </c>
    </row>
    <row r="21" spans="1:21" s="3" customFormat="1" x14ac:dyDescent="0.45">
      <c r="A21" s="3" t="s">
        <v>74</v>
      </c>
      <c r="B21" s="3" t="s">
        <v>16</v>
      </c>
      <c r="C21" s="3" t="s">
        <v>72</v>
      </c>
      <c r="D21" s="3" t="s">
        <v>17</v>
      </c>
      <c r="E21" s="4">
        <v>15776</v>
      </c>
      <c r="F21" s="4">
        <v>117881</v>
      </c>
      <c r="G21" s="4">
        <v>6725</v>
      </c>
      <c r="H21" s="3">
        <v>17</v>
      </c>
      <c r="I21" s="3">
        <v>2.2999999999999998</v>
      </c>
      <c r="J21" s="3">
        <v>0.13300000000000001</v>
      </c>
      <c r="K21" s="3">
        <v>740</v>
      </c>
      <c r="L21" s="3">
        <v>99</v>
      </c>
      <c r="M21" s="4">
        <v>1717</v>
      </c>
      <c r="N21" s="5">
        <f>M21*G21</f>
        <v>11546825</v>
      </c>
      <c r="Q21" s="6">
        <f>F21^0.5</f>
        <v>343.33802585789999</v>
      </c>
      <c r="R21" s="6">
        <f>E21^0.25</f>
        <v>11.207254246462899</v>
      </c>
      <c r="S21" s="7">
        <f>G21^0.5</f>
        <v>82.006097334283623</v>
      </c>
      <c r="T21" s="8">
        <f>Q21*S21</f>
        <v>28155.811567063734</v>
      </c>
      <c r="U21" s="7">
        <f>LN(T21)</f>
        <v>10.245509062244473</v>
      </c>
    </row>
    <row r="22" spans="1:21" s="3" customFormat="1" x14ac:dyDescent="0.45">
      <c r="E22" s="4"/>
      <c r="F22" s="4"/>
      <c r="G22" s="4"/>
      <c r="M22" s="4"/>
      <c r="N22" s="5"/>
      <c r="Q22" s="6"/>
      <c r="R22" s="6"/>
      <c r="S22" s="7"/>
      <c r="T22" s="8"/>
      <c r="U22" s="7"/>
    </row>
    <row r="23" spans="1:21" x14ac:dyDescent="0.45">
      <c r="B23" s="56"/>
      <c r="C23" s="99" t="s">
        <v>76</v>
      </c>
      <c r="D23" s="99" t="s">
        <v>54</v>
      </c>
    </row>
    <row r="24" spans="1:21" ht="15.75" x14ac:dyDescent="0.5">
      <c r="B24" s="56" t="s">
        <v>55</v>
      </c>
      <c r="C24" s="100">
        <f>LN(N4)</f>
        <v>14.518236713304542</v>
      </c>
      <c r="D24" s="100">
        <f>U4</f>
        <v>7.9730705255440624</v>
      </c>
      <c r="Q24" s="105" t="s">
        <v>77</v>
      </c>
      <c r="R24" s="106">
        <f>SLOPE(C24:C38,D24:D38)</f>
        <v>0.962310233730308</v>
      </c>
    </row>
    <row r="25" spans="1:21" ht="15.75" x14ac:dyDescent="0.5">
      <c r="B25" s="56" t="s">
        <v>55</v>
      </c>
      <c r="C25" s="100">
        <f t="shared" ref="C25:C38" si="8">LN(N5)</f>
        <v>17.79631744770974</v>
      </c>
      <c r="D25" s="100">
        <f t="shared" ref="D25:D38" si="9">U5</f>
        <v>11.321990885189791</v>
      </c>
      <c r="Q25" s="105" t="s">
        <v>78</v>
      </c>
      <c r="R25" s="106">
        <f>R24/2</f>
        <v>0.481155116865154</v>
      </c>
    </row>
    <row r="26" spans="1:21" x14ac:dyDescent="0.45">
      <c r="B26" s="56" t="s">
        <v>59</v>
      </c>
      <c r="C26" s="100">
        <f t="shared" si="8"/>
        <v>17.824519737932604</v>
      </c>
      <c r="D26" s="100">
        <f t="shared" si="9"/>
        <v>11.337650821611913</v>
      </c>
    </row>
    <row r="27" spans="1:21" x14ac:dyDescent="0.45">
      <c r="B27" s="56" t="s">
        <v>60</v>
      </c>
      <c r="C27" s="100">
        <f t="shared" si="8"/>
        <v>17.65026929228673</v>
      </c>
      <c r="D27" s="100">
        <f t="shared" si="9"/>
        <v>11.392683288179059</v>
      </c>
    </row>
    <row r="28" spans="1:21" x14ac:dyDescent="0.45">
      <c r="B28" s="56" t="s">
        <v>55</v>
      </c>
      <c r="C28" s="100">
        <f t="shared" si="8"/>
        <v>17.699199930324525</v>
      </c>
      <c r="D28" s="100">
        <f t="shared" si="9"/>
        <v>11.00642367223745</v>
      </c>
    </row>
    <row r="29" spans="1:21" x14ac:dyDescent="0.45">
      <c r="B29" s="56" t="s">
        <v>55</v>
      </c>
      <c r="C29" s="100">
        <f t="shared" si="8"/>
        <v>16.920672676214277</v>
      </c>
      <c r="D29" s="100">
        <f t="shared" si="9"/>
        <v>9.6368471194677259</v>
      </c>
    </row>
    <row r="30" spans="1:21" x14ac:dyDescent="0.45">
      <c r="B30" s="56" t="s">
        <v>65</v>
      </c>
      <c r="C30" s="100">
        <f t="shared" si="8"/>
        <v>16.688980108277455</v>
      </c>
      <c r="D30" s="100">
        <f t="shared" si="9"/>
        <v>9.747180397369462</v>
      </c>
    </row>
    <row r="31" spans="1:21" x14ac:dyDescent="0.45">
      <c r="B31" s="56" t="s">
        <v>55</v>
      </c>
      <c r="C31" s="100">
        <f t="shared" si="8"/>
        <v>14.658680768456222</v>
      </c>
      <c r="D31" s="100">
        <f t="shared" si="9"/>
        <v>8.2321721851121907</v>
      </c>
    </row>
    <row r="32" spans="1:21" x14ac:dyDescent="0.45">
      <c r="B32" s="56" t="s">
        <v>68</v>
      </c>
      <c r="C32" s="100">
        <f t="shared" si="8"/>
        <v>18.569523159842646</v>
      </c>
      <c r="D32" s="100">
        <f t="shared" si="9"/>
        <v>12.119365671207861</v>
      </c>
    </row>
    <row r="33" spans="1:17" x14ac:dyDescent="0.45">
      <c r="B33" s="56" t="s">
        <v>69</v>
      </c>
      <c r="C33" s="100">
        <f t="shared" si="8"/>
        <v>16.640606337683071</v>
      </c>
      <c r="D33" s="100">
        <f t="shared" si="9"/>
        <v>10.140828586667704</v>
      </c>
    </row>
    <row r="34" spans="1:17" x14ac:dyDescent="0.45">
      <c r="B34" s="56" t="s">
        <v>70</v>
      </c>
      <c r="C34" s="100">
        <f t="shared" si="8"/>
        <v>17.662017540655793</v>
      </c>
      <c r="D34" s="100">
        <f t="shared" si="9"/>
        <v>11.520349255623806</v>
      </c>
    </row>
    <row r="35" spans="1:17" x14ac:dyDescent="0.45">
      <c r="B35" s="56" t="s">
        <v>75</v>
      </c>
      <c r="C35" s="100">
        <f t="shared" si="8"/>
        <v>16.47621986105375</v>
      </c>
      <c r="D35" s="100">
        <f t="shared" si="9"/>
        <v>10.12807688707073</v>
      </c>
    </row>
    <row r="36" spans="1:17" x14ac:dyDescent="0.45">
      <c r="B36" s="56" t="s">
        <v>16</v>
      </c>
      <c r="C36" s="100">
        <f t="shared" si="8"/>
        <v>16.189290658310373</v>
      </c>
      <c r="D36" s="100">
        <f t="shared" si="9"/>
        <v>10.195230184044025</v>
      </c>
    </row>
    <row r="37" spans="1:17" x14ac:dyDescent="0.45">
      <c r="B37" s="56" t="s">
        <v>73</v>
      </c>
      <c r="C37" s="100">
        <f t="shared" si="8"/>
        <v>15.829505122468658</v>
      </c>
      <c r="D37" s="100">
        <f t="shared" si="9"/>
        <v>9.7557431128375267</v>
      </c>
    </row>
    <row r="38" spans="1:17" x14ac:dyDescent="0.45">
      <c r="B38" s="56" t="s">
        <v>1</v>
      </c>
      <c r="C38" s="100">
        <f t="shared" si="8"/>
        <v>14.262390121266113</v>
      </c>
      <c r="D38" s="100">
        <f t="shared" si="9"/>
        <v>7.8542940084331878</v>
      </c>
    </row>
    <row r="43" spans="1:17" ht="19.5" x14ac:dyDescent="0.6">
      <c r="A43" s="54" t="s">
        <v>164</v>
      </c>
      <c r="B43" s="25"/>
      <c r="C43" s="25"/>
      <c r="D43" s="25"/>
      <c r="E43" s="25"/>
      <c r="F43" s="25"/>
      <c r="G43" s="25"/>
      <c r="H43" s="25"/>
      <c r="I43" s="25"/>
      <c r="J43" s="25"/>
      <c r="K43" s="25"/>
      <c r="L43" s="25"/>
      <c r="M43" s="25"/>
      <c r="N43" s="25"/>
      <c r="O43" s="25"/>
      <c r="P43" s="25"/>
      <c r="Q43" s="29"/>
    </row>
    <row r="44" spans="1:17" x14ac:dyDescent="0.45">
      <c r="A44" s="103" t="s">
        <v>170</v>
      </c>
      <c r="B44" s="29"/>
      <c r="C44" s="29"/>
      <c r="D44" s="29"/>
      <c r="E44" s="29"/>
      <c r="F44" s="29"/>
      <c r="G44" s="29"/>
      <c r="H44" s="29"/>
      <c r="I44" s="29"/>
      <c r="J44" s="29"/>
      <c r="K44" s="29"/>
      <c r="L44" s="29"/>
    </row>
    <row r="45" spans="1:17" ht="39.75" x14ac:dyDescent="0.45">
      <c r="A45" s="104" t="s">
        <v>161</v>
      </c>
      <c r="B45" s="29"/>
      <c r="C45" s="29"/>
      <c r="D45" s="29"/>
      <c r="E45" s="29"/>
      <c r="F45" s="29"/>
      <c r="G45" s="29"/>
      <c r="H45" s="29"/>
      <c r="I45" s="29"/>
      <c r="J45" s="29"/>
      <c r="K45" s="29"/>
    </row>
    <row r="46" spans="1:17" ht="26.65" x14ac:dyDescent="0.45">
      <c r="A46" s="102" t="s">
        <v>162</v>
      </c>
      <c r="B46" s="56"/>
      <c r="C46" s="56"/>
    </row>
    <row r="47" spans="1:17" x14ac:dyDescent="0.45">
      <c r="A47" s="101"/>
    </row>
    <row r="48" spans="1:17" x14ac:dyDescent="0.45">
      <c r="A48" s="102" t="s">
        <v>163</v>
      </c>
      <c r="B48" s="56"/>
      <c r="C48" s="56"/>
    </row>
    <row r="49" spans="1:3" x14ac:dyDescent="0.45">
      <c r="A49" s="56"/>
      <c r="B49" s="56"/>
      <c r="C49" s="56"/>
    </row>
    <row r="50" spans="1:3" x14ac:dyDescent="0.45">
      <c r="A50" s="56"/>
      <c r="B50" s="56"/>
      <c r="C50" s="5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8FA0C-2CB7-48E9-B9CD-50C7C0D31BD1}">
  <sheetPr codeName="Sheet6"/>
  <dimension ref="A1:C4"/>
  <sheetViews>
    <sheetView showGridLines="0" workbookViewId="0">
      <selection activeCell="B3" sqref="B3"/>
    </sheetView>
  </sheetViews>
  <sheetFormatPr defaultRowHeight="14.25" x14ac:dyDescent="0.45"/>
  <cols>
    <col min="2" max="2" width="10" bestFit="1" customWidth="1"/>
  </cols>
  <sheetData>
    <row r="1" spans="1:3" ht="25.5" x14ac:dyDescent="0.75">
      <c r="A1" s="53" t="s">
        <v>160</v>
      </c>
    </row>
    <row r="2" spans="1:3" x14ac:dyDescent="0.45">
      <c r="A2" s="29"/>
      <c r="C2" s="29"/>
    </row>
    <row r="3" spans="1:3" x14ac:dyDescent="0.45">
      <c r="A3" s="108" t="s">
        <v>165</v>
      </c>
      <c r="C3" s="108">
        <f>Elasticity!R24</f>
        <v>0.962310233730308</v>
      </c>
    </row>
    <row r="4" spans="1:3" x14ac:dyDescent="0.45">
      <c r="A4" s="107" t="s">
        <v>159</v>
      </c>
      <c r="B4" s="107"/>
      <c r="C4" s="107">
        <f>Elasticity!R25</f>
        <v>0.481155116865154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CoverSheet</vt:lpstr>
      <vt:lpstr>Table of Contents</vt:lpstr>
      <vt:lpstr>Description</vt:lpstr>
      <vt:lpstr>Inputs</vt:lpstr>
      <vt:lpstr>Calculations</vt:lpstr>
      <vt:lpstr>Elasticity</vt:lpstr>
      <vt:lpstr>Output</vt:lpstr>
      <vt:lpstr>Calculations!Print_Area</vt:lpstr>
      <vt:lpstr>CoverSheet!Print_Area</vt:lpstr>
      <vt:lpstr>Description!Print_Area</vt:lpstr>
      <vt:lpstr>Elasticity!Print_Area</vt:lpstr>
      <vt:lpstr>Inputs!Print_Area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2022-02-07T00:34:06Z</dcterms:created>
  <dcterms:modified xsi:type="dcterms:W3CDTF">2022-02-07T16:11:46Z</dcterms:modified>
</cp:coreProperties>
</file>