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3395" windowHeight="15480" tabRatio="655"/>
  </bookViews>
  <sheets>
    <sheet name="Vector RAB calculations" sheetId="11" r:id="rId1"/>
    <sheet name="Formula to estimate WACC" sheetId="12" r:id="rId2"/>
  </sheets>
  <calcPr calcId="145621"/>
</workbook>
</file>

<file path=xl/calcChain.xml><?xml version="1.0" encoding="utf-8"?>
<calcChain xmlns="http://schemas.openxmlformats.org/spreadsheetml/2006/main">
  <c r="C30" i="12" l="1"/>
  <c r="C29" i="12"/>
  <c r="C23" i="12"/>
  <c r="C22" i="12"/>
  <c r="E21" i="12"/>
  <c r="E28" i="12"/>
  <c r="D18" i="12"/>
  <c r="D16" i="12"/>
  <c r="D17" i="12" s="1"/>
  <c r="D21" i="12" l="1"/>
  <c r="D22" i="12" s="1"/>
  <c r="D28" i="12"/>
  <c r="G56" i="11"/>
  <c r="D23" i="12" l="1"/>
  <c r="D29" i="12"/>
  <c r="D30" i="12"/>
  <c r="G49" i="11"/>
  <c r="D31" i="12" l="1"/>
  <c r="D24" i="12"/>
  <c r="G11" i="11"/>
  <c r="F11" i="11"/>
  <c r="F23" i="11" s="1"/>
  <c r="E11" i="11"/>
  <c r="F22" i="11" s="1"/>
  <c r="E12" i="11"/>
  <c r="G22" i="11" s="1"/>
  <c r="G44" i="11"/>
  <c r="G43" i="11"/>
  <c r="I44" i="11"/>
  <c r="I43" i="11"/>
  <c r="G8" i="11"/>
  <c r="G9" i="11" s="1"/>
  <c r="F8" i="11"/>
  <c r="F12" i="11" s="1"/>
  <c r="E9" i="11"/>
  <c r="G12" i="11" l="1"/>
  <c r="G23" i="11" s="1"/>
  <c r="F9" i="11"/>
  <c r="H11" i="11"/>
  <c r="I45" i="11"/>
  <c r="G45" i="11"/>
  <c r="I39" i="11"/>
  <c r="G39" i="11"/>
  <c r="I38" i="11"/>
  <c r="G38" i="11"/>
  <c r="G40" i="11" l="1"/>
  <c r="G47" i="11" s="1"/>
  <c r="I40" i="11"/>
  <c r="I47" i="11" s="1"/>
  <c r="H5" i="11"/>
  <c r="J23" i="11"/>
  <c r="J22" i="11"/>
  <c r="D28" i="11"/>
  <c r="D26" i="11"/>
  <c r="E22" i="11" l="1"/>
  <c r="E25" i="11"/>
  <c r="E24" i="11"/>
  <c r="E23" i="11"/>
  <c r="H9" i="11"/>
  <c r="H12" i="11"/>
  <c r="I56" i="11" s="1"/>
  <c r="F28" i="11"/>
  <c r="J28" i="11" s="1"/>
  <c r="K23" i="11"/>
  <c r="K22" i="11"/>
  <c r="I59" i="11" l="1"/>
  <c r="G59" i="11"/>
  <c r="I57" i="11"/>
  <c r="I58" i="11" s="1"/>
  <c r="G57" i="11"/>
  <c r="G58" i="11" s="1"/>
  <c r="I49" i="11"/>
  <c r="G28" i="11"/>
  <c r="K28" i="11" s="1"/>
  <c r="G60" i="11" l="1"/>
  <c r="I60" i="11"/>
</calcChain>
</file>

<file path=xl/comments1.xml><?xml version="1.0" encoding="utf-8"?>
<comments xmlns="http://schemas.openxmlformats.org/spreadsheetml/2006/main">
  <authors>
    <author>John Groot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
March 2013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
June 2013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
June 2013</t>
        </r>
      </text>
    </comment>
    <comment ref="E6" authorId="0">
      <text>
        <r>
          <rPr>
            <sz val="9"/>
            <color indexed="81"/>
            <rFont val="Tahoma"/>
            <charset val="1"/>
          </rPr>
          <t xml:space="preserve">
commissioned assets per DPP model</t>
        </r>
      </text>
    </comment>
    <comment ref="E7" authorId="0">
      <text>
        <r>
          <rPr>
            <sz val="9"/>
            <color indexed="81"/>
            <rFont val="Tahoma"/>
            <charset val="1"/>
          </rPr>
          <t xml:space="preserve">
depreciation per DPP model</t>
        </r>
      </text>
    </comment>
    <comment ref="G37" authorId="0">
      <text>
        <r>
          <rPr>
            <sz val="9"/>
            <color indexed="81"/>
            <rFont val="Tahoma"/>
            <charset val="1"/>
          </rPr>
          <t xml:space="preserve">
20 working day avg = $2.78
28 June  $2.68</t>
        </r>
      </text>
    </comment>
    <comment ref="I37" authorId="0">
      <text>
        <r>
          <rPr>
            <sz val="9"/>
            <color indexed="81"/>
            <rFont val="Tahoma"/>
            <charset val="1"/>
          </rPr>
          <t xml:space="preserve">
20 working day avg = $2.59
10 Dec $2.60</t>
        </r>
      </text>
    </comment>
    <comment ref="G38" authorId="0">
      <text>
        <r>
          <rPr>
            <sz val="9"/>
            <color indexed="81"/>
            <rFont val="Tahoma"/>
            <family val="2"/>
          </rPr>
          <t xml:space="preserve">
Issued shares less Treasury shares.  VCT AR 2013, note 9</t>
        </r>
      </text>
    </comment>
    <comment ref="I38" authorId="0">
      <text>
        <r>
          <rPr>
            <sz val="9"/>
            <color indexed="81"/>
            <rFont val="Tahoma"/>
            <family val="2"/>
          </rPr>
          <t xml:space="preserve">
Issued shares less Treasury shares.  VCT AR 2013, note 9</t>
        </r>
      </text>
    </comment>
    <comment ref="G39" authorId="0">
      <text>
        <r>
          <rPr>
            <sz val="9"/>
            <color indexed="81"/>
            <rFont val="Tahoma"/>
            <family val="2"/>
          </rPr>
          <t xml:space="preserve">
VCT AR 2013, balance sheet</t>
        </r>
      </text>
    </comment>
    <comment ref="I39" authorId="0">
      <text>
        <r>
          <rPr>
            <sz val="9"/>
            <color indexed="81"/>
            <rFont val="Tahoma"/>
            <family val="2"/>
          </rPr>
          <t xml:space="preserve">
VCT interim balance sheet as at 31 Dec 2013</t>
        </r>
      </text>
    </comment>
  </commentList>
</comments>
</file>

<file path=xl/sharedStrings.xml><?xml version="1.0" encoding="utf-8"?>
<sst xmlns="http://schemas.openxmlformats.org/spreadsheetml/2006/main" count="98" uniqueCount="83">
  <si>
    <t>EDB</t>
  </si>
  <si>
    <t>Multiple</t>
  </si>
  <si>
    <t>GDB</t>
  </si>
  <si>
    <t>RAB</t>
  </si>
  <si>
    <t>GTB</t>
  </si>
  <si>
    <t>(21 Feb 2014), p.6</t>
  </si>
  <si>
    <t>Opening RAB (2013)</t>
  </si>
  <si>
    <t>Depreciation (2014)</t>
  </si>
  <si>
    <t>Deutsche Bank's (DB's) Sum of the parts analysis</t>
  </si>
  <si>
    <t>DB's estimate of EV</t>
  </si>
  <si>
    <t>As at Jun 2013</t>
  </si>
  <si>
    <t>Takes a/c of different ID year end for gas pipeline businesses</t>
  </si>
  <si>
    <t>EV / RAB multiple</t>
  </si>
  <si>
    <t>Estmtd RAB as at Dec 2013</t>
  </si>
  <si>
    <t>As at Dec 2013</t>
  </si>
  <si>
    <t>All</t>
  </si>
  <si>
    <t>Approach 1</t>
  </si>
  <si>
    <t>Approach 2</t>
  </si>
  <si>
    <t>RAB as per ID disclosures (2013), Schedule 4</t>
  </si>
  <si>
    <t>- Gas Trading</t>
  </si>
  <si>
    <t>- Technology / other</t>
  </si>
  <si>
    <t>Total unregulated business</t>
  </si>
  <si>
    <t>Market value of equity to book value</t>
  </si>
  <si>
    <t>Premium to equity holders</t>
  </si>
  <si>
    <t>Take DB's values for the EDB and GPBs business and compare to RAB</t>
  </si>
  <si>
    <t>Take VCT's market implied EV and subtract DB's  value of the unregulated businesses</t>
  </si>
  <si>
    <t>Forecast CAPEX (2014)</t>
  </si>
  <si>
    <t>Revaluations</t>
  </si>
  <si>
    <t>Estmtd RAB as at Jun 2013</t>
  </si>
  <si>
    <t>Estimates of VCT RAB multiples</t>
  </si>
  <si>
    <t>Closing  RAB (est. 2014)</t>
  </si>
  <si>
    <t>Assume GPB revalns are proportionate to EDB revaln</t>
  </si>
  <si>
    <t>DPP model for EDBs; GPB RAB as per ID disclosures (2013), Schedule 3i.  (Latter assume 2014 deprecn = 2013 deprecn.)</t>
  </si>
  <si>
    <t>Forecast capex as per ID disclosures (2014), Schedule 11a</t>
  </si>
  <si>
    <t>Share price ($/share)</t>
  </si>
  <si>
    <t>Market cap ($m)</t>
  </si>
  <si>
    <t>Net Debt ($m)</t>
  </si>
  <si>
    <t>Enterprise Value ($m)</t>
  </si>
  <si>
    <t>Value of the unregulated businesses (all in $m)</t>
  </si>
  <si>
    <t>Implied EV of regulated businesses ($m)</t>
  </si>
  <si>
    <t>RAB ($m)</t>
  </si>
  <si>
    <t>Proportion of Debt related to regulated business ($m)</t>
  </si>
  <si>
    <t>Implied equity relating to RAB ($m)</t>
  </si>
  <si>
    <t>Implied market value of equity relating to regulated businesses ($m)</t>
  </si>
  <si>
    <t>Electricity ($m)</t>
  </si>
  <si>
    <t>Gas Transportation ($m)</t>
  </si>
  <si>
    <t>Gas Trading ($m)</t>
  </si>
  <si>
    <t>Technology / Other ($m)</t>
  </si>
  <si>
    <t>Total regulated ($m)</t>
  </si>
  <si>
    <t>VCT RAB ($m)</t>
  </si>
  <si>
    <t>Parameters</t>
  </si>
  <si>
    <t>Inputs</t>
  </si>
  <si>
    <t>Estimates</t>
  </si>
  <si>
    <t>Std Error</t>
  </si>
  <si>
    <t>Leverage</t>
  </si>
  <si>
    <t>Debt issuance costs</t>
  </si>
  <si>
    <t>Post-tax WACC</t>
  </si>
  <si>
    <t>WACC</t>
  </si>
  <si>
    <t>TAMRP</t>
  </si>
  <si>
    <t>67th percentile estimate</t>
  </si>
  <si>
    <t>75th percentile estimate</t>
  </si>
  <si>
    <t>Mid-point</t>
  </si>
  <si>
    <t xml:space="preserve">Vanilla WACC </t>
  </si>
  <si>
    <t xml:space="preserve">Movement from 75th to 67th </t>
  </si>
  <si>
    <t>Std error</t>
  </si>
  <si>
    <t>Critical value</t>
  </si>
  <si>
    <t>Risk-fre rate (5 yr term, re-estimated each determination)</t>
  </si>
  <si>
    <t>Debt premium (BBB+, 5 years)</t>
  </si>
  <si>
    <t>Equity beta</t>
  </si>
  <si>
    <t>Asset beta</t>
  </si>
  <si>
    <t>Debt beta</t>
  </si>
  <si>
    <t>Corporate tax rate</t>
  </si>
  <si>
    <t>Investor tax rate</t>
  </si>
  <si>
    <t>Cost of equity</t>
  </si>
  <si>
    <t>Cost of debt (pre-tax)</t>
  </si>
  <si>
    <t>higher standard error of the debt beta.</t>
  </si>
  <si>
    <t>vary and are re-estimated at the time of each determination.</t>
  </si>
  <si>
    <t xml:space="preserve">http://comcom.govt.nz/regulated-industries/input-methodologies-2/cost-of-capital/ </t>
  </si>
  <si>
    <t>Notes:</t>
  </si>
  <si>
    <t>The risk-free rate, and debt premium (and potentially the standard error of the debt premium)</t>
  </si>
  <si>
    <t>This is example is for EDBs only.  The same answer would be calculated for Transpower as at this date.</t>
  </si>
  <si>
    <t xml:space="preserve">The numbers are slightly different for gas pipelines, as these have a higher asset beta, and a </t>
  </si>
  <si>
    <t>Formal determinations of the WACC are published on our website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</si>
</sst>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0.00\x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2" applyNumberFormat="1" applyFont="1" applyAlignment="1">
      <alignment vertical="top"/>
    </xf>
    <xf numFmtId="0" fontId="4" fillId="0" borderId="0" xfId="0" applyFont="1"/>
    <xf numFmtId="165" fontId="2" fillId="0" borderId="0" xfId="0" applyNumberFormat="1" applyFont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66" fontId="2" fillId="0" borderId="0" xfId="1" applyNumberFormat="1" applyFont="1"/>
    <xf numFmtId="166" fontId="2" fillId="0" borderId="0" xfId="0" applyNumberFormat="1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9" fontId="2" fillId="0" borderId="0" xfId="2" applyFont="1"/>
    <xf numFmtId="0" fontId="2" fillId="0" borderId="0" xfId="0" quotePrefix="1" applyFont="1"/>
    <xf numFmtId="0" fontId="2" fillId="0" borderId="0" xfId="0" applyFont="1" applyFill="1"/>
    <xf numFmtId="166" fontId="2" fillId="0" borderId="0" xfId="1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17" fontId="2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right"/>
    </xf>
    <xf numFmtId="17" fontId="3" fillId="0" borderId="0" xfId="0" applyNumberFormat="1" applyFont="1"/>
    <xf numFmtId="17" fontId="3" fillId="0" borderId="0" xfId="0" applyNumberFormat="1" applyFont="1" applyFill="1"/>
    <xf numFmtId="9" fontId="0" fillId="0" borderId="0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right"/>
    </xf>
    <xf numFmtId="2" fontId="7" fillId="0" borderId="0" xfId="0" applyNumberFormat="1" applyFont="1" applyBorder="1"/>
    <xf numFmtId="9" fontId="7" fillId="0" borderId="0" xfId="2" applyFont="1" applyBorder="1"/>
    <xf numFmtId="0" fontId="0" fillId="0" borderId="0" xfId="0" applyFont="1"/>
    <xf numFmtId="0" fontId="0" fillId="0" borderId="8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168" fontId="0" fillId="0" borderId="0" xfId="0" applyNumberFormat="1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0" borderId="6" xfId="0" applyFont="1" applyFill="1" applyBorder="1"/>
    <xf numFmtId="0" fontId="11" fillId="0" borderId="2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0" fontId="7" fillId="2" borderId="0" xfId="2" applyNumberFormat="1" applyFont="1" applyFill="1" applyBorder="1"/>
    <xf numFmtId="0" fontId="7" fillId="0" borderId="0" xfId="0" applyFont="1" applyBorder="1"/>
    <xf numFmtId="10" fontId="7" fillId="0" borderId="0" xfId="2" applyNumberFormat="1" applyFont="1" applyBorder="1"/>
    <xf numFmtId="10" fontId="7" fillId="0" borderId="0" xfId="0" applyNumberFormat="1" applyFont="1" applyBorder="1"/>
    <xf numFmtId="0" fontId="11" fillId="0" borderId="1" xfId="0" applyFont="1" applyBorder="1" applyAlignment="1">
      <alignment horizontal="right"/>
    </xf>
    <xf numFmtId="0" fontId="0" fillId="0" borderId="5" xfId="0" applyFont="1" applyBorder="1"/>
    <xf numFmtId="10" fontId="8" fillId="0" borderId="0" xfId="0" applyNumberFormat="1" applyFont="1" applyBorder="1" applyAlignment="1">
      <alignment horizontal="right"/>
    </xf>
    <xf numFmtId="0" fontId="12" fillId="0" borderId="0" xfId="3"/>
    <xf numFmtId="10" fontId="7" fillId="0" borderId="0" xfId="2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0" fillId="2" borderId="8" xfId="0" applyFont="1" applyFill="1" applyBorder="1"/>
    <xf numFmtId="0" fontId="4" fillId="0" borderId="8" xfId="0" applyFont="1" applyBorder="1" applyAlignment="1">
      <alignment horizontal="right"/>
    </xf>
    <xf numFmtId="168" fontId="0" fillId="0" borderId="8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mcom.govt.nz/regulated-industries/input-methodologies-2/cost-of-capi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60"/>
  <sheetViews>
    <sheetView tabSelected="1" workbookViewId="0"/>
  </sheetViews>
  <sheetFormatPr defaultRowHeight="12.75" x14ac:dyDescent="0.2"/>
  <cols>
    <col min="1" max="1" width="4.5703125" style="7" customWidth="1"/>
    <col min="2" max="2" width="9.140625" style="7"/>
    <col min="3" max="3" width="11.5703125" style="7" customWidth="1"/>
    <col min="4" max="4" width="9.140625" style="7"/>
    <col min="5" max="5" width="16.7109375" style="7" customWidth="1"/>
    <col min="6" max="6" width="13.5703125" style="7" customWidth="1"/>
    <col min="7" max="9" width="9.140625" style="7"/>
    <col min="10" max="10" width="15.42578125" style="7" customWidth="1"/>
    <col min="11" max="16384" width="9.140625" style="7"/>
  </cols>
  <sheetData>
    <row r="3" spans="1:17" x14ac:dyDescent="0.2">
      <c r="B3" s="2" t="s">
        <v>49</v>
      </c>
      <c r="C3" s="2"/>
      <c r="D3" s="2"/>
      <c r="E3" s="14" t="s">
        <v>0</v>
      </c>
      <c r="F3" s="14" t="s">
        <v>2</v>
      </c>
      <c r="G3" s="15" t="s">
        <v>4</v>
      </c>
      <c r="H3" s="8" t="s">
        <v>15</v>
      </c>
    </row>
    <row r="5" spans="1:17" x14ac:dyDescent="0.2">
      <c r="B5" s="1" t="s">
        <v>6</v>
      </c>
      <c r="C5" s="1"/>
      <c r="D5" s="1"/>
      <c r="E5" s="5">
        <v>2536.404</v>
      </c>
      <c r="F5" s="5">
        <v>467.45800000000003</v>
      </c>
      <c r="G5" s="5">
        <v>497.69400000000002</v>
      </c>
      <c r="H5" s="5">
        <f>SUM(E5:G5)</f>
        <v>3501.556</v>
      </c>
      <c r="J5" s="7" t="s">
        <v>18</v>
      </c>
    </row>
    <row r="6" spans="1:17" x14ac:dyDescent="0.2">
      <c r="B6" s="1" t="s">
        <v>26</v>
      </c>
      <c r="C6" s="1"/>
      <c r="D6" s="1"/>
      <c r="E6" s="7">
        <v>178.26900000000001</v>
      </c>
      <c r="F6" s="5">
        <v>29.010999999999999</v>
      </c>
      <c r="G6" s="5">
        <v>15.365</v>
      </c>
      <c r="H6" s="5"/>
      <c r="J6" s="7" t="s">
        <v>33</v>
      </c>
      <c r="Q6" s="5"/>
    </row>
    <row r="7" spans="1:17" x14ac:dyDescent="0.2">
      <c r="B7" s="1" t="s">
        <v>7</v>
      </c>
      <c r="C7" s="1"/>
      <c r="D7" s="1"/>
      <c r="E7" s="7">
        <v>-89.363</v>
      </c>
      <c r="F7" s="5">
        <v>-14.398</v>
      </c>
      <c r="G7" s="5">
        <v>-19.463999999999999</v>
      </c>
      <c r="H7" s="5"/>
      <c r="J7" s="7" t="s">
        <v>32</v>
      </c>
      <c r="Q7" s="5"/>
    </row>
    <row r="8" spans="1:17" x14ac:dyDescent="0.2">
      <c r="B8" s="1" t="s">
        <v>27</v>
      </c>
      <c r="C8" s="1"/>
      <c r="D8" s="1"/>
      <c r="E8" s="7">
        <v>38.767000000000003</v>
      </c>
      <c r="F8" s="5">
        <f>E8/E5*F5</f>
        <v>7.1447388846571771</v>
      </c>
      <c r="G8" s="5">
        <f>E8/E5*G5</f>
        <v>7.6068730762134109</v>
      </c>
      <c r="H8" s="5"/>
      <c r="J8" s="7" t="s">
        <v>31</v>
      </c>
      <c r="Q8" s="5"/>
    </row>
    <row r="9" spans="1:17" x14ac:dyDescent="0.2">
      <c r="B9" s="3" t="s">
        <v>30</v>
      </c>
      <c r="C9" s="1"/>
      <c r="D9" s="1"/>
      <c r="E9" s="6">
        <f>SUM(E5:E8)</f>
        <v>2664.0769999999998</v>
      </c>
      <c r="F9" s="6">
        <f>SUM(F5:F8)</f>
        <v>489.21573888465718</v>
      </c>
      <c r="G9" s="6">
        <f>SUM(G5:G8)</f>
        <v>501.20187307621336</v>
      </c>
      <c r="H9" s="5">
        <f>SUM(E9:G9)</f>
        <v>3654.4946119608703</v>
      </c>
    </row>
    <row r="11" spans="1:17" x14ac:dyDescent="0.2">
      <c r="B11" s="1" t="s">
        <v>28</v>
      </c>
      <c r="E11" s="10">
        <f>E5+0.25*(E6+E7+E8)</f>
        <v>2568.3222500000002</v>
      </c>
      <c r="F11" s="10">
        <f>F5</f>
        <v>467.45800000000003</v>
      </c>
      <c r="G11" s="10">
        <f>G5</f>
        <v>497.69400000000002</v>
      </c>
      <c r="H11" s="5">
        <f>SUM(E11:G11)</f>
        <v>3533.4742500000002</v>
      </c>
      <c r="J11" s="7" t="s">
        <v>11</v>
      </c>
    </row>
    <row r="12" spans="1:17" x14ac:dyDescent="0.2">
      <c r="B12" s="1" t="s">
        <v>13</v>
      </c>
      <c r="E12" s="10">
        <f>E5+0.75*(E6+E7+E8)</f>
        <v>2632.1587500000001</v>
      </c>
      <c r="F12" s="10">
        <f>F5+0.5*(F6+F7+F8)</f>
        <v>478.33686944232863</v>
      </c>
      <c r="G12" s="10">
        <f>G5+0.5*(G6+G7+G8)</f>
        <v>499.44793653810672</v>
      </c>
      <c r="H12" s="5">
        <f>SUM(E12:G12)</f>
        <v>3609.9435559804351</v>
      </c>
      <c r="J12" s="7" t="s">
        <v>11</v>
      </c>
    </row>
    <row r="14" spans="1:17" x14ac:dyDescent="0.2">
      <c r="P14" s="5"/>
    </row>
    <row r="15" spans="1:17" x14ac:dyDescent="0.2">
      <c r="A15" s="24" t="s">
        <v>29</v>
      </c>
      <c r="P15" s="5"/>
    </row>
    <row r="16" spans="1:17" x14ac:dyDescent="0.2">
      <c r="B16" s="7" t="s">
        <v>16</v>
      </c>
    </row>
    <row r="17" spans="2:12" ht="15" x14ac:dyDescent="0.25">
      <c r="B17" s="4" t="s">
        <v>8</v>
      </c>
      <c r="G17" s="7" t="s">
        <v>5</v>
      </c>
      <c r="J17" s="7" t="s">
        <v>24</v>
      </c>
    </row>
    <row r="19" spans="2:12" x14ac:dyDescent="0.2">
      <c r="D19" s="7" t="s">
        <v>9</v>
      </c>
      <c r="F19" s="15" t="s">
        <v>3</v>
      </c>
      <c r="G19" s="15" t="s">
        <v>3</v>
      </c>
      <c r="H19" s="25"/>
      <c r="I19" s="24"/>
      <c r="J19" s="15" t="s">
        <v>1</v>
      </c>
      <c r="K19" s="15" t="s">
        <v>1</v>
      </c>
      <c r="L19" s="18"/>
    </row>
    <row r="20" spans="2:12" x14ac:dyDescent="0.2">
      <c r="F20" s="26">
        <v>41426</v>
      </c>
      <c r="G20" s="26">
        <v>41609</v>
      </c>
      <c r="H20" s="27"/>
      <c r="I20" s="24"/>
      <c r="J20" s="24">
        <v>2013</v>
      </c>
      <c r="K20" s="24">
        <v>2014</v>
      </c>
      <c r="L20" s="22"/>
    </row>
    <row r="21" spans="2:12" x14ac:dyDescent="0.2">
      <c r="H21" s="18"/>
      <c r="L21" s="18"/>
    </row>
    <row r="22" spans="2:12" x14ac:dyDescent="0.2">
      <c r="B22" s="1" t="s">
        <v>44</v>
      </c>
      <c r="C22" s="1"/>
      <c r="D22" s="7">
        <v>2886</v>
      </c>
      <c r="E22" s="16">
        <f>D22/$D$26</f>
        <v>0.57193816884661119</v>
      </c>
      <c r="F22" s="9">
        <f>E11</f>
        <v>2568.3222500000002</v>
      </c>
      <c r="G22" s="10">
        <f>E12</f>
        <v>2632.1587500000001</v>
      </c>
      <c r="H22" s="23"/>
      <c r="J22" s="11">
        <f>D22/F22</f>
        <v>1.1236907673871532</v>
      </c>
      <c r="K22" s="11">
        <f>D22/G22</f>
        <v>1.0964384272035264</v>
      </c>
      <c r="L22" s="21"/>
    </row>
    <row r="23" spans="2:12" x14ac:dyDescent="0.2">
      <c r="B23" s="1" t="s">
        <v>45</v>
      </c>
      <c r="C23" s="1"/>
      <c r="D23" s="7">
        <v>1113</v>
      </c>
      <c r="E23" s="16">
        <f>D23/$D$26</f>
        <v>0.22057074910820451</v>
      </c>
      <c r="F23" s="9">
        <f>F11+G11</f>
        <v>965.15200000000004</v>
      </c>
      <c r="G23" s="10">
        <f>F12+G12</f>
        <v>977.78480598043529</v>
      </c>
      <c r="H23" s="23"/>
      <c r="J23" s="11">
        <f>D23/F23</f>
        <v>1.1531862338781871</v>
      </c>
      <c r="K23" s="11">
        <f>D23/G23</f>
        <v>1.1382872726110558</v>
      </c>
      <c r="L23" s="21"/>
    </row>
    <row r="24" spans="2:12" x14ac:dyDescent="0.2">
      <c r="B24" s="7" t="s">
        <v>46</v>
      </c>
      <c r="D24" s="7">
        <v>515</v>
      </c>
      <c r="E24" s="16">
        <f>D24/$D$26</f>
        <v>0.10206103844629409</v>
      </c>
      <c r="H24" s="18"/>
      <c r="L24" s="18"/>
    </row>
    <row r="25" spans="2:12" x14ac:dyDescent="0.2">
      <c r="B25" s="7" t="s">
        <v>47</v>
      </c>
      <c r="D25" s="7">
        <v>532</v>
      </c>
      <c r="E25" s="16">
        <f>D25/$D$26</f>
        <v>0.10543004359889022</v>
      </c>
      <c r="H25" s="18"/>
      <c r="L25" s="18"/>
    </row>
    <row r="26" spans="2:12" x14ac:dyDescent="0.2">
      <c r="D26" s="7">
        <f>SUM(D22:D25)</f>
        <v>5046</v>
      </c>
      <c r="H26" s="18"/>
      <c r="L26" s="18"/>
    </row>
    <row r="27" spans="2:12" x14ac:dyDescent="0.2">
      <c r="H27" s="18"/>
      <c r="L27" s="18"/>
    </row>
    <row r="28" spans="2:12" x14ac:dyDescent="0.2">
      <c r="B28" s="7" t="s">
        <v>48</v>
      </c>
      <c r="D28" s="7">
        <f>D22+D23</f>
        <v>3999</v>
      </c>
      <c r="F28" s="12">
        <f>F22+F23</f>
        <v>3533.4742500000002</v>
      </c>
      <c r="G28" s="12">
        <f>G22+G23</f>
        <v>3609.9435559804351</v>
      </c>
      <c r="H28" s="19"/>
      <c r="J28" s="11">
        <f>D28/F28</f>
        <v>1.1317473163983012</v>
      </c>
      <c r="K28" s="11">
        <f>D28/G28</f>
        <v>1.1077735532388122</v>
      </c>
      <c r="L28" s="21"/>
    </row>
    <row r="29" spans="2:12" x14ac:dyDescent="0.2">
      <c r="H29" s="18"/>
      <c r="L29" s="18"/>
    </row>
    <row r="30" spans="2:12" x14ac:dyDescent="0.2">
      <c r="H30" s="18"/>
      <c r="L30" s="18"/>
    </row>
    <row r="31" spans="2:12" x14ac:dyDescent="0.2">
      <c r="B31" s="7" t="s">
        <v>17</v>
      </c>
    </row>
    <row r="32" spans="2:12" ht="15" x14ac:dyDescent="0.25">
      <c r="B32" s="4" t="s">
        <v>8</v>
      </c>
      <c r="G32" s="7" t="s">
        <v>5</v>
      </c>
      <c r="J32" s="7" t="s">
        <v>25</v>
      </c>
    </row>
    <row r="33" spans="2:15" ht="15" x14ac:dyDescent="0.25">
      <c r="B33" s="4"/>
    </row>
    <row r="35" spans="2:15" x14ac:dyDescent="0.2">
      <c r="G35" s="24" t="s">
        <v>10</v>
      </c>
      <c r="H35" s="24"/>
      <c r="I35" s="24" t="s">
        <v>14</v>
      </c>
      <c r="J35" s="18"/>
      <c r="K35" s="18"/>
      <c r="L35" s="18"/>
      <c r="M35" s="18"/>
      <c r="N35" s="18"/>
      <c r="O35" s="18"/>
    </row>
    <row r="36" spans="2:15" x14ac:dyDescent="0.2">
      <c r="J36" s="18"/>
      <c r="K36" s="18"/>
      <c r="L36" s="18"/>
      <c r="M36" s="18"/>
      <c r="N36" s="18"/>
      <c r="O36" s="18"/>
    </row>
    <row r="37" spans="2:15" x14ac:dyDescent="0.2">
      <c r="B37" s="7" t="s">
        <v>34</v>
      </c>
      <c r="G37" s="7">
        <v>2.78</v>
      </c>
      <c r="I37" s="7">
        <v>2.59</v>
      </c>
      <c r="J37" s="18"/>
      <c r="K37" s="18"/>
      <c r="L37" s="18"/>
      <c r="M37" s="18"/>
      <c r="N37" s="18"/>
      <c r="O37" s="18"/>
    </row>
    <row r="38" spans="2:15" x14ac:dyDescent="0.2">
      <c r="B38" s="7" t="s">
        <v>35</v>
      </c>
      <c r="G38" s="12">
        <f>(1000-4.379027)*G37</f>
        <v>2767.8263049399998</v>
      </c>
      <c r="I38" s="12">
        <f>(1000-4.379027)*I37</f>
        <v>2578.6583200700002</v>
      </c>
      <c r="J38" s="19"/>
      <c r="K38" s="18"/>
      <c r="L38" s="19"/>
      <c r="M38" s="18"/>
      <c r="N38" s="19"/>
      <c r="O38" s="18"/>
    </row>
    <row r="39" spans="2:15" x14ac:dyDescent="0.2">
      <c r="B39" s="7" t="s">
        <v>36</v>
      </c>
      <c r="G39" s="12">
        <f>2420.43-56.164</f>
        <v>2364.2659999999996</v>
      </c>
      <c r="I39" s="12">
        <f>175.862+2226.887-14.679</f>
        <v>2388.0700000000002</v>
      </c>
      <c r="J39" s="19"/>
      <c r="K39" s="18"/>
      <c r="L39" s="19"/>
      <c r="M39" s="18"/>
      <c r="N39" s="19"/>
      <c r="O39" s="18"/>
    </row>
    <row r="40" spans="2:15" x14ac:dyDescent="0.2">
      <c r="B40" s="7" t="s">
        <v>37</v>
      </c>
      <c r="G40" s="12">
        <f>G38+G39</f>
        <v>5132.0923049399989</v>
      </c>
      <c r="I40" s="12">
        <f>I38+I39</f>
        <v>4966.7283200700003</v>
      </c>
      <c r="J40" s="19"/>
      <c r="K40" s="18"/>
      <c r="L40" s="19"/>
      <c r="M40" s="18"/>
      <c r="N40" s="19"/>
      <c r="O40" s="18"/>
    </row>
    <row r="41" spans="2:15" x14ac:dyDescent="0.2">
      <c r="J41" s="18"/>
      <c r="K41" s="18"/>
      <c r="L41" s="18"/>
      <c r="M41" s="18"/>
      <c r="N41" s="18"/>
      <c r="O41" s="18"/>
    </row>
    <row r="42" spans="2:15" x14ac:dyDescent="0.2">
      <c r="B42" s="7" t="s">
        <v>38</v>
      </c>
      <c r="J42" s="18"/>
      <c r="K42" s="18"/>
      <c r="L42" s="18"/>
      <c r="M42" s="18"/>
      <c r="N42" s="18"/>
      <c r="O42" s="18"/>
    </row>
    <row r="43" spans="2:15" x14ac:dyDescent="0.2">
      <c r="B43" s="17" t="s">
        <v>19</v>
      </c>
      <c r="G43" s="7">
        <f>D24</f>
        <v>515</v>
      </c>
      <c r="I43" s="7">
        <f>D24</f>
        <v>515</v>
      </c>
      <c r="J43" s="18"/>
      <c r="K43" s="18"/>
      <c r="L43" s="18"/>
      <c r="M43" s="18"/>
      <c r="N43" s="18"/>
      <c r="O43" s="18"/>
    </row>
    <row r="44" spans="2:15" x14ac:dyDescent="0.2">
      <c r="B44" s="17" t="s">
        <v>20</v>
      </c>
      <c r="G44" s="7">
        <f>D25</f>
        <v>532</v>
      </c>
      <c r="I44" s="7">
        <f>D25</f>
        <v>532</v>
      </c>
      <c r="J44" s="18"/>
      <c r="K44" s="18"/>
      <c r="L44" s="18"/>
      <c r="M44" s="18"/>
      <c r="N44" s="18"/>
      <c r="O44" s="18"/>
    </row>
    <row r="45" spans="2:15" x14ac:dyDescent="0.2">
      <c r="B45" s="7" t="s">
        <v>21</v>
      </c>
      <c r="G45" s="7">
        <f>SUM(G43:G44)</f>
        <v>1047</v>
      </c>
      <c r="I45" s="7">
        <f>SUM(I43:I44)</f>
        <v>1047</v>
      </c>
      <c r="J45" s="18"/>
      <c r="K45" s="18"/>
      <c r="L45" s="18"/>
      <c r="M45" s="18"/>
      <c r="N45" s="18"/>
      <c r="O45" s="18"/>
    </row>
    <row r="46" spans="2:15" x14ac:dyDescent="0.2">
      <c r="J46" s="18"/>
      <c r="K46" s="18"/>
      <c r="L46" s="18"/>
      <c r="M46" s="18"/>
      <c r="N46" s="18"/>
      <c r="O46" s="18"/>
    </row>
    <row r="47" spans="2:15" x14ac:dyDescent="0.2">
      <c r="B47" s="7" t="s">
        <v>39</v>
      </c>
      <c r="G47" s="13">
        <f>G40-G45</f>
        <v>4085.0923049399989</v>
      </c>
      <c r="I47" s="13">
        <f>I40-I45</f>
        <v>3919.7283200700003</v>
      </c>
      <c r="J47" s="20"/>
      <c r="K47" s="18"/>
      <c r="L47" s="20"/>
      <c r="M47" s="18"/>
      <c r="N47" s="20"/>
      <c r="O47" s="18"/>
    </row>
    <row r="48" spans="2:15" x14ac:dyDescent="0.2">
      <c r="J48" s="18"/>
      <c r="K48" s="18"/>
      <c r="L48" s="18"/>
      <c r="M48" s="18"/>
      <c r="N48" s="18"/>
      <c r="O48" s="18"/>
    </row>
    <row r="49" spans="2:15" x14ac:dyDescent="0.2">
      <c r="B49" s="7" t="s">
        <v>12</v>
      </c>
      <c r="G49" s="11">
        <f>G47/H11</f>
        <v>1.1561120913616389</v>
      </c>
      <c r="I49" s="11">
        <f>I47/H12</f>
        <v>1.0858142957876331</v>
      </c>
      <c r="J49" s="21"/>
      <c r="K49" s="18"/>
      <c r="L49" s="21"/>
      <c r="M49" s="18"/>
      <c r="N49" s="21"/>
      <c r="O49" s="18"/>
    </row>
    <row r="50" spans="2:15" x14ac:dyDescent="0.2">
      <c r="J50" s="18"/>
      <c r="K50" s="18"/>
      <c r="L50" s="18"/>
      <c r="M50" s="18"/>
      <c r="N50" s="18"/>
      <c r="O50" s="18"/>
    </row>
    <row r="51" spans="2:15" x14ac:dyDescent="0.2">
      <c r="J51" s="18"/>
      <c r="K51" s="18"/>
      <c r="L51" s="18"/>
      <c r="M51" s="18"/>
      <c r="N51" s="18"/>
      <c r="O51" s="18"/>
    </row>
    <row r="54" spans="2:15" ht="15" x14ac:dyDescent="0.25">
      <c r="B54" s="4" t="s">
        <v>23</v>
      </c>
      <c r="G54" s="24" t="s">
        <v>10</v>
      </c>
      <c r="H54" s="24"/>
      <c r="I54" s="24" t="s">
        <v>14</v>
      </c>
    </row>
    <row r="56" spans="2:15" x14ac:dyDescent="0.2">
      <c r="B56" s="7" t="s">
        <v>40</v>
      </c>
      <c r="G56" s="13">
        <f>H11</f>
        <v>3533.4742500000002</v>
      </c>
      <c r="I56" s="13">
        <f>H12</f>
        <v>3609.9435559804351</v>
      </c>
    </row>
    <row r="57" spans="2:15" x14ac:dyDescent="0.2">
      <c r="B57" s="7" t="s">
        <v>41</v>
      </c>
      <c r="G57" s="13">
        <f>G39*(E22+E23)</f>
        <v>1873.70188941736</v>
      </c>
      <c r="I57" s="13">
        <f>I39*(E22+E23)</f>
        <v>1892.5667717003569</v>
      </c>
    </row>
    <row r="58" spans="2:15" x14ac:dyDescent="0.2">
      <c r="B58" s="7" t="s">
        <v>42</v>
      </c>
      <c r="G58" s="13">
        <f>G56-G57</f>
        <v>1659.7723605826402</v>
      </c>
      <c r="H58" s="13"/>
      <c r="I58" s="13">
        <f>I56-I57</f>
        <v>1717.3767842800783</v>
      </c>
    </row>
    <row r="59" spans="2:15" x14ac:dyDescent="0.2">
      <c r="B59" s="7" t="s">
        <v>43</v>
      </c>
      <c r="G59" s="13">
        <f>G38*(E22+E23)</f>
        <v>2193.527030014875</v>
      </c>
      <c r="I59" s="13">
        <f>I38*(E22+E23)</f>
        <v>2043.6097150138587</v>
      </c>
    </row>
    <row r="60" spans="2:15" x14ac:dyDescent="0.2">
      <c r="B60" s="7" t="s">
        <v>22</v>
      </c>
      <c r="G60" s="16">
        <f>G59/G58</f>
        <v>1.3215830568746594</v>
      </c>
      <c r="I60" s="16">
        <f>I59/I58</f>
        <v>1.1899600214233341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/>
  </sheetViews>
  <sheetFormatPr defaultRowHeight="15" x14ac:dyDescent="0.25"/>
  <cols>
    <col min="1" max="1" width="1.5703125" style="33" customWidth="1"/>
    <col min="2" max="2" width="27.5703125" style="33" customWidth="1"/>
    <col min="3" max="3" width="25.140625" style="33" customWidth="1"/>
    <col min="4" max="4" width="12" style="33" customWidth="1"/>
    <col min="5" max="5" width="12.28515625" style="33" customWidth="1"/>
    <col min="6" max="6" width="3.5703125" style="33" customWidth="1"/>
    <col min="7" max="16384" width="9.140625" style="33"/>
  </cols>
  <sheetData>
    <row r="2" spans="2:7" ht="15.75" x14ac:dyDescent="0.25">
      <c r="B2" s="57" t="s">
        <v>0</v>
      </c>
      <c r="C2" s="58"/>
      <c r="D2" s="58"/>
      <c r="E2" s="59"/>
    </row>
    <row r="3" spans="2:7" ht="15.75" x14ac:dyDescent="0.25">
      <c r="B3" s="65"/>
      <c r="C3" s="66"/>
      <c r="D3" s="66"/>
      <c r="E3" s="67"/>
      <c r="G3" s="4" t="s">
        <v>78</v>
      </c>
    </row>
    <row r="4" spans="2:7" ht="15.75" x14ac:dyDescent="0.25">
      <c r="B4" s="43" t="s">
        <v>50</v>
      </c>
      <c r="C4" s="44"/>
      <c r="D4" s="52" t="s">
        <v>51</v>
      </c>
      <c r="E4" s="60"/>
    </row>
    <row r="5" spans="2:7" ht="15.75" x14ac:dyDescent="0.25">
      <c r="B5" s="45"/>
      <c r="C5" s="46"/>
      <c r="D5" s="47" t="s">
        <v>52</v>
      </c>
      <c r="E5" s="61" t="s">
        <v>53</v>
      </c>
      <c r="G5" s="33" t="s">
        <v>79</v>
      </c>
    </row>
    <row r="6" spans="2:7" x14ac:dyDescent="0.25">
      <c r="B6" s="35" t="s">
        <v>66</v>
      </c>
      <c r="C6" s="36"/>
      <c r="D6" s="48">
        <v>4.2099999999999999E-2</v>
      </c>
      <c r="E6" s="34"/>
      <c r="G6" s="33" t="s">
        <v>76</v>
      </c>
    </row>
    <row r="7" spans="2:7" x14ac:dyDescent="0.25">
      <c r="B7" s="35" t="s">
        <v>67</v>
      </c>
      <c r="C7" s="36"/>
      <c r="D7" s="48">
        <v>1.7999999999999999E-2</v>
      </c>
      <c r="E7" s="62">
        <v>1.5E-3</v>
      </c>
    </row>
    <row r="8" spans="2:7" x14ac:dyDescent="0.25">
      <c r="B8" s="35" t="s">
        <v>54</v>
      </c>
      <c r="C8" s="36"/>
      <c r="D8" s="28">
        <v>0.44</v>
      </c>
      <c r="E8" s="34">
        <v>0</v>
      </c>
      <c r="G8" s="33" t="s">
        <v>80</v>
      </c>
    </row>
    <row r="9" spans="2:7" x14ac:dyDescent="0.25">
      <c r="B9" s="35"/>
      <c r="C9" s="36"/>
      <c r="D9" s="36"/>
      <c r="E9" s="34"/>
      <c r="G9" s="33" t="s">
        <v>81</v>
      </c>
    </row>
    <row r="10" spans="2:7" x14ac:dyDescent="0.25">
      <c r="B10" s="35" t="s">
        <v>69</v>
      </c>
      <c r="C10" s="36"/>
      <c r="D10" s="49">
        <v>0.34</v>
      </c>
      <c r="E10" s="34">
        <v>0.13</v>
      </c>
      <c r="G10" s="33" t="s">
        <v>75</v>
      </c>
    </row>
    <row r="11" spans="2:7" x14ac:dyDescent="0.25">
      <c r="B11" s="35" t="s">
        <v>70</v>
      </c>
      <c r="C11" s="36"/>
      <c r="D11" s="31"/>
      <c r="E11" s="34"/>
    </row>
    <row r="12" spans="2:7" x14ac:dyDescent="0.25">
      <c r="B12" s="35" t="s">
        <v>58</v>
      </c>
      <c r="C12" s="36"/>
      <c r="D12" s="50">
        <v>7.0000000000000007E-2</v>
      </c>
      <c r="E12" s="34">
        <v>1.4999999999999999E-2</v>
      </c>
      <c r="G12" s="33" t="s">
        <v>82</v>
      </c>
    </row>
    <row r="13" spans="2:7" x14ac:dyDescent="0.25">
      <c r="B13" s="35" t="s">
        <v>71</v>
      </c>
      <c r="C13" s="36"/>
      <c r="D13" s="32">
        <v>0.28000000000000003</v>
      </c>
      <c r="E13" s="34"/>
      <c r="G13" s="55" t="s">
        <v>77</v>
      </c>
    </row>
    <row r="14" spans="2:7" x14ac:dyDescent="0.25">
      <c r="B14" s="35" t="s">
        <v>72</v>
      </c>
      <c r="C14" s="36"/>
      <c r="D14" s="32">
        <v>0.28000000000000003</v>
      </c>
      <c r="E14" s="34"/>
    </row>
    <row r="15" spans="2:7" x14ac:dyDescent="0.25">
      <c r="B15" s="35" t="s">
        <v>55</v>
      </c>
      <c r="C15" s="36"/>
      <c r="D15" s="50">
        <v>3.5000000000000001E-3</v>
      </c>
      <c r="E15" s="34"/>
    </row>
    <row r="16" spans="2:7" x14ac:dyDescent="0.25">
      <c r="B16" s="35" t="s">
        <v>68</v>
      </c>
      <c r="C16" s="36"/>
      <c r="D16" s="49">
        <f>ROUND(D10+(D10-D11)*D8/(1-D8),2)</f>
        <v>0.61</v>
      </c>
      <c r="E16" s="34"/>
    </row>
    <row r="17" spans="1:7" x14ac:dyDescent="0.25">
      <c r="B17" s="35" t="s">
        <v>73</v>
      </c>
      <c r="C17" s="36"/>
      <c r="D17" s="50">
        <f>D6*(1-D14)+D16*D12</f>
        <v>7.3011999999999994E-2</v>
      </c>
      <c r="E17" s="34"/>
    </row>
    <row r="18" spans="1:7" x14ac:dyDescent="0.25">
      <c r="B18" s="35" t="s">
        <v>74</v>
      </c>
      <c r="C18" s="36"/>
      <c r="D18" s="51">
        <f>D6+D7+D15</f>
        <v>6.3600000000000004E-2</v>
      </c>
      <c r="E18" s="34"/>
    </row>
    <row r="19" spans="1:7" x14ac:dyDescent="0.25">
      <c r="B19" s="35"/>
      <c r="C19" s="36"/>
      <c r="D19" s="51"/>
      <c r="E19" s="34"/>
    </row>
    <row r="20" spans="1:7" x14ac:dyDescent="0.25">
      <c r="B20" s="29" t="s">
        <v>62</v>
      </c>
      <c r="C20" s="30" t="s">
        <v>65</v>
      </c>
      <c r="D20" s="54" t="s">
        <v>57</v>
      </c>
      <c r="E20" s="63" t="s">
        <v>64</v>
      </c>
    </row>
    <row r="21" spans="1:7" x14ac:dyDescent="0.25">
      <c r="B21" s="35" t="s">
        <v>61</v>
      </c>
      <c r="C21" s="36"/>
      <c r="D21" s="50">
        <f>D17*(1-D8)+(D18)*D8</f>
        <v>6.8870719999999996E-2</v>
      </c>
      <c r="E21" s="64">
        <f>SQRT(0.00003+(0.0169*D12^2)+(0.1936*E7^2))</f>
        <v>1.0641691594854645E-2</v>
      </c>
    </row>
    <row r="22" spans="1:7" x14ac:dyDescent="0.25">
      <c r="B22" s="35" t="s">
        <v>59</v>
      </c>
      <c r="C22" s="39">
        <f>_xlfn.T.INV(67/100,100000000)</f>
        <v>0.43991317000892893</v>
      </c>
      <c r="D22" s="56">
        <f>$D$21+($E$21*C22)</f>
        <v>7.3552140283749873E-2</v>
      </c>
      <c r="E22" s="34"/>
    </row>
    <row r="23" spans="1:7" x14ac:dyDescent="0.25">
      <c r="B23" s="35" t="s">
        <v>60</v>
      </c>
      <c r="C23" s="39">
        <f>_xlfn.T.INV(75/100,100000000)</f>
        <v>0.67448974926796168</v>
      </c>
      <c r="D23" s="56">
        <f>$D$21+($E$21*C23)</f>
        <v>7.6048431895600482E-2</v>
      </c>
      <c r="E23" s="34"/>
    </row>
    <row r="24" spans="1:7" x14ac:dyDescent="0.25">
      <c r="A24" s="34"/>
      <c r="B24" s="36" t="s">
        <v>63</v>
      </c>
      <c r="C24" s="37"/>
      <c r="D24" s="56">
        <f>D22-D23</f>
        <v>-2.4962916118506095E-3</v>
      </c>
      <c r="E24" s="34"/>
      <c r="F24" s="38"/>
      <c r="G24" s="38"/>
    </row>
    <row r="25" spans="1:7" x14ac:dyDescent="0.25">
      <c r="A25" s="34"/>
      <c r="E25" s="34"/>
      <c r="F25" s="38"/>
      <c r="G25" s="38"/>
    </row>
    <row r="26" spans="1:7" x14ac:dyDescent="0.25">
      <c r="A26" s="34"/>
      <c r="E26" s="34"/>
      <c r="F26" s="38"/>
      <c r="G26" s="38"/>
    </row>
    <row r="27" spans="1:7" x14ac:dyDescent="0.25">
      <c r="B27" s="29" t="s">
        <v>56</v>
      </c>
      <c r="C27" s="30" t="s">
        <v>65</v>
      </c>
      <c r="D27" s="54" t="s">
        <v>57</v>
      </c>
      <c r="E27" s="63" t="s">
        <v>64</v>
      </c>
      <c r="F27" s="38"/>
      <c r="G27" s="38"/>
    </row>
    <row r="28" spans="1:7" x14ac:dyDescent="0.25">
      <c r="B28" s="35" t="s">
        <v>61</v>
      </c>
      <c r="C28" s="36"/>
      <c r="D28" s="50">
        <f>D17*(1-D8)+(D18)*(1-D13)*D8</f>
        <v>6.1035199999999998E-2</v>
      </c>
      <c r="E28" s="64">
        <f>SQRT(0.00003+(0.0169*D12^2)+((1-D13)^2)*(0.1936*E7^2))</f>
        <v>1.0631830277050138E-2</v>
      </c>
      <c r="F28" s="38"/>
      <c r="G28" s="38"/>
    </row>
    <row r="29" spans="1:7" x14ac:dyDescent="0.25">
      <c r="B29" s="35" t="s">
        <v>59</v>
      </c>
      <c r="C29" s="39">
        <f>_xlfn.T.INV(67/100,100000000)</f>
        <v>0.43991317000892893</v>
      </c>
      <c r="D29" s="56">
        <f>$D$28+($E$28*C29)</f>
        <v>6.5712282160174038E-2</v>
      </c>
      <c r="E29" s="34"/>
      <c r="F29" s="38"/>
      <c r="G29" s="38"/>
    </row>
    <row r="30" spans="1:7" x14ac:dyDescent="0.25">
      <c r="B30" s="35" t="s">
        <v>60</v>
      </c>
      <c r="C30" s="39">
        <f>_xlfn.T.INV(75/100,100000000)</f>
        <v>0.67448974926796168</v>
      </c>
      <c r="D30" s="56">
        <f>$D$28+($E$28*C30)</f>
        <v>6.8206260537827065E-2</v>
      </c>
      <c r="E30" s="34"/>
      <c r="F30" s="38"/>
      <c r="G30" s="38"/>
    </row>
    <row r="31" spans="1:7" x14ac:dyDescent="0.25">
      <c r="B31" s="35" t="s">
        <v>63</v>
      </c>
      <c r="C31" s="37"/>
      <c r="D31" s="56">
        <f>D29-D30</f>
        <v>-2.4939783776530278E-3</v>
      </c>
      <c r="E31" s="34"/>
      <c r="F31" s="38"/>
      <c r="G31" s="38"/>
    </row>
    <row r="32" spans="1:7" x14ac:dyDescent="0.25">
      <c r="B32" s="40"/>
      <c r="C32" s="53"/>
      <c r="D32" s="41"/>
      <c r="E32" s="42"/>
      <c r="F32" s="38"/>
      <c r="G32" s="38"/>
    </row>
    <row r="33" spans="4:7" x14ac:dyDescent="0.25">
      <c r="D33" s="38"/>
      <c r="E33" s="38"/>
      <c r="F33" s="38"/>
      <c r="G33" s="38"/>
    </row>
    <row r="34" spans="4:7" x14ac:dyDescent="0.25">
      <c r="D34" s="38"/>
      <c r="E34" s="38"/>
      <c r="F34" s="38"/>
      <c r="G34" s="38"/>
    </row>
    <row r="35" spans="4:7" x14ac:dyDescent="0.25">
      <c r="D35" s="38"/>
      <c r="E35" s="38"/>
      <c r="F35" s="38"/>
      <c r="G35" s="38"/>
    </row>
    <row r="36" spans="4:7" x14ac:dyDescent="0.25">
      <c r="D36" s="38"/>
      <c r="E36" s="38"/>
      <c r="F36" s="38"/>
      <c r="G36" s="38"/>
    </row>
  </sheetData>
  <mergeCells count="2">
    <mergeCell ref="B2:E2"/>
    <mergeCell ref="B3:E3"/>
  </mergeCells>
  <hyperlinks>
    <hyperlink ref="G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Vector RAB calculations</vt:lpstr>
      <vt:lpstr>Formula to estimate WACC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Treder</dc:creator>
  <cp:lastModifiedBy>matthewb</cp:lastModifiedBy>
  <cp:lastPrinted>2014-06-15T23:33:35Z</cp:lastPrinted>
  <dcterms:created xsi:type="dcterms:W3CDTF">2012-07-04T01:49:43Z</dcterms:created>
  <dcterms:modified xsi:type="dcterms:W3CDTF">2014-07-22T05:49:43Z</dcterms:modified>
</cp:coreProperties>
</file>