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30" windowWidth="15480" windowHeight="5040" tabRatio="755"/>
  </bookViews>
  <sheets>
    <sheet name="Output" sheetId="3" r:id="rId1"/>
    <sheet name="Opex" sheetId="2" r:id="rId2"/>
    <sheet name="Opex Inputs" sheetId="1" r:id="rId3"/>
    <sheet name="Capex" sheetId="8" r:id="rId4"/>
    <sheet name="Capex Inputs" sheetId="7" r:id="rId5"/>
  </sheets>
  <calcPr calcId="125725"/>
</workbook>
</file>

<file path=xl/calcChain.xml><?xml version="1.0" encoding="utf-8"?>
<calcChain xmlns="http://schemas.openxmlformats.org/spreadsheetml/2006/main">
  <c r="B239" i="2"/>
  <c r="B240"/>
  <c r="C240"/>
  <c r="F89" i="8"/>
  <c r="C229"/>
  <c r="F166"/>
  <c r="F58"/>
  <c r="C251" i="2"/>
  <c r="F250"/>
  <c r="C249"/>
  <c r="F248"/>
  <c r="C247"/>
  <c r="F246"/>
  <c r="C245"/>
  <c r="F244"/>
  <c r="F239"/>
  <c r="C239"/>
  <c r="F238"/>
  <c r="C238"/>
  <c r="F237"/>
  <c r="C237"/>
  <c r="F236"/>
  <c r="C235"/>
  <c r="F234"/>
  <c r="C233"/>
  <c r="F190"/>
  <c r="C224"/>
  <c r="F225"/>
  <c r="C226"/>
  <c r="F227"/>
  <c r="C228"/>
  <c r="C222"/>
  <c r="D284"/>
  <c r="C243"/>
  <c r="D243"/>
  <c r="E243"/>
  <c r="F243"/>
  <c r="G243"/>
  <c r="C244"/>
  <c r="F245"/>
  <c r="C246"/>
  <c r="F247"/>
  <c r="C248"/>
  <c r="F249"/>
  <c r="C250"/>
  <c r="B244"/>
  <c r="B245"/>
  <c r="B246"/>
  <c r="B247"/>
  <c r="B248"/>
  <c r="B249"/>
  <c r="B250"/>
  <c r="B251"/>
  <c r="C242"/>
  <c r="B242"/>
  <c r="B231"/>
  <c r="G232"/>
  <c r="C232"/>
  <c r="D232"/>
  <c r="E232"/>
  <c r="F232"/>
  <c r="F233"/>
  <c r="C234"/>
  <c r="F235"/>
  <c r="C236"/>
  <c r="B233"/>
  <c r="B234"/>
  <c r="B235"/>
  <c r="B236"/>
  <c r="B237"/>
  <c r="B238"/>
  <c r="C231"/>
  <c r="C221"/>
  <c r="D221"/>
  <c r="E221"/>
  <c r="F221"/>
  <c r="G221"/>
  <c r="C223"/>
  <c r="F224"/>
  <c r="C225"/>
  <c r="F226"/>
  <c r="C227"/>
  <c r="F228"/>
  <c r="C229"/>
  <c r="B229"/>
  <c r="B222"/>
  <c r="B223"/>
  <c r="B224"/>
  <c r="B225"/>
  <c r="B226"/>
  <c r="B227"/>
  <c r="B228"/>
  <c r="C220"/>
  <c r="B220"/>
  <c r="E166" i="8"/>
  <c r="C165"/>
  <c r="F60"/>
  <c r="C60"/>
  <c r="B228"/>
  <c r="C228"/>
  <c r="D228"/>
  <c r="E228"/>
  <c r="F228"/>
  <c r="G228"/>
  <c r="B229"/>
  <c r="D229"/>
  <c r="E229"/>
  <c r="F229"/>
  <c r="G229"/>
  <c r="B230"/>
  <c r="C230"/>
  <c r="D230"/>
  <c r="E230"/>
  <c r="F230"/>
  <c r="G230"/>
  <c r="B231"/>
  <c r="C231"/>
  <c r="D231"/>
  <c r="E231"/>
  <c r="F231"/>
  <c r="G231"/>
  <c r="B232"/>
  <c r="C232"/>
  <c r="D232"/>
  <c r="E232"/>
  <c r="F232"/>
  <c r="G232"/>
  <c r="B233"/>
  <c r="C233"/>
  <c r="C234" s="1"/>
  <c r="D233"/>
  <c r="E233"/>
  <c r="E234" s="1"/>
  <c r="F233"/>
  <c r="G233"/>
  <c r="G234" s="1"/>
  <c r="D234"/>
  <c r="C227"/>
  <c r="D227"/>
  <c r="E227"/>
  <c r="F227"/>
  <c r="G227"/>
  <c r="C226"/>
  <c r="B226"/>
  <c r="B206"/>
  <c r="B204"/>
  <c r="D203"/>
  <c r="E203"/>
  <c r="F203"/>
  <c r="G203"/>
  <c r="C203"/>
  <c r="C202"/>
  <c r="B202"/>
  <c r="B200"/>
  <c r="C198"/>
  <c r="B198"/>
  <c r="B192"/>
  <c r="C192"/>
  <c r="D192"/>
  <c r="E192"/>
  <c r="F192"/>
  <c r="G192"/>
  <c r="D191"/>
  <c r="E191"/>
  <c r="F191"/>
  <c r="G191"/>
  <c r="C191"/>
  <c r="B237"/>
  <c r="C166"/>
  <c r="C164"/>
  <c r="C128"/>
  <c r="C127"/>
  <c r="D127"/>
  <c r="E127"/>
  <c r="F127"/>
  <c r="G127"/>
  <c r="D128"/>
  <c r="E128"/>
  <c r="F128"/>
  <c r="G128"/>
  <c r="B86"/>
  <c r="B87"/>
  <c r="B88"/>
  <c r="B89"/>
  <c r="B90"/>
  <c r="B91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G89"/>
  <c r="C90"/>
  <c r="D90"/>
  <c r="E90"/>
  <c r="F90"/>
  <c r="G90"/>
  <c r="C91"/>
  <c r="D91"/>
  <c r="E91"/>
  <c r="F91"/>
  <c r="G91"/>
  <c r="D85"/>
  <c r="D199" s="1"/>
  <c r="E85"/>
  <c r="E199" s="1"/>
  <c r="F85"/>
  <c r="F199" s="1"/>
  <c r="G85"/>
  <c r="G199" s="1"/>
  <c r="C85"/>
  <c r="C199" s="1"/>
  <c r="C84"/>
  <c r="B84"/>
  <c r="C59"/>
  <c r="F165" i="2"/>
  <c r="F167" s="1"/>
  <c r="F259" l="1"/>
  <c r="G288"/>
  <c r="F258"/>
  <c r="D93" i="8"/>
  <c r="D200" s="1"/>
  <c r="E93"/>
  <c r="E200" s="1"/>
  <c r="F260" i="2"/>
  <c r="F262"/>
  <c r="C261"/>
  <c r="C263"/>
  <c r="C262"/>
  <c r="C259"/>
  <c r="C257"/>
  <c r="C260"/>
  <c r="F261"/>
  <c r="F93" i="8"/>
  <c r="C258" i="2"/>
  <c r="C256"/>
  <c r="C288" s="1"/>
  <c r="F200" i="8"/>
  <c r="G93"/>
  <c r="G200" s="1"/>
  <c r="C93"/>
  <c r="C200" s="1"/>
  <c r="F223" i="2"/>
  <c r="F257" s="1"/>
  <c r="F222"/>
  <c r="F256" s="1"/>
  <c r="C167" i="8"/>
  <c r="A25" i="3" l="1"/>
  <c r="D189" i="2"/>
  <c r="E189"/>
  <c r="F189"/>
  <c r="G189"/>
  <c r="C189"/>
  <c r="D173"/>
  <c r="E173"/>
  <c r="F173"/>
  <c r="G173"/>
  <c r="C173"/>
  <c r="D190" l="1"/>
  <c r="C190"/>
  <c r="E190"/>
  <c r="G190"/>
  <c r="C174"/>
  <c r="E174"/>
  <c r="G174"/>
  <c r="D174"/>
  <c r="F174"/>
  <c r="C9" l="1"/>
  <c r="B9"/>
  <c r="C30"/>
  <c r="B30"/>
  <c r="B172"/>
  <c r="B173" i="8" l="1"/>
  <c r="B164"/>
  <c r="B165"/>
  <c r="B166"/>
  <c r="B167"/>
  <c r="B168"/>
  <c r="B169"/>
  <c r="C163"/>
  <c r="D163"/>
  <c r="E163"/>
  <c r="F163"/>
  <c r="G163"/>
  <c r="C162"/>
  <c r="B162"/>
  <c r="A19" i="3"/>
  <c r="A20"/>
  <c r="A21"/>
  <c r="A22"/>
  <c r="A23"/>
  <c r="A24"/>
  <c r="B18"/>
  <c r="C18"/>
  <c r="D18"/>
  <c r="E18"/>
  <c r="F18"/>
  <c r="B142" i="8" l="1"/>
  <c r="B140"/>
  <c r="C138"/>
  <c r="B138"/>
  <c r="C134"/>
  <c r="B134"/>
  <c r="B136"/>
  <c r="B128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102"/>
  <c r="B103"/>
  <c r="B104"/>
  <c r="B101"/>
  <c r="C100"/>
  <c r="D100"/>
  <c r="E100"/>
  <c r="F100"/>
  <c r="G100"/>
  <c r="C99"/>
  <c r="B99"/>
  <c r="B58"/>
  <c r="B59"/>
  <c r="B60"/>
  <c r="B61"/>
  <c r="C57"/>
  <c r="D57"/>
  <c r="E57"/>
  <c r="F57"/>
  <c r="G57"/>
  <c r="C56"/>
  <c r="B56"/>
  <c r="B23"/>
  <c r="C23"/>
  <c r="B24"/>
  <c r="C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C302" l="1"/>
  <c r="G301"/>
  <c r="C301"/>
  <c r="G300"/>
  <c r="C300"/>
  <c r="G299"/>
  <c r="C299"/>
  <c r="G298"/>
  <c r="C298"/>
  <c r="G297"/>
  <c r="G296"/>
  <c r="G48"/>
  <c r="C47"/>
  <c r="G47"/>
  <c r="G50"/>
  <c r="C50"/>
  <c r="G49"/>
  <c r="C49"/>
  <c r="C48"/>
  <c r="D47" l="1"/>
  <c r="H48"/>
  <c r="H49"/>
  <c r="F67" s="1"/>
  <c r="C296"/>
  <c r="C295"/>
  <c r="D295" s="1"/>
  <c r="G295"/>
  <c r="H295" s="1"/>
  <c r="C297"/>
  <c r="D297" s="1"/>
  <c r="H50"/>
  <c r="H47"/>
  <c r="D49"/>
  <c r="C67" s="1"/>
  <c r="D50"/>
  <c r="D48"/>
  <c r="H299" l="1"/>
  <c r="H300"/>
  <c r="H296"/>
  <c r="D302"/>
  <c r="H297"/>
  <c r="H301"/>
  <c r="D298"/>
  <c r="D301"/>
  <c r="D299"/>
  <c r="D300"/>
  <c r="D296"/>
  <c r="H298"/>
  <c r="B14"/>
  <c r="B15"/>
  <c r="B10"/>
  <c r="B11"/>
  <c r="B12"/>
  <c r="B13"/>
  <c r="C9"/>
  <c r="D9"/>
  <c r="E9"/>
  <c r="F9"/>
  <c r="G9"/>
  <c r="C8"/>
  <c r="B8"/>
  <c r="E12" i="2" l="1"/>
  <c r="F12"/>
  <c r="G12"/>
  <c r="E13"/>
  <c r="F13"/>
  <c r="G13"/>
  <c r="E14"/>
  <c r="F14"/>
  <c r="G14"/>
  <c r="D13"/>
  <c r="D14"/>
  <c r="C100" l="1"/>
  <c r="C101"/>
  <c r="C102"/>
  <c r="C103"/>
  <c r="C104"/>
  <c r="B101"/>
  <c r="B102"/>
  <c r="B103"/>
  <c r="B104"/>
  <c r="B100"/>
  <c r="C52"/>
  <c r="C53"/>
  <c r="C54"/>
  <c r="C55"/>
  <c r="C56"/>
  <c r="B53"/>
  <c r="B54"/>
  <c r="B55"/>
  <c r="B56"/>
  <c r="B52"/>
  <c r="B5" i="3" l="1"/>
  <c r="C5"/>
  <c r="D5"/>
  <c r="E5"/>
  <c r="F5"/>
  <c r="A6"/>
  <c r="A7"/>
  <c r="A8"/>
  <c r="A9"/>
  <c r="A10"/>
  <c r="A11"/>
  <c r="A12"/>
  <c r="B256" i="2" l="1"/>
  <c r="B288" s="1"/>
  <c r="C255"/>
  <c r="C287" s="1"/>
  <c r="D255"/>
  <c r="D287" s="1"/>
  <c r="E255"/>
  <c r="E287" s="1"/>
  <c r="F255"/>
  <c r="F287" s="1"/>
  <c r="G255"/>
  <c r="G287" s="1"/>
  <c r="C282"/>
  <c r="B282"/>
  <c r="C283"/>
  <c r="D283"/>
  <c r="E283"/>
  <c r="F283"/>
  <c r="G283"/>
  <c r="C284"/>
  <c r="C292" s="1"/>
  <c r="C298" s="1"/>
  <c r="C311" s="1"/>
  <c r="E284"/>
  <c r="F284"/>
  <c r="G284"/>
  <c r="G292" s="1"/>
  <c r="G298" s="1"/>
  <c r="B284"/>
  <c r="B257" l="1"/>
  <c r="B258"/>
  <c r="B259"/>
  <c r="B260"/>
  <c r="B261"/>
  <c r="B262"/>
  <c r="F149"/>
  <c r="C149"/>
  <c r="B149"/>
  <c r="B167"/>
  <c r="C167"/>
  <c r="C165"/>
  <c r="B165"/>
  <c r="B188"/>
  <c r="C172"/>
  <c r="C188"/>
  <c r="B59"/>
  <c r="C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106"/>
  <c r="B107"/>
  <c r="C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58"/>
  <c r="C31"/>
  <c r="D31"/>
  <c r="E31"/>
  <c r="F31"/>
  <c r="G31"/>
  <c r="C32"/>
  <c r="C39" s="1"/>
  <c r="D32"/>
  <c r="D39" s="1"/>
  <c r="E32"/>
  <c r="E39" s="1"/>
  <c r="F32"/>
  <c r="F39" s="1"/>
  <c r="G32"/>
  <c r="G39" s="1"/>
  <c r="C33"/>
  <c r="C40" s="1"/>
  <c r="D33"/>
  <c r="D40" s="1"/>
  <c r="E33"/>
  <c r="E40" s="1"/>
  <c r="F33"/>
  <c r="F40" s="1"/>
  <c r="G33"/>
  <c r="G40" s="1"/>
  <c r="C34"/>
  <c r="C41" s="1"/>
  <c r="D34"/>
  <c r="D41" s="1"/>
  <c r="E34"/>
  <c r="E41" s="1"/>
  <c r="F34"/>
  <c r="F41" s="1"/>
  <c r="G34"/>
  <c r="G41" s="1"/>
  <c r="C35"/>
  <c r="C42" s="1"/>
  <c r="D35"/>
  <c r="D42" s="1"/>
  <c r="E35"/>
  <c r="E42" s="1"/>
  <c r="F35"/>
  <c r="F42" s="1"/>
  <c r="G35"/>
  <c r="G42" s="1"/>
  <c r="C36"/>
  <c r="C43" s="1"/>
  <c r="D36"/>
  <c r="D43" s="1"/>
  <c r="E36"/>
  <c r="F36"/>
  <c r="F43" s="1"/>
  <c r="G36"/>
  <c r="G43" s="1"/>
  <c r="B32"/>
  <c r="B33"/>
  <c r="B34"/>
  <c r="B35"/>
  <c r="B36"/>
  <c r="E43"/>
  <c r="C7"/>
  <c r="C10"/>
  <c r="D10"/>
  <c r="E10"/>
  <c r="F10"/>
  <c r="G10"/>
  <c r="C11"/>
  <c r="C18" s="1"/>
  <c r="D11"/>
  <c r="D18" s="1"/>
  <c r="E11"/>
  <c r="E18" s="1"/>
  <c r="F11"/>
  <c r="F18" s="1"/>
  <c r="G11"/>
  <c r="G18" s="1"/>
  <c r="C12"/>
  <c r="C19" s="1"/>
  <c r="D12"/>
  <c r="D19" s="1"/>
  <c r="E19"/>
  <c r="F19"/>
  <c r="G19"/>
  <c r="C13"/>
  <c r="C20" s="1"/>
  <c r="D20"/>
  <c r="E20"/>
  <c r="F20"/>
  <c r="G20"/>
  <c r="C14"/>
  <c r="C21" s="1"/>
  <c r="D21"/>
  <c r="E21"/>
  <c r="F21"/>
  <c r="G21"/>
  <c r="C15"/>
  <c r="C22" s="1"/>
  <c r="D15"/>
  <c r="D22" s="1"/>
  <c r="E15"/>
  <c r="E22" s="1"/>
  <c r="F15"/>
  <c r="F22" s="1"/>
  <c r="G15"/>
  <c r="G22" s="1"/>
  <c r="B11"/>
  <c r="B12"/>
  <c r="B13"/>
  <c r="B14"/>
  <c r="B15"/>
  <c r="C153" l="1"/>
  <c r="F45"/>
  <c r="F150"/>
  <c r="D154"/>
  <c r="H153"/>
  <c r="I153"/>
  <c r="D153"/>
  <c r="D45"/>
  <c r="C24"/>
  <c r="C45"/>
  <c r="E45"/>
  <c r="G45"/>
  <c r="G24"/>
  <c r="E24"/>
  <c r="F24"/>
  <c r="F177" s="1"/>
  <c r="D24"/>
  <c r="D180" s="1"/>
  <c r="F196" l="1"/>
  <c r="F193"/>
  <c r="C154"/>
  <c r="E154" s="1"/>
  <c r="E182"/>
  <c r="E178"/>
  <c r="E181"/>
  <c r="E177"/>
  <c r="E180"/>
  <c r="E183"/>
  <c r="E179"/>
  <c r="C198"/>
  <c r="C197"/>
  <c r="C196"/>
  <c r="C195"/>
  <c r="C194"/>
  <c r="C193"/>
  <c r="C199"/>
  <c r="F182"/>
  <c r="F178"/>
  <c r="F181"/>
  <c r="F180"/>
  <c r="F179"/>
  <c r="G177"/>
  <c r="G180"/>
  <c r="G183"/>
  <c r="G179"/>
  <c r="G181"/>
  <c r="G178"/>
  <c r="G182"/>
  <c r="E193"/>
  <c r="E196"/>
  <c r="E199"/>
  <c r="E195"/>
  <c r="E198"/>
  <c r="E194"/>
  <c r="E197"/>
  <c r="D193"/>
  <c r="D196"/>
  <c r="D199"/>
  <c r="D195"/>
  <c r="D198"/>
  <c r="D194"/>
  <c r="D197"/>
  <c r="D177"/>
  <c r="D183"/>
  <c r="D179"/>
  <c r="D182"/>
  <c r="D178"/>
  <c r="D181"/>
  <c r="G193"/>
  <c r="G196"/>
  <c r="G199"/>
  <c r="G195"/>
  <c r="G198"/>
  <c r="G194"/>
  <c r="G197"/>
  <c r="C182"/>
  <c r="C181"/>
  <c r="C180"/>
  <c r="C179"/>
  <c r="C178"/>
  <c r="C177"/>
  <c r="C183"/>
  <c r="F198"/>
  <c r="F194"/>
  <c r="F197"/>
  <c r="F195"/>
  <c r="D205" l="1"/>
  <c r="D271" s="1"/>
  <c r="G205"/>
  <c r="G271" s="1"/>
  <c r="C205"/>
  <c r="E205"/>
  <c r="E271" s="1"/>
  <c r="C271"/>
  <c r="C299" s="1"/>
  <c r="C312" s="1"/>
  <c r="C102" i="8" l="1"/>
  <c r="C109" s="1"/>
  <c r="C104"/>
  <c r="C111" s="1"/>
  <c r="C66"/>
  <c r="C61"/>
  <c r="C68" s="1"/>
  <c r="D101"/>
  <c r="D108" s="1"/>
  <c r="D103"/>
  <c r="D110" s="1"/>
  <c r="D58"/>
  <c r="D65" s="1"/>
  <c r="D60"/>
  <c r="D67" s="1"/>
  <c r="D288" i="2"/>
  <c r="D292" s="1"/>
  <c r="D298" s="1"/>
  <c r="E102" i="8"/>
  <c r="E109" s="1"/>
  <c r="E104"/>
  <c r="E111" s="1"/>
  <c r="E59"/>
  <c r="E66" s="1"/>
  <c r="E61"/>
  <c r="E68" s="1"/>
  <c r="G101"/>
  <c r="G108" s="1"/>
  <c r="G103"/>
  <c r="G110" s="1"/>
  <c r="G58"/>
  <c r="G65" s="1"/>
  <c r="G60"/>
  <c r="G67" s="1"/>
  <c r="C101"/>
  <c r="C108" s="1"/>
  <c r="C103"/>
  <c r="C110" s="1"/>
  <c r="C58"/>
  <c r="C65" s="1"/>
  <c r="C74" s="1"/>
  <c r="D102"/>
  <c r="D109" s="1"/>
  <c r="D104"/>
  <c r="D111" s="1"/>
  <c r="D59"/>
  <c r="D66" s="1"/>
  <c r="D61"/>
  <c r="D68" s="1"/>
  <c r="E101"/>
  <c r="E108" s="1"/>
  <c r="E103"/>
  <c r="E110" s="1"/>
  <c r="E58"/>
  <c r="E65" s="1"/>
  <c r="E60"/>
  <c r="E67" s="1"/>
  <c r="E288" i="2"/>
  <c r="E292" s="1"/>
  <c r="G102" i="8"/>
  <c r="G109" s="1"/>
  <c r="G104"/>
  <c r="G111" s="1"/>
  <c r="G59"/>
  <c r="G66" s="1"/>
  <c r="G61"/>
  <c r="G68" s="1"/>
  <c r="E298" i="2" l="1"/>
  <c r="D74" i="8"/>
  <c r="D140" s="1"/>
  <c r="C117"/>
  <c r="C204" s="1"/>
  <c r="C208" s="1"/>
  <c r="C216" s="1"/>
  <c r="C220" s="1"/>
  <c r="C242" s="1"/>
  <c r="C312" s="1"/>
  <c r="C140"/>
  <c r="G299" i="2"/>
  <c r="E299"/>
  <c r="D299"/>
  <c r="G169" i="8"/>
  <c r="G15"/>
  <c r="G11"/>
  <c r="G165"/>
  <c r="F13"/>
  <c r="F167"/>
  <c r="E12"/>
  <c r="D167"/>
  <c r="D13"/>
  <c r="C12"/>
  <c r="G12"/>
  <c r="G166"/>
  <c r="E15"/>
  <c r="E169"/>
  <c r="E170" s="1"/>
  <c r="E165"/>
  <c r="E11"/>
  <c r="D12"/>
  <c r="D166"/>
  <c r="C169"/>
  <c r="C15"/>
  <c r="C11"/>
  <c r="D117"/>
  <c r="D204" s="1"/>
  <c r="D208" s="1"/>
  <c r="D216" s="1"/>
  <c r="D220" s="1"/>
  <c r="G13"/>
  <c r="G167"/>
  <c r="E168"/>
  <c r="E14"/>
  <c r="E164"/>
  <c r="E10"/>
  <c r="D15"/>
  <c r="D169"/>
  <c r="D11"/>
  <c r="D165"/>
  <c r="C168"/>
  <c r="C14"/>
  <c r="C10"/>
  <c r="G168"/>
  <c r="G14"/>
  <c r="G164"/>
  <c r="G10"/>
  <c r="F164"/>
  <c r="F10"/>
  <c r="E167"/>
  <c r="E13"/>
  <c r="D168"/>
  <c r="D14"/>
  <c r="D164"/>
  <c r="D10"/>
  <c r="C13"/>
  <c r="E74"/>
  <c r="E140" s="1"/>
  <c r="E117"/>
  <c r="E204" s="1"/>
  <c r="E208" s="1"/>
  <c r="E216" s="1"/>
  <c r="E220" s="1"/>
  <c r="G74"/>
  <c r="G140" s="1"/>
  <c r="G117"/>
  <c r="G204" s="1"/>
  <c r="G208" s="1"/>
  <c r="G216" s="1"/>
  <c r="G220" s="1"/>
  <c r="C245" l="1"/>
  <c r="C315" s="1"/>
  <c r="C243"/>
  <c r="C313" s="1"/>
  <c r="C244"/>
  <c r="C314" s="1"/>
  <c r="C239"/>
  <c r="C309" s="1"/>
  <c r="C240"/>
  <c r="C310" s="1"/>
  <c r="C241"/>
  <c r="C311" s="1"/>
  <c r="G242"/>
  <c r="G312" s="1"/>
  <c r="G239"/>
  <c r="G309" s="1"/>
  <c r="G241"/>
  <c r="G311" s="1"/>
  <c r="G244"/>
  <c r="G314" s="1"/>
  <c r="G245"/>
  <c r="G315" s="1"/>
  <c r="G240"/>
  <c r="G310" s="1"/>
  <c r="G243"/>
  <c r="G313" s="1"/>
  <c r="E242"/>
  <c r="E312" s="1"/>
  <c r="E239"/>
  <c r="E309" s="1"/>
  <c r="E241"/>
  <c r="E311" s="1"/>
  <c r="E244"/>
  <c r="E314" s="1"/>
  <c r="E240"/>
  <c r="E310" s="1"/>
  <c r="E243"/>
  <c r="E313" s="1"/>
  <c r="E245"/>
  <c r="E315" s="1"/>
  <c r="D241"/>
  <c r="D311" s="1"/>
  <c r="D244"/>
  <c r="D314" s="1"/>
  <c r="D239"/>
  <c r="D309" s="1"/>
  <c r="D242"/>
  <c r="D312" s="1"/>
  <c r="D240"/>
  <c r="D310" s="1"/>
  <c r="D243"/>
  <c r="D313" s="1"/>
  <c r="D245"/>
  <c r="D315" s="1"/>
  <c r="C17"/>
  <c r="C136" s="1"/>
  <c r="C144" s="1"/>
  <c r="C152" s="1"/>
  <c r="C156" s="1"/>
  <c r="C178" s="1"/>
  <c r="F6" i="3"/>
  <c r="D17" i="8"/>
  <c r="D136" s="1"/>
  <c r="D144" s="1"/>
  <c r="D6" i="3"/>
  <c r="C6"/>
  <c r="B6"/>
  <c r="D170" i="8"/>
  <c r="G170"/>
  <c r="G17"/>
  <c r="G136" s="1"/>
  <c r="G144" s="1"/>
  <c r="E17"/>
  <c r="E136" s="1"/>
  <c r="E144" s="1"/>
  <c r="C170"/>
  <c r="G152" l="1"/>
  <c r="G156" s="1"/>
  <c r="C177"/>
  <c r="E152"/>
  <c r="E156" s="1"/>
  <c r="E176" s="1"/>
  <c r="D152"/>
  <c r="D156" s="1"/>
  <c r="D178" s="1"/>
  <c r="C175"/>
  <c r="C322" s="1"/>
  <c r="C336" s="1"/>
  <c r="B19" i="3" s="1"/>
  <c r="C176" i="8"/>
  <c r="C179"/>
  <c r="C180"/>
  <c r="C181"/>
  <c r="E180" l="1"/>
  <c r="E327" s="1"/>
  <c r="E341" s="1"/>
  <c r="D24" i="3" s="1"/>
  <c r="E177" i="8"/>
  <c r="E324" s="1"/>
  <c r="E338" s="1"/>
  <c r="D21" i="3" s="1"/>
  <c r="E323" i="8"/>
  <c r="E337" s="1"/>
  <c r="D20" i="3" s="1"/>
  <c r="E179" i="8"/>
  <c r="E326" s="1"/>
  <c r="E340" s="1"/>
  <c r="D23" i="3" s="1"/>
  <c r="E181" i="8"/>
  <c r="E328" s="1"/>
  <c r="E342" s="1"/>
  <c r="D25" i="3" s="1"/>
  <c r="E178" i="8"/>
  <c r="E325" s="1"/>
  <c r="E339" s="1"/>
  <c r="D22" i="3" s="1"/>
  <c r="E175" i="8"/>
  <c r="E322" s="1"/>
  <c r="E336" s="1"/>
  <c r="D19" i="3" s="1"/>
  <c r="D177" i="8"/>
  <c r="D180"/>
  <c r="D181"/>
  <c r="D328" s="1"/>
  <c r="D175"/>
  <c r="D322" s="1"/>
  <c r="D336" s="1"/>
  <c r="C19" i="3" s="1"/>
  <c r="D179" i="8"/>
  <c r="D326" s="1"/>
  <c r="D340" s="1"/>
  <c r="C23" i="3" s="1"/>
  <c r="D176" i="8"/>
  <c r="D323" s="1"/>
  <c r="D337" s="1"/>
  <c r="C20" i="3" s="1"/>
  <c r="G175" i="8"/>
  <c r="G322" s="1"/>
  <c r="G336" s="1"/>
  <c r="F19" i="3" s="1"/>
  <c r="G177" i="8"/>
  <c r="G324" s="1"/>
  <c r="G338" s="1"/>
  <c r="F21" i="3" s="1"/>
  <c r="G178" i="8"/>
  <c r="G325" s="1"/>
  <c r="G339" s="1"/>
  <c r="F22" i="3" s="1"/>
  <c r="G176" i="8"/>
  <c r="G323" s="1"/>
  <c r="G337" s="1"/>
  <c r="F20" i="3" s="1"/>
  <c r="G179" i="8"/>
  <c r="G326" s="1"/>
  <c r="G340" s="1"/>
  <c r="F23" i="3" s="1"/>
  <c r="G180" i="8"/>
  <c r="G181"/>
  <c r="C323"/>
  <c r="C337" s="1"/>
  <c r="B20" i="3" s="1"/>
  <c r="G327" i="8"/>
  <c r="G341" s="1"/>
  <c r="F24" i="3" s="1"/>
  <c r="C327" i="8"/>
  <c r="C341" s="1"/>
  <c r="B24" i="3" s="1"/>
  <c r="D327" i="8"/>
  <c r="D341" s="1"/>
  <c r="C24" i="3" s="1"/>
  <c r="C328" i="8"/>
  <c r="C324"/>
  <c r="C338" s="1"/>
  <c r="B21" i="3" s="1"/>
  <c r="C326" i="8"/>
  <c r="C340" s="1"/>
  <c r="B23" i="3" s="1"/>
  <c r="C325" i="8"/>
  <c r="F288" i="2"/>
  <c r="F292" s="1"/>
  <c r="F298" s="1"/>
  <c r="F311" s="1"/>
  <c r="G328" i="8" l="1"/>
  <c r="G342" s="1"/>
  <c r="F25" i="3" s="1"/>
  <c r="D325" i="8"/>
  <c r="D339" s="1"/>
  <c r="C22" i="3" s="1"/>
  <c r="D342" i="8"/>
  <c r="C25" i="3" s="1"/>
  <c r="D324" i="8"/>
  <c r="D338" s="1"/>
  <c r="C21" i="3" s="1"/>
  <c r="C339" i="8"/>
  <c r="B22" i="3" s="1"/>
  <c r="C342" i="8"/>
  <c r="B25" i="3" s="1"/>
  <c r="F65" i="8"/>
  <c r="F12"/>
  <c r="F101"/>
  <c r="F108" s="1"/>
  <c r="F103"/>
  <c r="F110" s="1"/>
  <c r="F61"/>
  <c r="F68" s="1"/>
  <c r="F59"/>
  <c r="F66" s="1"/>
  <c r="F104"/>
  <c r="F111" s="1"/>
  <c r="F102"/>
  <c r="F109" s="1"/>
  <c r="F15"/>
  <c r="F169"/>
  <c r="F11"/>
  <c r="F165"/>
  <c r="F14"/>
  <c r="F168"/>
  <c r="F74" l="1"/>
  <c r="F140" s="1"/>
  <c r="F117"/>
  <c r="F204" s="1"/>
  <c r="F208" s="1"/>
  <c r="F216" s="1"/>
  <c r="F220" s="1"/>
  <c r="F17"/>
  <c r="F136" s="1"/>
  <c r="F240" l="1"/>
  <c r="F310" s="1"/>
  <c r="F243"/>
  <c r="F313" s="1"/>
  <c r="F242"/>
  <c r="F312" s="1"/>
  <c r="F239"/>
  <c r="F309" s="1"/>
  <c r="F241"/>
  <c r="F311" s="1"/>
  <c r="F244"/>
  <c r="F314" s="1"/>
  <c r="F144"/>
  <c r="F152" l="1"/>
  <c r="F156" s="1"/>
  <c r="F177" l="1"/>
  <c r="F324" s="1"/>
  <c r="F338" s="1"/>
  <c r="E21" i="3" s="1"/>
  <c r="F178" i="8"/>
  <c r="F325" s="1"/>
  <c r="F179"/>
  <c r="F326" s="1"/>
  <c r="F176"/>
  <c r="F323" s="1"/>
  <c r="F337" s="1"/>
  <c r="E20" i="3" s="1"/>
  <c r="F180" i="8"/>
  <c r="F327" s="1"/>
  <c r="F341" s="1"/>
  <c r="E24" i="3" s="1"/>
  <c r="F175" i="8"/>
  <c r="F322" s="1"/>
  <c r="F336" s="1"/>
  <c r="E19" i="3" s="1"/>
  <c r="F340" i="8" l="1"/>
  <c r="E23" i="3" s="1"/>
  <c r="F339" i="8"/>
  <c r="E22" i="3" s="1"/>
  <c r="D155" i="2" l="1"/>
  <c r="I154"/>
  <c r="C155"/>
  <c r="E155" s="1"/>
  <c r="H154"/>
  <c r="D160"/>
  <c r="I159"/>
  <c r="D159"/>
  <c r="I158"/>
  <c r="D158"/>
  <c r="I157"/>
  <c r="D157"/>
  <c r="I156"/>
  <c r="D156"/>
  <c r="I155"/>
  <c r="C160"/>
  <c r="H159"/>
  <c r="C159"/>
  <c r="H158"/>
  <c r="C158"/>
  <c r="H157"/>
  <c r="C157"/>
  <c r="H156"/>
  <c r="C156"/>
  <c r="E156" s="1"/>
  <c r="H155"/>
  <c r="J154" l="1"/>
  <c r="F205" s="1"/>
  <c r="F271" s="1"/>
  <c r="J155"/>
  <c r="F206" s="1"/>
  <c r="G207"/>
  <c r="D207"/>
  <c r="C207"/>
  <c r="E207"/>
  <c r="C206"/>
  <c r="C272" s="1"/>
  <c r="G206"/>
  <c r="G272" s="1"/>
  <c r="E206"/>
  <c r="E272" s="1"/>
  <c r="D206"/>
  <c r="D272" s="1"/>
  <c r="E157"/>
  <c r="E158"/>
  <c r="E159"/>
  <c r="E160"/>
  <c r="F299"/>
  <c r="F312" s="1"/>
  <c r="E6" i="3" s="1"/>
  <c r="J156" i="2"/>
  <c r="F207" s="1"/>
  <c r="J157"/>
  <c r="F208" s="1"/>
  <c r="J158"/>
  <c r="F209" s="1"/>
  <c r="J159"/>
  <c r="F210" s="1"/>
  <c r="F272" l="1"/>
  <c r="F273" s="1"/>
  <c r="D211"/>
  <c r="C211"/>
  <c r="E211"/>
  <c r="G211"/>
  <c r="D209"/>
  <c r="E209"/>
  <c r="G209"/>
  <c r="C209"/>
  <c r="G273"/>
  <c r="G300"/>
  <c r="F300"/>
  <c r="F313" s="1"/>
  <c r="E7" i="3" s="1"/>
  <c r="E210" i="2"/>
  <c r="D210"/>
  <c r="C210"/>
  <c r="G210"/>
  <c r="E208"/>
  <c r="C208"/>
  <c r="G208"/>
  <c r="D208"/>
  <c r="E273"/>
  <c r="E300"/>
  <c r="C273"/>
  <c r="C300"/>
  <c r="C313" s="1"/>
  <c r="B7" i="3" s="1"/>
  <c r="D273" i="2"/>
  <c r="D300"/>
  <c r="C7" i="3" s="1"/>
  <c r="F7" l="1"/>
  <c r="D7"/>
  <c r="D274" i="2"/>
  <c r="D301"/>
  <c r="C8" i="3" s="1"/>
  <c r="C274" i="2"/>
  <c r="C301"/>
  <c r="C314" s="1"/>
  <c r="B8" i="3" s="1"/>
  <c r="E274" i="2"/>
  <c r="E301"/>
  <c r="F274"/>
  <c r="F301"/>
  <c r="F314" s="1"/>
  <c r="E8" i="3" s="1"/>
  <c r="G274" i="2"/>
  <c r="G301"/>
  <c r="F8" i="3" l="1"/>
  <c r="D8"/>
  <c r="G275" i="2"/>
  <c r="G302"/>
  <c r="F275"/>
  <c r="F302"/>
  <c r="F315" s="1"/>
  <c r="E9" i="3" s="1"/>
  <c r="E275" i="2"/>
  <c r="E303" s="1"/>
  <c r="E302"/>
  <c r="C275"/>
  <c r="C302"/>
  <c r="C315" s="1"/>
  <c r="B9" i="3" s="1"/>
  <c r="D275" i="2"/>
  <c r="D302"/>
  <c r="C9" i="3" s="1"/>
  <c r="F9" l="1"/>
  <c r="D9"/>
  <c r="D276" i="2"/>
  <c r="D303"/>
  <c r="C10" i="3" s="1"/>
  <c r="C276" i="2"/>
  <c r="C303"/>
  <c r="C316" s="1"/>
  <c r="B10" i="3" s="1"/>
  <c r="E276" i="2"/>
  <c r="D10" i="3"/>
  <c r="F276" i="2"/>
  <c r="F304" s="1"/>
  <c r="F317" s="1"/>
  <c r="E11" i="3" s="1"/>
  <c r="F303" i="2"/>
  <c r="F316" s="1"/>
  <c r="E10" i="3" s="1"/>
  <c r="G276" i="2"/>
  <c r="G303"/>
  <c r="F10" i="3" l="1"/>
  <c r="G277" i="2"/>
  <c r="G305" s="1"/>
  <c r="G304"/>
  <c r="E277"/>
  <c r="E305" s="1"/>
  <c r="E304"/>
  <c r="C277"/>
  <c r="C305" s="1"/>
  <c r="C318" s="1"/>
  <c r="B12" i="3" s="1"/>
  <c r="C304" i="2"/>
  <c r="C317" s="1"/>
  <c r="B11" i="3" s="1"/>
  <c r="D277" i="2"/>
  <c r="D305" s="1"/>
  <c r="C12" i="3" s="1"/>
  <c r="D304" i="2"/>
  <c r="C11" i="3" s="1"/>
  <c r="F11" l="1"/>
  <c r="F12"/>
  <c r="D11"/>
  <c r="D12"/>
</calcChain>
</file>

<file path=xl/sharedStrings.xml><?xml version="1.0" encoding="utf-8"?>
<sst xmlns="http://schemas.openxmlformats.org/spreadsheetml/2006/main" count="480" uniqueCount="197">
  <si>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</si>
  <si>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</si>
  <si>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</si>
  <si>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</si>
  <si>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</si>
  <si>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</si>
  <si>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</si>
  <si>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</si>
  <si>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</si>
  <si>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</si>
  <si>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</si>
  <si>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IO12</t>
  </si>
  <si>
    <t>IO13</t>
  </si>
  <si>
    <t>IO14</t>
  </si>
  <si>
    <t>IO15</t>
  </si>
  <si>
    <t>IO16</t>
  </si>
  <si>
    <t>IO17</t>
  </si>
  <si>
    <t>IO18</t>
  </si>
  <si>
    <t>IO19</t>
  </si>
  <si>
    <t>IO20</t>
  </si>
  <si>
    <t>Opex partial productivity factor</t>
  </si>
  <si>
    <t>Elasticity of opex to network length</t>
  </si>
  <si>
    <t>Elasticity of opex to number of consumers</t>
  </si>
  <si>
    <t>Historical series of network length</t>
  </si>
  <si>
    <t>Historical series of number of consumers</t>
  </si>
  <si>
    <t>Weight for labour costs in opex input price factor</t>
  </si>
  <si>
    <t>Quarterly labour cost index</t>
  </si>
  <si>
    <t>Quarterly producer price index</t>
  </si>
  <si>
    <t>Labout cost timing weight Q1</t>
  </si>
  <si>
    <t>Labout cost timing weight Q2</t>
  </si>
  <si>
    <t>Labout cost timing weight Q3</t>
  </si>
  <si>
    <t>Labout cost timing weight Q4</t>
  </si>
  <si>
    <t>Non-labour cost timing weight Q1</t>
  </si>
  <si>
    <t>Non-labour cost timing weight Q2</t>
  </si>
  <si>
    <t>Non-labour cost timing weight Q3</t>
  </si>
  <si>
    <t>Non-labour cost timing weight Q4</t>
  </si>
  <si>
    <t>System Length (km)</t>
  </si>
  <si>
    <t xml:space="preserve">Gasnet </t>
  </si>
  <si>
    <t>Powerco</t>
  </si>
  <si>
    <t>Maui</t>
  </si>
  <si>
    <t>Index</t>
  </si>
  <si>
    <t>Labour cost index (NZIER data)</t>
  </si>
  <si>
    <t>Producer price index (NZIER data)</t>
  </si>
  <si>
    <t>Weight</t>
  </si>
  <si>
    <t>Quarter Ending</t>
  </si>
  <si>
    <t>PC1</t>
  </si>
  <si>
    <t>Percentage change in network length</t>
  </si>
  <si>
    <t>input</t>
  </si>
  <si>
    <t>Natural Log</t>
  </si>
  <si>
    <t>PC2</t>
  </si>
  <si>
    <t>Percentage change in the numbers of consumers</t>
  </si>
  <si>
    <t>PC3</t>
  </si>
  <si>
    <t>PC4</t>
  </si>
  <si>
    <t>% Change PC1</t>
  </si>
  <si>
    <t>% Change PC3</t>
  </si>
  <si>
    <t>OSF1</t>
  </si>
  <si>
    <t>Sum of annual scaling factors</t>
  </si>
  <si>
    <t>OSF2</t>
  </si>
  <si>
    <t>OSF3</t>
  </si>
  <si>
    <t>OSF4</t>
  </si>
  <si>
    <t>OSF5</t>
  </si>
  <si>
    <t>Opex input price factor</t>
  </si>
  <si>
    <t>Network length factor</t>
  </si>
  <si>
    <t>Number of consumers factor</t>
  </si>
  <si>
    <t>Year ending</t>
  </si>
  <si>
    <t>% change</t>
  </si>
  <si>
    <t>Weight for non-labour costs in opex input price factor</t>
  </si>
  <si>
    <t>NOS1</t>
  </si>
  <si>
    <t>NOS2</t>
  </si>
  <si>
    <t>NOS3</t>
  </si>
  <si>
    <t>NOS4</t>
  </si>
  <si>
    <t>NOS5</t>
  </si>
  <si>
    <t>Nominal opex series</t>
  </si>
  <si>
    <t>Nominal trend in opex</t>
  </si>
  <si>
    <t>Base year opex with out of trend factors removed</t>
  </si>
  <si>
    <t>Index of the nominal trend in opex</t>
  </si>
  <si>
    <t>Sum of out of trend factors</t>
  </si>
  <si>
    <t>2011 (base year)</t>
  </si>
  <si>
    <t>inputs</t>
  </si>
  <si>
    <t>NOS5, IO1</t>
  </si>
  <si>
    <t>NOS3, NOS4</t>
  </si>
  <si>
    <t>NOS2, NOS5</t>
  </si>
  <si>
    <t>Nominal Operating Expenditure Series</t>
  </si>
  <si>
    <t>Annual Scaling Factors for Operating Expenditure</t>
  </si>
  <si>
    <t>Calculations Used To Determine The Annual Scaling Factors</t>
  </si>
  <si>
    <t>Quarter</t>
  </si>
  <si>
    <t xml:space="preserve">Opex </t>
  </si>
  <si>
    <t>Average</t>
  </si>
  <si>
    <t>Labout cost timing weight</t>
  </si>
  <si>
    <t>Weighted Average Index</t>
  </si>
  <si>
    <t>Non-labour cost timing weight</t>
  </si>
  <si>
    <t>IO11,IO13, IO14,IO15,IO16</t>
  </si>
  <si>
    <t>IO12,IO17,IO18,IO19,IO20</t>
  </si>
  <si>
    <t xml:space="preserve">PC1, IO3 </t>
  </si>
  <si>
    <t>Inputs used to model capital expenditure</t>
  </si>
  <si>
    <t>IC1</t>
  </si>
  <si>
    <t>IC2</t>
  </si>
  <si>
    <t>IC3</t>
  </si>
  <si>
    <t>IC4</t>
  </si>
  <si>
    <t>IC5</t>
  </si>
  <si>
    <t>Network Capex threshold</t>
  </si>
  <si>
    <t>Capital Goods Price Index</t>
  </si>
  <si>
    <t>Date</t>
  </si>
  <si>
    <t>Capital Goods Price Index (NZIER data)</t>
  </si>
  <si>
    <t>NNCC1</t>
  </si>
  <si>
    <t>Supplier's historic non-network capex series in constant prices</t>
  </si>
  <si>
    <t>CTC4, IC2</t>
  </si>
  <si>
    <t>Calculations required to determine whether the network capex threshold is exceeded</t>
  </si>
  <si>
    <t>CTC1</t>
  </si>
  <si>
    <t>CTC4</t>
  </si>
  <si>
    <t>The historical capital goods input price index</t>
  </si>
  <si>
    <t>Four quarter weighted average index</t>
  </si>
  <si>
    <t>Factors to convert into 2011 prices</t>
  </si>
  <si>
    <t>CTC3</t>
  </si>
  <si>
    <t>Suppliers historic average network capex</t>
  </si>
  <si>
    <t>CTC2</t>
  </si>
  <si>
    <t>Suppliers historic network capex series in constant prices</t>
  </si>
  <si>
    <t>IC1,CTC4</t>
  </si>
  <si>
    <t>Calculations required to determine the non-network capex series</t>
  </si>
  <si>
    <t>NNCC2</t>
  </si>
  <si>
    <t>Nominal capital expenditure series</t>
  </si>
  <si>
    <t>NCS1</t>
  </si>
  <si>
    <t>NCS2</t>
  </si>
  <si>
    <t>NCS3</t>
  </si>
  <si>
    <t>NCS4</t>
  </si>
  <si>
    <t>Nominal capex series</t>
  </si>
  <si>
    <t>Nominal network capex series</t>
  </si>
  <si>
    <t>Nominal non-network capex series</t>
  </si>
  <si>
    <t>Capital good input price index</t>
  </si>
  <si>
    <t xml:space="preserve">input </t>
  </si>
  <si>
    <t>Factors to convert into nominal future prices</t>
  </si>
  <si>
    <t>Scaling of supplier forecast if the network capex threshold is exceeded</t>
  </si>
  <si>
    <t>CTS1</t>
  </si>
  <si>
    <t>CTS2</t>
  </si>
  <si>
    <t>CTS3</t>
  </si>
  <si>
    <t>CTS4</t>
  </si>
  <si>
    <t>Network capex threshold</t>
  </si>
  <si>
    <t>Scaled forecast of network capex (constant prices)</t>
  </si>
  <si>
    <t>Annual average of the suppliers forecast of constant price network capex</t>
  </si>
  <si>
    <t>CTC1, CTC3</t>
  </si>
  <si>
    <t>Relative</t>
  </si>
  <si>
    <t>CTS1, CTS2</t>
  </si>
  <si>
    <t>Network capex threshold divided by the suppliers forecast relative to historic levels</t>
  </si>
  <si>
    <t>Minimum of network capex threshold divided by the suppliers forecast relative to historic levels and one</t>
  </si>
  <si>
    <t>NCS2, NCS3</t>
  </si>
  <si>
    <t>Capex</t>
  </si>
  <si>
    <t>NCS4, CTS4</t>
  </si>
  <si>
    <t>Suppliers historic non-network capex series in constant prices</t>
  </si>
  <si>
    <t>Vector Dist</t>
  </si>
  <si>
    <t>Vector Trans</t>
  </si>
  <si>
    <t>Suppliers Forecast of Network Capex ($000)</t>
  </si>
  <si>
    <t>Disclosed Non-network Capex ($000)</t>
  </si>
  <si>
    <t>Disclosed Network Capex ($000)</t>
  </si>
  <si>
    <t>Base year opex ($000)</t>
  </si>
  <si>
    <t>Suppliers forecast of increased insurance costs due to natural disasters ($000)</t>
  </si>
  <si>
    <t>Total customers (number)</t>
  </si>
  <si>
    <t>Suppliers Forecast of Non-Network Capex ($000)</t>
  </si>
  <si>
    <t>Non-Network Capex threshold</t>
  </si>
  <si>
    <t>IC6</t>
  </si>
  <si>
    <t>IC7</t>
  </si>
  <si>
    <t>Non- Network Capex threshold</t>
  </si>
  <si>
    <t>NNCC3</t>
  </si>
  <si>
    <t>Annual average of the suppliers forecast of constant price non-network capex</t>
  </si>
  <si>
    <t>CTS3,IC3</t>
  </si>
  <si>
    <t>Non-network capex threshold</t>
  </si>
  <si>
    <t>NNCS1</t>
  </si>
  <si>
    <t>Supplier's forecast relative to historic levels of non-network capex</t>
  </si>
  <si>
    <t>NNCS2</t>
  </si>
  <si>
    <t>NNCC2,NNCC3</t>
  </si>
  <si>
    <t>Non-network capex scaling factor</t>
  </si>
  <si>
    <t>NNCS3</t>
  </si>
  <si>
    <t>NNCS1,NNCS2</t>
  </si>
  <si>
    <t>Minimum of non-network capex threshold divided by the suppliers forecast relative to historic levels and one</t>
  </si>
  <si>
    <t>NNCS4</t>
  </si>
  <si>
    <t>Scaled forecast of non-network capex (constant prices)</t>
  </si>
  <si>
    <t>NNCS3,IC6</t>
  </si>
  <si>
    <t>Suppliers historic average non-network capex</t>
  </si>
  <si>
    <t>Scaling of supplier forecast if the non-network capex threshold is exceeded</t>
  </si>
  <si>
    <t>Supplier's forecast relative to historic levels of network capex</t>
  </si>
  <si>
    <t>Compliance costs</t>
  </si>
  <si>
    <t>Compressor fuel costs</t>
  </si>
  <si>
    <t>PC3, PC4, IO10</t>
  </si>
  <si>
    <t>OSF2 to OSF5</t>
  </si>
  <si>
    <t>PC2, IO5</t>
  </si>
  <si>
    <t>IO4,IO6,IO8</t>
  </si>
  <si>
    <t>Sum of annual material changes in base year opex</t>
  </si>
  <si>
    <t>Network capex scaling factor</t>
  </si>
  <si>
    <t>Cells not used</t>
  </si>
  <si>
    <t>Inconsistent formula - Do not copy over</t>
  </si>
  <si>
    <t>Weighted average non-labour index</t>
  </si>
  <si>
    <t>Weighted average labour index</t>
  </si>
  <si>
    <t>Non-network capex threshold divided by the suppliers forecast relative to historic levels</t>
  </si>
  <si>
    <t>NCS4, NNCS4</t>
  </si>
  <si>
    <t>Capital goods input price factor to convert into June 2011 prices</t>
  </si>
  <si>
    <t>Capital goods input price factor to convert into Dec 2011 prices</t>
  </si>
  <si>
    <t>Capital goods input price factor to convert from June 2011 prices</t>
  </si>
  <si>
    <t>Capital goods input price factor to convert from Dec 2011 prices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</si>
</sst>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_(* #,##0_);_(* \(#,##0\);_(* &quot;-&quot;??_);_(@_)"/>
    <numFmt numFmtId="166" formatCode="[$-C09]dd\-mmm\-yy;@"/>
    <numFmt numFmtId="167" formatCode="0.0"/>
    <numFmt numFmtId="168" formatCode="_(* #,##0.0_);_(* \(#,##0.0\);_(* &quot;-&quot;??_);_(@_)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-* #,##0.000_-;\-* #,##0.000_-;_-* &quot;-&quot;??_-;_-@_-"/>
    <numFmt numFmtId="173" formatCode="0.000000%"/>
    <numFmt numFmtId="174" formatCode="0.0000"/>
    <numFmt numFmtId="175" formatCode="0.0000%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5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1" xfId="0" applyBorder="1"/>
    <xf numFmtId="165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Border="1"/>
    <xf numFmtId="10" fontId="0" fillId="0" borderId="0" xfId="2" applyNumberFormat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10" fontId="2" fillId="0" borderId="4" xfId="2" applyNumberFormat="1" applyFont="1" applyFill="1" applyBorder="1"/>
    <xf numFmtId="0" fontId="4" fillId="0" borderId="0" xfId="0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0" xfId="0" applyFont="1"/>
    <xf numFmtId="165" fontId="0" fillId="0" borderId="5" xfId="0" applyNumberForma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0" borderId="0" xfId="0" applyFont="1"/>
    <xf numFmtId="0" fontId="6" fillId="0" borderId="0" xfId="0" applyFont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/>
    <xf numFmtId="169" fontId="0" fillId="0" borderId="0" xfId="0" applyNumberFormat="1"/>
    <xf numFmtId="1" fontId="0" fillId="0" borderId="0" xfId="0" applyNumberFormat="1"/>
    <xf numFmtId="167" fontId="0" fillId="0" borderId="0" xfId="0" applyNumberFormat="1" applyBorder="1"/>
    <xf numFmtId="0" fontId="0" fillId="0" borderId="6" xfId="0" applyBorder="1" applyAlignment="1">
      <alignment horizontal="center" vertical="center" wrapText="1"/>
    </xf>
    <xf numFmtId="165" fontId="0" fillId="0" borderId="0" xfId="1" applyNumberFormat="1" applyFont="1" applyBorder="1"/>
    <xf numFmtId="0" fontId="0" fillId="0" borderId="4" xfId="0" applyBorder="1" applyAlignment="1">
      <alignment horizontal="center"/>
    </xf>
    <xf numFmtId="10" fontId="0" fillId="0" borderId="0" xfId="0" applyNumberFormat="1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0" fontId="0" fillId="0" borderId="5" xfId="2" applyNumberFormat="1" applyFont="1" applyBorder="1"/>
    <xf numFmtId="10" fontId="0" fillId="0" borderId="0" xfId="2" applyNumberFormat="1" applyFont="1" applyBorder="1"/>
    <xf numFmtId="10" fontId="0" fillId="0" borderId="2" xfId="2" applyNumberFormat="1" applyFont="1" applyBorder="1"/>
    <xf numFmtId="165" fontId="0" fillId="0" borderId="4" xfId="0" applyNumberFormat="1" applyBorder="1"/>
    <xf numFmtId="14" fontId="0" fillId="0" borderId="0" xfId="0" applyNumberFormat="1"/>
    <xf numFmtId="171" fontId="0" fillId="0" borderId="0" xfId="1" applyNumberFormat="1" applyFont="1"/>
    <xf numFmtId="172" fontId="0" fillId="0" borderId="0" xfId="0" applyNumberFormat="1" applyBorder="1" applyAlignment="1">
      <alignment horizontal="center" wrapText="1"/>
    </xf>
    <xf numFmtId="172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9" fontId="3" fillId="0" borderId="0" xfId="2" applyFont="1"/>
    <xf numFmtId="165" fontId="3" fillId="0" borderId="0" xfId="1" applyNumberFormat="1" applyFont="1"/>
    <xf numFmtId="165" fontId="3" fillId="0" borderId="2" xfId="1" applyNumberFormat="1" applyFont="1" applyBorder="1"/>
    <xf numFmtId="165" fontId="3" fillId="0" borderId="0" xfId="1" applyNumberFormat="1" applyFont="1" applyAlignment="1">
      <alignment horizontal="center"/>
    </xf>
    <xf numFmtId="9" fontId="3" fillId="0" borderId="2" xfId="2" applyFont="1" applyBorder="1"/>
    <xf numFmtId="0" fontId="0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0" fontId="7" fillId="0" borderId="0" xfId="0" applyFont="1"/>
    <xf numFmtId="173" fontId="0" fillId="0" borderId="0" xfId="2" applyNumberFormat="1" applyFont="1"/>
    <xf numFmtId="10" fontId="0" fillId="0" borderId="0" xfId="2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75" fontId="0" fillId="0" borderId="0" xfId="2" applyNumberFormat="1" applyFont="1"/>
    <xf numFmtId="174" fontId="0" fillId="0" borderId="5" xfId="0" applyNumberFormat="1" applyBorder="1"/>
    <xf numFmtId="174" fontId="0" fillId="0" borderId="0" xfId="0" applyNumberFormat="1"/>
    <xf numFmtId="3" fontId="0" fillId="0" borderId="0" xfId="0" applyNumberFormat="1"/>
    <xf numFmtId="175" fontId="0" fillId="0" borderId="0" xfId="0" applyNumberFormat="1"/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8" fontId="4" fillId="0" borderId="0" xfId="0" applyNumberFormat="1" applyFont="1" applyBorder="1" applyAlignme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4" fillId="0" borderId="2" xfId="0" applyNumberFormat="1" applyFont="1" applyBorder="1"/>
    <xf numFmtId="165" fontId="4" fillId="0" borderId="0" xfId="0" applyNumberFormat="1" applyFont="1" applyBorder="1"/>
    <xf numFmtId="170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2" xfId="0" applyNumberFormat="1" applyFill="1" applyBorder="1"/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9" fontId="0" fillId="3" borderId="5" xfId="0" applyNumberFormat="1" applyFill="1" applyBorder="1"/>
    <xf numFmtId="9" fontId="0" fillId="3" borderId="0" xfId="0" applyNumberFormat="1" applyFill="1"/>
    <xf numFmtId="0" fontId="0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4" fillId="3" borderId="0" xfId="0" applyFont="1" applyFill="1"/>
    <xf numFmtId="0" fontId="4" fillId="3" borderId="1" xfId="0" applyFont="1" applyFill="1" applyBorder="1"/>
    <xf numFmtId="2" fontId="4" fillId="3" borderId="5" xfId="0" applyNumberFormat="1" applyFont="1" applyFill="1" applyBorder="1"/>
    <xf numFmtId="2" fontId="4" fillId="3" borderId="0" xfId="0" applyNumberFormat="1" applyFont="1" applyFill="1"/>
    <xf numFmtId="0" fontId="0" fillId="3" borderId="0" xfId="0" applyFont="1" applyFill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3" fillId="3" borderId="2" xfId="1" applyNumberFormat="1" applyFont="1" applyFill="1" applyBorder="1"/>
    <xf numFmtId="165" fontId="3" fillId="3" borderId="0" xfId="1" applyNumberFormat="1" applyFont="1" applyFill="1"/>
    <xf numFmtId="165" fontId="0" fillId="3" borderId="0" xfId="1" applyNumberFormat="1" applyFont="1" applyFill="1" applyAlignment="1">
      <alignment horizontal="center"/>
    </xf>
    <xf numFmtId="9" fontId="3" fillId="3" borderId="2" xfId="2" applyFont="1" applyFill="1" applyBorder="1"/>
    <xf numFmtId="9" fontId="3" fillId="3" borderId="0" xfId="2" applyFont="1" applyFill="1"/>
    <xf numFmtId="0" fontId="0" fillId="3" borderId="0" xfId="0" applyFont="1" applyFill="1" applyAlignment="1">
      <alignment horizontal="left"/>
    </xf>
    <xf numFmtId="0" fontId="0" fillId="3" borderId="4" xfId="0" applyFont="1" applyFill="1" applyBorder="1" applyAlignment="1">
      <alignment horizontal="center"/>
    </xf>
    <xf numFmtId="14" fontId="0" fillId="3" borderId="0" xfId="0" applyNumberFormat="1" applyFill="1"/>
    <xf numFmtId="169" fontId="0" fillId="3" borderId="0" xfId="0" applyNumberFormat="1" applyFill="1"/>
    <xf numFmtId="166" fontId="0" fillId="3" borderId="1" xfId="0" applyNumberFormat="1" applyFill="1" applyBorder="1" applyAlignment="1">
      <alignment horizontal="center"/>
    </xf>
    <xf numFmtId="165" fontId="4" fillId="3" borderId="2" xfId="0" applyNumberFormat="1" applyFont="1" applyFill="1" applyBorder="1"/>
    <xf numFmtId="165" fontId="4" fillId="3" borderId="0" xfId="0" applyNumberFormat="1" applyFont="1" applyFill="1" applyBorder="1"/>
    <xf numFmtId="0" fontId="0" fillId="3" borderId="2" xfId="0" applyFill="1" applyBorder="1"/>
    <xf numFmtId="1" fontId="0" fillId="3" borderId="2" xfId="0" applyNumberFormat="1" applyFill="1" applyBorder="1"/>
    <xf numFmtId="1" fontId="0" fillId="3" borderId="0" xfId="0" applyNumberFormat="1" applyFill="1"/>
    <xf numFmtId="165" fontId="0" fillId="0" borderId="5" xfId="1" applyNumberFormat="1" applyFont="1" applyBorder="1"/>
    <xf numFmtId="165" fontId="0" fillId="0" borderId="2" xfId="1" applyNumberFormat="1" applyFont="1" applyBorder="1"/>
    <xf numFmtId="9" fontId="0" fillId="0" borderId="0" xfId="2" applyFont="1" applyBorder="1"/>
    <xf numFmtId="9" fontId="0" fillId="0" borderId="0" xfId="2" applyNumberFormat="1" applyFont="1" applyBorder="1" applyAlignment="1">
      <alignment horizontal="center"/>
    </xf>
    <xf numFmtId="0" fontId="0" fillId="4" borderId="6" xfId="0" applyFill="1" applyBorder="1"/>
    <xf numFmtId="0" fontId="0" fillId="0" borderId="6" xfId="0" applyBorder="1"/>
    <xf numFmtId="1" fontId="0" fillId="0" borderId="0" xfId="0" applyNumberFormat="1" applyAlignment="1">
      <alignment horizontal="center"/>
    </xf>
    <xf numFmtId="10" fontId="0" fillId="5" borderId="0" xfId="2" applyNumberFormat="1" applyFont="1" applyFill="1" applyBorder="1"/>
    <xf numFmtId="10" fontId="0" fillId="0" borderId="11" xfId="0" applyNumberFormat="1" applyBorder="1"/>
    <xf numFmtId="0" fontId="0" fillId="0" borderId="11" xfId="0" applyBorder="1"/>
    <xf numFmtId="10" fontId="0" fillId="4" borderId="0" xfId="2" applyNumberFormat="1" applyFont="1" applyFill="1" applyAlignment="1">
      <alignment horizontal="center"/>
    </xf>
    <xf numFmtId="0" fontId="0" fillId="5" borderId="10" xfId="0" applyFill="1" applyBorder="1"/>
    <xf numFmtId="0" fontId="0" fillId="0" borderId="10" xfId="0" applyBorder="1"/>
    <xf numFmtId="10" fontId="0" fillId="0" borderId="4" xfId="0" applyNumberFormat="1" applyBorder="1"/>
    <xf numFmtId="165" fontId="0" fillId="0" borderId="8" xfId="0" applyNumberFormat="1" applyBorder="1"/>
    <xf numFmtId="165" fontId="0" fillId="4" borderId="8" xfId="0" applyNumberFormat="1" applyFill="1" applyBorder="1"/>
    <xf numFmtId="165" fontId="0" fillId="0" borderId="9" xfId="0" applyNumberFormat="1" applyBorder="1"/>
    <xf numFmtId="165" fontId="0" fillId="5" borderId="0" xfId="0" applyNumberFormat="1" applyFill="1" applyBorder="1"/>
    <xf numFmtId="165" fontId="0" fillId="4" borderId="7" xfId="0" applyNumberFormat="1" applyFill="1" applyBorder="1"/>
    <xf numFmtId="165" fontId="4" fillId="5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2" xfId="0" applyNumberFormat="1" applyFont="1" applyBorder="1"/>
    <xf numFmtId="165" fontId="8" fillId="0" borderId="0" xfId="0" applyNumberFormat="1" applyFont="1"/>
    <xf numFmtId="0" fontId="8" fillId="0" borderId="0" xfId="0" applyFont="1" applyAlignment="1">
      <alignment horizontal="left"/>
    </xf>
    <xf numFmtId="165" fontId="8" fillId="0" borderId="0" xfId="1" applyNumberFormat="1" applyFont="1" applyAlignment="1"/>
    <xf numFmtId="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0" fontId="9" fillId="0" borderId="0" xfId="0" applyFont="1" applyBorder="1"/>
    <xf numFmtId="9" fontId="8" fillId="0" borderId="0" xfId="2" applyFont="1" applyAlignment="1">
      <alignment horizontal="center"/>
    </xf>
    <xf numFmtId="0" fontId="8" fillId="0" borderId="0" xfId="0" applyFont="1" applyBorder="1"/>
    <xf numFmtId="9" fontId="8" fillId="0" borderId="0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1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0" xfId="0" applyNumberFormat="1" applyFont="1" applyFill="1"/>
    <xf numFmtId="165" fontId="8" fillId="0" borderId="0" xfId="0" applyNumberFormat="1" applyFont="1" applyBorder="1"/>
    <xf numFmtId="0" fontId="8" fillId="3" borderId="0" xfId="0" applyFont="1" applyFill="1" applyAlignment="1">
      <alignment horizontal="left"/>
    </xf>
    <xf numFmtId="165" fontId="8" fillId="3" borderId="2" xfId="0" applyNumberFormat="1" applyFont="1" applyFill="1" applyBorder="1"/>
    <xf numFmtId="165" fontId="8" fillId="3" borderId="0" xfId="0" applyNumberFormat="1" applyFont="1" applyFill="1" applyBorder="1"/>
    <xf numFmtId="0" fontId="8" fillId="3" borderId="4" xfId="0" applyFont="1" applyFill="1" applyBorder="1" applyAlignment="1">
      <alignment horizontal="center"/>
    </xf>
    <xf numFmtId="165" fontId="8" fillId="3" borderId="4" xfId="0" applyNumberFormat="1" applyFont="1" applyFill="1" applyBorder="1"/>
    <xf numFmtId="14" fontId="8" fillId="0" borderId="0" xfId="0" applyNumberFormat="1" applyFont="1"/>
    <xf numFmtId="0" fontId="8" fillId="3" borderId="0" xfId="0" applyFont="1" applyFill="1" applyAlignment="1">
      <alignment horizontal="right"/>
    </xf>
    <xf numFmtId="9" fontId="8" fillId="3" borderId="5" xfId="0" applyNumberFormat="1" applyFont="1" applyFill="1" applyBorder="1"/>
    <xf numFmtId="9" fontId="8" fillId="3" borderId="0" xfId="0" applyNumberFormat="1" applyFont="1" applyFill="1"/>
    <xf numFmtId="0" fontId="10" fillId="0" borderId="0" xfId="0" applyFont="1"/>
    <xf numFmtId="165" fontId="0" fillId="5" borderId="10" xfId="0" applyNumberFormat="1" applyFont="1" applyFill="1" applyBorder="1"/>
    <xf numFmtId="165" fontId="0" fillId="5" borderId="4" xfId="0" applyNumberFormat="1" applyFont="1" applyFill="1" applyBorder="1"/>
    <xf numFmtId="0" fontId="10" fillId="3" borderId="0" xfId="0" applyFont="1" applyFill="1"/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" fontId="0" fillId="3" borderId="0" xfId="0" applyNumberFormat="1" applyFill="1" applyBorder="1"/>
    <xf numFmtId="0" fontId="0" fillId="5" borderId="0" xfId="0" applyFill="1" applyBorder="1"/>
    <xf numFmtId="165" fontId="0" fillId="5" borderId="0" xfId="1" applyNumberFormat="1" applyFont="1" applyFill="1" applyBorder="1"/>
    <xf numFmtId="165" fontId="8" fillId="5" borderId="8" xfId="0" applyNumberFormat="1" applyFont="1" applyFill="1" applyBorder="1"/>
    <xf numFmtId="165" fontId="8" fillId="5" borderId="9" xfId="0" applyNumberFormat="1" applyFont="1" applyFill="1" applyBorder="1"/>
    <xf numFmtId="165" fontId="8" fillId="5" borderId="7" xfId="0" applyNumberFormat="1" applyFont="1" applyFill="1" applyBorder="1" applyAlignment="1">
      <alignment horizontal="center"/>
    </xf>
    <xf numFmtId="165" fontId="8" fillId="5" borderId="8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65" fontId="8" fillId="5" borderId="7" xfId="0" applyNumberFormat="1" applyFont="1" applyFill="1" applyBorder="1" applyAlignment="1"/>
    <xf numFmtId="165" fontId="8" fillId="5" borderId="8" xfId="0" applyNumberFormat="1" applyFont="1" applyFill="1" applyBorder="1" applyAlignment="1"/>
    <xf numFmtId="165" fontId="8" fillId="5" borderId="9" xfId="0" applyNumberFormat="1" applyFont="1" applyFill="1" applyBorder="1" applyAlignment="1"/>
    <xf numFmtId="1" fontId="0" fillId="5" borderId="0" xfId="0" applyNumberFormat="1" applyFill="1"/>
    <xf numFmtId="1" fontId="8" fillId="5" borderId="0" xfId="0" applyNumberFormat="1" applyFont="1" applyFill="1"/>
    <xf numFmtId="1" fontId="0" fillId="5" borderId="0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tabSelected="1" zoomScale="80" zoomScaleNormal="80" workbookViewId="0">
      <selection activeCell="J38" sqref="J38"/>
    </sheetView>
  </sheetViews>
  <sheetFormatPr defaultRowHeight="15"/>
  <cols>
    <col min="1" max="1" width="8.85546875" customWidth="1"/>
    <col min="2" max="6" width="12.85546875" customWidth="1"/>
    <col min="7" max="7" width="9.28515625" bestFit="1" customWidth="1"/>
  </cols>
  <sheetData>
    <row r="1" spans="1:7" ht="23.25">
      <c r="A1" s="72"/>
      <c r="C1" s="86"/>
      <c r="D1" s="72"/>
      <c r="E1" s="72"/>
    </row>
    <row r="4" spans="1:7">
      <c r="A4" t="s">
        <v>86</v>
      </c>
    </row>
    <row r="5" spans="1:7">
      <c r="A5" s="5"/>
      <c r="B5" s="7" t="str">
        <f>+Opex!C310</f>
        <v xml:space="preserve">Gasnet </v>
      </c>
      <c r="C5" s="8" t="str">
        <f>+Opex!D310</f>
        <v>Powerco</v>
      </c>
      <c r="D5" s="8" t="str">
        <f>+Opex!E310</f>
        <v>Vector Dist</v>
      </c>
      <c r="E5" s="8" t="str">
        <f>+Opex!F310</f>
        <v>Maui</v>
      </c>
      <c r="F5" s="8" t="str">
        <f>+Opex!G310</f>
        <v>Vector Trans</v>
      </c>
    </row>
    <row r="6" spans="1:7">
      <c r="A6" s="9">
        <f>+Opex!B312</f>
        <v>2012</v>
      </c>
      <c r="B6" s="35">
        <f>Opex!C312</f>
        <v>1575.1139145388759</v>
      </c>
      <c r="C6" s="36">
        <f>Opex!D312</f>
        <v>15866.314799669559</v>
      </c>
      <c r="D6" s="36">
        <f>Opex!E312</f>
        <v>20077.815237908471</v>
      </c>
      <c r="E6" s="36">
        <f>Opex!F312</f>
        <v>9049.7501487724985</v>
      </c>
      <c r="F6" s="36">
        <f>Opex!G312</f>
        <v>31122.871998920371</v>
      </c>
    </row>
    <row r="7" spans="1:7">
      <c r="A7" s="9">
        <f>+Opex!B313</f>
        <v>2013</v>
      </c>
      <c r="B7" s="35">
        <f>Opex!C313</f>
        <v>1655.2943863483949</v>
      </c>
      <c r="C7" s="36">
        <f>Opex!D313</f>
        <v>16282.009601288903</v>
      </c>
      <c r="D7" s="36">
        <f>Opex!E313</f>
        <v>20762.956283591477</v>
      </c>
      <c r="E7" s="36">
        <f>Opex!F313</f>
        <v>12340.704746973583</v>
      </c>
      <c r="F7" s="36">
        <f>Opex!G313</f>
        <v>31912.609425647923</v>
      </c>
    </row>
    <row r="8" spans="1:7">
      <c r="A8" s="9">
        <f>+Opex!B314</f>
        <v>2014</v>
      </c>
      <c r="B8" s="35">
        <f>Opex!C314</f>
        <v>1793.8933336255081</v>
      </c>
      <c r="C8" s="36">
        <f>Opex!D314</f>
        <v>16791.474568849135</v>
      </c>
      <c r="D8" s="36">
        <f>Opex!E314</f>
        <v>21575.007847129284</v>
      </c>
      <c r="E8" s="36">
        <f>Opex!F314</f>
        <v>12653.769862568573</v>
      </c>
      <c r="F8" s="36">
        <f>Opex!G314</f>
        <v>32861.579199367348</v>
      </c>
    </row>
    <row r="9" spans="1:7">
      <c r="A9" s="9">
        <f>+Opex!B315</f>
        <v>2015</v>
      </c>
      <c r="B9" s="35">
        <f>Opex!C315</f>
        <v>1770.7301563967308</v>
      </c>
      <c r="C9" s="36">
        <f>Opex!D315</f>
        <v>17318.257545390392</v>
      </c>
      <c r="D9" s="36">
        <f>Opex!E315</f>
        <v>22420.152642681369</v>
      </c>
      <c r="E9" s="36">
        <f>Opex!F315</f>
        <v>13001.85971325796</v>
      </c>
      <c r="F9" s="36">
        <f>Opex!G315</f>
        <v>33812.014781153383</v>
      </c>
    </row>
    <row r="10" spans="1:7">
      <c r="A10" s="9">
        <f>+Opex!B316</f>
        <v>2016</v>
      </c>
      <c r="B10" s="35">
        <f>Opex!C316</f>
        <v>1832.7995841900247</v>
      </c>
      <c r="C10" s="36">
        <f>Opex!D316</f>
        <v>17927.597030479908</v>
      </c>
      <c r="D10" s="36">
        <f>Opex!E316</f>
        <v>23381.165203583729</v>
      </c>
      <c r="E10" s="36">
        <f>Opex!F316</f>
        <v>13350.017491214847</v>
      </c>
      <c r="F10" s="36">
        <f>Opex!G316</f>
        <v>34848.816607910398</v>
      </c>
    </row>
    <row r="11" spans="1:7">
      <c r="A11" s="9">
        <f>+Opex!B317</f>
        <v>2017</v>
      </c>
      <c r="B11" s="35">
        <f>Opex!C317</f>
        <v>1889.2589148193192</v>
      </c>
      <c r="C11" s="36">
        <f>Opex!D317</f>
        <v>18467.45646978126</v>
      </c>
      <c r="D11" s="36">
        <f>Opex!E317</f>
        <v>24261.979394821963</v>
      </c>
      <c r="E11" s="36">
        <f>Opex!F317</f>
        <v>13682.742725687782</v>
      </c>
      <c r="F11" s="36">
        <f>Opex!G317</f>
        <v>35632.497069711142</v>
      </c>
    </row>
    <row r="12" spans="1:7">
      <c r="A12" s="9">
        <f>+Opex!B318</f>
        <v>2018</v>
      </c>
      <c r="B12" s="35">
        <f>Opex!C318</f>
        <v>1949.9866085546105</v>
      </c>
      <c r="C12" s="36">
        <f>Opex!D318</f>
        <v>19058.295637106814</v>
      </c>
      <c r="D12" s="36">
        <f>Opex!E318</f>
        <v>25220.697311075277</v>
      </c>
      <c r="E12" s="36"/>
      <c r="F12" s="36">
        <f>Opex!G318</f>
        <v>36478.256976429977</v>
      </c>
    </row>
    <row r="15" spans="1:7">
      <c r="B15" s="17"/>
      <c r="C15" s="17"/>
      <c r="D15" s="47"/>
      <c r="E15" s="17"/>
      <c r="F15" s="17"/>
      <c r="G15" s="17"/>
    </row>
    <row r="16" spans="1:7">
      <c r="G16" s="17"/>
    </row>
    <row r="17" spans="1:7">
      <c r="A17" t="s">
        <v>145</v>
      </c>
      <c r="G17" s="17"/>
    </row>
    <row r="18" spans="1:7">
      <c r="A18" s="5"/>
      <c r="B18" s="7" t="str">
        <f>+Capex!C335</f>
        <v xml:space="preserve">Gasnet </v>
      </c>
      <c r="C18" s="8" t="str">
        <f>+Capex!D335</f>
        <v>Powerco</v>
      </c>
      <c r="D18" s="8" t="str">
        <f>+Capex!E335</f>
        <v>Vector Dist</v>
      </c>
      <c r="E18" s="8" t="str">
        <f>+Capex!F335</f>
        <v>Maui</v>
      </c>
      <c r="F18" s="8" t="str">
        <f>+Capex!G335</f>
        <v>Vector Trans</v>
      </c>
      <c r="G18" s="17"/>
    </row>
    <row r="19" spans="1:7">
      <c r="A19" s="9">
        <f>+Capex!B336</f>
        <v>2012</v>
      </c>
      <c r="B19" s="35">
        <f>+Capex!C336</f>
        <v>654.65479747974143</v>
      </c>
      <c r="C19" s="36">
        <f>+Capex!D336</f>
        <v>11477.60347864556</v>
      </c>
      <c r="D19" s="36">
        <f>+Capex!E336</f>
        <v>21065.627862595422</v>
      </c>
      <c r="E19" s="36">
        <f>+Capex!F336</f>
        <v>132.90725802574445</v>
      </c>
      <c r="F19" s="36">
        <f>+Capex!G336</f>
        <v>11898.39590487747</v>
      </c>
      <c r="G19" s="17"/>
    </row>
    <row r="20" spans="1:7">
      <c r="A20" s="9">
        <f>+Capex!B337</f>
        <v>2013</v>
      </c>
      <c r="B20" s="35">
        <f>+Capex!C337</f>
        <v>693.01469355560312</v>
      </c>
      <c r="C20" s="36">
        <f>+Capex!D337</f>
        <v>11316.56026369571</v>
      </c>
      <c r="D20" s="36">
        <f>+Capex!E337</f>
        <v>24983.383211822271</v>
      </c>
      <c r="E20" s="36">
        <f>+Capex!F337</f>
        <v>302.49942994629163</v>
      </c>
      <c r="F20" s="36">
        <f>+Capex!G337</f>
        <v>16279.6723450229</v>
      </c>
      <c r="G20" s="17"/>
    </row>
    <row r="21" spans="1:7">
      <c r="A21" s="9">
        <f>+Capex!B338</f>
        <v>2014</v>
      </c>
      <c r="B21" s="35">
        <f>+Capex!C338</f>
        <v>723.2955785004109</v>
      </c>
      <c r="C21" s="36">
        <f>+Capex!D338</f>
        <v>11378.473102374501</v>
      </c>
      <c r="D21" s="36">
        <f>+Capex!E338</f>
        <v>28206.001594177971</v>
      </c>
      <c r="E21" s="36">
        <f>+Capex!F338</f>
        <v>2794.2580748269124</v>
      </c>
      <c r="F21" s="36">
        <f>+Capex!G338</f>
        <v>25950.952115017339</v>
      </c>
      <c r="G21" s="17"/>
    </row>
    <row r="22" spans="1:7">
      <c r="A22" s="9">
        <f>+Capex!B339</f>
        <v>2015</v>
      </c>
      <c r="B22" s="35">
        <f>+Capex!C339</f>
        <v>737.13160554854358</v>
      </c>
      <c r="C22" s="36">
        <f>+Capex!D339</f>
        <v>12750.448702763084</v>
      </c>
      <c r="D22" s="36">
        <f>+Capex!E339</f>
        <v>18418.29816184007</v>
      </c>
      <c r="E22" s="36">
        <f>+Capex!F339</f>
        <v>209.13245040632776</v>
      </c>
      <c r="F22" s="36">
        <f>+Capex!G339</f>
        <v>11326.972118574446</v>
      </c>
      <c r="G22" s="17"/>
    </row>
    <row r="23" spans="1:7">
      <c r="A23" s="9">
        <f>+Capex!B340</f>
        <v>2016</v>
      </c>
      <c r="B23" s="35">
        <f>+Capex!C340</f>
        <v>834.89712803678583</v>
      </c>
      <c r="C23" s="36">
        <f>+Capex!D340</f>
        <v>13154.476248724959</v>
      </c>
      <c r="D23" s="36">
        <f>+Capex!E340</f>
        <v>14946.527271212733</v>
      </c>
      <c r="E23" s="36">
        <f>+Capex!F340</f>
        <v>144.68800406178775</v>
      </c>
      <c r="F23" s="36">
        <f>+Capex!G340</f>
        <v>10669.298823753605</v>
      </c>
      <c r="G23" s="17"/>
    </row>
    <row r="24" spans="1:7">
      <c r="A24" s="9">
        <f>+Capex!B341</f>
        <v>2017</v>
      </c>
      <c r="B24" s="35">
        <f>+Capex!C341</f>
        <v>851.57033947766172</v>
      </c>
      <c r="C24" s="36">
        <f>+Capex!D341</f>
        <v>13550.417024109189</v>
      </c>
      <c r="D24" s="36">
        <f>+Capex!E341</f>
        <v>15157.394795639755</v>
      </c>
      <c r="E24" s="36">
        <f>+Capex!F341</f>
        <v>211.23628233683604</v>
      </c>
      <c r="F24" s="36">
        <f>+Capex!G341</f>
        <v>10558.46804828866</v>
      </c>
      <c r="G24" s="17"/>
    </row>
    <row r="25" spans="1:7">
      <c r="A25" s="9">
        <f>+Capex!B342</f>
        <v>2018</v>
      </c>
      <c r="B25" s="35">
        <f>+Capex!C342</f>
        <v>868.30316791604878</v>
      </c>
      <c r="C25" s="36">
        <f>+Capex!D342</f>
        <v>13816.674305301129</v>
      </c>
      <c r="D25" s="36">
        <f>+Capex!E342</f>
        <v>15455.228192284256</v>
      </c>
      <c r="E25" s="36"/>
      <c r="F25" s="36">
        <f>+Capex!G342</f>
        <v>10765.935389779879</v>
      </c>
      <c r="G25" s="17"/>
    </row>
    <row r="26" spans="1:7">
      <c r="G26" s="17"/>
    </row>
    <row r="27" spans="1:7">
      <c r="G27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P318"/>
  <sheetViews>
    <sheetView zoomScale="80" zoomScaleNormal="80" workbookViewId="0">
      <selection activeCell="L232" sqref="L232"/>
    </sheetView>
  </sheetViews>
  <sheetFormatPr defaultRowHeight="15"/>
  <cols>
    <col min="2" max="4" width="17.7109375" customWidth="1"/>
    <col min="5" max="7" width="17" customWidth="1"/>
    <col min="8" max="9" width="17.7109375" customWidth="1"/>
    <col min="10" max="10" width="17" customWidth="1"/>
    <col min="11" max="14" width="11.28515625" bestFit="1" customWidth="1"/>
    <col min="15" max="15" width="9.28515625" bestFit="1" customWidth="1"/>
    <col min="16" max="16" width="9.42578125" bestFit="1" customWidth="1"/>
  </cols>
  <sheetData>
    <row r="2" spans="1:10" ht="18.75">
      <c r="A2" s="37" t="s">
        <v>84</v>
      </c>
      <c r="B2" s="38"/>
      <c r="C2" s="38"/>
      <c r="D2" s="38"/>
      <c r="E2" s="38"/>
      <c r="F2" s="38"/>
      <c r="G2" s="38"/>
      <c r="H2" s="38"/>
      <c r="I2" s="38"/>
      <c r="J2" s="38"/>
    </row>
    <row r="6" spans="1:10">
      <c r="A6" s="19" t="s">
        <v>45</v>
      </c>
      <c r="B6" s="3" t="s">
        <v>46</v>
      </c>
    </row>
    <row r="7" spans="1:10">
      <c r="B7" s="9" t="s">
        <v>47</v>
      </c>
      <c r="C7" s="9" t="str">
        <f>+'Opex Inputs'!A49</f>
        <v>IO7</v>
      </c>
    </row>
    <row r="8" spans="1:10">
      <c r="A8" s="9"/>
      <c r="B8" s="9"/>
    </row>
    <row r="9" spans="1:10">
      <c r="B9" s="147" t="str">
        <f>+'Opex Inputs'!A49</f>
        <v>IO7</v>
      </c>
      <c r="C9" s="148" t="str">
        <f>+'Opex Inputs'!B49</f>
        <v>Historical series of network length</v>
      </c>
      <c r="D9" s="148"/>
      <c r="E9" s="148"/>
      <c r="F9" s="148"/>
      <c r="G9" s="148"/>
    </row>
    <row r="10" spans="1:10">
      <c r="B10" s="149"/>
      <c r="C10" s="150" t="str">
        <f>+'Opex Inputs'!C52</f>
        <v xml:space="preserve">Gasnet </v>
      </c>
      <c r="D10" s="151" t="str">
        <f>+'Opex Inputs'!D52</f>
        <v>Powerco</v>
      </c>
      <c r="E10" s="151" t="str">
        <f>+'Opex Inputs'!E52</f>
        <v>Vector Dist</v>
      </c>
      <c r="F10" s="151" t="str">
        <f>+'Opex Inputs'!F52</f>
        <v>Maui</v>
      </c>
      <c r="G10" s="151" t="str">
        <f>+'Opex Inputs'!G52</f>
        <v>Vector Trans</v>
      </c>
    </row>
    <row r="11" spans="1:10">
      <c r="B11" s="152">
        <f>+'Opex Inputs'!B53</f>
        <v>2007</v>
      </c>
      <c r="C11" s="153">
        <f>+'Opex Inputs'!C53</f>
        <v>365</v>
      </c>
      <c r="D11" s="154">
        <f>+'Opex Inputs'!D53</f>
        <v>5792</v>
      </c>
      <c r="E11" s="154">
        <f>+'Opex Inputs'!E53</f>
        <v>9756</v>
      </c>
      <c r="F11" s="154">
        <f>+'Opex Inputs'!F53</f>
        <v>308.27699999999999</v>
      </c>
      <c r="G11" s="154">
        <f>+'Opex Inputs'!G53</f>
        <v>2218.6</v>
      </c>
    </row>
    <row r="12" spans="1:10">
      <c r="B12" s="147">
        <f>+'Opex Inputs'!B54</f>
        <v>2008</v>
      </c>
      <c r="C12" s="153">
        <f>+'Opex Inputs'!C54</f>
        <v>366</v>
      </c>
      <c r="D12" s="154">
        <f>+'Opex Inputs'!D54</f>
        <v>5890</v>
      </c>
      <c r="E12" s="154">
        <f>+'Opex Inputs'!E54</f>
        <v>9911</v>
      </c>
      <c r="F12" s="154">
        <f>+'Opex Inputs'!F54</f>
        <v>308.27699999999999</v>
      </c>
      <c r="G12" s="154">
        <f>+'Opex Inputs'!G54</f>
        <v>2218.6</v>
      </c>
    </row>
    <row r="13" spans="1:10">
      <c r="B13" s="147">
        <f>+'Opex Inputs'!B55</f>
        <v>2009</v>
      </c>
      <c r="C13" s="153">
        <f>+'Opex Inputs'!C55</f>
        <v>384</v>
      </c>
      <c r="D13" s="154">
        <f>+'Opex Inputs'!D55</f>
        <v>5901</v>
      </c>
      <c r="E13" s="154">
        <f>+'Opex Inputs'!E55</f>
        <v>10061</v>
      </c>
      <c r="F13" s="154">
        <f>+'Opex Inputs'!F55</f>
        <v>308.27699999999999</v>
      </c>
      <c r="G13" s="154">
        <f>+'Opex Inputs'!G55</f>
        <v>2218.6</v>
      </c>
    </row>
    <row r="14" spans="1:10">
      <c r="B14" s="147">
        <f>+'Opex Inputs'!B56</f>
        <v>2010</v>
      </c>
      <c r="C14" s="153">
        <f>+'Opex Inputs'!C56</f>
        <v>386</v>
      </c>
      <c r="D14" s="154">
        <f>+'Opex Inputs'!D56</f>
        <v>6170</v>
      </c>
      <c r="E14" s="154">
        <f>+'Opex Inputs'!E56</f>
        <v>10155</v>
      </c>
      <c r="F14" s="154">
        <f>+'Opex Inputs'!F56</f>
        <v>308.27699999999999</v>
      </c>
      <c r="G14" s="154">
        <f>+'Opex Inputs'!G56</f>
        <v>2219.6999999999998</v>
      </c>
    </row>
    <row r="15" spans="1:10">
      <c r="B15" s="147">
        <f>+'Opex Inputs'!B57</f>
        <v>2011</v>
      </c>
      <c r="C15" s="153">
        <f>+'Opex Inputs'!C57</f>
        <v>387</v>
      </c>
      <c r="D15" s="154">
        <f>+'Opex Inputs'!D57</f>
        <v>6177</v>
      </c>
      <c r="E15" s="154">
        <f>+'Opex Inputs'!E57</f>
        <v>10252</v>
      </c>
      <c r="F15" s="154">
        <f>+'Opex Inputs'!F57</f>
        <v>308.27699999999999</v>
      </c>
      <c r="G15" s="154">
        <f>+'Opex Inputs'!G57</f>
        <v>2219.6999999999998</v>
      </c>
    </row>
    <row r="17" spans="1:15">
      <c r="B17" s="5" t="s">
        <v>48</v>
      </c>
      <c r="C17" s="7" t="s">
        <v>37</v>
      </c>
      <c r="D17" s="8" t="s">
        <v>38</v>
      </c>
      <c r="E17" s="8" t="s">
        <v>148</v>
      </c>
      <c r="F17" s="8" t="s">
        <v>39</v>
      </c>
      <c r="G17" s="8" t="s">
        <v>149</v>
      </c>
    </row>
    <row r="18" spans="1:15">
      <c r="B18" s="9">
        <v>2007</v>
      </c>
      <c r="C18" s="21">
        <f>LN(C11)</f>
        <v>5.8998973535824915</v>
      </c>
      <c r="D18" s="20">
        <f t="shared" ref="D18:G18" si="0">LN(D11)</f>
        <v>8.6642329340655522</v>
      </c>
      <c r="E18" s="20">
        <f t="shared" si="0"/>
        <v>9.1856377593358101</v>
      </c>
      <c r="F18" s="20">
        <f t="shared" si="0"/>
        <v>5.7309987294494409</v>
      </c>
      <c r="G18" s="20">
        <f t="shared" si="0"/>
        <v>7.7046316453045591</v>
      </c>
    </row>
    <row r="19" spans="1:15">
      <c r="B19" s="9">
        <v>2008</v>
      </c>
      <c r="C19" s="21">
        <f t="shared" ref="C19:G21" si="1">LN(C12)</f>
        <v>5.9026333334013659</v>
      </c>
      <c r="D19" s="20">
        <f t="shared" si="1"/>
        <v>8.6810112766456324</v>
      </c>
      <c r="E19" s="20">
        <f t="shared" si="1"/>
        <v>9.2014005304067084</v>
      </c>
      <c r="F19" s="20">
        <f t="shared" si="1"/>
        <v>5.7309987294494409</v>
      </c>
      <c r="G19" s="20">
        <f t="shared" si="1"/>
        <v>7.7046316453045591</v>
      </c>
    </row>
    <row r="20" spans="1:15">
      <c r="B20" s="9">
        <v>2009</v>
      </c>
      <c r="C20" s="21">
        <f t="shared" si="1"/>
        <v>5.9506425525877269</v>
      </c>
      <c r="D20" s="20">
        <f t="shared" si="1"/>
        <v>8.682877107057168</v>
      </c>
      <c r="E20" s="20">
        <f t="shared" si="1"/>
        <v>9.2164218422920499</v>
      </c>
      <c r="F20" s="20">
        <f t="shared" si="1"/>
        <v>5.7309987294494409</v>
      </c>
      <c r="G20" s="20">
        <f t="shared" si="1"/>
        <v>7.7046316453045591</v>
      </c>
    </row>
    <row r="21" spans="1:15">
      <c r="B21" s="9">
        <v>2010</v>
      </c>
      <c r="C21" s="21">
        <f t="shared" si="1"/>
        <v>5.955837369464831</v>
      </c>
      <c r="D21" s="20">
        <f t="shared" si="1"/>
        <v>8.727454116899434</v>
      </c>
      <c r="E21" s="20">
        <f t="shared" si="1"/>
        <v>9.2257214740144846</v>
      </c>
      <c r="F21" s="20">
        <f t="shared" si="1"/>
        <v>5.7309987294494409</v>
      </c>
      <c r="G21" s="20">
        <f t="shared" si="1"/>
        <v>7.7051273305996153</v>
      </c>
      <c r="O21" s="18"/>
    </row>
    <row r="22" spans="1:15">
      <c r="B22" s="9">
        <v>2011</v>
      </c>
      <c r="C22" s="21">
        <f>LN(C15)</f>
        <v>5.9584246930297819</v>
      </c>
      <c r="D22" s="20">
        <f t="shared" ref="D22:G22" si="2">LN(D15)</f>
        <v>8.7285879956958983</v>
      </c>
      <c r="E22" s="20">
        <f t="shared" si="2"/>
        <v>9.2352280874839625</v>
      </c>
      <c r="F22" s="20">
        <f>LN(F15)</f>
        <v>5.7309987294494409</v>
      </c>
      <c r="G22" s="20">
        <f t="shared" si="2"/>
        <v>7.7051273305996153</v>
      </c>
    </row>
    <row r="24" spans="1:15">
      <c r="B24" s="26" t="s">
        <v>53</v>
      </c>
      <c r="C24" s="22">
        <f>EXP(SLOPE(C18:C22,$B18:$B22))-1</f>
        <v>1.717163773658803E-2</v>
      </c>
      <c r="D24" s="22">
        <f t="shared" ref="D24:F24" si="3">EXP(SLOPE(D18:D22,$B18:$B22))-1</f>
        <v>1.7669588663393743E-2</v>
      </c>
      <c r="E24" s="22">
        <f t="shared" si="3"/>
        <v>1.2426738142395477E-2</v>
      </c>
      <c r="F24" s="22">
        <f t="shared" si="3"/>
        <v>0</v>
      </c>
      <c r="G24" s="22">
        <f>EXP(SLOPE(G18:G22,$B18:$B22))-1</f>
        <v>1.487166457410094E-4</v>
      </c>
    </row>
    <row r="27" spans="1:15">
      <c r="A27" s="19" t="s">
        <v>49</v>
      </c>
      <c r="B27" s="3" t="s">
        <v>50</v>
      </c>
    </row>
    <row r="28" spans="1:15">
      <c r="B28" s="9" t="s">
        <v>47</v>
      </c>
      <c r="C28" s="9" t="s">
        <v>8</v>
      </c>
    </row>
    <row r="29" spans="1:15">
      <c r="A29" s="9"/>
      <c r="B29" s="9"/>
    </row>
    <row r="30" spans="1:15">
      <c r="B30" s="147" t="str">
        <f>+'Opex Inputs'!A71</f>
        <v>IO9</v>
      </c>
      <c r="C30" s="148" t="str">
        <f>+'Opex Inputs'!B71</f>
        <v>Historical series of number of consumers</v>
      </c>
      <c r="D30" s="148"/>
      <c r="E30" s="148"/>
      <c r="F30" s="148"/>
      <c r="G30" s="148"/>
    </row>
    <row r="31" spans="1:15">
      <c r="B31" s="149"/>
      <c r="C31" s="150" t="str">
        <f>+'Opex Inputs'!C74</f>
        <v xml:space="preserve">Gasnet </v>
      </c>
      <c r="D31" s="151" t="str">
        <f>+'Opex Inputs'!D74</f>
        <v>Powerco</v>
      </c>
      <c r="E31" s="151" t="str">
        <f>+'Opex Inputs'!E74</f>
        <v>Vector Dist</v>
      </c>
      <c r="F31" s="151" t="str">
        <f>+'Opex Inputs'!F74</f>
        <v>Maui</v>
      </c>
      <c r="G31" s="151" t="str">
        <f>+'Opex Inputs'!G74</f>
        <v>Vector Trans</v>
      </c>
    </row>
    <row r="32" spans="1:15">
      <c r="B32" s="152">
        <f>+'Opex Inputs'!B75</f>
        <v>2007</v>
      </c>
      <c r="C32" s="153">
        <f>+'Opex Inputs'!C75</f>
        <v>10326</v>
      </c>
      <c r="D32" s="154">
        <f>+'Opex Inputs'!D75</f>
        <v>103404</v>
      </c>
      <c r="E32" s="154">
        <f>+'Opex Inputs'!E75</f>
        <v>140872</v>
      </c>
      <c r="F32" s="154">
        <f>+'Opex Inputs'!F75</f>
        <v>13</v>
      </c>
      <c r="G32" s="154">
        <f>+'Opex Inputs'!G75</f>
        <v>16</v>
      </c>
    </row>
    <row r="33" spans="1:7">
      <c r="B33" s="147">
        <f>+'Opex Inputs'!B76</f>
        <v>2008</v>
      </c>
      <c r="C33" s="153">
        <f>+'Opex Inputs'!C76</f>
        <v>10331</v>
      </c>
      <c r="D33" s="154">
        <f>+'Opex Inputs'!D76</f>
        <v>103602</v>
      </c>
      <c r="E33" s="154">
        <f>+'Opex Inputs'!E76</f>
        <v>145122</v>
      </c>
      <c r="F33" s="154">
        <f>+'Opex Inputs'!F76</f>
        <v>13</v>
      </c>
      <c r="G33" s="154">
        <f>+'Opex Inputs'!G76</f>
        <v>14</v>
      </c>
    </row>
    <row r="34" spans="1:7">
      <c r="B34" s="147">
        <f>+'Opex Inputs'!B77</f>
        <v>2009</v>
      </c>
      <c r="C34" s="153">
        <f>+'Opex Inputs'!C77</f>
        <v>10287</v>
      </c>
      <c r="D34" s="154">
        <f>+'Opex Inputs'!D77</f>
        <v>102011</v>
      </c>
      <c r="E34" s="154">
        <f>+'Opex Inputs'!E77</f>
        <v>148357</v>
      </c>
      <c r="F34" s="154">
        <f>+'Opex Inputs'!F77</f>
        <v>12.5</v>
      </c>
      <c r="G34" s="154">
        <f>+'Opex Inputs'!G77</f>
        <v>14</v>
      </c>
    </row>
    <row r="35" spans="1:7">
      <c r="B35" s="147">
        <f>+'Opex Inputs'!B78</f>
        <v>2010</v>
      </c>
      <c r="C35" s="153">
        <f>+'Opex Inputs'!C78</f>
        <v>10309</v>
      </c>
      <c r="D35" s="154">
        <f>+'Opex Inputs'!D78</f>
        <v>102346</v>
      </c>
      <c r="E35" s="154">
        <f>+'Opex Inputs'!E78</f>
        <v>150892</v>
      </c>
      <c r="F35" s="154">
        <f>+'Opex Inputs'!F78</f>
        <v>12</v>
      </c>
      <c r="G35" s="154">
        <f>+'Opex Inputs'!G78</f>
        <v>12</v>
      </c>
    </row>
    <row r="36" spans="1:7">
      <c r="B36" s="147">
        <f>+'Opex Inputs'!B79</f>
        <v>2011</v>
      </c>
      <c r="C36" s="153">
        <f>+'Opex Inputs'!C79</f>
        <v>10353</v>
      </c>
      <c r="D36" s="154">
        <f>+'Opex Inputs'!D79</f>
        <v>102482</v>
      </c>
      <c r="E36" s="154">
        <f>+'Opex Inputs'!E79</f>
        <v>151104</v>
      </c>
      <c r="F36" s="154">
        <f>+'Opex Inputs'!F79</f>
        <v>12</v>
      </c>
      <c r="G36" s="154">
        <f>+'Opex Inputs'!G79</f>
        <v>11</v>
      </c>
    </row>
    <row r="38" spans="1:7">
      <c r="B38" s="5" t="s">
        <v>48</v>
      </c>
      <c r="C38" s="7" t="s">
        <v>37</v>
      </c>
      <c r="D38" s="8" t="s">
        <v>38</v>
      </c>
      <c r="E38" s="8" t="s">
        <v>148</v>
      </c>
      <c r="F38" s="8" t="s">
        <v>39</v>
      </c>
      <c r="G38" s="8" t="s">
        <v>149</v>
      </c>
    </row>
    <row r="39" spans="1:7">
      <c r="B39" s="9">
        <v>2007</v>
      </c>
      <c r="C39" s="21">
        <f>LN(C32)</f>
        <v>9.2424202654395948</v>
      </c>
      <c r="D39" s="20">
        <f t="shared" ref="D39:G39" si="4">LN(D32)</f>
        <v>11.546398925027766</v>
      </c>
      <c r="E39" s="20">
        <f t="shared" si="4"/>
        <v>11.855606955640614</v>
      </c>
      <c r="F39" s="20">
        <f t="shared" si="4"/>
        <v>2.5649493574615367</v>
      </c>
      <c r="G39" s="20">
        <f t="shared" si="4"/>
        <v>2.7725887222397811</v>
      </c>
    </row>
    <row r="40" spans="1:7">
      <c r="B40" s="9">
        <v>2008</v>
      </c>
      <c r="C40" s="21">
        <f t="shared" ref="C40:G40" si="5">LN(C33)</f>
        <v>9.2429043628494458</v>
      </c>
      <c r="D40" s="20">
        <f t="shared" si="5"/>
        <v>11.548311913640486</v>
      </c>
      <c r="E40" s="20">
        <f t="shared" si="5"/>
        <v>11.885330046951902</v>
      </c>
      <c r="F40" s="20">
        <f t="shared" si="5"/>
        <v>2.5649493574615367</v>
      </c>
      <c r="G40" s="20">
        <f t="shared" si="5"/>
        <v>2.6390573296152584</v>
      </c>
    </row>
    <row r="41" spans="1:7">
      <c r="B41" s="9">
        <v>2009</v>
      </c>
      <c r="C41" s="21">
        <f t="shared" ref="C41:G41" si="6">LN(C34)</f>
        <v>9.2386362411310294</v>
      </c>
      <c r="D41" s="20">
        <f>LN(D34)</f>
        <v>11.532835929589011</v>
      </c>
      <c r="E41" s="20">
        <f t="shared" si="6"/>
        <v>11.907376810315228</v>
      </c>
      <c r="F41" s="20">
        <f t="shared" si="6"/>
        <v>2.5257286443082556</v>
      </c>
      <c r="G41" s="20">
        <f t="shared" si="6"/>
        <v>2.6390573296152584</v>
      </c>
    </row>
    <row r="42" spans="1:7">
      <c r="B42" s="9">
        <v>2010</v>
      </c>
      <c r="C42" s="21">
        <f t="shared" ref="C42:G42" si="7">LN(C35)</f>
        <v>9.2407725790963848</v>
      </c>
      <c r="D42" s="20">
        <f t="shared" si="7"/>
        <v>11.536114508742926</v>
      </c>
      <c r="E42" s="20">
        <f t="shared" si="7"/>
        <v>11.9243196281087</v>
      </c>
      <c r="F42" s="20">
        <f t="shared" si="7"/>
        <v>2.4849066497880004</v>
      </c>
      <c r="G42" s="20">
        <f t="shared" si="7"/>
        <v>2.4849066497880004</v>
      </c>
    </row>
    <row r="43" spans="1:7">
      <c r="B43" s="9">
        <v>2011</v>
      </c>
      <c r="C43" s="21">
        <f>LN(C36)</f>
        <v>9.2450316117661124</v>
      </c>
      <c r="D43" s="20">
        <f t="shared" ref="D43:G43" si="8">LN(D36)</f>
        <v>11.537442452383305</v>
      </c>
      <c r="E43" s="20">
        <f t="shared" si="8"/>
        <v>11.925723620445185</v>
      </c>
      <c r="F43" s="20">
        <f t="shared" si="8"/>
        <v>2.4849066497880004</v>
      </c>
      <c r="G43" s="20">
        <f t="shared" si="8"/>
        <v>2.3978952727983707</v>
      </c>
    </row>
    <row r="45" spans="1:7">
      <c r="B45" s="26" t="s">
        <v>54</v>
      </c>
      <c r="C45" s="22">
        <f>EXP(SLOPE(C39:C43,$B39:$B43))-1</f>
        <v>3.09138663508568E-4</v>
      </c>
      <c r="D45" s="22">
        <f t="shared" ref="D45:E45" si="9">EXP(SLOPE(D39:D43,$B39:$B43))-1</f>
        <v>-3.0065063991241425E-3</v>
      </c>
      <c r="E45" s="22">
        <f t="shared" si="9"/>
        <v>1.808385911514554E-2</v>
      </c>
      <c r="F45" s="22">
        <f>EXP(SLOPE(F39:F43,$B39:$B43))-1</f>
        <v>-2.3726798629371104E-2</v>
      </c>
      <c r="G45" s="22">
        <f>EXP(SLOPE(G39:G43,$B39:$B43))-1</f>
        <v>-8.6392067899073277E-2</v>
      </c>
    </row>
    <row r="46" spans="1:7">
      <c r="C46" s="10"/>
      <c r="D46" s="16"/>
    </row>
    <row r="47" spans="1:7">
      <c r="C47" s="10"/>
      <c r="D47" s="16"/>
    </row>
    <row r="48" spans="1:7">
      <c r="A48" s="19" t="s">
        <v>51</v>
      </c>
      <c r="B48" s="3" t="s">
        <v>190</v>
      </c>
      <c r="C48" s="10"/>
      <c r="D48" s="16"/>
    </row>
    <row r="49" spans="2:7">
      <c r="B49" s="9" t="s">
        <v>47</v>
      </c>
      <c r="C49" s="25" t="s">
        <v>91</v>
      </c>
      <c r="D49" s="16"/>
    </row>
    <row r="50" spans="2:7">
      <c r="B50" s="9"/>
      <c r="C50" s="9"/>
      <c r="D50" s="16"/>
    </row>
    <row r="51" spans="2:7">
      <c r="B51" s="155" t="s">
        <v>88</v>
      </c>
      <c r="C51" s="147"/>
      <c r="D51" s="16"/>
    </row>
    <row r="52" spans="2:7">
      <c r="B52" s="151" t="str">
        <f>+'Opex Inputs'!B169</f>
        <v>Quarter</v>
      </c>
      <c r="C52" s="151" t="str">
        <f>+'Opex Inputs'!C169</f>
        <v>Weight</v>
      </c>
      <c r="D52" s="16"/>
    </row>
    <row r="53" spans="2:7">
      <c r="B53" s="156">
        <f>+'Opex Inputs'!B170</f>
        <v>1</v>
      </c>
      <c r="C53" s="157">
        <f>+'Opex Inputs'!C170</f>
        <v>0.25</v>
      </c>
      <c r="D53" s="16"/>
    </row>
    <row r="54" spans="2:7">
      <c r="B54" s="156">
        <f>+'Opex Inputs'!B171</f>
        <v>2</v>
      </c>
      <c r="C54" s="157">
        <f>+'Opex Inputs'!C171</f>
        <v>0.25</v>
      </c>
      <c r="D54" s="16"/>
    </row>
    <row r="55" spans="2:7">
      <c r="B55" s="156">
        <f>+'Opex Inputs'!B172</f>
        <v>3</v>
      </c>
      <c r="C55" s="157">
        <f>+'Opex Inputs'!C172</f>
        <v>0.25</v>
      </c>
      <c r="D55" s="16"/>
    </row>
    <row r="56" spans="2:7">
      <c r="B56" s="156">
        <f>+'Opex Inputs'!B173</f>
        <v>4</v>
      </c>
      <c r="C56" s="157">
        <f>+'Opex Inputs'!C173</f>
        <v>0.25</v>
      </c>
      <c r="D56" s="16"/>
    </row>
    <row r="57" spans="2:7">
      <c r="D57" s="16"/>
    </row>
    <row r="58" spans="2:7" ht="15.75">
      <c r="B58" s="158" t="str">
        <f>+'Opex Inputs'!B87</f>
        <v>Labour cost index (NZIER data)</v>
      </c>
      <c r="C58" s="148"/>
      <c r="D58" s="16"/>
    </row>
    <row r="59" spans="2:7" ht="30">
      <c r="B59" s="159" t="str">
        <f>+'Opex Inputs'!B88</f>
        <v>Quarter Ending</v>
      </c>
      <c r="C59" s="160" t="str">
        <f>+'Opex Inputs'!C88</f>
        <v>Index</v>
      </c>
      <c r="D59" s="46" t="s">
        <v>89</v>
      </c>
      <c r="E59" s="51"/>
      <c r="G59" s="51"/>
    </row>
    <row r="60" spans="2:7">
      <c r="B60" s="161">
        <f>+'Opex Inputs'!B89</f>
        <v>40451</v>
      </c>
      <c r="C60" s="199"/>
      <c r="D60" s="145"/>
      <c r="E60" s="17"/>
      <c r="F60" s="131"/>
      <c r="G60" s="132" t="s">
        <v>187</v>
      </c>
    </row>
    <row r="61" spans="2:7">
      <c r="B61" s="162">
        <f>+'Opex Inputs'!B90</f>
        <v>40543</v>
      </c>
      <c r="C61" s="200"/>
      <c r="D61" s="142"/>
      <c r="E61" s="17"/>
      <c r="G61" s="17"/>
    </row>
    <row r="62" spans="2:7">
      <c r="B62" s="162">
        <f>+'Opex Inputs'!B91</f>
        <v>40633</v>
      </c>
      <c r="C62" s="200"/>
      <c r="D62" s="142"/>
      <c r="E62" s="17"/>
      <c r="G62" s="17"/>
    </row>
    <row r="63" spans="2:7">
      <c r="B63" s="162">
        <f>+'Opex Inputs'!B92</f>
        <v>40724</v>
      </c>
      <c r="C63" s="200"/>
      <c r="D63" s="141">
        <v>1028.25</v>
      </c>
      <c r="E63" s="45"/>
      <c r="G63" s="45"/>
    </row>
    <row r="64" spans="2:7">
      <c r="B64" s="162">
        <f>+'Opex Inputs'!B93</f>
        <v>40816</v>
      </c>
      <c r="C64" s="200"/>
      <c r="D64" s="141">
        <v>1033.25</v>
      </c>
      <c r="E64" s="45"/>
      <c r="G64" s="45"/>
    </row>
    <row r="65" spans="2:8">
      <c r="B65" s="162">
        <f>+'Opex Inputs'!B94</f>
        <v>40908</v>
      </c>
      <c r="C65" s="200"/>
      <c r="D65" s="141">
        <v>1038.5</v>
      </c>
      <c r="E65" s="45"/>
      <c r="G65" s="45"/>
    </row>
    <row r="66" spans="2:8">
      <c r="B66" s="162">
        <f>+'Opex Inputs'!B95</f>
        <v>40999</v>
      </c>
      <c r="C66" s="200"/>
      <c r="D66" s="141">
        <v>1043.75</v>
      </c>
      <c r="E66" s="45"/>
      <c r="G66" s="45"/>
    </row>
    <row r="67" spans="2:8">
      <c r="B67" s="162">
        <f>+'Opex Inputs'!B96</f>
        <v>41090</v>
      </c>
      <c r="C67" s="200"/>
      <c r="D67" s="141">
        <v>1049</v>
      </c>
      <c r="E67" s="53"/>
      <c r="G67" s="45"/>
    </row>
    <row r="68" spans="2:8">
      <c r="B68" s="162">
        <f>+'Opex Inputs'!B97</f>
        <v>41182</v>
      </c>
      <c r="C68" s="200"/>
      <c r="D68" s="141">
        <v>1054</v>
      </c>
      <c r="E68" s="45"/>
      <c r="G68" s="45"/>
    </row>
    <row r="69" spans="2:8">
      <c r="B69" s="162">
        <f>+'Opex Inputs'!B98</f>
        <v>41274</v>
      </c>
      <c r="C69" s="200"/>
      <c r="D69" s="141">
        <v>1058.7403160687884</v>
      </c>
      <c r="E69" s="53"/>
      <c r="G69" s="45"/>
      <c r="H69" s="44"/>
    </row>
    <row r="70" spans="2:8">
      <c r="B70" s="162">
        <f>+'Opex Inputs'!B99</f>
        <v>41364</v>
      </c>
      <c r="C70" s="200"/>
      <c r="D70" s="141">
        <v>1063.4767479573566</v>
      </c>
      <c r="E70" s="45"/>
      <c r="G70" s="45"/>
    </row>
    <row r="71" spans="2:8">
      <c r="B71" s="162">
        <f>+'Opex Inputs'!B100</f>
        <v>41455</v>
      </c>
      <c r="C71" s="200"/>
      <c r="D71" s="141">
        <v>1068.5093278393895</v>
      </c>
      <c r="E71" s="53"/>
      <c r="G71" s="45"/>
    </row>
    <row r="72" spans="2:8">
      <c r="B72" s="162">
        <f>+'Opex Inputs'!B101</f>
        <v>41547</v>
      </c>
      <c r="C72" s="200"/>
      <c r="D72" s="141">
        <v>1073.5943305412488</v>
      </c>
      <c r="E72" s="45"/>
      <c r="G72" s="45"/>
    </row>
    <row r="73" spans="2:8">
      <c r="B73" s="162">
        <f>+'Opex Inputs'!B102</f>
        <v>41639</v>
      </c>
      <c r="C73" s="200"/>
      <c r="D73" s="141">
        <v>1078.7477451977854</v>
      </c>
      <c r="E73" s="53"/>
      <c r="G73" s="45"/>
    </row>
    <row r="74" spans="2:8">
      <c r="B74" s="162">
        <f>+'Opex Inputs'!B103</f>
        <v>41729</v>
      </c>
      <c r="C74" s="200"/>
      <c r="D74" s="141">
        <v>1083.9701077859831</v>
      </c>
      <c r="E74" s="45"/>
      <c r="G74" s="45"/>
    </row>
    <row r="75" spans="2:8">
      <c r="B75" s="162">
        <f>+'Opex Inputs'!B104</f>
        <v>41820</v>
      </c>
      <c r="C75" s="200"/>
      <c r="D75" s="141">
        <v>1089.1330999519121</v>
      </c>
      <c r="E75" s="53"/>
      <c r="G75" s="45"/>
    </row>
    <row r="76" spans="2:8">
      <c r="B76" s="162">
        <f>+'Opex Inputs'!B105</f>
        <v>41912</v>
      </c>
      <c r="C76" s="200"/>
      <c r="D76" s="141">
        <v>1094.2360507141555</v>
      </c>
      <c r="E76" s="45"/>
      <c r="G76" s="45"/>
      <c r="H76" s="43"/>
    </row>
    <row r="77" spans="2:8">
      <c r="B77" s="162">
        <f>+'Opex Inputs'!B106</f>
        <v>42004</v>
      </c>
      <c r="C77" s="200"/>
      <c r="D77" s="141">
        <v>1099.2782841050666</v>
      </c>
      <c r="E77" s="53"/>
      <c r="G77" s="45"/>
      <c r="H77" s="43"/>
    </row>
    <row r="78" spans="2:8">
      <c r="B78" s="162">
        <f>+'Opex Inputs'!B107</f>
        <v>42094</v>
      </c>
      <c r="C78" s="200"/>
      <c r="D78" s="141">
        <v>1104.2591191387576</v>
      </c>
      <c r="E78" s="45"/>
      <c r="G78" s="45"/>
      <c r="H78" s="43"/>
    </row>
    <row r="79" spans="2:8">
      <c r="B79" s="162">
        <f>+'Opex Inputs'!B108</f>
        <v>42185</v>
      </c>
      <c r="C79" s="200"/>
      <c r="D79" s="141">
        <v>1109.6567047416702</v>
      </c>
      <c r="E79" s="53"/>
      <c r="G79" s="45"/>
    </row>
    <row r="80" spans="2:8">
      <c r="B80" s="162">
        <f>+'Opex Inputs'!B109</f>
        <v>42277</v>
      </c>
      <c r="C80" s="200"/>
      <c r="D80" s="141">
        <v>1115.4752742961593</v>
      </c>
      <c r="E80" s="45"/>
      <c r="G80" s="45"/>
    </row>
    <row r="81" spans="1:7">
      <c r="B81" s="162">
        <f>+'Opex Inputs'!B110</f>
        <v>42369</v>
      </c>
      <c r="C81" s="200"/>
      <c r="D81" s="141">
        <v>1121.7190943175085</v>
      </c>
      <c r="E81" s="53"/>
      <c r="G81" s="45"/>
    </row>
    <row r="82" spans="1:7">
      <c r="B82" s="162">
        <f>+'Opex Inputs'!B111</f>
        <v>42460</v>
      </c>
      <c r="C82" s="200"/>
      <c r="D82" s="141">
        <v>1128.3924646870548</v>
      </c>
      <c r="E82" s="45"/>
      <c r="G82" s="45"/>
    </row>
    <row r="83" spans="1:7">
      <c r="B83" s="162">
        <f>+'Opex Inputs'!B112</f>
        <v>42551</v>
      </c>
      <c r="C83" s="200"/>
      <c r="D83" s="141">
        <v>1134.7411210884309</v>
      </c>
      <c r="E83" s="53"/>
      <c r="G83" s="45"/>
    </row>
    <row r="84" spans="1:7">
      <c r="B84" s="162">
        <f>+'Opex Inputs'!B113</f>
        <v>42643</v>
      </c>
      <c r="C84" s="200"/>
      <c r="D84" s="141">
        <v>1140.7614303226317</v>
      </c>
      <c r="E84" s="45"/>
      <c r="G84" s="45"/>
    </row>
    <row r="85" spans="1:7">
      <c r="B85" s="162">
        <f>+'Opex Inputs'!B114</f>
        <v>42735</v>
      </c>
      <c r="C85" s="200"/>
      <c r="D85" s="141">
        <v>1146.4497296323268</v>
      </c>
      <c r="E85" s="53"/>
      <c r="G85" s="45"/>
    </row>
    <row r="86" spans="1:7">
      <c r="B86" s="162">
        <f>+'Opex Inputs'!B115</f>
        <v>42825</v>
      </c>
      <c r="C86" s="200"/>
      <c r="D86" s="141">
        <v>1151.8023264889243</v>
      </c>
      <c r="E86" s="45"/>
      <c r="G86" s="45"/>
    </row>
    <row r="87" spans="1:7">
      <c r="B87" s="162">
        <f>+'Opex Inputs'!B116</f>
        <v>42916</v>
      </c>
      <c r="C87" s="200"/>
      <c r="D87" s="141">
        <v>1157.4079291045184</v>
      </c>
      <c r="E87" s="53"/>
      <c r="G87" s="45"/>
    </row>
    <row r="88" spans="1:7">
      <c r="B88" s="162">
        <f>+'Opex Inputs'!B117</f>
        <v>43008</v>
      </c>
      <c r="C88" s="200"/>
      <c r="D88" s="141">
        <v>1163.2689625927637</v>
      </c>
      <c r="E88" s="45"/>
      <c r="G88" s="45"/>
    </row>
    <row r="89" spans="1:7">
      <c r="B89" s="162">
        <f>+'Opex Inputs'!B118</f>
        <v>43100</v>
      </c>
      <c r="C89" s="200"/>
      <c r="D89" s="141">
        <v>1169.3878701753486</v>
      </c>
      <c r="E89" s="53"/>
      <c r="G89" s="45"/>
    </row>
    <row r="90" spans="1:7">
      <c r="B90" s="162">
        <f>+'Opex Inputs'!B119</f>
        <v>43190</v>
      </c>
      <c r="C90" s="200"/>
      <c r="D90" s="141">
        <v>1175.7671133035537</v>
      </c>
      <c r="E90" s="45"/>
      <c r="G90" s="45"/>
    </row>
    <row r="91" spans="1:7">
      <c r="B91" s="163">
        <f>+'Opex Inputs'!B120</f>
        <v>43281</v>
      </c>
      <c r="C91" s="201"/>
      <c r="D91" s="143">
        <v>1182.1811564702462</v>
      </c>
      <c r="E91" s="53"/>
      <c r="G91" s="45"/>
    </row>
    <row r="92" spans="1:7">
      <c r="B92" s="12"/>
      <c r="C92" s="83"/>
      <c r="D92" s="45"/>
      <c r="E92" s="45"/>
      <c r="G92" s="45"/>
    </row>
    <row r="93" spans="1:7">
      <c r="B93" s="12"/>
      <c r="C93" s="83"/>
      <c r="D93" s="45"/>
      <c r="E93" s="53"/>
      <c r="G93" s="45"/>
    </row>
    <row r="94" spans="1:7">
      <c r="B94" s="12"/>
      <c r="C94" s="83"/>
      <c r="D94" s="45"/>
      <c r="E94" s="53"/>
      <c r="G94" s="45"/>
    </row>
    <row r="95" spans="1:7">
      <c r="B95" s="12"/>
      <c r="C95" s="83"/>
      <c r="D95" s="45"/>
      <c r="E95" s="53"/>
      <c r="G95" s="45"/>
    </row>
    <row r="96" spans="1:7">
      <c r="A96" s="19" t="s">
        <v>52</v>
      </c>
      <c r="B96" s="3" t="s">
        <v>189</v>
      </c>
      <c r="C96" s="23"/>
    </row>
    <row r="97" spans="2:7">
      <c r="B97" s="9" t="s">
        <v>47</v>
      </c>
      <c r="C97" s="25" t="s">
        <v>92</v>
      </c>
    </row>
    <row r="98" spans="2:7">
      <c r="B98" s="9"/>
      <c r="C98" s="9"/>
    </row>
    <row r="99" spans="2:7">
      <c r="B99" s="155" t="s">
        <v>90</v>
      </c>
      <c r="C99" s="147"/>
    </row>
    <row r="100" spans="2:7">
      <c r="B100" s="151" t="str">
        <f>+'Opex Inputs'!B181</f>
        <v>Quarter</v>
      </c>
      <c r="C100" s="151" t="str">
        <f>+'Opex Inputs'!C181</f>
        <v>Weight</v>
      </c>
    </row>
    <row r="101" spans="2:7">
      <c r="B101" s="147">
        <f>+'Opex Inputs'!B182</f>
        <v>1</v>
      </c>
      <c r="C101" s="165">
        <f>+'Opex Inputs'!C182</f>
        <v>0.25</v>
      </c>
    </row>
    <row r="102" spans="2:7">
      <c r="B102" s="147">
        <f>+'Opex Inputs'!B183</f>
        <v>2</v>
      </c>
      <c r="C102" s="165">
        <f>+'Opex Inputs'!C183</f>
        <v>0.25</v>
      </c>
    </row>
    <row r="103" spans="2:7">
      <c r="B103" s="147">
        <f>+'Opex Inputs'!B184</f>
        <v>3</v>
      </c>
      <c r="C103" s="165">
        <f>+'Opex Inputs'!C184</f>
        <v>0.25</v>
      </c>
    </row>
    <row r="104" spans="2:7">
      <c r="B104" s="147">
        <f>+'Opex Inputs'!B185</f>
        <v>4</v>
      </c>
      <c r="C104" s="165">
        <f>+'Opex Inputs'!C185</f>
        <v>0.25</v>
      </c>
    </row>
    <row r="105" spans="2:7">
      <c r="B105" s="9"/>
      <c r="C105" s="9"/>
    </row>
    <row r="106" spans="2:7" ht="15.75">
      <c r="B106" s="164" t="str">
        <f>+'Opex Inputs'!B126</f>
        <v>Producer price index (NZIER data)</v>
      </c>
      <c r="C106" s="148"/>
    </row>
    <row r="107" spans="2:7" ht="30">
      <c r="B107" s="159" t="str">
        <f>+'Opex Inputs'!B127</f>
        <v>Quarter Ending</v>
      </c>
      <c r="C107" s="160" t="str">
        <f>+'Opex Inputs'!C127</f>
        <v>Index</v>
      </c>
      <c r="D107" s="46" t="s">
        <v>89</v>
      </c>
      <c r="E107" s="51"/>
      <c r="F107" s="51"/>
      <c r="G107" s="51"/>
    </row>
    <row r="108" spans="2:7">
      <c r="B108" s="161">
        <f>+'Opex Inputs'!B128</f>
        <v>40451</v>
      </c>
      <c r="C108" s="199"/>
      <c r="D108" s="145"/>
      <c r="E108" s="17"/>
      <c r="F108" s="131"/>
      <c r="G108" s="132" t="s">
        <v>187</v>
      </c>
    </row>
    <row r="109" spans="2:7">
      <c r="B109" s="162">
        <f>+'Opex Inputs'!B129</f>
        <v>40543</v>
      </c>
      <c r="C109" s="200"/>
      <c r="D109" s="142"/>
      <c r="E109" s="17"/>
      <c r="F109" s="17"/>
      <c r="G109" s="17"/>
    </row>
    <row r="110" spans="2:7">
      <c r="B110" s="162">
        <f>+'Opex Inputs'!B130</f>
        <v>40633</v>
      </c>
      <c r="C110" s="200"/>
      <c r="D110" s="142"/>
      <c r="E110" s="17"/>
      <c r="F110" s="17"/>
      <c r="G110" s="17"/>
    </row>
    <row r="111" spans="2:7">
      <c r="B111" s="162">
        <f>+'Opex Inputs'!B131</f>
        <v>40724</v>
      </c>
      <c r="C111" s="200"/>
      <c r="D111" s="141">
        <v>1010.929045</v>
      </c>
      <c r="E111" s="45"/>
      <c r="F111" s="45"/>
      <c r="G111" s="45"/>
    </row>
    <row r="112" spans="2:7">
      <c r="B112" s="162">
        <f>+'Opex Inputs'!B132</f>
        <v>40816</v>
      </c>
      <c r="C112" s="200"/>
      <c r="D112" s="141">
        <v>1022.5</v>
      </c>
      <c r="E112" s="45"/>
      <c r="F112" s="45"/>
      <c r="G112" s="45"/>
    </row>
    <row r="113" spans="2:7">
      <c r="B113" s="162">
        <f>+'Opex Inputs'!B133</f>
        <v>40908</v>
      </c>
      <c r="C113" s="200"/>
      <c r="D113" s="141">
        <v>1033</v>
      </c>
      <c r="E113" s="45"/>
      <c r="F113" s="45"/>
      <c r="G113" s="45"/>
    </row>
    <row r="114" spans="2:7">
      <c r="B114" s="162">
        <f>+'Opex Inputs'!B134</f>
        <v>40999</v>
      </c>
      <c r="C114" s="200"/>
      <c r="D114" s="141">
        <v>1038.75</v>
      </c>
      <c r="E114" s="45"/>
      <c r="F114" s="45"/>
      <c r="G114" s="45"/>
    </row>
    <row r="115" spans="2:7">
      <c r="B115" s="162">
        <f>+'Opex Inputs'!B135</f>
        <v>41090</v>
      </c>
      <c r="C115" s="200"/>
      <c r="D115" s="141">
        <v>1043.75</v>
      </c>
      <c r="E115" s="53"/>
      <c r="F115" s="45"/>
      <c r="G115" s="45"/>
    </row>
    <row r="116" spans="2:7">
      <c r="B116" s="162">
        <f>+'Opex Inputs'!B136</f>
        <v>41182</v>
      </c>
      <c r="C116" s="200"/>
      <c r="D116" s="141">
        <v>1048</v>
      </c>
      <c r="E116" s="53"/>
      <c r="F116" s="45"/>
      <c r="G116" s="45"/>
    </row>
    <row r="117" spans="2:7">
      <c r="B117" s="162">
        <f>+'Opex Inputs'!B137</f>
        <v>41274</v>
      </c>
      <c r="C117" s="200"/>
      <c r="D117" s="141">
        <v>1052.75</v>
      </c>
      <c r="E117" s="53"/>
      <c r="F117" s="45"/>
      <c r="G117" s="45"/>
    </row>
    <row r="118" spans="2:7">
      <c r="B118" s="162">
        <f>+'Opex Inputs'!B138</f>
        <v>41364</v>
      </c>
      <c r="C118" s="200"/>
      <c r="D118" s="141">
        <v>1058</v>
      </c>
      <c r="E118" s="45"/>
      <c r="F118" s="45"/>
      <c r="G118" s="45"/>
    </row>
    <row r="119" spans="2:7">
      <c r="B119" s="162">
        <f>+'Opex Inputs'!B139</f>
        <v>41455</v>
      </c>
      <c r="C119" s="200"/>
      <c r="D119" s="141">
        <v>1063.75</v>
      </c>
      <c r="E119" s="53"/>
      <c r="F119" s="45"/>
      <c r="G119" s="45"/>
    </row>
    <row r="120" spans="2:7">
      <c r="B120" s="162">
        <f>+'Opex Inputs'!B140</f>
        <v>41547</v>
      </c>
      <c r="C120" s="200"/>
      <c r="D120" s="141">
        <v>1071.25</v>
      </c>
      <c r="E120" s="53"/>
      <c r="F120" s="45"/>
      <c r="G120" s="45"/>
    </row>
    <row r="121" spans="2:7">
      <c r="B121" s="162">
        <f>+'Opex Inputs'!B141</f>
        <v>41639</v>
      </c>
      <c r="C121" s="200"/>
      <c r="D121" s="141">
        <v>1079.5</v>
      </c>
      <c r="E121" s="53"/>
      <c r="F121" s="45"/>
      <c r="G121" s="45"/>
    </row>
    <row r="122" spans="2:7">
      <c r="B122" s="162">
        <f>+'Opex Inputs'!B142</f>
        <v>41729</v>
      </c>
      <c r="C122" s="200"/>
      <c r="D122" s="141">
        <v>1088.25</v>
      </c>
      <c r="E122" s="45"/>
      <c r="F122" s="45"/>
      <c r="G122" s="45"/>
    </row>
    <row r="123" spans="2:7">
      <c r="B123" s="162">
        <f>+'Opex Inputs'!B143</f>
        <v>41820</v>
      </c>
      <c r="C123" s="200"/>
      <c r="D123" s="141">
        <v>1096.75</v>
      </c>
      <c r="E123" s="53"/>
      <c r="F123" s="45"/>
      <c r="G123" s="45"/>
    </row>
    <row r="124" spans="2:7">
      <c r="B124" s="162">
        <f>+'Opex Inputs'!B144</f>
        <v>41912</v>
      </c>
      <c r="C124" s="200"/>
      <c r="D124" s="141">
        <v>1104.75</v>
      </c>
      <c r="E124" s="53"/>
      <c r="F124" s="45"/>
      <c r="G124" s="45"/>
    </row>
    <row r="125" spans="2:7">
      <c r="B125" s="162">
        <f>+'Opex Inputs'!B145</f>
        <v>42004</v>
      </c>
      <c r="C125" s="200"/>
      <c r="D125" s="141">
        <v>1112.75</v>
      </c>
      <c r="E125" s="53"/>
      <c r="F125" s="45"/>
      <c r="G125" s="45"/>
    </row>
    <row r="126" spans="2:7">
      <c r="B126" s="162">
        <f>+'Opex Inputs'!B146</f>
        <v>42094</v>
      </c>
      <c r="C126" s="200"/>
      <c r="D126" s="141">
        <v>1121.75</v>
      </c>
      <c r="E126" s="45"/>
      <c r="F126" s="45"/>
      <c r="G126" s="45"/>
    </row>
    <row r="127" spans="2:7">
      <c r="B127" s="162">
        <f>+'Opex Inputs'!B147</f>
        <v>42185</v>
      </c>
      <c r="C127" s="200"/>
      <c r="D127" s="141">
        <v>1131.75</v>
      </c>
      <c r="E127" s="53"/>
      <c r="F127" s="45"/>
      <c r="G127" s="45"/>
    </row>
    <row r="128" spans="2:7">
      <c r="B128" s="162">
        <f>+'Opex Inputs'!B148</f>
        <v>42277</v>
      </c>
      <c r="C128" s="200"/>
      <c r="D128" s="141">
        <v>1142.25</v>
      </c>
      <c r="E128" s="53"/>
      <c r="F128" s="45"/>
      <c r="G128" s="45"/>
    </row>
    <row r="129" spans="1:10">
      <c r="B129" s="162">
        <f>+'Opex Inputs'!B149</f>
        <v>42369</v>
      </c>
      <c r="C129" s="200"/>
      <c r="D129" s="141">
        <v>1152.75</v>
      </c>
      <c r="E129" s="53"/>
      <c r="F129" s="45"/>
      <c r="G129" s="45"/>
    </row>
    <row r="130" spans="1:10">
      <c r="B130" s="162">
        <f>+'Opex Inputs'!B150</f>
        <v>42460</v>
      </c>
      <c r="C130" s="200"/>
      <c r="D130" s="141">
        <v>1163</v>
      </c>
      <c r="E130" s="45"/>
      <c r="F130" s="45"/>
      <c r="G130" s="45"/>
    </row>
    <row r="131" spans="1:10">
      <c r="B131" s="162">
        <f>+'Opex Inputs'!B151</f>
        <v>42551</v>
      </c>
      <c r="C131" s="200"/>
      <c r="D131" s="141">
        <v>1172.25</v>
      </c>
      <c r="E131" s="53"/>
      <c r="F131" s="45"/>
      <c r="G131" s="45"/>
    </row>
    <row r="132" spans="1:10">
      <c r="B132" s="162">
        <f>+'Opex Inputs'!B152</f>
        <v>42643</v>
      </c>
      <c r="C132" s="200"/>
      <c r="D132" s="141">
        <v>1180.75</v>
      </c>
      <c r="E132" s="53"/>
      <c r="F132" s="45"/>
      <c r="G132" s="45"/>
    </row>
    <row r="133" spans="1:10">
      <c r="B133" s="162">
        <f>+'Opex Inputs'!B153</f>
        <v>42735</v>
      </c>
      <c r="C133" s="200"/>
      <c r="D133" s="141">
        <v>1188.5</v>
      </c>
      <c r="E133" s="53"/>
      <c r="F133" s="45"/>
      <c r="G133" s="45"/>
    </row>
    <row r="134" spans="1:10">
      <c r="B134" s="162">
        <f>+'Opex Inputs'!B154</f>
        <v>42825</v>
      </c>
      <c r="C134" s="200"/>
      <c r="D134" s="141">
        <v>1196</v>
      </c>
      <c r="E134" s="45"/>
      <c r="F134" s="45"/>
      <c r="G134" s="45"/>
    </row>
    <row r="135" spans="1:10">
      <c r="B135" s="162">
        <f>+'Opex Inputs'!B155</f>
        <v>42916</v>
      </c>
      <c r="C135" s="200"/>
      <c r="D135" s="141">
        <v>1203.9899556768753</v>
      </c>
      <c r="E135" s="53"/>
      <c r="F135" s="45"/>
      <c r="G135" s="45"/>
    </row>
    <row r="136" spans="1:10">
      <c r="B136" s="162">
        <f>+'Opex Inputs'!B156</f>
        <v>43008</v>
      </c>
      <c r="C136" s="200"/>
      <c r="D136" s="141">
        <v>1212.4864809426604</v>
      </c>
      <c r="E136" s="53"/>
      <c r="F136" s="45"/>
      <c r="G136" s="45"/>
    </row>
    <row r="137" spans="1:10">
      <c r="B137" s="162">
        <f>+'Opex Inputs'!B157</f>
        <v>43100</v>
      </c>
      <c r="C137" s="200"/>
      <c r="D137" s="141">
        <v>1221.5063129359673</v>
      </c>
      <c r="E137" s="53"/>
      <c r="F137" s="45"/>
      <c r="G137" s="45"/>
    </row>
    <row r="138" spans="1:10">
      <c r="B138" s="162">
        <f>+'Opex Inputs'!B158</f>
        <v>43190</v>
      </c>
      <c r="C138" s="200"/>
      <c r="D138" s="141">
        <v>1230.5663129359673</v>
      </c>
      <c r="E138" s="45"/>
      <c r="F138" s="45"/>
      <c r="G138" s="45"/>
    </row>
    <row r="139" spans="1:10">
      <c r="B139" s="163">
        <f>+'Opex Inputs'!B159</f>
        <v>43281</v>
      </c>
      <c r="C139" s="201"/>
      <c r="D139" s="143">
        <v>1239.6935116062734</v>
      </c>
      <c r="E139" s="53"/>
      <c r="F139" s="45"/>
      <c r="G139" s="45"/>
    </row>
    <row r="140" spans="1:10">
      <c r="F140" s="45"/>
      <c r="G140" s="45"/>
    </row>
    <row r="141" spans="1:10">
      <c r="F141" s="45"/>
      <c r="G141" s="45"/>
    </row>
    <row r="142" spans="1:10">
      <c r="F142" s="45"/>
      <c r="G142" s="45"/>
    </row>
    <row r="143" spans="1:10">
      <c r="F143" s="45"/>
      <c r="G143" s="45"/>
    </row>
    <row r="144" spans="1:10" ht="18.75">
      <c r="A144" s="37" t="s">
        <v>83</v>
      </c>
      <c r="B144" s="38"/>
      <c r="C144" s="38"/>
      <c r="D144" s="38"/>
      <c r="E144" s="38"/>
      <c r="F144" s="38"/>
      <c r="G144" s="38"/>
      <c r="H144" s="38"/>
      <c r="I144" s="38"/>
      <c r="J144" s="38"/>
    </row>
    <row r="145" spans="1:14">
      <c r="C145" s="23"/>
    </row>
    <row r="146" spans="1:14">
      <c r="A146" s="19" t="s">
        <v>57</v>
      </c>
      <c r="B146" s="3" t="s">
        <v>61</v>
      </c>
    </row>
    <row r="147" spans="1:14">
      <c r="A147" s="19"/>
      <c r="B147" s="9" t="s">
        <v>47</v>
      </c>
      <c r="C147" t="s">
        <v>181</v>
      </c>
    </row>
    <row r="148" spans="1:14">
      <c r="A148" s="19"/>
      <c r="B148" s="3"/>
    </row>
    <row r="149" spans="1:14">
      <c r="A149" s="19"/>
      <c r="B149" s="29" t="str">
        <f>+'Opex Inputs'!A81</f>
        <v>IO10</v>
      </c>
      <c r="C149" s="30" t="str">
        <f>+'Opex Inputs'!B81</f>
        <v>Weight for labour costs in opex input price factor</v>
      </c>
      <c r="F149" s="24">
        <f>+'Opex Inputs'!B83</f>
        <v>0.6</v>
      </c>
    </row>
    <row r="150" spans="1:14">
      <c r="A150" s="19"/>
      <c r="B150" s="29"/>
      <c r="C150" s="25" t="s">
        <v>66</v>
      </c>
      <c r="F150" s="24">
        <f>1-F149</f>
        <v>0.4</v>
      </c>
    </row>
    <row r="151" spans="1:14">
      <c r="A151" s="19"/>
      <c r="B151" s="3"/>
    </row>
    <row r="152" spans="1:14" ht="30">
      <c r="A152" s="19"/>
      <c r="B152" s="31" t="s">
        <v>64</v>
      </c>
      <c r="C152" s="189" t="s">
        <v>190</v>
      </c>
      <c r="D152" s="189" t="s">
        <v>189</v>
      </c>
      <c r="E152" s="31" t="s">
        <v>65</v>
      </c>
      <c r="G152" s="31" t="s">
        <v>64</v>
      </c>
      <c r="H152" s="189" t="s">
        <v>190</v>
      </c>
      <c r="I152" s="189" t="s">
        <v>189</v>
      </c>
      <c r="J152" s="31" t="s">
        <v>65</v>
      </c>
    </row>
    <row r="153" spans="1:14">
      <c r="A153" s="19"/>
      <c r="B153" s="10">
        <v>40724</v>
      </c>
      <c r="C153" s="133">
        <f>VLOOKUP(B153,$B$60:$D$91,3,FALSE)</f>
        <v>1028.25</v>
      </c>
      <c r="D153" s="133">
        <f>VLOOKUP(B153,$B$108:$D$139,3,FALSE)</f>
        <v>1010.929045</v>
      </c>
      <c r="E153" s="137"/>
      <c r="G153" s="10">
        <v>40908</v>
      </c>
      <c r="H153" s="133">
        <f>VLOOKUP(G153,$B$60:$D$91,3,FALSE)</f>
        <v>1038.5</v>
      </c>
      <c r="I153" s="133">
        <f>VLOOKUP(G153,$B$108:$D$139,3,FALSE)</f>
        <v>1033</v>
      </c>
      <c r="J153" s="137"/>
      <c r="L153" s="131"/>
      <c r="M153" s="132" t="s">
        <v>187</v>
      </c>
      <c r="N153" s="136"/>
    </row>
    <row r="154" spans="1:14">
      <c r="A154" s="19"/>
      <c r="B154" s="10">
        <v>41090</v>
      </c>
      <c r="C154" s="133">
        <f>VLOOKUP(B154,$B$60:$D$91,3,FALSE)</f>
        <v>1049</v>
      </c>
      <c r="D154" s="133">
        <f t="shared" ref="D154:D160" si="10">VLOOKUP(B154,$B$108:$D$139,3,FALSE)</f>
        <v>1043.75</v>
      </c>
      <c r="E154" s="32">
        <f>+(C154/C153-1)*$F$149+(D154/D153-1)*$F$150</f>
        <v>2.509440287766105E-2</v>
      </c>
      <c r="F154" s="18"/>
      <c r="G154" s="10">
        <v>41274</v>
      </c>
      <c r="H154" s="133">
        <f t="shared" ref="H154:H159" si="11">VLOOKUP(G154,$B$60:$D$91,3,FALSE)</f>
        <v>1058.7403160687884</v>
      </c>
      <c r="I154" s="133">
        <f t="shared" ref="I154:I159" si="12">VLOOKUP(G154,$B$108:$D$139,3,FALSE)</f>
        <v>1052.75</v>
      </c>
      <c r="J154" s="32">
        <f>+(H154/H153-1)*$F$149+(I154/I153-1)*$F$150</f>
        <v>1.9341599996863267E-2</v>
      </c>
    </row>
    <row r="155" spans="1:14">
      <c r="A155" s="19"/>
      <c r="B155" s="10">
        <v>41455</v>
      </c>
      <c r="C155" s="133">
        <f t="shared" ref="C155:C160" si="13">VLOOKUP(B155,$B$60:$D$91,3,FALSE)</f>
        <v>1068.5093278393895</v>
      </c>
      <c r="D155" s="133">
        <f t="shared" si="10"/>
        <v>1063.75</v>
      </c>
      <c r="E155" s="32">
        <f t="shared" ref="E155:E160" si="14">+(C155/C154-1)*$F$149+(D155/D154-1)*$F$150</f>
        <v>1.8823485438123733E-2</v>
      </c>
      <c r="F155" s="18"/>
      <c r="G155" s="10">
        <v>41639</v>
      </c>
      <c r="H155" s="133">
        <f t="shared" si="11"/>
        <v>1078.7477451977854</v>
      </c>
      <c r="I155" s="133">
        <f t="shared" si="12"/>
        <v>1079.5</v>
      </c>
      <c r="J155" s="32">
        <f t="shared" ref="J155:J159" si="15">+(H155/H154-1)*$F$149+(I155/I154-1)*$F$150</f>
        <v>2.150229083108628E-2</v>
      </c>
    </row>
    <row r="156" spans="1:14">
      <c r="A156" s="19"/>
      <c r="B156" s="10">
        <v>41820</v>
      </c>
      <c r="C156" s="133">
        <f t="shared" si="13"/>
        <v>1089.1330999519121</v>
      </c>
      <c r="D156" s="133">
        <f t="shared" si="10"/>
        <v>1096.75</v>
      </c>
      <c r="E156" s="32">
        <f>+(C156/C155-1)*$F$149+(D156/D155-1)*$F$150</f>
        <v>2.3989796596853318E-2</v>
      </c>
      <c r="F156" s="18"/>
      <c r="G156" s="10">
        <v>42004</v>
      </c>
      <c r="H156" s="133">
        <f t="shared" si="11"/>
        <v>1099.2782841050666</v>
      </c>
      <c r="I156" s="133">
        <f t="shared" si="12"/>
        <v>1112.75</v>
      </c>
      <c r="J156" s="32">
        <f t="shared" si="15"/>
        <v>2.3739614093257179E-2</v>
      </c>
    </row>
    <row r="157" spans="1:14">
      <c r="A157" s="19"/>
      <c r="B157" s="10">
        <v>42185</v>
      </c>
      <c r="C157" s="133">
        <f t="shared" si="13"/>
        <v>1109.6567047416702</v>
      </c>
      <c r="D157" s="133">
        <f t="shared" si="10"/>
        <v>1131.75</v>
      </c>
      <c r="E157" s="32">
        <f t="shared" si="14"/>
        <v>2.4071376805453772E-2</v>
      </c>
      <c r="F157" s="18"/>
      <c r="G157" s="10">
        <v>42369</v>
      </c>
      <c r="H157" s="133">
        <f t="shared" si="11"/>
        <v>1121.7190943175085</v>
      </c>
      <c r="I157" s="133">
        <f t="shared" si="12"/>
        <v>1152.75</v>
      </c>
      <c r="J157" s="32">
        <f t="shared" si="15"/>
        <v>2.6627269509121199E-2</v>
      </c>
    </row>
    <row r="158" spans="1:14">
      <c r="A158" s="19"/>
      <c r="B158" s="10">
        <v>42551</v>
      </c>
      <c r="C158" s="133">
        <f t="shared" si="13"/>
        <v>1134.7411210884309</v>
      </c>
      <c r="D158" s="133">
        <f t="shared" si="10"/>
        <v>1172.25</v>
      </c>
      <c r="E158" s="32">
        <f t="shared" si="14"/>
        <v>2.7877454081073873E-2</v>
      </c>
      <c r="F158" s="18"/>
      <c r="G158" s="10">
        <v>42735</v>
      </c>
      <c r="H158" s="133">
        <f t="shared" si="11"/>
        <v>1146.4497296323268</v>
      </c>
      <c r="I158" s="133">
        <f t="shared" si="12"/>
        <v>1188.5</v>
      </c>
      <c r="J158" s="32">
        <f t="shared" si="15"/>
        <v>2.5633368712223926E-2</v>
      </c>
    </row>
    <row r="159" spans="1:14">
      <c r="A159" s="19"/>
      <c r="B159" s="10">
        <v>42916</v>
      </c>
      <c r="C159" s="133">
        <f t="shared" si="13"/>
        <v>1157.4079291045184</v>
      </c>
      <c r="D159" s="133">
        <f t="shared" si="10"/>
        <v>1203.9899556768753</v>
      </c>
      <c r="E159" s="32">
        <f t="shared" si="14"/>
        <v>2.2815626374466456E-2</v>
      </c>
      <c r="F159" s="18"/>
      <c r="G159" s="10">
        <v>43100</v>
      </c>
      <c r="H159" s="133">
        <f t="shared" si="11"/>
        <v>1169.3878701753486</v>
      </c>
      <c r="I159" s="133">
        <f t="shared" si="12"/>
        <v>1221.5063129359673</v>
      </c>
      <c r="J159" s="32">
        <f t="shared" si="15"/>
        <v>2.3113347935616924E-2</v>
      </c>
    </row>
    <row r="160" spans="1:14">
      <c r="A160" s="19"/>
      <c r="B160" s="10">
        <v>43281</v>
      </c>
      <c r="C160" s="133">
        <f t="shared" si="13"/>
        <v>1182.1811564702462</v>
      </c>
      <c r="D160" s="133">
        <f t="shared" si="10"/>
        <v>1239.6935116062734</v>
      </c>
      <c r="E160" s="32">
        <f t="shared" si="14"/>
        <v>2.4704180722034688E-2</v>
      </c>
      <c r="F160" s="18"/>
    </row>
    <row r="161" spans="1:7">
      <c r="A161" s="19"/>
      <c r="B161" s="3"/>
    </row>
    <row r="162" spans="1:7">
      <c r="A162" s="19" t="s">
        <v>58</v>
      </c>
      <c r="B162" s="3" t="s">
        <v>20</v>
      </c>
    </row>
    <row r="163" spans="1:7">
      <c r="A163" s="19"/>
      <c r="B163" s="9" t="s">
        <v>47</v>
      </c>
      <c r="C163" s="9" t="s">
        <v>1</v>
      </c>
    </row>
    <row r="164" spans="1:7">
      <c r="A164" s="19"/>
      <c r="B164" s="3"/>
    </row>
    <row r="165" spans="1:7">
      <c r="A165" s="19"/>
      <c r="B165" s="152" t="str">
        <f>+'Opex Inputs'!A11</f>
        <v>IO2</v>
      </c>
      <c r="C165" s="166" t="str">
        <f>+'Opex Inputs'!B11</f>
        <v>Opex partial productivity factor</v>
      </c>
      <c r="D165" s="152"/>
      <c r="E165" s="152"/>
      <c r="F165" s="167">
        <f>+'Opex Inputs'!B13</f>
        <v>0</v>
      </c>
      <c r="G165" s="11"/>
    </row>
    <row r="166" spans="1:7">
      <c r="A166" s="19"/>
      <c r="B166" s="3"/>
    </row>
    <row r="167" spans="1:7">
      <c r="A167" s="19"/>
      <c r="B167" s="29" t="str">
        <f>+A162</f>
        <v>OSF3</v>
      </c>
      <c r="C167" t="str">
        <f>+B162</f>
        <v>Opex partial productivity factor</v>
      </c>
      <c r="F167" s="15">
        <f>+F165</f>
        <v>0</v>
      </c>
    </row>
    <row r="168" spans="1:7">
      <c r="A168" s="19"/>
      <c r="B168" s="3"/>
    </row>
    <row r="169" spans="1:7">
      <c r="A169" s="19" t="s">
        <v>59</v>
      </c>
      <c r="B169" s="3" t="s">
        <v>62</v>
      </c>
    </row>
    <row r="170" spans="1:7">
      <c r="A170" s="19"/>
      <c r="B170" s="9" t="s">
        <v>47</v>
      </c>
      <c r="C170" s="9" t="s">
        <v>93</v>
      </c>
    </row>
    <row r="171" spans="1:7">
      <c r="A171" s="19"/>
      <c r="B171" s="9"/>
    </row>
    <row r="172" spans="1:7">
      <c r="A172" s="19"/>
      <c r="B172" s="147" t="str">
        <f>+'Opex Inputs'!A15</f>
        <v>IO3</v>
      </c>
      <c r="C172" s="148" t="str">
        <f>+'Opex Inputs'!B15</f>
        <v>Elasticity of opex to network length</v>
      </c>
      <c r="D172" s="148"/>
      <c r="E172" s="148"/>
      <c r="F172" s="148"/>
      <c r="G172" s="148"/>
    </row>
    <row r="173" spans="1:7">
      <c r="A173" s="19"/>
      <c r="B173" s="147"/>
      <c r="C173" s="151" t="str">
        <f>+'Opex Inputs'!C17</f>
        <v xml:space="preserve">Gasnet </v>
      </c>
      <c r="D173" s="151" t="str">
        <f>+'Opex Inputs'!D17</f>
        <v>Powerco</v>
      </c>
      <c r="E173" s="151" t="str">
        <f>+'Opex Inputs'!E17</f>
        <v>Vector Dist</v>
      </c>
      <c r="F173" s="151" t="str">
        <f>+'Opex Inputs'!F17</f>
        <v>Maui</v>
      </c>
      <c r="G173" s="151" t="str">
        <f>+'Opex Inputs'!G17</f>
        <v>Vector Trans</v>
      </c>
    </row>
    <row r="174" spans="1:7">
      <c r="A174" s="19"/>
      <c r="B174" s="147"/>
      <c r="C174" s="147">
        <f>+'Opex Inputs'!C18</f>
        <v>0.4879</v>
      </c>
      <c r="D174" s="147">
        <f>+'Opex Inputs'!D18</f>
        <v>0.4879</v>
      </c>
      <c r="E174" s="147">
        <f>+'Opex Inputs'!E18</f>
        <v>0.4879</v>
      </c>
      <c r="F174" s="147">
        <f>+'Opex Inputs'!F18</f>
        <v>0</v>
      </c>
      <c r="G174" s="147">
        <f>+'Opex Inputs'!G18</f>
        <v>0</v>
      </c>
    </row>
    <row r="175" spans="1:7">
      <c r="A175" s="19"/>
    </row>
    <row r="176" spans="1:7">
      <c r="A176" s="19"/>
      <c r="B176" s="8"/>
      <c r="C176" s="7" t="s">
        <v>37</v>
      </c>
      <c r="D176" s="8" t="s">
        <v>38</v>
      </c>
      <c r="E176" s="8" t="s">
        <v>148</v>
      </c>
      <c r="F176" s="8" t="s">
        <v>39</v>
      </c>
      <c r="G176" s="8" t="s">
        <v>149</v>
      </c>
    </row>
    <row r="177" spans="1:7">
      <c r="A177" s="19"/>
      <c r="B177" s="11">
        <v>2012</v>
      </c>
      <c r="C177" s="52">
        <f t="shared" ref="C177:G182" si="16">+C$24*C$174</f>
        <v>8.3780420516813003E-3</v>
      </c>
      <c r="D177" s="53">
        <f t="shared" si="16"/>
        <v>8.6209923088698074E-3</v>
      </c>
      <c r="E177" s="53">
        <f t="shared" si="16"/>
        <v>6.0630055396747535E-3</v>
      </c>
      <c r="F177" s="53">
        <f t="shared" si="16"/>
        <v>0</v>
      </c>
      <c r="G177" s="53">
        <f t="shared" si="16"/>
        <v>0</v>
      </c>
    </row>
    <row r="178" spans="1:7">
      <c r="A178" s="19"/>
      <c r="B178" s="9">
        <v>2013</v>
      </c>
      <c r="C178" s="54">
        <f t="shared" si="16"/>
        <v>8.3780420516813003E-3</v>
      </c>
      <c r="D178" s="53">
        <f t="shared" si="16"/>
        <v>8.6209923088698074E-3</v>
      </c>
      <c r="E178" s="53">
        <f t="shared" si="16"/>
        <v>6.0630055396747535E-3</v>
      </c>
      <c r="F178" s="53">
        <f t="shared" si="16"/>
        <v>0</v>
      </c>
      <c r="G178" s="53">
        <f t="shared" si="16"/>
        <v>0</v>
      </c>
    </row>
    <row r="179" spans="1:7">
      <c r="A179" s="19"/>
      <c r="B179" s="11">
        <v>2014</v>
      </c>
      <c r="C179" s="54">
        <f t="shared" si="16"/>
        <v>8.3780420516813003E-3</v>
      </c>
      <c r="D179" s="53">
        <f t="shared" si="16"/>
        <v>8.6209923088698074E-3</v>
      </c>
      <c r="E179" s="53">
        <f t="shared" si="16"/>
        <v>6.0630055396747535E-3</v>
      </c>
      <c r="F179" s="53">
        <f t="shared" si="16"/>
        <v>0</v>
      </c>
      <c r="G179" s="53">
        <f t="shared" si="16"/>
        <v>0</v>
      </c>
    </row>
    <row r="180" spans="1:7">
      <c r="A180" s="19"/>
      <c r="B180" s="9">
        <v>2015</v>
      </c>
      <c r="C180" s="54">
        <f t="shared" si="16"/>
        <v>8.3780420516813003E-3</v>
      </c>
      <c r="D180" s="53">
        <f t="shared" si="16"/>
        <v>8.6209923088698074E-3</v>
      </c>
      <c r="E180" s="53">
        <f t="shared" si="16"/>
        <v>6.0630055396747535E-3</v>
      </c>
      <c r="F180" s="53">
        <f t="shared" si="16"/>
        <v>0</v>
      </c>
      <c r="G180" s="53">
        <f t="shared" si="16"/>
        <v>0</v>
      </c>
    </row>
    <row r="181" spans="1:7">
      <c r="A181" s="19"/>
      <c r="B181" s="11">
        <v>2016</v>
      </c>
      <c r="C181" s="54">
        <f t="shared" si="16"/>
        <v>8.3780420516813003E-3</v>
      </c>
      <c r="D181" s="53">
        <f t="shared" si="16"/>
        <v>8.6209923088698074E-3</v>
      </c>
      <c r="E181" s="53">
        <f t="shared" si="16"/>
        <v>6.0630055396747535E-3</v>
      </c>
      <c r="F181" s="53">
        <f t="shared" si="16"/>
        <v>0</v>
      </c>
      <c r="G181" s="53">
        <f t="shared" si="16"/>
        <v>0</v>
      </c>
    </row>
    <row r="182" spans="1:7">
      <c r="A182" s="19"/>
      <c r="B182" s="9">
        <v>2017</v>
      </c>
      <c r="C182" s="54">
        <f t="shared" si="16"/>
        <v>8.3780420516813003E-3</v>
      </c>
      <c r="D182" s="53">
        <f t="shared" si="16"/>
        <v>8.6209923088698074E-3</v>
      </c>
      <c r="E182" s="53">
        <f t="shared" si="16"/>
        <v>6.0630055396747535E-3</v>
      </c>
      <c r="F182" s="53">
        <f t="shared" si="16"/>
        <v>0</v>
      </c>
      <c r="G182" s="53">
        <f t="shared" si="16"/>
        <v>0</v>
      </c>
    </row>
    <row r="183" spans="1:7">
      <c r="A183" s="19"/>
      <c r="B183" s="11">
        <v>2018</v>
      </c>
      <c r="C183" s="54">
        <f>+C$24*C$174</f>
        <v>8.3780420516813003E-3</v>
      </c>
      <c r="D183" s="53">
        <f>+D$24*D$174</f>
        <v>8.6209923088698074E-3</v>
      </c>
      <c r="E183" s="53">
        <f>+E$24*E$174</f>
        <v>6.0630055396747535E-3</v>
      </c>
      <c r="F183" s="53"/>
      <c r="G183" s="53">
        <f>+G$24*G$174</f>
        <v>0</v>
      </c>
    </row>
    <row r="184" spans="1:7">
      <c r="A184" s="19"/>
      <c r="B184" s="3"/>
    </row>
    <row r="185" spans="1:7">
      <c r="A185" s="19" t="s">
        <v>60</v>
      </c>
      <c r="B185" s="3" t="s">
        <v>63</v>
      </c>
    </row>
    <row r="186" spans="1:7">
      <c r="A186" s="19"/>
      <c r="B186" s="9" t="s">
        <v>47</v>
      </c>
      <c r="C186" s="9" t="s">
        <v>183</v>
      </c>
    </row>
    <row r="187" spans="1:7">
      <c r="A187" s="19"/>
      <c r="B187" s="9"/>
    </row>
    <row r="188" spans="1:7">
      <c r="A188" s="19"/>
      <c r="B188" s="147" t="str">
        <f>+'Opex Inputs'!A32</f>
        <v>IO5</v>
      </c>
      <c r="C188" s="148" t="str">
        <f>+'Opex Inputs'!B32</f>
        <v>Elasticity of opex to number of consumers</v>
      </c>
      <c r="D188" s="148"/>
      <c r="E188" s="148"/>
      <c r="F188" s="148"/>
      <c r="G188" s="148"/>
    </row>
    <row r="189" spans="1:7">
      <c r="A189" s="19"/>
      <c r="B189" s="147"/>
      <c r="C189" s="151" t="str">
        <f>+'Opex Inputs'!C34</f>
        <v xml:space="preserve">Gasnet </v>
      </c>
      <c r="D189" s="151" t="str">
        <f>+'Opex Inputs'!D34</f>
        <v>Powerco</v>
      </c>
      <c r="E189" s="151" t="str">
        <f>+'Opex Inputs'!E34</f>
        <v>Vector Dist</v>
      </c>
      <c r="F189" s="151" t="str">
        <f>+'Opex Inputs'!F34</f>
        <v>Maui</v>
      </c>
      <c r="G189" s="151" t="str">
        <f>+'Opex Inputs'!G34</f>
        <v>Vector Trans</v>
      </c>
    </row>
    <row r="190" spans="1:7">
      <c r="A190" s="19"/>
      <c r="B190" s="147"/>
      <c r="C190" s="147">
        <f>+'Opex Inputs'!C35</f>
        <v>0.4879</v>
      </c>
      <c r="D190" s="147">
        <f>+'Opex Inputs'!D35</f>
        <v>0.4879</v>
      </c>
      <c r="E190" s="147">
        <f>+'Opex Inputs'!E35</f>
        <v>0.4879</v>
      </c>
      <c r="F190" s="147">
        <f>+'Opex Inputs'!F35</f>
        <v>0</v>
      </c>
      <c r="G190" s="147">
        <f>+'Opex Inputs'!G35</f>
        <v>0</v>
      </c>
    </row>
    <row r="191" spans="1:7">
      <c r="A191" s="19"/>
    </row>
    <row r="192" spans="1:7">
      <c r="B192" s="5"/>
      <c r="C192" s="7" t="s">
        <v>37</v>
      </c>
      <c r="D192" s="8" t="s">
        <v>38</v>
      </c>
      <c r="E192" s="8" t="s">
        <v>148</v>
      </c>
      <c r="F192" s="8" t="s">
        <v>39</v>
      </c>
      <c r="G192" s="8" t="s">
        <v>149</v>
      </c>
    </row>
    <row r="193" spans="1:16">
      <c r="B193" s="11">
        <v>2012</v>
      </c>
      <c r="C193" s="52">
        <f t="shared" ref="C193:G198" si="17">+C$45*C$190</f>
        <v>1.5082875392583034E-4</v>
      </c>
      <c r="D193" s="53">
        <f t="shared" si="17"/>
        <v>-1.4668744721326691E-3</v>
      </c>
      <c r="E193" s="53">
        <f t="shared" si="17"/>
        <v>8.8231148622795082E-3</v>
      </c>
      <c r="F193" s="53">
        <f t="shared" si="17"/>
        <v>0</v>
      </c>
      <c r="G193" s="53">
        <f t="shared" si="17"/>
        <v>0</v>
      </c>
    </row>
    <row r="194" spans="1:16">
      <c r="B194" s="9">
        <v>2013</v>
      </c>
      <c r="C194" s="54">
        <f t="shared" si="17"/>
        <v>1.5082875392583034E-4</v>
      </c>
      <c r="D194" s="53">
        <f t="shared" si="17"/>
        <v>-1.4668744721326691E-3</v>
      </c>
      <c r="E194" s="53">
        <f t="shared" si="17"/>
        <v>8.8231148622795082E-3</v>
      </c>
      <c r="F194" s="53">
        <f t="shared" si="17"/>
        <v>0</v>
      </c>
      <c r="G194" s="53">
        <f t="shared" si="17"/>
        <v>0</v>
      </c>
    </row>
    <row r="195" spans="1:16">
      <c r="B195" s="11">
        <v>2014</v>
      </c>
      <c r="C195" s="54">
        <f t="shared" si="17"/>
        <v>1.5082875392583034E-4</v>
      </c>
      <c r="D195" s="53">
        <f t="shared" si="17"/>
        <v>-1.4668744721326691E-3</v>
      </c>
      <c r="E195" s="53">
        <f t="shared" si="17"/>
        <v>8.8231148622795082E-3</v>
      </c>
      <c r="F195" s="53">
        <f t="shared" si="17"/>
        <v>0</v>
      </c>
      <c r="G195" s="53">
        <f t="shared" si="17"/>
        <v>0</v>
      </c>
    </row>
    <row r="196" spans="1:16">
      <c r="B196" s="9">
        <v>2015</v>
      </c>
      <c r="C196" s="54">
        <f t="shared" si="17"/>
        <v>1.5082875392583034E-4</v>
      </c>
      <c r="D196" s="53">
        <f t="shared" si="17"/>
        <v>-1.4668744721326691E-3</v>
      </c>
      <c r="E196" s="53">
        <f t="shared" si="17"/>
        <v>8.8231148622795082E-3</v>
      </c>
      <c r="F196" s="53">
        <f t="shared" si="17"/>
        <v>0</v>
      </c>
      <c r="G196" s="53">
        <f t="shared" si="17"/>
        <v>0</v>
      </c>
    </row>
    <row r="197" spans="1:16">
      <c r="B197" s="11">
        <v>2016</v>
      </c>
      <c r="C197" s="54">
        <f t="shared" si="17"/>
        <v>1.5082875392583034E-4</v>
      </c>
      <c r="D197" s="53">
        <f t="shared" si="17"/>
        <v>-1.4668744721326691E-3</v>
      </c>
      <c r="E197" s="53">
        <f t="shared" si="17"/>
        <v>8.8231148622795082E-3</v>
      </c>
      <c r="F197" s="53">
        <f t="shared" si="17"/>
        <v>0</v>
      </c>
      <c r="G197" s="53">
        <f t="shared" si="17"/>
        <v>0</v>
      </c>
    </row>
    <row r="198" spans="1:16">
      <c r="B198" s="9">
        <v>2017</v>
      </c>
      <c r="C198" s="54">
        <f t="shared" si="17"/>
        <v>1.5082875392583034E-4</v>
      </c>
      <c r="D198" s="53">
        <f t="shared" si="17"/>
        <v>-1.4668744721326691E-3</v>
      </c>
      <c r="E198" s="53">
        <f t="shared" si="17"/>
        <v>8.8231148622795082E-3</v>
      </c>
      <c r="F198" s="53">
        <f t="shared" si="17"/>
        <v>0</v>
      </c>
      <c r="G198" s="53">
        <f t="shared" si="17"/>
        <v>0</v>
      </c>
    </row>
    <row r="199" spans="1:16">
      <c r="B199" s="11">
        <v>2018</v>
      </c>
      <c r="C199" s="54">
        <f>+C$45*C$190</f>
        <v>1.5082875392583034E-4</v>
      </c>
      <c r="D199" s="53">
        <f>+D$45*D$190</f>
        <v>-1.4668744721326691E-3</v>
      </c>
      <c r="E199" s="53">
        <f>+E$45*E$190</f>
        <v>8.8231148622795082E-3</v>
      </c>
      <c r="F199" s="53"/>
      <c r="G199" s="53">
        <f>+G$45*G$190</f>
        <v>0</v>
      </c>
    </row>
    <row r="201" spans="1:16">
      <c r="A201" s="19" t="s">
        <v>55</v>
      </c>
      <c r="B201" s="3" t="s">
        <v>56</v>
      </c>
    </row>
    <row r="202" spans="1:16">
      <c r="A202" s="19"/>
      <c r="B202" s="9" t="s">
        <v>47</v>
      </c>
      <c r="C202" s="9" t="s">
        <v>182</v>
      </c>
    </row>
    <row r="203" spans="1:16">
      <c r="A203" s="19"/>
      <c r="B203" s="3"/>
    </row>
    <row r="204" spans="1:16">
      <c r="A204" s="19"/>
      <c r="B204" s="8"/>
      <c r="C204" s="7" t="s">
        <v>37</v>
      </c>
      <c r="D204" s="8" t="s">
        <v>38</v>
      </c>
      <c r="E204" s="8" t="s">
        <v>148</v>
      </c>
      <c r="F204" s="8" t="s">
        <v>39</v>
      </c>
      <c r="G204" s="8" t="s">
        <v>149</v>
      </c>
    </row>
    <row r="205" spans="1:16">
      <c r="A205" s="19"/>
      <c r="B205" s="11">
        <v>2012</v>
      </c>
      <c r="C205" s="52">
        <f t="shared" ref="C205:E211" si="18">+$E154+$F$167+C177+C193</f>
        <v>3.362327368326818E-2</v>
      </c>
      <c r="D205" s="53">
        <f t="shared" si="18"/>
        <v>3.2248520714398189E-2</v>
      </c>
      <c r="E205" s="53">
        <f t="shared" si="18"/>
        <v>3.9980523279615307E-2</v>
      </c>
      <c r="F205" s="134">
        <f t="shared" ref="F205:F210" si="19">+$J154+$F$167+F177+F193</f>
        <v>1.9341599996863267E-2</v>
      </c>
      <c r="G205" s="53">
        <f t="shared" ref="G205:G211" si="20">+$E154+$F$167+G177+G193</f>
        <v>2.509440287766105E-2</v>
      </c>
      <c r="I205" s="138"/>
      <c r="J205" s="139" t="s">
        <v>188</v>
      </c>
      <c r="K205" s="140"/>
      <c r="L205" s="135"/>
      <c r="N205" s="80"/>
      <c r="O205" s="80"/>
      <c r="P205" s="80"/>
    </row>
    <row r="206" spans="1:16">
      <c r="A206" s="19"/>
      <c r="B206" s="9">
        <v>2013</v>
      </c>
      <c r="C206" s="54">
        <f t="shared" si="18"/>
        <v>2.7352356243730863E-2</v>
      </c>
      <c r="D206" s="53">
        <f t="shared" si="18"/>
        <v>2.5977603274860869E-2</v>
      </c>
      <c r="E206" s="53">
        <f t="shared" si="18"/>
        <v>3.3709605840077997E-2</v>
      </c>
      <c r="F206" s="134">
        <f t="shared" si="19"/>
        <v>2.150229083108628E-2</v>
      </c>
      <c r="G206" s="53">
        <f t="shared" si="20"/>
        <v>1.8823485438123733E-2</v>
      </c>
      <c r="J206" s="49"/>
      <c r="K206" s="49"/>
      <c r="L206" s="49"/>
      <c r="N206" s="80"/>
      <c r="O206" s="80"/>
      <c r="P206" s="80"/>
    </row>
    <row r="207" spans="1:16">
      <c r="A207" s="19"/>
      <c r="B207" s="11">
        <v>2014</v>
      </c>
      <c r="C207" s="54">
        <f t="shared" si="18"/>
        <v>3.2518667402460448E-2</v>
      </c>
      <c r="D207" s="53">
        <f t="shared" si="18"/>
        <v>3.1143914433590453E-2</v>
      </c>
      <c r="E207" s="53">
        <f t="shared" si="18"/>
        <v>3.8875916998807575E-2</v>
      </c>
      <c r="F207" s="134">
        <f t="shared" si="19"/>
        <v>2.3739614093257179E-2</v>
      </c>
      <c r="G207" s="53">
        <f t="shared" si="20"/>
        <v>2.3989796596853318E-2</v>
      </c>
      <c r="J207" s="49"/>
      <c r="K207" s="49"/>
      <c r="L207" s="49"/>
      <c r="N207" s="80"/>
      <c r="O207" s="80"/>
      <c r="P207" s="80"/>
    </row>
    <row r="208" spans="1:16">
      <c r="A208" s="19"/>
      <c r="B208" s="9">
        <v>2015</v>
      </c>
      <c r="C208" s="54">
        <f t="shared" si="18"/>
        <v>3.2600247611060902E-2</v>
      </c>
      <c r="D208" s="53">
        <f t="shared" si="18"/>
        <v>3.1225494642190908E-2</v>
      </c>
      <c r="E208" s="53">
        <f t="shared" si="18"/>
        <v>3.8957497207408029E-2</v>
      </c>
      <c r="F208" s="134">
        <f t="shared" si="19"/>
        <v>2.6627269509121199E-2</v>
      </c>
      <c r="G208" s="53">
        <f t="shared" si="20"/>
        <v>2.4071376805453772E-2</v>
      </c>
      <c r="J208" s="49"/>
      <c r="K208" s="49"/>
      <c r="L208" s="49"/>
      <c r="N208" s="80"/>
      <c r="O208" s="80"/>
      <c r="P208" s="80"/>
    </row>
    <row r="209" spans="1:16">
      <c r="A209" s="19"/>
      <c r="B209" s="11">
        <v>2016</v>
      </c>
      <c r="C209" s="54">
        <f t="shared" si="18"/>
        <v>3.6406324886681003E-2</v>
      </c>
      <c r="D209" s="53">
        <f t="shared" si="18"/>
        <v>3.5031571917811012E-2</v>
      </c>
      <c r="E209" s="53">
        <f t="shared" si="18"/>
        <v>4.276357448302813E-2</v>
      </c>
      <c r="F209" s="134">
        <f t="shared" si="19"/>
        <v>2.5633368712223926E-2</v>
      </c>
      <c r="G209" s="53">
        <f t="shared" si="20"/>
        <v>2.7877454081073873E-2</v>
      </c>
      <c r="J209" s="49"/>
      <c r="K209" s="49"/>
      <c r="L209" s="49"/>
      <c r="N209" s="80"/>
      <c r="O209" s="80"/>
      <c r="P209" s="80"/>
    </row>
    <row r="210" spans="1:16">
      <c r="A210" s="19"/>
      <c r="B210" s="9">
        <v>2017</v>
      </c>
      <c r="C210" s="54">
        <f t="shared" si="18"/>
        <v>3.1344497180073587E-2</v>
      </c>
      <c r="D210" s="53">
        <f t="shared" si="18"/>
        <v>2.9969744211203592E-2</v>
      </c>
      <c r="E210" s="53">
        <f t="shared" si="18"/>
        <v>3.7701746776420714E-2</v>
      </c>
      <c r="F210" s="134">
        <f t="shared" si="19"/>
        <v>2.3113347935616924E-2</v>
      </c>
      <c r="G210" s="53">
        <f t="shared" si="20"/>
        <v>2.2815626374466456E-2</v>
      </c>
      <c r="J210" s="49"/>
      <c r="K210" s="49"/>
      <c r="L210" s="49"/>
      <c r="N210" s="80"/>
      <c r="O210" s="80"/>
      <c r="P210" s="80"/>
    </row>
    <row r="211" spans="1:16">
      <c r="A211" s="19"/>
      <c r="B211" s="11">
        <v>2018</v>
      </c>
      <c r="C211" s="54">
        <f t="shared" si="18"/>
        <v>3.3233051527641819E-2</v>
      </c>
      <c r="D211" s="53">
        <f t="shared" si="18"/>
        <v>3.1858298558771828E-2</v>
      </c>
      <c r="E211" s="53">
        <f t="shared" si="18"/>
        <v>3.9590301123988952E-2</v>
      </c>
      <c r="F211" s="53"/>
      <c r="G211" s="53">
        <f t="shared" si="20"/>
        <v>2.4704180722034688E-2</v>
      </c>
      <c r="J211" s="49"/>
      <c r="K211" s="49"/>
      <c r="L211" s="49"/>
      <c r="N211" s="80"/>
      <c r="O211" s="80"/>
      <c r="P211" s="80"/>
    </row>
    <row r="212" spans="1:16">
      <c r="A212" s="19"/>
      <c r="B212" s="3"/>
    </row>
    <row r="214" spans="1:16" ht="18.75">
      <c r="A214" s="37" t="s">
        <v>82</v>
      </c>
      <c r="B214" s="38"/>
      <c r="C214" s="38"/>
      <c r="D214" s="38"/>
      <c r="E214" s="38"/>
      <c r="F214" s="38"/>
      <c r="G214" s="38"/>
      <c r="H214" s="38"/>
      <c r="I214" s="38"/>
      <c r="J214" s="38"/>
    </row>
    <row r="217" spans="1:16">
      <c r="A217" s="92" t="s">
        <v>71</v>
      </c>
      <c r="B217" s="92" t="s">
        <v>76</v>
      </c>
      <c r="C217" s="93"/>
      <c r="D217" s="93"/>
      <c r="E217" s="93"/>
      <c r="F217" s="93"/>
      <c r="G217" s="93"/>
    </row>
    <row r="218" spans="1:16">
      <c r="A218" s="93"/>
      <c r="B218" s="94" t="s">
        <v>47</v>
      </c>
      <c r="C218" s="94" t="s">
        <v>184</v>
      </c>
      <c r="D218" s="93"/>
      <c r="E218" s="93"/>
      <c r="F218" s="93"/>
      <c r="G218" s="93"/>
    </row>
    <row r="219" spans="1:16">
      <c r="A219" s="93"/>
      <c r="B219" s="93"/>
      <c r="C219" s="93"/>
      <c r="D219" s="93"/>
      <c r="E219" s="93"/>
      <c r="F219" s="93"/>
      <c r="G219" s="93"/>
    </row>
    <row r="220" spans="1:16">
      <c r="A220" s="93"/>
      <c r="B220" s="168" t="str">
        <f>+'Opex Inputs'!A20</f>
        <v>IO4</v>
      </c>
      <c r="C220" s="169" t="str">
        <f>+'Opex Inputs'!B20</f>
        <v>Compliance costs</v>
      </c>
      <c r="D220" s="169"/>
      <c r="E220" s="169"/>
      <c r="F220" s="169"/>
      <c r="G220" s="169"/>
    </row>
    <row r="221" spans="1:16">
      <c r="A221" s="93"/>
      <c r="B221" s="170"/>
      <c r="C221" s="171" t="str">
        <f>+'Opex Inputs'!C22</f>
        <v xml:space="preserve">Gasnet </v>
      </c>
      <c r="D221" s="172" t="str">
        <f>+'Opex Inputs'!D22</f>
        <v>Powerco</v>
      </c>
      <c r="E221" s="172" t="str">
        <f>+'Opex Inputs'!E22</f>
        <v>Vector Dist</v>
      </c>
      <c r="F221" s="172" t="str">
        <f>+'Opex Inputs'!F22</f>
        <v>Maui</v>
      </c>
      <c r="G221" s="172" t="str">
        <f>+'Opex Inputs'!G22</f>
        <v>Vector Trans</v>
      </c>
    </row>
    <row r="222" spans="1:16">
      <c r="A222" s="93"/>
      <c r="B222" s="168">
        <f>+'Opex Inputs'!B23</f>
        <v>2011</v>
      </c>
      <c r="C222" s="173">
        <f>+'Opex Inputs'!C23</f>
        <v>0</v>
      </c>
      <c r="D222" s="203"/>
      <c r="E222" s="203"/>
      <c r="F222" s="174">
        <f>+'Opex Inputs'!F23</f>
        <v>0</v>
      </c>
      <c r="G222" s="203"/>
    </row>
    <row r="223" spans="1:16">
      <c r="A223" s="93"/>
      <c r="B223" s="168">
        <f>+'Opex Inputs'!B24</f>
        <v>2012</v>
      </c>
      <c r="C223" s="173">
        <f>+'Opex Inputs'!C24</f>
        <v>130</v>
      </c>
      <c r="D223" s="203"/>
      <c r="E223" s="203"/>
      <c r="F223" s="174">
        <f>+'Opex Inputs'!F24</f>
        <v>0</v>
      </c>
      <c r="G223" s="203"/>
    </row>
    <row r="224" spans="1:16">
      <c r="A224" s="93"/>
      <c r="B224" s="168">
        <f>+'Opex Inputs'!B25</f>
        <v>2013</v>
      </c>
      <c r="C224" s="173">
        <f>+'Opex Inputs'!C25</f>
        <v>132.51316143085302</v>
      </c>
      <c r="D224" s="203"/>
      <c r="E224" s="203"/>
      <c r="F224" s="174">
        <f>+'Opex Inputs'!F25</f>
        <v>0</v>
      </c>
      <c r="G224" s="203"/>
    </row>
    <row r="225" spans="1:8">
      <c r="A225" s="93"/>
      <c r="B225" s="168">
        <f>+'Opex Inputs'!B26</f>
        <v>2014</v>
      </c>
      <c r="C225" s="173">
        <f>+'Opex Inputs'!C26</f>
        <v>214.10530860762719</v>
      </c>
      <c r="D225" s="203"/>
      <c r="E225" s="203"/>
      <c r="F225" s="174">
        <f>+'Opex Inputs'!F26</f>
        <v>0</v>
      </c>
      <c r="G225" s="203"/>
    </row>
    <row r="226" spans="1:8">
      <c r="A226" s="93"/>
      <c r="B226" s="168">
        <f>+'Opex Inputs'!B27</f>
        <v>2015</v>
      </c>
      <c r="C226" s="173">
        <f>+'Opex Inputs'!C27</f>
        <v>139.32008005599428</v>
      </c>
      <c r="D226" s="203"/>
      <c r="E226" s="203"/>
      <c r="F226" s="174">
        <f>+'Opex Inputs'!F27</f>
        <v>0</v>
      </c>
      <c r="G226" s="203"/>
    </row>
    <row r="227" spans="1:8">
      <c r="A227" s="93"/>
      <c r="B227" s="168">
        <f>+'Opex Inputs'!B28</f>
        <v>2016</v>
      </c>
      <c r="C227" s="173">
        <f>+'Opex Inputs'!C28</f>
        <v>143.47384054768409</v>
      </c>
      <c r="D227" s="203"/>
      <c r="E227" s="203"/>
      <c r="F227" s="174">
        <f>+'Opex Inputs'!F28</f>
        <v>0</v>
      </c>
      <c r="G227" s="203"/>
    </row>
    <row r="228" spans="1:8">
      <c r="A228" s="93"/>
      <c r="B228" s="168">
        <f>+'Opex Inputs'!B29</f>
        <v>2017</v>
      </c>
      <c r="C228" s="173">
        <f>+'Opex Inputs'!C29</f>
        <v>146.93151181384448</v>
      </c>
      <c r="D228" s="203"/>
      <c r="E228" s="203"/>
      <c r="F228" s="174">
        <f>+'Opex Inputs'!F29</f>
        <v>0</v>
      </c>
      <c r="G228" s="203"/>
    </row>
    <row r="229" spans="1:8">
      <c r="A229" s="93"/>
      <c r="B229" s="168">
        <f>+'Opex Inputs'!B30</f>
        <v>2018</v>
      </c>
      <c r="C229" s="173">
        <f>+'Opex Inputs'!C30</f>
        <v>150.07664588562588</v>
      </c>
      <c r="D229" s="203"/>
      <c r="E229" s="203"/>
      <c r="F229" s="174"/>
      <c r="G229" s="203"/>
    </row>
    <row r="230" spans="1:8">
      <c r="A230" s="93"/>
      <c r="B230" s="93"/>
      <c r="C230" s="93"/>
      <c r="D230" s="93"/>
      <c r="E230" s="93"/>
      <c r="F230" s="93"/>
      <c r="G230" s="93"/>
    </row>
    <row r="231" spans="1:8">
      <c r="A231" s="93"/>
      <c r="B231" s="168" t="str">
        <f>+'Opex Inputs'!A37</f>
        <v>IO6</v>
      </c>
      <c r="C231" s="169" t="str">
        <f>+'Opex Inputs'!B37</f>
        <v>Suppliers forecast of increased insurance costs due to natural disasters ($000)</v>
      </c>
      <c r="D231" s="169"/>
      <c r="E231" s="169"/>
      <c r="F231" s="169"/>
      <c r="G231" s="169"/>
    </row>
    <row r="232" spans="1:8">
      <c r="A232" s="93"/>
      <c r="B232" s="170"/>
      <c r="C232" s="171" t="str">
        <f>+'Opex Inputs'!C39</f>
        <v xml:space="preserve">Gasnet </v>
      </c>
      <c r="D232" s="172" t="str">
        <f>+'Opex Inputs'!D39</f>
        <v>Powerco</v>
      </c>
      <c r="E232" s="172" t="str">
        <f>+'Opex Inputs'!E39</f>
        <v>Vector Dist</v>
      </c>
      <c r="F232" s="172" t="str">
        <f>+'Opex Inputs'!F39</f>
        <v>Maui</v>
      </c>
      <c r="G232" s="172" t="str">
        <f>+'Opex Inputs'!G39</f>
        <v>Vector Trans</v>
      </c>
    </row>
    <row r="233" spans="1:8">
      <c r="A233" s="93"/>
      <c r="B233" s="168">
        <f>+'Opex Inputs'!B40</f>
        <v>2011</v>
      </c>
      <c r="C233" s="173">
        <f>+'Opex Inputs'!C40</f>
        <v>0</v>
      </c>
      <c r="D233" s="203"/>
      <c r="E233" s="203"/>
      <c r="F233" s="174">
        <f>+'Opex Inputs'!F40</f>
        <v>0</v>
      </c>
      <c r="G233" s="203"/>
    </row>
    <row r="234" spans="1:8">
      <c r="A234" s="93"/>
      <c r="B234" s="168">
        <f>+'Opex Inputs'!B41</f>
        <v>2012</v>
      </c>
      <c r="C234" s="173">
        <f>+'Opex Inputs'!C41</f>
        <v>68</v>
      </c>
      <c r="D234" s="203"/>
      <c r="E234" s="203"/>
      <c r="F234" s="174">
        <f>+'Opex Inputs'!F41</f>
        <v>0</v>
      </c>
      <c r="G234" s="203"/>
    </row>
    <row r="235" spans="1:8">
      <c r="A235" s="93"/>
      <c r="B235" s="168">
        <f>+'Opex Inputs'!B42</f>
        <v>2013</v>
      </c>
      <c r="C235" s="173">
        <f>+'Opex Inputs'!C42</f>
        <v>108</v>
      </c>
      <c r="D235" s="203"/>
      <c r="E235" s="203"/>
      <c r="F235" s="174">
        <f>+'Opex Inputs'!F42</f>
        <v>1840.7750000000001</v>
      </c>
      <c r="G235" s="203"/>
    </row>
    <row r="236" spans="1:8">
      <c r="A236" s="93"/>
      <c r="B236" s="168">
        <f>+'Opex Inputs'!B43</f>
        <v>2014</v>
      </c>
      <c r="C236" s="173">
        <f>+'Opex Inputs'!C43</f>
        <v>119</v>
      </c>
      <c r="D236" s="203"/>
      <c r="E236" s="203"/>
      <c r="F236" s="174">
        <f>+'Opex Inputs'!F43</f>
        <v>1895.998</v>
      </c>
      <c r="G236" s="203"/>
    </row>
    <row r="237" spans="1:8">
      <c r="A237" s="93"/>
      <c r="B237" s="168">
        <f>+'Opex Inputs'!B44</f>
        <v>2015</v>
      </c>
      <c r="C237" s="173">
        <f>+'Opex Inputs'!C44</f>
        <v>123</v>
      </c>
      <c r="D237" s="203"/>
      <c r="E237" s="203"/>
      <c r="F237" s="174">
        <f>+'Opex Inputs'!F44</f>
        <v>1952.8779999999999</v>
      </c>
      <c r="G237" s="203"/>
    </row>
    <row r="238" spans="1:8">
      <c r="A238" s="93"/>
      <c r="B238" s="168">
        <f>+'Opex Inputs'!B45</f>
        <v>2016</v>
      </c>
      <c r="C238" s="173">
        <f>+'Opex Inputs'!C45</f>
        <v>126</v>
      </c>
      <c r="D238" s="203"/>
      <c r="E238" s="203"/>
      <c r="F238" s="174">
        <f>+'Opex Inputs'!F45</f>
        <v>2011.4649999999999</v>
      </c>
      <c r="G238" s="203"/>
    </row>
    <row r="239" spans="1:8">
      <c r="A239" s="93"/>
      <c r="B239" s="168">
        <f>+'Opex Inputs'!B46</f>
        <v>2017</v>
      </c>
      <c r="C239" s="173">
        <f>+'Opex Inputs'!C46</f>
        <v>130</v>
      </c>
      <c r="D239" s="203"/>
      <c r="E239" s="203"/>
      <c r="F239" s="174">
        <f>+'Opex Inputs'!F46</f>
        <v>2071.808</v>
      </c>
      <c r="G239" s="203"/>
    </row>
    <row r="240" spans="1:8">
      <c r="A240" s="93"/>
      <c r="B240" s="168">
        <f>+'Opex Inputs'!B47</f>
        <v>2018</v>
      </c>
      <c r="C240" s="173">
        <f>+'Opex Inputs'!C47</f>
        <v>134</v>
      </c>
      <c r="D240" s="203"/>
      <c r="E240" s="203"/>
      <c r="F240" s="174"/>
      <c r="G240" s="203"/>
      <c r="H240" s="2"/>
    </row>
    <row r="241" spans="1:7">
      <c r="A241" s="93"/>
      <c r="B241" s="93"/>
      <c r="C241" s="93"/>
      <c r="D241" s="93"/>
      <c r="E241" s="93"/>
      <c r="F241" s="93"/>
      <c r="G241" s="93"/>
    </row>
    <row r="242" spans="1:7">
      <c r="A242" s="93"/>
      <c r="B242" s="168" t="str">
        <f>+'Opex Inputs'!A59</f>
        <v>IO8</v>
      </c>
      <c r="C242" s="169" t="str">
        <f>+'Opex Inputs'!B59</f>
        <v>Compressor fuel costs</v>
      </c>
      <c r="D242" s="169"/>
      <c r="E242" s="169"/>
      <c r="F242" s="169"/>
      <c r="G242" s="169"/>
    </row>
    <row r="243" spans="1:7">
      <c r="A243" s="93"/>
      <c r="B243" s="170"/>
      <c r="C243" s="171" t="str">
        <f>+'Opex Inputs'!C61</f>
        <v xml:space="preserve">Gasnet </v>
      </c>
      <c r="D243" s="172" t="str">
        <f>+'Opex Inputs'!D61</f>
        <v>Powerco</v>
      </c>
      <c r="E243" s="172" t="str">
        <f>+'Opex Inputs'!E61</f>
        <v>Vector Dist</v>
      </c>
      <c r="F243" s="172" t="str">
        <f>+'Opex Inputs'!F61</f>
        <v>Maui</v>
      </c>
      <c r="G243" s="172" t="str">
        <f>+'Opex Inputs'!G61</f>
        <v>Vector Trans</v>
      </c>
    </row>
    <row r="244" spans="1:7">
      <c r="A244" s="93"/>
      <c r="B244" s="168">
        <f>+'Opex Inputs'!B62</f>
        <v>2011</v>
      </c>
      <c r="C244" s="173">
        <f>+'Opex Inputs'!C62</f>
        <v>0</v>
      </c>
      <c r="D244" s="203"/>
      <c r="E244" s="203"/>
      <c r="F244" s="174">
        <f>+'Opex Inputs'!F62</f>
        <v>0</v>
      </c>
      <c r="G244" s="203"/>
    </row>
    <row r="245" spans="1:7">
      <c r="A245" s="93"/>
      <c r="B245" s="168">
        <f>+'Opex Inputs'!B63</f>
        <v>2012</v>
      </c>
      <c r="C245" s="173">
        <f>+'Opex Inputs'!C63</f>
        <v>0</v>
      </c>
      <c r="D245" s="203"/>
      <c r="E245" s="203"/>
      <c r="F245" s="174">
        <f>+'Opex Inputs'!F63</f>
        <v>112.163</v>
      </c>
      <c r="G245" s="203"/>
    </row>
    <row r="246" spans="1:7">
      <c r="A246" s="93"/>
      <c r="B246" s="168">
        <f>+'Opex Inputs'!B64</f>
        <v>2013</v>
      </c>
      <c r="C246" s="173">
        <f>+'Opex Inputs'!C64</f>
        <v>0</v>
      </c>
      <c r="D246" s="203"/>
      <c r="E246" s="203"/>
      <c r="F246" s="174">
        <f>+'Opex Inputs'!F64</f>
        <v>1370.164</v>
      </c>
      <c r="G246" s="203"/>
    </row>
    <row r="247" spans="1:7">
      <c r="A247" s="93"/>
      <c r="B247" s="168">
        <f>+'Opex Inputs'!B65</f>
        <v>2014</v>
      </c>
      <c r="C247" s="173">
        <f>+'Opex Inputs'!C65</f>
        <v>0</v>
      </c>
      <c r="D247" s="203"/>
      <c r="E247" s="203"/>
      <c r="F247" s="174">
        <f>+'Opex Inputs'!F65</f>
        <v>1411.269</v>
      </c>
      <c r="G247" s="203"/>
    </row>
    <row r="248" spans="1:7">
      <c r="A248" s="93"/>
      <c r="B248" s="168">
        <f>+'Opex Inputs'!B66</f>
        <v>2015</v>
      </c>
      <c r="C248" s="173">
        <f>+'Opex Inputs'!C66</f>
        <v>0</v>
      </c>
      <c r="D248" s="203"/>
      <c r="E248" s="203"/>
      <c r="F248" s="174">
        <f>+'Opex Inputs'!F66</f>
        <v>1453.607</v>
      </c>
      <c r="G248" s="203"/>
    </row>
    <row r="249" spans="1:7">
      <c r="A249" s="93"/>
      <c r="B249" s="168">
        <f>+'Opex Inputs'!B67</f>
        <v>2016</v>
      </c>
      <c r="C249" s="173">
        <f>+'Opex Inputs'!C67</f>
        <v>0</v>
      </c>
      <c r="D249" s="203"/>
      <c r="E249" s="203"/>
      <c r="F249" s="174">
        <f>+'Opex Inputs'!F67</f>
        <v>1497.2159999999999</v>
      </c>
      <c r="G249" s="203"/>
    </row>
    <row r="250" spans="1:7">
      <c r="A250" s="93"/>
      <c r="B250" s="168">
        <f>+'Opex Inputs'!B68</f>
        <v>2017</v>
      </c>
      <c r="C250" s="173">
        <f>+'Opex Inputs'!C68</f>
        <v>0</v>
      </c>
      <c r="D250" s="203"/>
      <c r="E250" s="203"/>
      <c r="F250" s="174">
        <f>+'Opex Inputs'!F68</f>
        <v>1542.1320000000001</v>
      </c>
      <c r="G250" s="203"/>
    </row>
    <row r="251" spans="1:7">
      <c r="A251" s="93"/>
      <c r="B251" s="168">
        <f>+'Opex Inputs'!B69</f>
        <v>2018</v>
      </c>
      <c r="C251" s="173">
        <f>+'Opex Inputs'!C69</f>
        <v>0</v>
      </c>
      <c r="D251" s="203"/>
      <c r="E251" s="203"/>
      <c r="F251" s="174"/>
      <c r="G251" s="203"/>
    </row>
    <row r="252" spans="1:7">
      <c r="A252" s="93"/>
      <c r="B252" s="93"/>
      <c r="C252" s="93"/>
      <c r="D252" s="93"/>
      <c r="E252" s="93"/>
      <c r="F252" s="93"/>
      <c r="G252" s="93"/>
    </row>
    <row r="253" spans="1:7">
      <c r="A253" s="93"/>
      <c r="B253" s="93"/>
      <c r="C253" s="93"/>
      <c r="D253" s="93"/>
      <c r="E253" s="93"/>
      <c r="F253" s="93"/>
      <c r="G253" s="93"/>
    </row>
    <row r="254" spans="1:7">
      <c r="A254" s="93"/>
      <c r="B254" s="110" t="s">
        <v>71</v>
      </c>
      <c r="C254" s="103" t="s">
        <v>76</v>
      </c>
      <c r="D254" s="93"/>
      <c r="E254" s="93"/>
      <c r="F254" s="93"/>
      <c r="G254" s="93"/>
    </row>
    <row r="255" spans="1:7">
      <c r="A255" s="93"/>
      <c r="B255" s="95"/>
      <c r="C255" s="96" t="str">
        <f>+'Opex Inputs'!C39</f>
        <v xml:space="preserve">Gasnet </v>
      </c>
      <c r="D255" s="97" t="str">
        <f>+'Opex Inputs'!D39</f>
        <v>Powerco</v>
      </c>
      <c r="E255" s="97" t="str">
        <f>+'Opex Inputs'!E39</f>
        <v>Vector Dist</v>
      </c>
      <c r="F255" s="97" t="str">
        <f>+'Opex Inputs'!F39</f>
        <v>Maui</v>
      </c>
      <c r="G255" s="97" t="str">
        <f>+'Opex Inputs'!G39</f>
        <v>Vector Trans</v>
      </c>
    </row>
    <row r="256" spans="1:7">
      <c r="A256" s="93"/>
      <c r="B256" s="94">
        <f>+'Opex Inputs'!B40</f>
        <v>2011</v>
      </c>
      <c r="C256" s="125">
        <f>+C222+C233+C244</f>
        <v>0</v>
      </c>
      <c r="D256" s="202"/>
      <c r="E256" s="202"/>
      <c r="F256" s="126">
        <f t="shared" ref="D256:G256" si="21">+F222+F233+F244</f>
        <v>0</v>
      </c>
      <c r="G256" s="202"/>
    </row>
    <row r="257" spans="1:14">
      <c r="A257" s="93"/>
      <c r="B257" s="94">
        <f>+'Opex Inputs'!B41</f>
        <v>2012</v>
      </c>
      <c r="C257" s="125">
        <f t="shared" ref="C257:G263" si="22">+C223+C234+C245</f>
        <v>198</v>
      </c>
      <c r="D257" s="202"/>
      <c r="E257" s="202"/>
      <c r="F257" s="126">
        <f t="shared" si="22"/>
        <v>112.163</v>
      </c>
      <c r="G257" s="202"/>
    </row>
    <row r="258" spans="1:14">
      <c r="A258" s="93"/>
      <c r="B258" s="94">
        <f>+'Opex Inputs'!B42</f>
        <v>2013</v>
      </c>
      <c r="C258" s="125">
        <f t="shared" si="22"/>
        <v>240.51316143085302</v>
      </c>
      <c r="D258" s="202"/>
      <c r="E258" s="202"/>
      <c r="F258" s="126">
        <f t="shared" si="22"/>
        <v>3210.9390000000003</v>
      </c>
      <c r="G258" s="202"/>
    </row>
    <row r="259" spans="1:14">
      <c r="A259" s="93"/>
      <c r="B259" s="94">
        <f>+'Opex Inputs'!B43</f>
        <v>2014</v>
      </c>
      <c r="C259" s="125">
        <f t="shared" si="22"/>
        <v>333.10530860762719</v>
      </c>
      <c r="D259" s="202"/>
      <c r="E259" s="202"/>
      <c r="F259" s="126">
        <f t="shared" si="22"/>
        <v>3307.2669999999998</v>
      </c>
      <c r="G259" s="202"/>
    </row>
    <row r="260" spans="1:14">
      <c r="A260" s="93"/>
      <c r="B260" s="94">
        <f>+'Opex Inputs'!B44</f>
        <v>2015</v>
      </c>
      <c r="C260" s="125">
        <f t="shared" si="22"/>
        <v>262.32008005599425</v>
      </c>
      <c r="D260" s="202"/>
      <c r="E260" s="202"/>
      <c r="F260" s="126">
        <f>+F226+F237+F248</f>
        <v>3406.4849999999997</v>
      </c>
      <c r="G260" s="202"/>
    </row>
    <row r="261" spans="1:14">
      <c r="A261" s="93"/>
      <c r="B261" s="94">
        <f>+'Opex Inputs'!B45</f>
        <v>2016</v>
      </c>
      <c r="C261" s="125">
        <f t="shared" si="22"/>
        <v>269.47384054768406</v>
      </c>
      <c r="D261" s="202"/>
      <c r="E261" s="202"/>
      <c r="F261" s="126">
        <f t="shared" si="22"/>
        <v>3508.6809999999996</v>
      </c>
      <c r="G261" s="202"/>
    </row>
    <row r="262" spans="1:14">
      <c r="A262" s="93"/>
      <c r="B262" s="94">
        <f>+'Opex Inputs'!B46</f>
        <v>2017</v>
      </c>
      <c r="C262" s="125">
        <f t="shared" si="22"/>
        <v>276.93151181384451</v>
      </c>
      <c r="D262" s="202"/>
      <c r="E262" s="202"/>
      <c r="F262" s="126">
        <f t="shared" si="22"/>
        <v>3613.94</v>
      </c>
      <c r="G262" s="202"/>
    </row>
    <row r="263" spans="1:14">
      <c r="A263" s="93"/>
      <c r="B263" s="94">
        <v>2018</v>
      </c>
      <c r="C263" s="125">
        <f t="shared" si="22"/>
        <v>284.07664588562591</v>
      </c>
      <c r="D263" s="202"/>
      <c r="E263" s="202"/>
      <c r="F263" s="126"/>
      <c r="G263" s="202"/>
    </row>
    <row r="264" spans="1:14">
      <c r="B264" s="17"/>
      <c r="C264" s="13"/>
    </row>
    <row r="265" spans="1:14">
      <c r="B265" s="17"/>
      <c r="C265" s="13"/>
    </row>
    <row r="266" spans="1:14">
      <c r="A266" s="3" t="s">
        <v>70</v>
      </c>
      <c r="B266" s="3" t="s">
        <v>75</v>
      </c>
    </row>
    <row r="267" spans="1:14">
      <c r="A267" s="3"/>
      <c r="B267" s="9" t="s">
        <v>47</v>
      </c>
      <c r="C267" s="9" t="s">
        <v>55</v>
      </c>
    </row>
    <row r="268" spans="1:14">
      <c r="A268" s="3"/>
      <c r="B268" s="3"/>
    </row>
    <row r="269" spans="1:14">
      <c r="A269" s="3"/>
      <c r="B269" s="5"/>
      <c r="C269" s="7" t="s">
        <v>37</v>
      </c>
      <c r="D269" s="8" t="s">
        <v>38</v>
      </c>
      <c r="E269" s="8" t="s">
        <v>148</v>
      </c>
      <c r="F269" s="8" t="s">
        <v>39</v>
      </c>
      <c r="G269" s="8" t="s">
        <v>149</v>
      </c>
    </row>
    <row r="270" spans="1:14">
      <c r="A270" s="3"/>
      <c r="B270" s="11" t="s">
        <v>77</v>
      </c>
      <c r="C270" s="33">
        <v>1</v>
      </c>
      <c r="D270" s="34">
        <v>1</v>
      </c>
      <c r="E270" s="34">
        <v>1</v>
      </c>
      <c r="F270" s="34">
        <v>1</v>
      </c>
      <c r="G270" s="34">
        <v>1</v>
      </c>
    </row>
    <row r="271" spans="1:14">
      <c r="A271" s="3"/>
      <c r="B271" s="9">
        <v>2012</v>
      </c>
      <c r="C271" s="33">
        <f t="shared" ref="C271:G276" si="23">+C270*(1+C205)</f>
        <v>1.0336232736832682</v>
      </c>
      <c r="D271" s="34">
        <f t="shared" si="23"/>
        <v>1.0322485207143981</v>
      </c>
      <c r="E271" s="34">
        <f t="shared" si="23"/>
        <v>1.0399805232796153</v>
      </c>
      <c r="F271" s="34">
        <f t="shared" si="23"/>
        <v>1.0193415999968634</v>
      </c>
      <c r="G271" s="34">
        <f t="shared" si="23"/>
        <v>1.025094402877661</v>
      </c>
      <c r="I271" s="75"/>
      <c r="J271" s="75"/>
      <c r="K271" s="75"/>
      <c r="L271" s="75"/>
      <c r="M271" s="75"/>
      <c r="N271" s="75"/>
    </row>
    <row r="272" spans="1:14">
      <c r="A272" s="3"/>
      <c r="B272" s="9">
        <v>2013</v>
      </c>
      <c r="C272" s="33">
        <f t="shared" si="23"/>
        <v>1.0618953056868643</v>
      </c>
      <c r="D272" s="34">
        <f t="shared" si="23"/>
        <v>1.0590638632665788</v>
      </c>
      <c r="E272" s="34">
        <f t="shared" si="23"/>
        <v>1.0750378568007293</v>
      </c>
      <c r="F272" s="34">
        <f t="shared" si="23"/>
        <v>1.0412597795362206</v>
      </c>
      <c r="G272" s="34">
        <f t="shared" si="23"/>
        <v>1.0443902524429307</v>
      </c>
      <c r="I272" s="75"/>
      <c r="J272" s="75"/>
      <c r="K272" s="75"/>
      <c r="L272" s="75"/>
      <c r="M272" s="75"/>
      <c r="N272" s="75"/>
    </row>
    <row r="273" spans="1:14">
      <c r="A273" s="3"/>
      <c r="B273" s="9">
        <v>2014</v>
      </c>
      <c r="C273" s="33">
        <f t="shared" si="23"/>
        <v>1.0964267259487295</v>
      </c>
      <c r="D273" s="34">
        <f t="shared" si="23"/>
        <v>1.0920472576038609</v>
      </c>
      <c r="E273" s="34">
        <f t="shared" si="23"/>
        <v>1.1168309392922904</v>
      </c>
      <c r="F273" s="34">
        <f>+F272*(1+F207)</f>
        <v>1.0659788848732406</v>
      </c>
      <c r="G273" s="34">
        <f t="shared" si="23"/>
        <v>1.069444962166773</v>
      </c>
      <c r="I273" s="75"/>
      <c r="J273" s="75"/>
      <c r="K273" s="75"/>
      <c r="L273" s="75"/>
      <c r="M273" s="75"/>
      <c r="N273" s="75"/>
    </row>
    <row r="274" spans="1:14">
      <c r="A274" s="3"/>
      <c r="B274" s="9">
        <v>2015</v>
      </c>
      <c r="C274" s="33">
        <f t="shared" si="23"/>
        <v>1.1321705087020428</v>
      </c>
      <c r="D274" s="34">
        <f t="shared" si="23"/>
        <v>1.1261469733951894</v>
      </c>
      <c r="E274" s="34">
        <f t="shared" si="23"/>
        <v>1.1603398774909166</v>
      </c>
      <c r="F274" s="34">
        <f t="shared" si="23"/>
        <v>1.0943629919317928</v>
      </c>
      <c r="G274" s="34">
        <f t="shared" si="23"/>
        <v>1.0951879748237836</v>
      </c>
      <c r="I274" s="75"/>
      <c r="J274" s="75"/>
      <c r="K274" s="75"/>
      <c r="L274" s="75"/>
      <c r="M274" s="75"/>
      <c r="N274" s="75"/>
    </row>
    <row r="275" spans="1:14">
      <c r="A275" s="3"/>
      <c r="B275" s="9">
        <v>2016</v>
      </c>
      <c r="C275" s="33">
        <f t="shared" si="23"/>
        <v>1.1733886760689685</v>
      </c>
      <c r="D275" s="34">
        <f t="shared" si="23"/>
        <v>1.165597672083708</v>
      </c>
      <c r="E275" s="34">
        <f t="shared" si="23"/>
        <v>1.2099601582676272</v>
      </c>
      <c r="F275" s="34">
        <f t="shared" si="23"/>
        <v>1.1224152020089928</v>
      </c>
      <c r="G275" s="34">
        <f t="shared" si="23"/>
        <v>1.1257190273020778</v>
      </c>
      <c r="I275" s="75"/>
      <c r="J275" s="75"/>
      <c r="K275" s="75"/>
      <c r="L275" s="75"/>
      <c r="M275" s="75"/>
      <c r="N275" s="75"/>
    </row>
    <row r="276" spans="1:14">
      <c r="A276" s="3"/>
      <c r="B276" s="9">
        <v>2017</v>
      </c>
      <c r="C276" s="33">
        <f t="shared" si="23"/>
        <v>1.2101679541171426</v>
      </c>
      <c r="D276" s="34">
        <f t="shared" si="23"/>
        <v>1.2005303361692312</v>
      </c>
      <c r="E276" s="34">
        <f t="shared" si="23"/>
        <v>1.2555777697641912</v>
      </c>
      <c r="F276" s="34">
        <f t="shared" si="23"/>
        <v>1.1483579751012525</v>
      </c>
      <c r="G276" s="34">
        <f t="shared" si="23"/>
        <v>1.1514030120316299</v>
      </c>
      <c r="I276" s="75"/>
      <c r="J276" s="75"/>
      <c r="K276" s="75"/>
      <c r="L276" s="75"/>
      <c r="M276" s="75"/>
      <c r="N276" s="75"/>
    </row>
    <row r="277" spans="1:14">
      <c r="A277" s="3"/>
      <c r="B277" s="9">
        <v>2018</v>
      </c>
      <c r="C277" s="33">
        <f>+C276*(1+C211)</f>
        <v>1.2503855280934184</v>
      </c>
      <c r="D277" s="34">
        <f>+D276*(1+D211)</f>
        <v>1.2387771900477733</v>
      </c>
      <c r="E277" s="34">
        <f>+E276*(1+E211)</f>
        <v>1.305286471753742</v>
      </c>
      <c r="F277" s="34"/>
      <c r="G277" s="34">
        <f>+G276*(1+G211)</f>
        <v>1.1798474801247545</v>
      </c>
      <c r="I277" s="75"/>
      <c r="J277" s="75"/>
      <c r="K277" s="75"/>
      <c r="L277" s="75"/>
      <c r="M277" s="75"/>
      <c r="N277" s="75"/>
    </row>
    <row r="278" spans="1:14">
      <c r="A278" s="3"/>
      <c r="B278" s="3"/>
    </row>
    <row r="279" spans="1:14">
      <c r="A279" s="3" t="s">
        <v>69</v>
      </c>
      <c r="B279" s="3" t="s">
        <v>74</v>
      </c>
      <c r="I279" s="76"/>
      <c r="J279" s="76"/>
      <c r="K279" s="76"/>
      <c r="L279" s="76"/>
      <c r="M279" s="76"/>
    </row>
    <row r="280" spans="1:14">
      <c r="A280" s="3"/>
      <c r="B280" s="9" t="s">
        <v>78</v>
      </c>
      <c r="C280" s="9" t="s">
        <v>79</v>
      </c>
      <c r="I280" s="76"/>
      <c r="J280" s="76"/>
      <c r="K280" s="76"/>
      <c r="L280" s="76"/>
      <c r="M280" s="76"/>
    </row>
    <row r="281" spans="1:14">
      <c r="A281" s="3"/>
      <c r="B281" s="3"/>
      <c r="I281" s="76"/>
      <c r="J281" s="76"/>
      <c r="K281" s="76"/>
      <c r="L281" s="76"/>
      <c r="M281" s="76"/>
    </row>
    <row r="282" spans="1:14">
      <c r="A282" s="3"/>
      <c r="B282" s="147" t="str">
        <f>+'Opex Inputs'!A6</f>
        <v>IO1</v>
      </c>
      <c r="C282" s="148" t="str">
        <f>+'Opex Inputs'!B6</f>
        <v>Base year opex ($000)</v>
      </c>
      <c r="D282" s="148"/>
      <c r="E282" s="148"/>
      <c r="F282" s="148"/>
      <c r="G282" s="148"/>
      <c r="I282" s="76"/>
      <c r="J282" s="76"/>
      <c r="K282" s="76"/>
      <c r="L282" s="76"/>
      <c r="M282" s="76"/>
    </row>
    <row r="283" spans="1:14">
      <c r="A283" s="3"/>
      <c r="B283" s="149"/>
      <c r="C283" s="150" t="str">
        <f>+'Opex Inputs'!C8</f>
        <v xml:space="preserve">Gasnet </v>
      </c>
      <c r="D283" s="151" t="str">
        <f>+'Opex Inputs'!D8</f>
        <v>Powerco</v>
      </c>
      <c r="E283" s="151" t="str">
        <f>+'Opex Inputs'!E8</f>
        <v>Vector Dist</v>
      </c>
      <c r="F283" s="151" t="str">
        <f>+'Opex Inputs'!F8</f>
        <v>Maui</v>
      </c>
      <c r="G283" s="151" t="str">
        <f>+'Opex Inputs'!G8</f>
        <v>Vector Trans</v>
      </c>
      <c r="I283" s="76"/>
      <c r="J283" s="76"/>
      <c r="K283" s="76"/>
      <c r="L283" s="76"/>
      <c r="M283" s="76"/>
    </row>
    <row r="284" spans="1:14">
      <c r="A284" s="3"/>
      <c r="B284" s="147">
        <f>+'Opex Inputs'!B9</f>
        <v>2011</v>
      </c>
      <c r="C284" s="153">
        <f>+'Opex Inputs'!C9</f>
        <v>1332.3170536123812</v>
      </c>
      <c r="D284" s="154">
        <f>+'Opex Inputs'!D9</f>
        <v>15382.2596797528</v>
      </c>
      <c r="E284" s="154">
        <f>+'Opex Inputs'!E9</f>
        <v>19286.722000000002</v>
      </c>
      <c r="F284" s="154">
        <f>+'Opex Inputs'!F9</f>
        <v>8768</v>
      </c>
      <c r="G284" s="154">
        <f>+'Opex Inputs'!G9</f>
        <v>29733.722000000002</v>
      </c>
      <c r="I284" s="76"/>
      <c r="J284" s="76"/>
      <c r="K284" s="76"/>
      <c r="L284" s="76"/>
      <c r="M284" s="76"/>
    </row>
    <row r="285" spans="1:14">
      <c r="A285" s="3"/>
      <c r="B285" s="3"/>
      <c r="I285" s="20"/>
      <c r="J285" s="20"/>
      <c r="K285" s="20"/>
      <c r="L285" s="20"/>
      <c r="M285" s="20"/>
    </row>
    <row r="286" spans="1:14">
      <c r="A286" s="3"/>
      <c r="B286" s="9"/>
      <c r="C286" t="s">
        <v>185</v>
      </c>
      <c r="I286" s="20"/>
      <c r="J286" s="20"/>
      <c r="K286" s="20"/>
      <c r="L286" s="20"/>
      <c r="M286" s="20"/>
    </row>
    <row r="287" spans="1:14">
      <c r="A287" s="3"/>
      <c r="B287" s="5"/>
      <c r="C287" s="7" t="str">
        <f t="shared" ref="C287:G288" si="24">+C255</f>
        <v xml:space="preserve">Gasnet </v>
      </c>
      <c r="D287" s="8" t="str">
        <f t="shared" si="24"/>
        <v>Powerco</v>
      </c>
      <c r="E287" s="8" t="str">
        <f t="shared" si="24"/>
        <v>Vector Dist</v>
      </c>
      <c r="F287" s="8" t="str">
        <f t="shared" si="24"/>
        <v>Maui</v>
      </c>
      <c r="G287" s="8" t="str">
        <f t="shared" si="24"/>
        <v>Vector Trans</v>
      </c>
      <c r="I287" s="20"/>
      <c r="J287" s="20"/>
      <c r="K287" s="20"/>
      <c r="L287" s="20"/>
      <c r="M287" s="20"/>
    </row>
    <row r="288" spans="1:14">
      <c r="A288" s="3"/>
      <c r="B288" s="9">
        <f>+B256</f>
        <v>2011</v>
      </c>
      <c r="C288" s="6">
        <f>+C256</f>
        <v>0</v>
      </c>
      <c r="D288" s="13">
        <f>+D256</f>
        <v>0</v>
      </c>
      <c r="E288" s="13">
        <f t="shared" si="24"/>
        <v>0</v>
      </c>
      <c r="F288" s="13">
        <f t="shared" si="24"/>
        <v>0</v>
      </c>
      <c r="G288" s="13">
        <f>+G256</f>
        <v>0</v>
      </c>
      <c r="I288" s="20"/>
      <c r="J288" s="20"/>
      <c r="K288" s="20"/>
      <c r="L288" s="20"/>
      <c r="M288" s="20"/>
    </row>
    <row r="289" spans="1:15">
      <c r="A289" s="3"/>
      <c r="B289" s="3"/>
      <c r="I289" s="20"/>
      <c r="J289" s="20"/>
      <c r="K289" s="20"/>
      <c r="L289" s="20"/>
      <c r="M289" s="20"/>
    </row>
    <row r="290" spans="1:15">
      <c r="A290" s="3"/>
      <c r="B290" s="9" t="s">
        <v>69</v>
      </c>
      <c r="C290" s="27" t="s">
        <v>74</v>
      </c>
      <c r="I290" s="20"/>
      <c r="J290" s="20"/>
      <c r="K290" s="20"/>
      <c r="L290" s="20"/>
      <c r="M290" s="20"/>
    </row>
    <row r="291" spans="1:15">
      <c r="A291" s="3"/>
      <c r="B291" s="5"/>
      <c r="C291" s="7" t="s">
        <v>37</v>
      </c>
      <c r="D291" s="8" t="s">
        <v>38</v>
      </c>
      <c r="E291" s="8" t="s">
        <v>148</v>
      </c>
      <c r="F291" s="8" t="s">
        <v>39</v>
      </c>
      <c r="G291" s="8" t="s">
        <v>149</v>
      </c>
    </row>
    <row r="292" spans="1:15">
      <c r="A292" s="3"/>
      <c r="B292" s="9">
        <v>2011</v>
      </c>
      <c r="C292" s="28">
        <f>+C284-C288</f>
        <v>1332.3170536123812</v>
      </c>
      <c r="D292" s="4">
        <f>+D284-D288</f>
        <v>15382.2596797528</v>
      </c>
      <c r="E292" s="4">
        <f>+E284-E288</f>
        <v>19286.722000000002</v>
      </c>
      <c r="F292" s="4">
        <f>+F284-F288</f>
        <v>8768</v>
      </c>
      <c r="G292" s="4">
        <f>+G284-G288</f>
        <v>29733.722000000002</v>
      </c>
    </row>
    <row r="294" spans="1:15">
      <c r="A294" s="3" t="s">
        <v>68</v>
      </c>
      <c r="B294" s="3" t="s">
        <v>73</v>
      </c>
    </row>
    <row r="295" spans="1:15">
      <c r="A295" s="3"/>
      <c r="B295" s="9" t="s">
        <v>78</v>
      </c>
      <c r="C295" s="9" t="s">
        <v>80</v>
      </c>
    </row>
    <row r="296" spans="1:15">
      <c r="A296" s="3"/>
      <c r="B296" s="3"/>
      <c r="J296" s="75"/>
      <c r="K296" s="75"/>
      <c r="L296" s="75"/>
      <c r="M296" s="75"/>
      <c r="N296" s="75"/>
    </row>
    <row r="297" spans="1:15">
      <c r="A297" s="3"/>
      <c r="B297" s="5"/>
      <c r="C297" s="7" t="s">
        <v>37</v>
      </c>
      <c r="D297" s="8" t="s">
        <v>38</v>
      </c>
      <c r="E297" s="8" t="s">
        <v>148</v>
      </c>
      <c r="F297" s="8" t="s">
        <v>39</v>
      </c>
      <c r="G297" s="8" t="s">
        <v>149</v>
      </c>
      <c r="J297" s="75"/>
      <c r="K297" s="75"/>
      <c r="L297" s="75"/>
      <c r="M297" s="75"/>
      <c r="N297" s="75"/>
    </row>
    <row r="298" spans="1:15">
      <c r="A298" s="3"/>
      <c r="B298" s="9">
        <v>2011</v>
      </c>
      <c r="C298" s="35">
        <f>C$292*C270</f>
        <v>1332.3170536123812</v>
      </c>
      <c r="D298" s="36">
        <f>D$292*D270</f>
        <v>15382.2596797528</v>
      </c>
      <c r="E298" s="36">
        <f>E$292*E270</f>
        <v>19286.722000000002</v>
      </c>
      <c r="F298" s="36">
        <f>F$292*F270</f>
        <v>8768</v>
      </c>
      <c r="G298" s="36">
        <f t="shared" ref="D298:G299" si="25">G$292*G270</f>
        <v>29733.722000000002</v>
      </c>
      <c r="J298" s="75"/>
      <c r="K298" s="75"/>
      <c r="L298" s="75"/>
      <c r="M298" s="75"/>
      <c r="N298" s="75"/>
    </row>
    <row r="299" spans="1:15">
      <c r="A299" s="3"/>
      <c r="B299" s="9">
        <v>2012</v>
      </c>
      <c r="C299" s="35">
        <f>C$292*C271</f>
        <v>1377.1139145388759</v>
      </c>
      <c r="D299" s="36">
        <f t="shared" si="25"/>
        <v>15878.314799669559</v>
      </c>
      <c r="E299" s="36">
        <f>E$292*E271</f>
        <v>20057.815237908471</v>
      </c>
      <c r="F299" s="36">
        <f>F$292*F271</f>
        <v>8937.587148772498</v>
      </c>
      <c r="G299" s="36">
        <f t="shared" si="25"/>
        <v>30479.871998920371</v>
      </c>
      <c r="I299" s="79"/>
      <c r="J299" s="82"/>
      <c r="K299" s="82"/>
      <c r="L299" s="82"/>
      <c r="M299" s="82"/>
      <c r="N299" s="82"/>
      <c r="O299" s="75"/>
    </row>
    <row r="300" spans="1:15">
      <c r="A300" s="3"/>
      <c r="B300" s="9">
        <v>2013</v>
      </c>
      <c r="C300" s="35">
        <f t="shared" ref="C300:G304" si="26">C$292*C272</f>
        <v>1414.781224917542</v>
      </c>
      <c r="D300" s="36">
        <f t="shared" si="26"/>
        <v>16290.795362208728</v>
      </c>
      <c r="E300" s="36">
        <f t="shared" si="26"/>
        <v>20733.956283591477</v>
      </c>
      <c r="F300" s="36">
        <f t="shared" si="26"/>
        <v>9129.7657469735823</v>
      </c>
      <c r="G300" s="36">
        <f t="shared" si="26"/>
        <v>31053.609425647923</v>
      </c>
      <c r="I300" s="74"/>
      <c r="J300" s="82"/>
      <c r="K300" s="82"/>
      <c r="L300" s="82"/>
      <c r="M300" s="82"/>
      <c r="N300" s="82"/>
      <c r="O300" s="75"/>
    </row>
    <row r="301" spans="1:15">
      <c r="A301" s="3"/>
      <c r="B301" s="9">
        <v>2014</v>
      </c>
      <c r="C301" s="35">
        <f t="shared" si="26"/>
        <v>1460.788025017881</v>
      </c>
      <c r="D301" s="36">
        <f t="shared" si="26"/>
        <v>16798.154499024487</v>
      </c>
      <c r="E301" s="36">
        <f t="shared" si="26"/>
        <v>21540.007847129284</v>
      </c>
      <c r="F301" s="36">
        <f t="shared" si="26"/>
        <v>9346.5028625685736</v>
      </c>
      <c r="G301" s="36">
        <f t="shared" si="26"/>
        <v>31798.579199367348</v>
      </c>
      <c r="I301" s="74"/>
      <c r="J301" s="82"/>
      <c r="K301" s="82"/>
      <c r="L301" s="82"/>
      <c r="M301" s="82"/>
      <c r="N301" s="82"/>
      <c r="O301" s="75"/>
    </row>
    <row r="302" spans="1:15">
      <c r="A302" s="3"/>
      <c r="B302" s="9">
        <v>2015</v>
      </c>
      <c r="C302" s="35">
        <f t="shared" si="26"/>
        <v>1508.4100763407364</v>
      </c>
      <c r="D302" s="36">
        <f t="shared" si="26"/>
        <v>17322.685182332472</v>
      </c>
      <c r="E302" s="36">
        <f t="shared" si="26"/>
        <v>22379.152642681369</v>
      </c>
      <c r="F302" s="36">
        <f t="shared" si="26"/>
        <v>9595.3747132579592</v>
      </c>
      <c r="G302" s="36">
        <f t="shared" si="26"/>
        <v>32564.014781153383</v>
      </c>
      <c r="I302" s="74"/>
      <c r="J302" s="82"/>
      <c r="K302" s="82"/>
      <c r="L302" s="82"/>
      <c r="M302" s="82"/>
      <c r="N302" s="82"/>
      <c r="O302" s="75"/>
    </row>
    <row r="303" spans="1:15">
      <c r="A303" s="3"/>
      <c r="B303" s="9">
        <v>2016</v>
      </c>
      <c r="C303" s="35">
        <f t="shared" si="26"/>
        <v>1563.3257436423407</v>
      </c>
      <c r="D303" s="36">
        <f t="shared" si="26"/>
        <v>17929.526074106947</v>
      </c>
      <c r="E303" s="36">
        <f t="shared" si="26"/>
        <v>23336.165203583729</v>
      </c>
      <c r="F303" s="36">
        <f t="shared" si="26"/>
        <v>9841.3364912148481</v>
      </c>
      <c r="G303" s="36">
        <f t="shared" si="26"/>
        <v>33471.816607910398</v>
      </c>
      <c r="I303" s="74"/>
      <c r="J303" s="82"/>
      <c r="K303" s="82"/>
      <c r="L303" s="82"/>
      <c r="M303" s="82"/>
      <c r="N303" s="82"/>
      <c r="O303" s="75"/>
    </row>
    <row r="304" spans="1:15">
      <c r="A304" s="3"/>
      <c r="B304" s="9">
        <v>2017</v>
      </c>
      <c r="C304" s="35">
        <f t="shared" si="26"/>
        <v>1612.3274030054747</v>
      </c>
      <c r="D304" s="36">
        <f t="shared" si="26"/>
        <v>18466.869384376041</v>
      </c>
      <c r="E304" s="36">
        <f t="shared" si="26"/>
        <v>24215.979394821963</v>
      </c>
      <c r="F304" s="36">
        <f t="shared" si="26"/>
        <v>10068.802725687781</v>
      </c>
      <c r="G304" s="36">
        <f>G$292*G276</f>
        <v>34235.497069711142</v>
      </c>
      <c r="I304" s="74"/>
      <c r="J304" s="82"/>
      <c r="K304" s="82"/>
      <c r="L304" s="82"/>
      <c r="M304" s="82"/>
      <c r="N304" s="82"/>
      <c r="O304" s="75"/>
    </row>
    <row r="305" spans="1:15">
      <c r="A305" s="3"/>
      <c r="B305" s="9">
        <v>2018</v>
      </c>
      <c r="C305" s="35">
        <f>C$292*C277</f>
        <v>1665.9099626689845</v>
      </c>
      <c r="D305" s="36">
        <f t="shared" ref="D305:G305" si="27">D$292*D277</f>
        <v>19055.192422669337</v>
      </c>
      <c r="E305" s="36">
        <f t="shared" si="27"/>
        <v>25174.697311075277</v>
      </c>
      <c r="F305" s="36"/>
      <c r="G305" s="36">
        <f t="shared" si="27"/>
        <v>35081.256976429977</v>
      </c>
      <c r="I305" s="74"/>
      <c r="J305" s="82"/>
      <c r="K305" s="82"/>
      <c r="L305" s="82"/>
      <c r="M305" s="82"/>
      <c r="N305" s="82"/>
      <c r="O305" s="75"/>
    </row>
    <row r="307" spans="1:15">
      <c r="A307" s="3" t="s">
        <v>67</v>
      </c>
      <c r="B307" s="3" t="s">
        <v>72</v>
      </c>
      <c r="J307" s="81"/>
      <c r="K307" s="81"/>
      <c r="L307" s="81"/>
      <c r="M307" s="81"/>
      <c r="N307" s="81"/>
      <c r="O307" s="81"/>
    </row>
    <row r="308" spans="1:15">
      <c r="A308" s="3"/>
      <c r="B308" s="9" t="s">
        <v>78</v>
      </c>
      <c r="C308" s="9" t="s">
        <v>81</v>
      </c>
      <c r="J308" s="81"/>
      <c r="K308" s="81"/>
      <c r="L308" s="81"/>
      <c r="M308" s="81"/>
      <c r="N308" s="81"/>
      <c r="O308" s="81"/>
    </row>
    <row r="309" spans="1:15">
      <c r="A309" s="3"/>
      <c r="B309" s="3"/>
      <c r="J309" s="81"/>
      <c r="K309" s="81"/>
      <c r="L309" s="81"/>
      <c r="M309" s="81"/>
      <c r="N309" s="81"/>
      <c r="O309" s="81"/>
    </row>
    <row r="310" spans="1:15">
      <c r="A310" s="3"/>
      <c r="B310" s="5"/>
      <c r="C310" s="7" t="s">
        <v>37</v>
      </c>
      <c r="D310" s="8" t="s">
        <v>38</v>
      </c>
      <c r="E310" s="8" t="s">
        <v>148</v>
      </c>
      <c r="F310" s="8" t="s">
        <v>39</v>
      </c>
      <c r="G310" s="8" t="s">
        <v>149</v>
      </c>
      <c r="J310" s="81"/>
      <c r="K310" s="81"/>
      <c r="L310" s="81"/>
      <c r="M310" s="81"/>
      <c r="N310" s="81"/>
      <c r="O310" s="81"/>
    </row>
    <row r="311" spans="1:15">
      <c r="A311" s="3"/>
      <c r="B311" s="9">
        <v>2011</v>
      </c>
      <c r="C311" s="35">
        <f t="shared" ref="C311:G317" si="28">+C298+C256</f>
        <v>1332.3170536123812</v>
      </c>
      <c r="D311" s="36">
        <v>15382.2596797528</v>
      </c>
      <c r="E311" s="36">
        <v>19286.722000000002</v>
      </c>
      <c r="F311" s="36">
        <f t="shared" si="28"/>
        <v>8768</v>
      </c>
      <c r="G311" s="36">
        <v>29733.722000000002</v>
      </c>
      <c r="J311" s="81"/>
      <c r="K311" s="81"/>
      <c r="L311" s="81"/>
      <c r="M311" s="81"/>
      <c r="N311" s="81"/>
      <c r="O311" s="81"/>
    </row>
    <row r="312" spans="1:15">
      <c r="A312" s="3"/>
      <c r="B312" s="9">
        <v>2012</v>
      </c>
      <c r="C312" s="35">
        <f t="shared" si="28"/>
        <v>1575.1139145388759</v>
      </c>
      <c r="D312" s="36">
        <v>15866.314799669559</v>
      </c>
      <c r="E312" s="36">
        <v>20077.815237908471</v>
      </c>
      <c r="F312" s="36">
        <f t="shared" si="28"/>
        <v>9049.7501487724985</v>
      </c>
      <c r="G312" s="36">
        <v>31122.871998920371</v>
      </c>
      <c r="J312" s="81"/>
      <c r="K312" s="81"/>
      <c r="L312" s="81"/>
      <c r="M312" s="81"/>
      <c r="N312" s="81"/>
      <c r="O312" s="81"/>
    </row>
    <row r="313" spans="1:15">
      <c r="A313" s="3"/>
      <c r="B313" s="9">
        <v>2013</v>
      </c>
      <c r="C313" s="35">
        <f t="shared" si="28"/>
        <v>1655.2943863483949</v>
      </c>
      <c r="D313" s="36">
        <v>16282.009601288903</v>
      </c>
      <c r="E313" s="36">
        <v>20762.956283591477</v>
      </c>
      <c r="F313" s="36">
        <f t="shared" si="28"/>
        <v>12340.704746973583</v>
      </c>
      <c r="G313" s="36">
        <v>31912.609425647923</v>
      </c>
      <c r="J313" s="81"/>
      <c r="K313" s="81"/>
      <c r="L313" s="81"/>
      <c r="M313" s="81"/>
      <c r="N313" s="81"/>
      <c r="O313" s="81"/>
    </row>
    <row r="314" spans="1:15">
      <c r="A314" s="3"/>
      <c r="B314" s="9">
        <v>2014</v>
      </c>
      <c r="C314" s="35">
        <f t="shared" si="28"/>
        <v>1793.8933336255081</v>
      </c>
      <c r="D314" s="36">
        <v>16791.474568849135</v>
      </c>
      <c r="E314" s="36">
        <v>21575.007847129284</v>
      </c>
      <c r="F314" s="36">
        <f t="shared" si="28"/>
        <v>12653.769862568573</v>
      </c>
      <c r="G314" s="36">
        <v>32861.579199367348</v>
      </c>
      <c r="J314" s="81"/>
      <c r="K314" s="81"/>
      <c r="L314" s="81"/>
      <c r="M314" s="81"/>
      <c r="N314" s="81"/>
      <c r="O314" s="81"/>
    </row>
    <row r="315" spans="1:15">
      <c r="A315" s="3"/>
      <c r="B315" s="9">
        <v>2015</v>
      </c>
      <c r="C315" s="35">
        <f t="shared" si="28"/>
        <v>1770.7301563967308</v>
      </c>
      <c r="D315" s="36">
        <v>17318.257545390392</v>
      </c>
      <c r="E315" s="36">
        <v>22420.152642681369</v>
      </c>
      <c r="F315" s="36">
        <f t="shared" si="28"/>
        <v>13001.85971325796</v>
      </c>
      <c r="G315" s="36">
        <v>33812.014781153383</v>
      </c>
      <c r="J315" s="81"/>
      <c r="K315" s="81"/>
      <c r="L315" s="81"/>
      <c r="M315" s="81"/>
      <c r="N315" s="81"/>
      <c r="O315" s="81"/>
    </row>
    <row r="316" spans="1:15">
      <c r="A316" s="3"/>
      <c r="B316" s="9">
        <v>2016</v>
      </c>
      <c r="C316" s="35">
        <f t="shared" si="28"/>
        <v>1832.7995841900247</v>
      </c>
      <c r="D316" s="36">
        <v>17927.597030479908</v>
      </c>
      <c r="E316" s="36">
        <v>23381.165203583729</v>
      </c>
      <c r="F316" s="36">
        <f t="shared" si="28"/>
        <v>13350.017491214847</v>
      </c>
      <c r="G316" s="36">
        <v>34848.816607910398</v>
      </c>
    </row>
    <row r="317" spans="1:15">
      <c r="A317" s="3"/>
      <c r="B317" s="9">
        <v>2017</v>
      </c>
      <c r="C317" s="35">
        <f t="shared" si="28"/>
        <v>1889.2589148193192</v>
      </c>
      <c r="D317" s="36">
        <v>18467.45646978126</v>
      </c>
      <c r="E317" s="36">
        <v>24261.979394821963</v>
      </c>
      <c r="F317" s="36">
        <f t="shared" si="28"/>
        <v>13682.742725687782</v>
      </c>
      <c r="G317" s="36">
        <v>35632.497069711142</v>
      </c>
    </row>
    <row r="318" spans="1:15">
      <c r="A318" s="3"/>
      <c r="B318" s="9">
        <v>2018</v>
      </c>
      <c r="C318" s="35">
        <f>+C305+C263</f>
        <v>1949.9866085546105</v>
      </c>
      <c r="D318" s="36">
        <v>19058.295637106814</v>
      </c>
      <c r="E318" s="36">
        <v>25220.697311075277</v>
      </c>
      <c r="F318" s="36"/>
      <c r="G318" s="36">
        <v>36478.256976429977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8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M185"/>
  <sheetViews>
    <sheetView zoomScale="80" zoomScaleNormal="80" workbookViewId="0">
      <selection activeCell="J13" sqref="J13"/>
    </sheetView>
  </sheetViews>
  <sheetFormatPr defaultRowHeight="15"/>
  <cols>
    <col min="1" max="1" width="14.7109375" customWidth="1"/>
    <col min="2" max="2" width="17" customWidth="1"/>
    <col min="3" max="7" width="14.28515625" customWidth="1"/>
    <col min="8" max="11" width="13.7109375" customWidth="1"/>
  </cols>
  <sheetData>
    <row r="4" spans="1:13" ht="18.75">
      <c r="A4" s="37" t="s">
        <v>84</v>
      </c>
      <c r="B4" s="38"/>
      <c r="C4" s="38"/>
      <c r="D4" s="38"/>
      <c r="E4" s="38"/>
      <c r="F4" s="38"/>
      <c r="G4" s="38"/>
    </row>
    <row r="6" spans="1:13">
      <c r="A6" s="19" t="s">
        <v>0</v>
      </c>
      <c r="B6" s="3" t="s">
        <v>153</v>
      </c>
    </row>
    <row r="8" spans="1:13">
      <c r="B8" s="5"/>
      <c r="C8" s="7" t="s">
        <v>37</v>
      </c>
      <c r="D8" s="8" t="s">
        <v>38</v>
      </c>
      <c r="E8" s="8" t="s">
        <v>148</v>
      </c>
      <c r="F8" s="8" t="s">
        <v>39</v>
      </c>
      <c r="G8" s="8" t="s">
        <v>149</v>
      </c>
    </row>
    <row r="9" spans="1:13">
      <c r="B9" s="9">
        <v>2011</v>
      </c>
      <c r="C9" s="6">
        <v>1332.3170536123812</v>
      </c>
      <c r="D9" s="13">
        <v>15382.2596797528</v>
      </c>
      <c r="E9" s="13">
        <v>19286.722000000002</v>
      </c>
      <c r="F9" s="13">
        <v>8768</v>
      </c>
      <c r="G9" s="13">
        <v>29733.722000000002</v>
      </c>
      <c r="I9" s="4"/>
      <c r="J9" s="4"/>
      <c r="K9" s="4"/>
      <c r="L9" s="4"/>
    </row>
    <row r="10" spans="1:13">
      <c r="B10" s="2"/>
      <c r="I10" s="4"/>
      <c r="J10" s="4"/>
      <c r="K10" s="4"/>
      <c r="L10" s="4"/>
      <c r="M10" s="4"/>
    </row>
    <row r="11" spans="1:13">
      <c r="A11" s="19" t="s">
        <v>1</v>
      </c>
      <c r="B11" s="3" t="s">
        <v>20</v>
      </c>
    </row>
    <row r="12" spans="1:13">
      <c r="B12" s="2"/>
    </row>
    <row r="13" spans="1:13">
      <c r="B13" s="1">
        <v>0</v>
      </c>
    </row>
    <row r="14" spans="1:13">
      <c r="B14" s="1"/>
    </row>
    <row r="15" spans="1:13">
      <c r="A15" s="19" t="s">
        <v>2</v>
      </c>
      <c r="B15" s="3" t="s">
        <v>21</v>
      </c>
    </row>
    <row r="16" spans="1:13">
      <c r="B16" s="1"/>
    </row>
    <row r="17" spans="1:7">
      <c r="B17" s="5"/>
      <c r="C17" s="7" t="s">
        <v>37</v>
      </c>
      <c r="D17" s="8" t="s">
        <v>38</v>
      </c>
      <c r="E17" s="8" t="s">
        <v>148</v>
      </c>
      <c r="F17" s="8" t="s">
        <v>39</v>
      </c>
      <c r="G17" s="8" t="s">
        <v>149</v>
      </c>
    </row>
    <row r="18" spans="1:7">
      <c r="B18" s="9"/>
      <c r="C18" s="77">
        <v>0.4879</v>
      </c>
      <c r="D18" s="78">
        <v>0.4879</v>
      </c>
      <c r="E18" s="78">
        <v>0.4879</v>
      </c>
      <c r="F18" s="78">
        <v>0</v>
      </c>
      <c r="G18" s="78">
        <v>0</v>
      </c>
    </row>
    <row r="20" spans="1:7">
      <c r="A20" s="91" t="s">
        <v>3</v>
      </c>
      <c r="B20" s="92" t="s">
        <v>179</v>
      </c>
      <c r="C20" s="93"/>
      <c r="D20" s="93"/>
      <c r="E20" s="93"/>
      <c r="F20" s="93"/>
      <c r="G20" s="93"/>
    </row>
    <row r="21" spans="1:7">
      <c r="A21" s="93"/>
      <c r="B21" s="93"/>
      <c r="C21" s="93"/>
      <c r="D21" s="93"/>
      <c r="E21" s="93"/>
      <c r="F21" s="93"/>
      <c r="G21" s="93"/>
    </row>
    <row r="22" spans="1:7">
      <c r="A22" s="93"/>
      <c r="B22" s="95"/>
      <c r="C22" s="96" t="s">
        <v>37</v>
      </c>
      <c r="D22" s="97" t="s">
        <v>38</v>
      </c>
      <c r="E22" s="97" t="s">
        <v>148</v>
      </c>
      <c r="F22" s="97" t="s">
        <v>39</v>
      </c>
      <c r="G22" s="97" t="s">
        <v>149</v>
      </c>
    </row>
    <row r="23" spans="1:7">
      <c r="A23" s="93"/>
      <c r="B23" s="94">
        <v>2011</v>
      </c>
      <c r="C23" s="125">
        <v>0</v>
      </c>
      <c r="D23" s="204"/>
      <c r="E23" s="204"/>
      <c r="F23" s="191">
        <v>0</v>
      </c>
      <c r="G23" s="204"/>
    </row>
    <row r="24" spans="1:7">
      <c r="A24" s="93"/>
      <c r="B24" s="94">
        <v>2012</v>
      </c>
      <c r="C24" s="125">
        <v>130</v>
      </c>
      <c r="D24" s="204"/>
      <c r="E24" s="204"/>
      <c r="F24" s="191">
        <v>0</v>
      </c>
      <c r="G24" s="204"/>
    </row>
    <row r="25" spans="1:7">
      <c r="A25" s="93"/>
      <c r="B25" s="94">
        <v>2013</v>
      </c>
      <c r="C25" s="125">
        <v>132.51316143085302</v>
      </c>
      <c r="D25" s="204"/>
      <c r="E25" s="204"/>
      <c r="F25" s="191">
        <v>0</v>
      </c>
      <c r="G25" s="204"/>
    </row>
    <row r="26" spans="1:7">
      <c r="A26" s="93"/>
      <c r="B26" s="94">
        <v>2014</v>
      </c>
      <c r="C26" s="125">
        <v>214.10530860762719</v>
      </c>
      <c r="D26" s="204"/>
      <c r="E26" s="204"/>
      <c r="F26" s="191">
        <v>0</v>
      </c>
      <c r="G26" s="204"/>
    </row>
    <row r="27" spans="1:7">
      <c r="A27" s="93"/>
      <c r="B27" s="94">
        <v>2015</v>
      </c>
      <c r="C27" s="125">
        <v>139.32008005599428</v>
      </c>
      <c r="D27" s="204"/>
      <c r="E27" s="204"/>
      <c r="F27" s="191">
        <v>0</v>
      </c>
      <c r="G27" s="204"/>
    </row>
    <row r="28" spans="1:7">
      <c r="A28" s="93"/>
      <c r="B28" s="94">
        <v>2016</v>
      </c>
      <c r="C28" s="125">
        <v>143.47384054768409</v>
      </c>
      <c r="D28" s="204"/>
      <c r="E28" s="204"/>
      <c r="F28" s="191">
        <v>0</v>
      </c>
      <c r="G28" s="204"/>
    </row>
    <row r="29" spans="1:7">
      <c r="A29" s="93"/>
      <c r="B29" s="94">
        <v>2017</v>
      </c>
      <c r="C29" s="125">
        <v>146.93151181384448</v>
      </c>
      <c r="D29" s="204"/>
      <c r="E29" s="204"/>
      <c r="F29" s="191">
        <v>0</v>
      </c>
      <c r="G29" s="204"/>
    </row>
    <row r="30" spans="1:7">
      <c r="A30" s="93"/>
      <c r="B30" s="94">
        <v>2018</v>
      </c>
      <c r="C30" s="125">
        <v>150.07664588562588</v>
      </c>
      <c r="D30" s="204"/>
      <c r="E30" s="204"/>
      <c r="F30" s="191">
        <v>0</v>
      </c>
      <c r="G30" s="204"/>
    </row>
    <row r="32" spans="1:7">
      <c r="A32" s="19" t="s">
        <v>4</v>
      </c>
      <c r="B32" s="3" t="s">
        <v>22</v>
      </c>
    </row>
    <row r="34" spans="1:7">
      <c r="B34" s="5"/>
      <c r="C34" s="7" t="s">
        <v>37</v>
      </c>
      <c r="D34" s="8" t="s">
        <v>38</v>
      </c>
      <c r="E34" s="8" t="s">
        <v>148</v>
      </c>
      <c r="F34" s="8" t="s">
        <v>39</v>
      </c>
      <c r="G34" s="8" t="s">
        <v>149</v>
      </c>
    </row>
    <row r="35" spans="1:7">
      <c r="B35" s="9"/>
      <c r="C35" s="77">
        <v>0.4879</v>
      </c>
      <c r="D35" s="78">
        <v>0.4879</v>
      </c>
      <c r="E35" s="78">
        <v>0.4879</v>
      </c>
      <c r="F35" s="78">
        <v>0</v>
      </c>
      <c r="G35" s="78">
        <v>0</v>
      </c>
    </row>
    <row r="37" spans="1:7">
      <c r="A37" s="19" t="s">
        <v>5</v>
      </c>
      <c r="B37" s="3" t="s">
        <v>154</v>
      </c>
    </row>
    <row r="39" spans="1:7">
      <c r="B39" s="5"/>
      <c r="C39" s="7" t="s">
        <v>37</v>
      </c>
      <c r="D39" s="8" t="s">
        <v>38</v>
      </c>
      <c r="E39" s="8" t="s">
        <v>148</v>
      </c>
      <c r="F39" s="8" t="s">
        <v>39</v>
      </c>
      <c r="G39" s="8" t="s">
        <v>149</v>
      </c>
    </row>
    <row r="40" spans="1:7">
      <c r="B40" s="9">
        <v>2011</v>
      </c>
      <c r="C40" s="127">
        <v>0</v>
      </c>
      <c r="D40" s="193"/>
      <c r="E40" s="193"/>
      <c r="F40" s="47">
        <v>0</v>
      </c>
      <c r="G40" s="193"/>
    </row>
    <row r="41" spans="1:7">
      <c r="B41" s="9">
        <v>2012</v>
      </c>
      <c r="C41" s="128">
        <v>68</v>
      </c>
      <c r="D41" s="193"/>
      <c r="E41" s="193"/>
      <c r="F41" s="47">
        <v>0</v>
      </c>
      <c r="G41" s="193"/>
    </row>
    <row r="42" spans="1:7">
      <c r="B42" s="9">
        <v>2013</v>
      </c>
      <c r="C42" s="128">
        <v>108</v>
      </c>
      <c r="D42" s="193"/>
      <c r="E42" s="193"/>
      <c r="F42" s="47">
        <v>1840.7750000000001</v>
      </c>
      <c r="G42" s="193"/>
    </row>
    <row r="43" spans="1:7">
      <c r="B43" s="9">
        <v>2014</v>
      </c>
      <c r="C43" s="128">
        <v>119</v>
      </c>
      <c r="D43" s="193"/>
      <c r="E43" s="193"/>
      <c r="F43" s="47">
        <v>1895.998</v>
      </c>
      <c r="G43" s="193"/>
    </row>
    <row r="44" spans="1:7">
      <c r="B44" s="9">
        <v>2015</v>
      </c>
      <c r="C44" s="128">
        <v>123</v>
      </c>
      <c r="D44" s="193"/>
      <c r="E44" s="193"/>
      <c r="F44" s="47">
        <v>1952.8779999999999</v>
      </c>
      <c r="G44" s="193"/>
    </row>
    <row r="45" spans="1:7">
      <c r="B45" s="9">
        <v>2016</v>
      </c>
      <c r="C45" s="128">
        <v>126</v>
      </c>
      <c r="D45" s="193"/>
      <c r="E45" s="193"/>
      <c r="F45" s="47">
        <v>2011.4649999999999</v>
      </c>
      <c r="G45" s="193"/>
    </row>
    <row r="46" spans="1:7">
      <c r="B46" s="9">
        <v>2017</v>
      </c>
      <c r="C46" s="128">
        <v>130</v>
      </c>
      <c r="D46" s="193"/>
      <c r="E46" s="193"/>
      <c r="F46" s="47">
        <v>2071.808</v>
      </c>
      <c r="G46" s="193"/>
    </row>
    <row r="47" spans="1:7">
      <c r="B47" s="9">
        <v>2018</v>
      </c>
      <c r="C47" s="128">
        <v>134</v>
      </c>
      <c r="D47" s="193"/>
      <c r="E47" s="193"/>
      <c r="F47" s="47">
        <v>2133.9630000000002</v>
      </c>
      <c r="G47" s="193"/>
    </row>
    <row r="48" spans="1:7">
      <c r="B48" s="9"/>
      <c r="C48" s="47"/>
      <c r="D48" s="47"/>
      <c r="E48" s="47"/>
      <c r="F48" s="47"/>
      <c r="G48" s="47"/>
    </row>
    <row r="49" spans="1:7">
      <c r="A49" s="19" t="s">
        <v>6</v>
      </c>
      <c r="B49" s="3" t="s">
        <v>23</v>
      </c>
    </row>
    <row r="50" spans="1:7">
      <c r="B50" s="2"/>
    </row>
    <row r="51" spans="1:7">
      <c r="B51" t="s">
        <v>36</v>
      </c>
    </row>
    <row r="52" spans="1:7">
      <c r="B52" s="5"/>
      <c r="C52" s="7" t="s">
        <v>37</v>
      </c>
      <c r="D52" s="8" t="s">
        <v>38</v>
      </c>
      <c r="E52" s="8" t="s">
        <v>148</v>
      </c>
      <c r="F52" s="8" t="s">
        <v>39</v>
      </c>
      <c r="G52" s="8" t="s">
        <v>149</v>
      </c>
    </row>
    <row r="53" spans="1:7">
      <c r="B53" s="11">
        <v>2007</v>
      </c>
      <c r="C53" s="127">
        <v>365</v>
      </c>
      <c r="D53" s="47">
        <v>5792</v>
      </c>
      <c r="E53" s="47">
        <v>9756</v>
      </c>
      <c r="F53" s="47">
        <v>308.27699999999999</v>
      </c>
      <c r="G53" s="47">
        <v>2218.6</v>
      </c>
    </row>
    <row r="54" spans="1:7">
      <c r="B54" s="9">
        <v>2008</v>
      </c>
      <c r="C54" s="128">
        <v>366</v>
      </c>
      <c r="D54" s="47">
        <v>5890</v>
      </c>
      <c r="E54" s="47">
        <v>9911</v>
      </c>
      <c r="F54" s="47">
        <v>308.27699999999999</v>
      </c>
      <c r="G54" s="47">
        <v>2218.6</v>
      </c>
    </row>
    <row r="55" spans="1:7">
      <c r="B55" s="9">
        <v>2009</v>
      </c>
      <c r="C55" s="128">
        <v>384</v>
      </c>
      <c r="D55" s="47">
        <v>5901</v>
      </c>
      <c r="E55" s="47">
        <v>10061</v>
      </c>
      <c r="F55" s="47">
        <v>308.27699999999999</v>
      </c>
      <c r="G55" s="47">
        <v>2218.6</v>
      </c>
    </row>
    <row r="56" spans="1:7">
      <c r="B56" s="9">
        <v>2010</v>
      </c>
      <c r="C56" s="128">
        <v>386</v>
      </c>
      <c r="D56" s="47">
        <v>6170</v>
      </c>
      <c r="E56" s="47">
        <v>10155</v>
      </c>
      <c r="F56" s="47">
        <v>308.27699999999999</v>
      </c>
      <c r="G56" s="47">
        <v>2219.6999999999998</v>
      </c>
    </row>
    <row r="57" spans="1:7">
      <c r="B57" s="9">
        <v>2011</v>
      </c>
      <c r="C57" s="128">
        <v>387</v>
      </c>
      <c r="D57" s="47">
        <v>6177</v>
      </c>
      <c r="E57" s="47">
        <v>10252</v>
      </c>
      <c r="F57" s="47">
        <v>308.27699999999999</v>
      </c>
      <c r="G57" s="47">
        <v>2219.6999999999998</v>
      </c>
    </row>
    <row r="59" spans="1:7">
      <c r="A59" s="91" t="s">
        <v>7</v>
      </c>
      <c r="B59" s="92" t="s">
        <v>180</v>
      </c>
      <c r="C59" s="93"/>
      <c r="D59" s="93"/>
      <c r="E59" s="93"/>
      <c r="F59" s="93"/>
      <c r="G59" s="93"/>
    </row>
    <row r="60" spans="1:7">
      <c r="A60" s="93"/>
      <c r="B60" s="93"/>
      <c r="C60" s="93"/>
      <c r="D60" s="93"/>
      <c r="E60" s="93"/>
      <c r="F60" s="93"/>
      <c r="G60" s="93"/>
    </row>
    <row r="61" spans="1:7">
      <c r="A61" s="93"/>
      <c r="B61" s="95"/>
      <c r="C61" s="96" t="s">
        <v>37</v>
      </c>
      <c r="D61" s="97" t="s">
        <v>38</v>
      </c>
      <c r="E61" s="97" t="s">
        <v>148</v>
      </c>
      <c r="F61" s="97" t="s">
        <v>39</v>
      </c>
      <c r="G61" s="97" t="s">
        <v>149</v>
      </c>
    </row>
    <row r="62" spans="1:7">
      <c r="A62" s="93"/>
      <c r="B62" s="94">
        <v>2011</v>
      </c>
      <c r="C62" s="124">
        <v>0</v>
      </c>
      <c r="D62" s="192"/>
      <c r="E62" s="192"/>
      <c r="F62" s="191">
        <v>0</v>
      </c>
      <c r="G62" s="192"/>
    </row>
    <row r="63" spans="1:7">
      <c r="A63" s="93"/>
      <c r="B63" s="94">
        <v>2012</v>
      </c>
      <c r="C63" s="124">
        <v>0</v>
      </c>
      <c r="D63" s="192"/>
      <c r="E63" s="192"/>
      <c r="F63" s="191">
        <v>112.163</v>
      </c>
      <c r="G63" s="192"/>
    </row>
    <row r="64" spans="1:7">
      <c r="A64" s="93"/>
      <c r="B64" s="94">
        <v>2013</v>
      </c>
      <c r="C64" s="124">
        <v>0</v>
      </c>
      <c r="D64" s="192"/>
      <c r="E64" s="192"/>
      <c r="F64" s="191">
        <v>1370.164</v>
      </c>
      <c r="G64" s="192"/>
    </row>
    <row r="65" spans="1:7">
      <c r="A65" s="93"/>
      <c r="B65" s="94">
        <v>2014</v>
      </c>
      <c r="C65" s="124">
        <v>0</v>
      </c>
      <c r="D65" s="192"/>
      <c r="E65" s="192"/>
      <c r="F65" s="191">
        <v>1411.269</v>
      </c>
      <c r="G65" s="192"/>
    </row>
    <row r="66" spans="1:7">
      <c r="A66" s="93"/>
      <c r="B66" s="94">
        <v>2015</v>
      </c>
      <c r="C66" s="124">
        <v>0</v>
      </c>
      <c r="D66" s="192"/>
      <c r="E66" s="192"/>
      <c r="F66" s="191">
        <v>1453.607</v>
      </c>
      <c r="G66" s="192"/>
    </row>
    <row r="67" spans="1:7">
      <c r="A67" s="93"/>
      <c r="B67" s="94">
        <v>2016</v>
      </c>
      <c r="C67" s="124">
        <v>0</v>
      </c>
      <c r="D67" s="192"/>
      <c r="E67" s="192"/>
      <c r="F67" s="191">
        <v>1497.2159999999999</v>
      </c>
      <c r="G67" s="192"/>
    </row>
    <row r="68" spans="1:7">
      <c r="A68" s="93"/>
      <c r="B68" s="94">
        <v>2017</v>
      </c>
      <c r="C68" s="124">
        <v>0</v>
      </c>
      <c r="D68" s="192"/>
      <c r="E68" s="192"/>
      <c r="F68" s="191">
        <v>1542.1320000000001</v>
      </c>
      <c r="G68" s="192"/>
    </row>
    <row r="69" spans="1:7">
      <c r="A69" s="93"/>
      <c r="B69" s="94">
        <v>2018</v>
      </c>
      <c r="C69" s="124">
        <v>0</v>
      </c>
      <c r="D69" s="192"/>
      <c r="E69" s="192"/>
      <c r="F69" s="191">
        <v>1588.396</v>
      </c>
      <c r="G69" s="192"/>
    </row>
    <row r="70" spans="1:7">
      <c r="B70" s="11"/>
      <c r="C70" s="13"/>
      <c r="D70" s="13"/>
      <c r="E70" s="13"/>
      <c r="F70" s="13"/>
      <c r="G70" s="13"/>
    </row>
    <row r="71" spans="1:7">
      <c r="A71" s="19" t="s">
        <v>8</v>
      </c>
      <c r="B71" s="3" t="s">
        <v>24</v>
      </c>
    </row>
    <row r="73" spans="1:7">
      <c r="B73" s="4" t="s">
        <v>155</v>
      </c>
    </row>
    <row r="74" spans="1:7">
      <c r="B74" s="5"/>
      <c r="C74" s="7" t="s">
        <v>37</v>
      </c>
      <c r="D74" s="8" t="s">
        <v>38</v>
      </c>
      <c r="E74" s="8" t="s">
        <v>148</v>
      </c>
      <c r="F74" s="8" t="s">
        <v>39</v>
      </c>
      <c r="G74" s="8" t="s">
        <v>149</v>
      </c>
    </row>
    <row r="75" spans="1:7">
      <c r="B75" s="11">
        <v>2007</v>
      </c>
      <c r="C75" s="127">
        <v>10326</v>
      </c>
      <c r="D75" s="47">
        <v>103404</v>
      </c>
      <c r="E75" s="47">
        <v>140872</v>
      </c>
      <c r="F75" s="47">
        <v>13</v>
      </c>
      <c r="G75" s="47">
        <v>16</v>
      </c>
    </row>
    <row r="76" spans="1:7">
      <c r="B76" s="9">
        <v>2008</v>
      </c>
      <c r="C76" s="128">
        <v>10331</v>
      </c>
      <c r="D76" s="47">
        <v>103602</v>
      </c>
      <c r="E76" s="47">
        <v>145122</v>
      </c>
      <c r="F76" s="47">
        <v>13</v>
      </c>
      <c r="G76" s="47">
        <v>14</v>
      </c>
    </row>
    <row r="77" spans="1:7">
      <c r="B77" s="9">
        <v>2009</v>
      </c>
      <c r="C77" s="128">
        <v>10287</v>
      </c>
      <c r="D77" s="47">
        <v>102011</v>
      </c>
      <c r="E77" s="47">
        <v>148357</v>
      </c>
      <c r="F77" s="47">
        <v>12.5</v>
      </c>
      <c r="G77" s="47">
        <v>14</v>
      </c>
    </row>
    <row r="78" spans="1:7">
      <c r="B78" s="9">
        <v>2010</v>
      </c>
      <c r="C78" s="128">
        <v>10309</v>
      </c>
      <c r="D78" s="47">
        <v>102346</v>
      </c>
      <c r="E78" s="47">
        <v>150892</v>
      </c>
      <c r="F78" s="47">
        <v>12</v>
      </c>
      <c r="G78" s="47">
        <v>12</v>
      </c>
    </row>
    <row r="79" spans="1:7">
      <c r="B79" s="9">
        <v>2011</v>
      </c>
      <c r="C79" s="128">
        <v>10353</v>
      </c>
      <c r="D79" s="47">
        <v>102482</v>
      </c>
      <c r="E79" s="47">
        <v>151104</v>
      </c>
      <c r="F79" s="47">
        <v>12</v>
      </c>
      <c r="G79" s="47">
        <v>11</v>
      </c>
    </row>
    <row r="81" spans="1:3">
      <c r="A81" s="19" t="s">
        <v>9</v>
      </c>
      <c r="B81" s="3" t="s">
        <v>25</v>
      </c>
    </row>
    <row r="83" spans="1:3">
      <c r="B83" s="129">
        <v>0.6</v>
      </c>
    </row>
    <row r="84" spans="1:3">
      <c r="B84" s="1"/>
    </row>
    <row r="85" spans="1:3">
      <c r="A85" s="19" t="s">
        <v>10</v>
      </c>
      <c r="B85" s="3" t="s">
        <v>26</v>
      </c>
    </row>
    <row r="86" spans="1:3">
      <c r="B86" s="1"/>
    </row>
    <row r="87" spans="1:3" ht="15.75">
      <c r="B87" s="39" t="s">
        <v>41</v>
      </c>
      <c r="C87" s="84"/>
    </row>
    <row r="88" spans="1:3">
      <c r="B88" s="8" t="s">
        <v>44</v>
      </c>
      <c r="C88" s="85" t="s">
        <v>40</v>
      </c>
    </row>
    <row r="89" spans="1:3">
      <c r="B89" s="10">
        <v>40451</v>
      </c>
      <c r="C89" s="193"/>
    </row>
    <row r="90" spans="1:3">
      <c r="B90" s="10">
        <v>40543</v>
      </c>
      <c r="C90" s="193"/>
    </row>
    <row r="91" spans="1:3">
      <c r="B91" s="10">
        <v>40633</v>
      </c>
      <c r="C91" s="193"/>
    </row>
    <row r="92" spans="1:3">
      <c r="B92" s="10">
        <v>40724</v>
      </c>
      <c r="C92" s="193"/>
    </row>
    <row r="93" spans="1:3">
      <c r="B93" s="10">
        <v>40816</v>
      </c>
      <c r="C93" s="193"/>
    </row>
    <row r="94" spans="1:3">
      <c r="B94" s="10">
        <v>40908</v>
      </c>
      <c r="C94" s="193"/>
    </row>
    <row r="95" spans="1:3">
      <c r="B95" s="10">
        <v>40999</v>
      </c>
      <c r="C95" s="193"/>
    </row>
    <row r="96" spans="1:3">
      <c r="B96" s="10">
        <v>41090</v>
      </c>
      <c r="C96" s="193"/>
    </row>
    <row r="97" spans="2:3">
      <c r="B97" s="10">
        <v>41182</v>
      </c>
      <c r="C97" s="193"/>
    </row>
    <row r="98" spans="2:3">
      <c r="B98" s="10">
        <v>41274</v>
      </c>
      <c r="C98" s="193"/>
    </row>
    <row r="99" spans="2:3">
      <c r="B99" s="10">
        <v>41364</v>
      </c>
      <c r="C99" s="193"/>
    </row>
    <row r="100" spans="2:3">
      <c r="B100" s="10">
        <v>41455</v>
      </c>
      <c r="C100" s="193"/>
    </row>
    <row r="101" spans="2:3">
      <c r="B101" s="10">
        <v>41547</v>
      </c>
      <c r="C101" s="193"/>
    </row>
    <row r="102" spans="2:3">
      <c r="B102" s="10">
        <v>41639</v>
      </c>
      <c r="C102" s="193"/>
    </row>
    <row r="103" spans="2:3">
      <c r="B103" s="10">
        <v>41729</v>
      </c>
      <c r="C103" s="193"/>
    </row>
    <row r="104" spans="2:3">
      <c r="B104" s="10">
        <v>41820</v>
      </c>
      <c r="C104" s="193"/>
    </row>
    <row r="105" spans="2:3">
      <c r="B105" s="10">
        <v>41912</v>
      </c>
      <c r="C105" s="193"/>
    </row>
    <row r="106" spans="2:3">
      <c r="B106" s="10">
        <v>42004</v>
      </c>
      <c r="C106" s="193"/>
    </row>
    <row r="107" spans="2:3">
      <c r="B107" s="10">
        <v>42094</v>
      </c>
      <c r="C107" s="193"/>
    </row>
    <row r="108" spans="2:3">
      <c r="B108" s="10">
        <v>42185</v>
      </c>
      <c r="C108" s="193"/>
    </row>
    <row r="109" spans="2:3">
      <c r="B109" s="10">
        <v>42277</v>
      </c>
      <c r="C109" s="193"/>
    </row>
    <row r="110" spans="2:3">
      <c r="B110" s="10">
        <v>42369</v>
      </c>
      <c r="C110" s="193"/>
    </row>
    <row r="111" spans="2:3">
      <c r="B111" s="10">
        <v>42460</v>
      </c>
      <c r="C111" s="193"/>
    </row>
    <row r="112" spans="2:3">
      <c r="B112" s="10">
        <v>42551</v>
      </c>
      <c r="C112" s="193"/>
    </row>
    <row r="113" spans="1:3">
      <c r="B113" s="10">
        <v>42643</v>
      </c>
      <c r="C113" s="193"/>
    </row>
    <row r="114" spans="1:3">
      <c r="B114" s="10">
        <v>42735</v>
      </c>
      <c r="C114" s="193"/>
    </row>
    <row r="115" spans="1:3">
      <c r="B115" s="10">
        <v>42825</v>
      </c>
      <c r="C115" s="193"/>
    </row>
    <row r="116" spans="1:3">
      <c r="B116" s="10">
        <v>42916</v>
      </c>
      <c r="C116" s="193"/>
    </row>
    <row r="117" spans="1:3">
      <c r="B117" s="10">
        <v>43008</v>
      </c>
      <c r="C117" s="193"/>
    </row>
    <row r="118" spans="1:3">
      <c r="B118" s="10">
        <v>43100</v>
      </c>
      <c r="C118" s="193"/>
    </row>
    <row r="119" spans="1:3">
      <c r="B119" s="10">
        <v>43190</v>
      </c>
      <c r="C119" s="193"/>
    </row>
    <row r="120" spans="1:3">
      <c r="B120" s="10">
        <v>43281</v>
      </c>
      <c r="C120" s="193"/>
    </row>
    <row r="121" spans="1:3">
      <c r="C121" s="84"/>
    </row>
    <row r="122" spans="1:3">
      <c r="C122" s="84"/>
    </row>
    <row r="123" spans="1:3">
      <c r="C123" s="84"/>
    </row>
    <row r="124" spans="1:3">
      <c r="A124" s="19" t="s">
        <v>11</v>
      </c>
      <c r="B124" s="3" t="s">
        <v>27</v>
      </c>
      <c r="C124" s="84"/>
    </row>
    <row r="125" spans="1:3">
      <c r="C125" s="84"/>
    </row>
    <row r="126" spans="1:3" ht="15.75">
      <c r="B126" s="40" t="s">
        <v>42</v>
      </c>
      <c r="C126" s="84"/>
    </row>
    <row r="127" spans="1:3">
      <c r="B127" s="8" t="s">
        <v>44</v>
      </c>
      <c r="C127" s="85" t="s">
        <v>40</v>
      </c>
    </row>
    <row r="128" spans="1:3">
      <c r="B128" s="12">
        <v>40451</v>
      </c>
      <c r="C128" s="193"/>
    </row>
    <row r="129" spans="2:3">
      <c r="B129" s="12">
        <v>40543</v>
      </c>
      <c r="C129" s="193"/>
    </row>
    <row r="130" spans="2:3">
      <c r="B130" s="12">
        <v>40633</v>
      </c>
      <c r="C130" s="193"/>
    </row>
    <row r="131" spans="2:3">
      <c r="B131" s="12">
        <v>40724</v>
      </c>
      <c r="C131" s="193"/>
    </row>
    <row r="132" spans="2:3">
      <c r="B132" s="12">
        <v>40816</v>
      </c>
      <c r="C132" s="193"/>
    </row>
    <row r="133" spans="2:3">
      <c r="B133" s="12">
        <v>40908</v>
      </c>
      <c r="C133" s="193"/>
    </row>
    <row r="134" spans="2:3">
      <c r="B134" s="12">
        <v>40999</v>
      </c>
      <c r="C134" s="193"/>
    </row>
    <row r="135" spans="2:3">
      <c r="B135" s="12">
        <v>41090</v>
      </c>
      <c r="C135" s="193"/>
    </row>
    <row r="136" spans="2:3">
      <c r="B136" s="12">
        <v>41182</v>
      </c>
      <c r="C136" s="193"/>
    </row>
    <row r="137" spans="2:3">
      <c r="B137" s="12">
        <v>41274</v>
      </c>
      <c r="C137" s="193"/>
    </row>
    <row r="138" spans="2:3">
      <c r="B138" s="12">
        <v>41364</v>
      </c>
      <c r="C138" s="193"/>
    </row>
    <row r="139" spans="2:3">
      <c r="B139" s="12">
        <v>41455</v>
      </c>
      <c r="C139" s="193"/>
    </row>
    <row r="140" spans="2:3">
      <c r="B140" s="12">
        <v>41547</v>
      </c>
      <c r="C140" s="193"/>
    </row>
    <row r="141" spans="2:3">
      <c r="B141" s="12">
        <v>41639</v>
      </c>
      <c r="C141" s="193"/>
    </row>
    <row r="142" spans="2:3">
      <c r="B142" s="12">
        <v>41729</v>
      </c>
      <c r="C142" s="193"/>
    </row>
    <row r="143" spans="2:3">
      <c r="B143" s="12">
        <v>41820</v>
      </c>
      <c r="C143" s="193"/>
    </row>
    <row r="144" spans="2:3">
      <c r="B144" s="12">
        <v>41912</v>
      </c>
      <c r="C144" s="193"/>
    </row>
    <row r="145" spans="2:3">
      <c r="B145" s="12">
        <v>42004</v>
      </c>
      <c r="C145" s="193"/>
    </row>
    <row r="146" spans="2:3">
      <c r="B146" s="12">
        <v>42094</v>
      </c>
      <c r="C146" s="193"/>
    </row>
    <row r="147" spans="2:3">
      <c r="B147" s="12">
        <v>42185</v>
      </c>
      <c r="C147" s="193"/>
    </row>
    <row r="148" spans="2:3">
      <c r="B148" s="12">
        <v>42277</v>
      </c>
      <c r="C148" s="193"/>
    </row>
    <row r="149" spans="2:3">
      <c r="B149" s="12">
        <v>42369</v>
      </c>
      <c r="C149" s="193"/>
    </row>
    <row r="150" spans="2:3">
      <c r="B150" s="12">
        <v>42460</v>
      </c>
      <c r="C150" s="193"/>
    </row>
    <row r="151" spans="2:3">
      <c r="B151" s="12">
        <v>42551</v>
      </c>
      <c r="C151" s="193"/>
    </row>
    <row r="152" spans="2:3">
      <c r="B152" s="12">
        <v>42643</v>
      </c>
      <c r="C152" s="193"/>
    </row>
    <row r="153" spans="2:3">
      <c r="B153" s="12">
        <v>42735</v>
      </c>
      <c r="C153" s="193"/>
    </row>
    <row r="154" spans="2:3">
      <c r="B154" s="12">
        <v>42825</v>
      </c>
      <c r="C154" s="193"/>
    </row>
    <row r="155" spans="2:3">
      <c r="B155" s="12">
        <v>42916</v>
      </c>
      <c r="C155" s="193"/>
    </row>
    <row r="156" spans="2:3">
      <c r="B156" s="12">
        <v>43008</v>
      </c>
      <c r="C156" s="193"/>
    </row>
    <row r="157" spans="2:3">
      <c r="B157" s="12">
        <v>43100</v>
      </c>
      <c r="C157" s="193"/>
    </row>
    <row r="158" spans="2:3">
      <c r="B158" s="12">
        <v>43190</v>
      </c>
      <c r="C158" s="193"/>
    </row>
    <row r="159" spans="2:3">
      <c r="B159" s="12">
        <v>43281</v>
      </c>
      <c r="C159" s="193"/>
    </row>
    <row r="162" spans="1:4">
      <c r="B162" s="2"/>
    </row>
    <row r="164" spans="1:4">
      <c r="A164" s="19" t="s">
        <v>12</v>
      </c>
      <c r="B164" s="3" t="s">
        <v>28</v>
      </c>
    </row>
    <row r="165" spans="1:4">
      <c r="A165" s="19" t="s">
        <v>13</v>
      </c>
      <c r="B165" s="3" t="s">
        <v>29</v>
      </c>
    </row>
    <row r="166" spans="1:4">
      <c r="A166" s="19" t="s">
        <v>14</v>
      </c>
      <c r="B166" s="3" t="s">
        <v>30</v>
      </c>
    </row>
    <row r="167" spans="1:4">
      <c r="A167" s="19" t="s">
        <v>15</v>
      </c>
      <c r="B167" s="3" t="s">
        <v>31</v>
      </c>
    </row>
    <row r="168" spans="1:4">
      <c r="D168" s="1"/>
    </row>
    <row r="169" spans="1:4">
      <c r="B169" s="14" t="s">
        <v>85</v>
      </c>
      <c r="C169" s="14" t="s">
        <v>43</v>
      </c>
      <c r="D169" s="1"/>
    </row>
    <row r="170" spans="1:4">
      <c r="B170" s="42">
        <v>1</v>
      </c>
      <c r="C170" s="130">
        <v>0.25</v>
      </c>
      <c r="D170" s="1"/>
    </row>
    <row r="171" spans="1:4">
      <c r="B171" s="42">
        <v>2</v>
      </c>
      <c r="C171" s="130">
        <v>0.25</v>
      </c>
      <c r="D171" s="1"/>
    </row>
    <row r="172" spans="1:4">
      <c r="B172" s="42">
        <v>3</v>
      </c>
      <c r="C172" s="130">
        <v>0.25</v>
      </c>
      <c r="D172" s="1"/>
    </row>
    <row r="173" spans="1:4">
      <c r="B173" s="42">
        <v>4</v>
      </c>
      <c r="C173" s="130">
        <v>0.25</v>
      </c>
      <c r="D173" s="1"/>
    </row>
    <row r="174" spans="1:4">
      <c r="D174" s="1"/>
    </row>
    <row r="176" spans="1:4">
      <c r="A176" s="19" t="s">
        <v>16</v>
      </c>
      <c r="B176" s="3" t="s">
        <v>32</v>
      </c>
    </row>
    <row r="177" spans="1:3">
      <c r="A177" s="19" t="s">
        <v>17</v>
      </c>
      <c r="B177" s="3" t="s">
        <v>33</v>
      </c>
    </row>
    <row r="178" spans="1:3">
      <c r="A178" s="19" t="s">
        <v>18</v>
      </c>
      <c r="B178" s="3" t="s">
        <v>34</v>
      </c>
    </row>
    <row r="179" spans="1:3">
      <c r="A179" s="19" t="s">
        <v>19</v>
      </c>
      <c r="B179" s="3" t="s">
        <v>35</v>
      </c>
    </row>
    <row r="181" spans="1:3">
      <c r="B181" s="14" t="s">
        <v>85</v>
      </c>
      <c r="C181" s="14" t="s">
        <v>43</v>
      </c>
    </row>
    <row r="182" spans="1:3">
      <c r="B182" s="41">
        <v>1</v>
      </c>
      <c r="C182" s="130">
        <v>0.25</v>
      </c>
    </row>
    <row r="183" spans="1:3">
      <c r="B183" s="41">
        <v>2</v>
      </c>
      <c r="C183" s="130">
        <v>0.25</v>
      </c>
    </row>
    <row r="184" spans="1:3">
      <c r="B184" s="41">
        <v>3</v>
      </c>
      <c r="C184" s="130">
        <v>0.25</v>
      </c>
    </row>
    <row r="185" spans="1:3">
      <c r="B185" s="41">
        <v>4</v>
      </c>
      <c r="C185" s="130">
        <v>0.25</v>
      </c>
    </row>
  </sheetData>
  <pageMargins left="0.70866141732283472" right="0.70866141732283472" top="0.74803149606299213" bottom="0.74803149606299213" header="0.31496062992125984" footer="0.31496062992125984"/>
  <pageSetup paperSize="8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M342"/>
  <sheetViews>
    <sheetView zoomScale="80" zoomScaleNormal="80" workbookViewId="0">
      <selection activeCell="E37" sqref="E37"/>
    </sheetView>
  </sheetViews>
  <sheetFormatPr defaultRowHeight="15"/>
  <cols>
    <col min="1" max="1" width="15.140625" customWidth="1"/>
    <col min="2" max="8" width="17.7109375" customWidth="1"/>
    <col min="9" max="12" width="13.5703125" customWidth="1"/>
    <col min="13" max="13" width="10.85546875" bestFit="1" customWidth="1"/>
  </cols>
  <sheetData>
    <row r="2" spans="1:8" ht="18.75">
      <c r="A2" s="37" t="s">
        <v>107</v>
      </c>
      <c r="B2" s="38"/>
      <c r="C2" s="38"/>
      <c r="D2" s="38"/>
      <c r="E2" s="38"/>
      <c r="F2" s="38"/>
      <c r="G2" s="38"/>
      <c r="H2" s="38"/>
    </row>
    <row r="5" spans="1:8">
      <c r="A5" s="19" t="s">
        <v>108</v>
      </c>
      <c r="B5" s="3" t="s">
        <v>138</v>
      </c>
    </row>
    <row r="6" spans="1:8">
      <c r="B6" s="9" t="s">
        <v>47</v>
      </c>
      <c r="C6" s="9" t="s">
        <v>97</v>
      </c>
    </row>
    <row r="7" spans="1:8">
      <c r="A7" s="9"/>
      <c r="B7" s="9"/>
    </row>
    <row r="8" spans="1:8">
      <c r="B8" s="147" t="str">
        <f>+'Capex Inputs'!A24</f>
        <v>IC3</v>
      </c>
      <c r="C8" s="148" t="str">
        <f>+'Capex Inputs'!B24</f>
        <v>Suppliers Forecast of Network Capex ($000)</v>
      </c>
      <c r="D8" s="148"/>
      <c r="E8" s="148"/>
      <c r="F8" s="148"/>
      <c r="G8" s="148"/>
    </row>
    <row r="9" spans="1:8">
      <c r="B9" s="149"/>
      <c r="C9" s="150" t="str">
        <f>+'Capex Inputs'!C26</f>
        <v xml:space="preserve">Gasnet </v>
      </c>
      <c r="D9" s="151" t="str">
        <f>+'Capex Inputs'!D26</f>
        <v>Powerco</v>
      </c>
      <c r="E9" s="151" t="str">
        <f>+'Capex Inputs'!E26</f>
        <v>Vector Dist</v>
      </c>
      <c r="F9" s="151" t="str">
        <f>+'Capex Inputs'!F26</f>
        <v>Maui</v>
      </c>
      <c r="G9" s="151" t="str">
        <f>+'Capex Inputs'!G26</f>
        <v>Vector Trans</v>
      </c>
    </row>
    <row r="10" spans="1:8">
      <c r="B10" s="147">
        <f>+'Capex Inputs'!B27</f>
        <v>2012</v>
      </c>
      <c r="C10" s="153">
        <f>+'Capex Inputs'!C27</f>
        <v>560</v>
      </c>
      <c r="D10" s="175">
        <f>+'Capex Inputs'!D27</f>
        <v>9909.5943309000013</v>
      </c>
      <c r="E10" s="175">
        <f>+'Capex Inputs'!E27</f>
        <v>18687</v>
      </c>
      <c r="F10" s="175">
        <f>+'Capex Inputs'!F27</f>
        <v>1966</v>
      </c>
      <c r="G10" s="175">
        <f>+'Capex Inputs'!G27</f>
        <v>14100</v>
      </c>
    </row>
    <row r="11" spans="1:8">
      <c r="B11" s="147">
        <f>+'Capex Inputs'!B28</f>
        <v>2013</v>
      </c>
      <c r="C11" s="153">
        <f>+'Capex Inputs'!C28</f>
        <v>606</v>
      </c>
      <c r="D11" s="175">
        <f>+'Capex Inputs'!D28</f>
        <v>9651.3120772688599</v>
      </c>
      <c r="E11" s="175">
        <f>+'Capex Inputs'!E28</f>
        <v>20704</v>
      </c>
      <c r="F11" s="175">
        <f>+'Capex Inputs'!F28</f>
        <v>4420</v>
      </c>
      <c r="G11" s="175">
        <f>+'Capex Inputs'!G28</f>
        <v>17808</v>
      </c>
    </row>
    <row r="12" spans="1:8">
      <c r="B12" s="147">
        <f>+'Capex Inputs'!B29</f>
        <v>2014</v>
      </c>
      <c r="C12" s="153">
        <f>+'Capex Inputs'!C29</f>
        <v>593</v>
      </c>
      <c r="D12" s="175">
        <f>+'Capex Inputs'!D29</f>
        <v>9785.0324777951391</v>
      </c>
      <c r="E12" s="175">
        <f>+'Capex Inputs'!E29</f>
        <v>24534</v>
      </c>
      <c r="F12" s="175">
        <f>+'Capex Inputs'!F29</f>
        <v>40060</v>
      </c>
      <c r="G12" s="175">
        <f>+'Capex Inputs'!G29</f>
        <v>35312</v>
      </c>
    </row>
    <row r="13" spans="1:8">
      <c r="B13" s="147">
        <f>+'Capex Inputs'!B30</f>
        <v>2015</v>
      </c>
      <c r="C13" s="153">
        <f>+'Capex Inputs'!C30</f>
        <v>608</v>
      </c>
      <c r="D13" s="175">
        <f>+'Capex Inputs'!D30</f>
        <v>10864.937265279001</v>
      </c>
      <c r="E13" s="175">
        <f>+'Capex Inputs'!E30</f>
        <v>15973</v>
      </c>
      <c r="F13" s="175">
        <f>+'Capex Inputs'!F30</f>
        <v>2185</v>
      </c>
      <c r="G13" s="175">
        <f>+'Capex Inputs'!G30</f>
        <v>16028</v>
      </c>
    </row>
    <row r="14" spans="1:8">
      <c r="B14" s="147">
        <f>+'Capex Inputs'!B31</f>
        <v>2016</v>
      </c>
      <c r="C14" s="153">
        <f>+'Capex Inputs'!C31</f>
        <v>619</v>
      </c>
      <c r="D14" s="175">
        <f>+'Capex Inputs'!D31</f>
        <v>10953.5738070922</v>
      </c>
      <c r="E14" s="175">
        <f>+'Capex Inputs'!E31</f>
        <v>12073</v>
      </c>
      <c r="F14" s="175">
        <f>+'Capex Inputs'!F31</f>
        <v>1980</v>
      </c>
      <c r="G14" s="175">
        <f>+'Capex Inputs'!G31</f>
        <v>13368</v>
      </c>
    </row>
    <row r="15" spans="1:8">
      <c r="B15" s="147">
        <f>+'Capex Inputs'!B32</f>
        <v>2017</v>
      </c>
      <c r="C15" s="153">
        <f>+'Capex Inputs'!C32</f>
        <v>617</v>
      </c>
      <c r="D15" s="175">
        <f>+'Capex Inputs'!D32</f>
        <v>11042.948392079799</v>
      </c>
      <c r="E15" s="175">
        <f>+'Capex Inputs'!E32</f>
        <v>12097</v>
      </c>
      <c r="F15" s="175">
        <f>+'Capex Inputs'!F32</f>
        <v>2835</v>
      </c>
      <c r="G15" s="175">
        <f>+'Capex Inputs'!G32</f>
        <v>13195</v>
      </c>
    </row>
    <row r="17" spans="1:7">
      <c r="B17" s="48" t="s">
        <v>87</v>
      </c>
      <c r="C17" s="55">
        <f>AVERAGE(C10:C15)</f>
        <v>600.5</v>
      </c>
      <c r="D17" s="55">
        <f t="shared" ref="D17:G17" si="0">AVERAGE(D10:D15)</f>
        <v>10367.899725069168</v>
      </c>
      <c r="E17" s="55">
        <f t="shared" si="0"/>
        <v>17344.666666666668</v>
      </c>
      <c r="F17" s="55">
        <f t="shared" si="0"/>
        <v>8907.6666666666661</v>
      </c>
      <c r="G17" s="55">
        <f t="shared" si="0"/>
        <v>18301.833333333332</v>
      </c>
    </row>
    <row r="20" spans="1:7">
      <c r="A20" s="19" t="s">
        <v>109</v>
      </c>
      <c r="B20" s="3" t="s">
        <v>110</v>
      </c>
    </row>
    <row r="21" spans="1:7">
      <c r="B21" s="9" t="s">
        <v>47</v>
      </c>
      <c r="C21" s="9" t="s">
        <v>99</v>
      </c>
    </row>
    <row r="23" spans="1:7">
      <c r="B23" s="147" t="str">
        <f>+'Capex Inputs'!A40</f>
        <v>IC5</v>
      </c>
      <c r="C23" s="148" t="str">
        <f>+'Capex Inputs'!B42</f>
        <v>Capital Goods Price Index (NZIER data)</v>
      </c>
    </row>
    <row r="24" spans="1:7" ht="45">
      <c r="B24" s="160" t="str">
        <f>+'Capex Inputs'!B43</f>
        <v>Quarter Ending</v>
      </c>
      <c r="C24" s="160" t="str">
        <f>+'Capex Inputs'!C43</f>
        <v>Index</v>
      </c>
      <c r="D24" s="46" t="s">
        <v>111</v>
      </c>
      <c r="E24" s="58"/>
      <c r="F24" s="51"/>
    </row>
    <row r="25" spans="1:7">
      <c r="B25" s="162">
        <f>+'Capex Inputs'!B44</f>
        <v>39355</v>
      </c>
      <c r="C25" s="194"/>
      <c r="D25" s="142"/>
      <c r="E25" s="59"/>
      <c r="F25" s="131"/>
      <c r="G25" s="132" t="s">
        <v>187</v>
      </c>
    </row>
    <row r="26" spans="1:7">
      <c r="B26" s="162">
        <f>+'Capex Inputs'!B45</f>
        <v>39447</v>
      </c>
      <c r="C26" s="194"/>
      <c r="D26" s="142"/>
      <c r="E26" s="59"/>
      <c r="F26" s="17"/>
    </row>
    <row r="27" spans="1:7">
      <c r="B27" s="162">
        <f>+'Capex Inputs'!B46</f>
        <v>39538</v>
      </c>
      <c r="C27" s="194"/>
      <c r="D27" s="142"/>
      <c r="E27" s="59"/>
      <c r="F27" s="17"/>
    </row>
    <row r="28" spans="1:7">
      <c r="B28" s="162">
        <f>+'Capex Inputs'!B47</f>
        <v>39629</v>
      </c>
      <c r="C28" s="194"/>
      <c r="D28" s="141">
        <v>1249.75</v>
      </c>
      <c r="E28" s="59"/>
      <c r="F28" s="17"/>
    </row>
    <row r="29" spans="1:7">
      <c r="B29" s="162">
        <f>+'Capex Inputs'!B48</f>
        <v>39721</v>
      </c>
      <c r="C29" s="194"/>
      <c r="D29" s="141">
        <v>1261.5</v>
      </c>
      <c r="E29" s="59"/>
      <c r="F29" s="17"/>
    </row>
    <row r="30" spans="1:7">
      <c r="B30" s="162">
        <f>+'Capex Inputs'!B49</f>
        <v>39813</v>
      </c>
      <c r="C30" s="194"/>
      <c r="D30" s="141">
        <v>1274.25</v>
      </c>
      <c r="E30" s="59"/>
      <c r="F30" s="17"/>
    </row>
    <row r="31" spans="1:7">
      <c r="B31" s="162">
        <f>+'Capex Inputs'!B50</f>
        <v>39903</v>
      </c>
      <c r="C31" s="194"/>
      <c r="D31" s="141">
        <v>1289.5</v>
      </c>
      <c r="E31" s="59"/>
      <c r="F31" s="17"/>
    </row>
    <row r="32" spans="1:7">
      <c r="B32" s="162">
        <f>+'Capex Inputs'!B51</f>
        <v>39994</v>
      </c>
      <c r="C32" s="194"/>
      <c r="D32" s="141">
        <v>1302.5</v>
      </c>
      <c r="E32" s="59"/>
      <c r="F32" s="53"/>
    </row>
    <row r="33" spans="2:8">
      <c r="B33" s="162">
        <f>+'Capex Inputs'!B52</f>
        <v>40086</v>
      </c>
      <c r="C33" s="194"/>
      <c r="D33" s="141">
        <v>1309.75</v>
      </c>
      <c r="E33" s="59"/>
      <c r="F33" s="53"/>
    </row>
    <row r="34" spans="2:8">
      <c r="B34" s="162">
        <f>+'Capex Inputs'!B53</f>
        <v>40178</v>
      </c>
      <c r="C34" s="194"/>
      <c r="D34" s="141">
        <v>1312.75</v>
      </c>
      <c r="E34" s="59"/>
      <c r="F34" s="53"/>
    </row>
    <row r="35" spans="2:8">
      <c r="B35" s="162">
        <f>+'Capex Inputs'!B54</f>
        <v>40268</v>
      </c>
      <c r="C35" s="194"/>
      <c r="D35" s="141">
        <v>1311.5</v>
      </c>
      <c r="E35" s="59"/>
      <c r="F35" s="53"/>
    </row>
    <row r="36" spans="2:8">
      <c r="B36" s="162">
        <f>+'Capex Inputs'!B55</f>
        <v>40359</v>
      </c>
      <c r="C36" s="194"/>
      <c r="D36" s="141">
        <v>1309.5</v>
      </c>
      <c r="E36" s="59"/>
      <c r="F36" s="53"/>
    </row>
    <row r="37" spans="2:8">
      <c r="B37" s="162">
        <f>+'Capex Inputs'!B56</f>
        <v>40451</v>
      </c>
      <c r="C37" s="194"/>
      <c r="D37" s="141">
        <v>1310</v>
      </c>
      <c r="E37" s="59"/>
      <c r="F37" s="53"/>
    </row>
    <row r="38" spans="2:8">
      <c r="B38" s="162">
        <f>+'Capex Inputs'!B57</f>
        <v>40543</v>
      </c>
      <c r="C38" s="194"/>
      <c r="D38" s="141">
        <v>1309</v>
      </c>
      <c r="E38" s="59"/>
      <c r="F38" s="53"/>
    </row>
    <row r="39" spans="2:8">
      <c r="B39" s="162">
        <f>+'Capex Inputs'!B58</f>
        <v>40633</v>
      </c>
      <c r="C39" s="194"/>
      <c r="D39" s="141">
        <v>1308.75</v>
      </c>
      <c r="E39" s="59"/>
      <c r="F39" s="53"/>
    </row>
    <row r="40" spans="2:8">
      <c r="B40" s="162">
        <f>+'Capex Inputs'!B59</f>
        <v>40724</v>
      </c>
      <c r="C40" s="194"/>
      <c r="D40" s="141">
        <v>1310</v>
      </c>
      <c r="E40" s="59"/>
      <c r="F40" s="53"/>
    </row>
    <row r="41" spans="2:8">
      <c r="B41" s="162">
        <f>+'Capex Inputs'!B60</f>
        <v>40816</v>
      </c>
      <c r="C41" s="194"/>
      <c r="D41" s="141">
        <v>1310</v>
      </c>
      <c r="E41" s="59"/>
      <c r="F41" s="53"/>
    </row>
    <row r="42" spans="2:8">
      <c r="B42" s="163">
        <f>+'Capex Inputs'!B61</f>
        <v>40908</v>
      </c>
      <c r="C42" s="195"/>
      <c r="D42" s="143">
        <v>1313.5</v>
      </c>
      <c r="E42" s="59"/>
      <c r="F42" s="53"/>
    </row>
    <row r="44" spans="2:8">
      <c r="B44" t="s">
        <v>112</v>
      </c>
    </row>
    <row r="46" spans="2:8" ht="60">
      <c r="B46" s="61" t="s">
        <v>102</v>
      </c>
      <c r="C46" s="60" t="s">
        <v>89</v>
      </c>
      <c r="D46" s="60" t="s">
        <v>193</v>
      </c>
      <c r="F46" s="61" t="s">
        <v>102</v>
      </c>
      <c r="G46" s="60" t="s">
        <v>89</v>
      </c>
      <c r="H46" s="60" t="s">
        <v>194</v>
      </c>
    </row>
    <row r="47" spans="2:8">
      <c r="B47" s="10">
        <v>39629</v>
      </c>
      <c r="C47" s="43">
        <f>VLOOKUP(B47,$B$25:$D$42,3,FALSE)</f>
        <v>1249.75</v>
      </c>
      <c r="D47" s="57">
        <f>+$C$50/C47</f>
        <v>1.0482096419283857</v>
      </c>
      <c r="F47" s="10">
        <v>39813</v>
      </c>
      <c r="G47" s="43">
        <f>VLOOKUP(F47,$B$25:$D$42,3,FALSE)</f>
        <v>1274.25</v>
      </c>
      <c r="H47" s="57">
        <f>+$G$50/G47</f>
        <v>1.0308024328036101</v>
      </c>
    </row>
    <row r="48" spans="2:8">
      <c r="B48" s="10">
        <v>39994</v>
      </c>
      <c r="C48" s="43">
        <f>VLOOKUP(B48,$B$25:$D$42,3,FALSE)</f>
        <v>1302.5</v>
      </c>
      <c r="D48" s="57">
        <f>+$C$50/C48</f>
        <v>1.0057581573896353</v>
      </c>
      <c r="F48" s="10">
        <v>40178</v>
      </c>
      <c r="G48" s="43">
        <f>VLOOKUP(F48,$B$25:$D$42,3,FALSE)</f>
        <v>1312.75</v>
      </c>
      <c r="H48" s="57">
        <f>+$G$50/G48</f>
        <v>1.0005713197486192</v>
      </c>
    </row>
    <row r="49" spans="1:8">
      <c r="B49" s="10">
        <v>40359</v>
      </c>
      <c r="C49" s="43">
        <f>VLOOKUP(B49,$B$25:$D$42,3,FALSE)</f>
        <v>1309.5</v>
      </c>
      <c r="D49" s="57">
        <f>+$C$50/C49</f>
        <v>1.0003818251240932</v>
      </c>
      <c r="F49" s="10">
        <v>40543</v>
      </c>
      <c r="G49" s="43">
        <f>VLOOKUP(F49,$B$25:$D$42,3,FALSE)</f>
        <v>1309</v>
      </c>
      <c r="H49" s="57">
        <f>+$G$50/G49</f>
        <v>1.0034377387318565</v>
      </c>
    </row>
    <row r="50" spans="1:8">
      <c r="B50" s="10">
        <v>40724</v>
      </c>
      <c r="C50" s="43">
        <f>VLOOKUP(B50,$B$25:$D$42,3,FALSE)</f>
        <v>1310</v>
      </c>
      <c r="D50" s="57">
        <f>+$C$50/C50</f>
        <v>1</v>
      </c>
      <c r="F50" s="10">
        <v>40908</v>
      </c>
      <c r="G50" s="43">
        <f>VLOOKUP(F50,$B$25:$D$42,3,FALSE)</f>
        <v>1313.5</v>
      </c>
      <c r="H50" s="57">
        <f>+$G$50/G50</f>
        <v>1</v>
      </c>
    </row>
    <row r="51" spans="1:8">
      <c r="B51" s="56"/>
    </row>
    <row r="52" spans="1:8">
      <c r="B52" s="56"/>
    </row>
    <row r="53" spans="1:8">
      <c r="A53" s="19" t="s">
        <v>115</v>
      </c>
      <c r="B53" s="3" t="s">
        <v>116</v>
      </c>
    </row>
    <row r="54" spans="1:8">
      <c r="A54" s="19"/>
      <c r="B54" s="9" t="s">
        <v>47</v>
      </c>
      <c r="C54" s="9" t="s">
        <v>117</v>
      </c>
    </row>
    <row r="55" spans="1:8">
      <c r="B55" s="56"/>
    </row>
    <row r="56" spans="1:8">
      <c r="B56" s="147" t="str">
        <f>+'Capex Inputs'!A6</f>
        <v>IC1</v>
      </c>
      <c r="C56" s="148" t="str">
        <f>+'Capex Inputs'!B6</f>
        <v>Disclosed Network Capex ($000)</v>
      </c>
      <c r="D56" s="148"/>
      <c r="E56" s="148"/>
      <c r="F56" s="148"/>
      <c r="G56" s="148"/>
    </row>
    <row r="57" spans="1:8">
      <c r="B57" s="149"/>
      <c r="C57" s="150" t="str">
        <f>+'Capex Inputs'!C8</f>
        <v xml:space="preserve">Gasnet </v>
      </c>
      <c r="D57" s="151" t="str">
        <f>+'Capex Inputs'!D8</f>
        <v>Powerco</v>
      </c>
      <c r="E57" s="151" t="str">
        <f>+'Capex Inputs'!E8</f>
        <v>Vector Dist</v>
      </c>
      <c r="F57" s="151" t="str">
        <f>+'Capex Inputs'!F8</f>
        <v>Maui</v>
      </c>
      <c r="G57" s="151" t="str">
        <f>+'Capex Inputs'!G8</f>
        <v>Vector Trans</v>
      </c>
    </row>
    <row r="58" spans="1:8">
      <c r="B58" s="147">
        <f>+'Capex Inputs'!B9</f>
        <v>2008</v>
      </c>
      <c r="C58" s="153">
        <f>+'Capex Inputs'!C9</f>
        <v>636.77099999999996</v>
      </c>
      <c r="D58" s="175">
        <f>+'Capex Inputs'!D9</f>
        <v>8516.4962759922309</v>
      </c>
      <c r="E58" s="175">
        <f>+'Capex Inputs'!E9</f>
        <v>16357.238820000002</v>
      </c>
      <c r="F58" s="175">
        <f>+'Capex Inputs'!F9</f>
        <v>701</v>
      </c>
      <c r="G58" s="175">
        <f>+'Capex Inputs'!G9</f>
        <v>5066.3067300000002</v>
      </c>
    </row>
    <row r="59" spans="1:8">
      <c r="B59" s="147">
        <f>+'Capex Inputs'!B10</f>
        <v>2009</v>
      </c>
      <c r="C59" s="153">
        <f>+'Capex Inputs'!C10</f>
        <v>400.17500000000001</v>
      </c>
      <c r="D59" s="175">
        <f>+'Capex Inputs'!D10</f>
        <v>8706.9021182849192</v>
      </c>
      <c r="E59" s="175">
        <f>+'Capex Inputs'!E10</f>
        <v>22825.832339700271</v>
      </c>
      <c r="F59" s="175">
        <f>+'Capex Inputs'!F10</f>
        <v>326</v>
      </c>
      <c r="G59" s="175">
        <f>+'Capex Inputs'!G10</f>
        <v>5670</v>
      </c>
    </row>
    <row r="60" spans="1:8">
      <c r="B60" s="147">
        <f>+'Capex Inputs'!B11</f>
        <v>2010</v>
      </c>
      <c r="C60" s="153">
        <f>+'Capex Inputs'!C11</f>
        <v>521</v>
      </c>
      <c r="D60" s="175">
        <f>+'Capex Inputs'!D11</f>
        <v>10233.565399999999</v>
      </c>
      <c r="E60" s="175">
        <f>+'Capex Inputs'!E11</f>
        <v>11298</v>
      </c>
      <c r="F60" s="175">
        <f>+'Capex Inputs'!F11</f>
        <v>896</v>
      </c>
      <c r="G60" s="175">
        <f>+'Capex Inputs'!G11</f>
        <v>12567</v>
      </c>
    </row>
    <row r="61" spans="1:8">
      <c r="B61" s="147">
        <f>+'Capex Inputs'!B12</f>
        <v>2011</v>
      </c>
      <c r="C61" s="153">
        <f>+'Capex Inputs'!C12</f>
        <v>561</v>
      </c>
      <c r="D61" s="175">
        <f>+'Capex Inputs'!D12</f>
        <v>6461.5612851668002</v>
      </c>
      <c r="E61" s="175">
        <f>+'Capex Inputs'!E12</f>
        <v>21373</v>
      </c>
      <c r="F61" s="175">
        <f>+'Capex Inputs'!F12</f>
        <v>39</v>
      </c>
      <c r="G61" s="175">
        <f>+'Capex Inputs'!G12</f>
        <v>7911</v>
      </c>
    </row>
    <row r="62" spans="1:8">
      <c r="B62" s="56"/>
      <c r="C62" s="56"/>
      <c r="D62" s="56"/>
      <c r="E62" s="56"/>
      <c r="F62" s="56"/>
      <c r="G62" s="56"/>
    </row>
    <row r="63" spans="1:8">
      <c r="B63" s="27" t="s">
        <v>116</v>
      </c>
      <c r="C63" s="56"/>
      <c r="D63" s="56"/>
      <c r="E63" s="56"/>
      <c r="F63" s="56"/>
      <c r="G63" s="56"/>
    </row>
    <row r="64" spans="1:8">
      <c r="B64" s="5"/>
      <c r="C64" s="7" t="s">
        <v>37</v>
      </c>
      <c r="D64" s="8" t="s">
        <v>38</v>
      </c>
      <c r="E64" s="8" t="s">
        <v>148</v>
      </c>
      <c r="F64" s="8" t="s">
        <v>39</v>
      </c>
      <c r="G64" s="8" t="s">
        <v>149</v>
      </c>
    </row>
    <row r="65" spans="1:12">
      <c r="B65" s="9">
        <v>2008</v>
      </c>
      <c r="C65" s="6">
        <f t="shared" ref="C65:E68" si="1">+C58*$D47</f>
        <v>667.46950190038001</v>
      </c>
      <c r="D65" s="13">
        <f t="shared" si="1"/>
        <v>8927.0735119422461</v>
      </c>
      <c r="E65" s="13">
        <f t="shared" si="1"/>
        <v>17145.815446449295</v>
      </c>
      <c r="F65" s="144">
        <f>+F58*$H47</f>
        <v>722.5925053953307</v>
      </c>
      <c r="G65" s="13">
        <f>+G58*$D47</f>
        <v>5310.5515633526711</v>
      </c>
      <c r="I65" s="138"/>
      <c r="J65" s="139" t="s">
        <v>188</v>
      </c>
      <c r="K65" s="140"/>
      <c r="L65" s="135"/>
    </row>
    <row r="66" spans="1:12">
      <c r="B66" s="9">
        <v>2009</v>
      </c>
      <c r="C66" s="6">
        <f t="shared" si="1"/>
        <v>402.47927063339728</v>
      </c>
      <c r="D66" s="13">
        <f t="shared" si="1"/>
        <v>8757.0378310581527</v>
      </c>
      <c r="E66" s="13">
        <f t="shared" si="1"/>
        <v>22957.267074861691</v>
      </c>
      <c r="F66" s="144">
        <f>+F59*$H48</f>
        <v>326.18625023804987</v>
      </c>
      <c r="G66" s="13">
        <f>+G59*$D48</f>
        <v>5702.6487523992319</v>
      </c>
    </row>
    <row r="67" spans="1:12">
      <c r="B67" s="9">
        <v>2010</v>
      </c>
      <c r="C67" s="6">
        <f>+C60*$D49</f>
        <v>521.19893088965262</v>
      </c>
      <c r="D67" s="13">
        <f t="shared" si="1"/>
        <v>10237.472832378771</v>
      </c>
      <c r="E67" s="13">
        <f t="shared" si="1"/>
        <v>11302.313860252005</v>
      </c>
      <c r="F67" s="144">
        <f>+F60*$H49</f>
        <v>899.08021390374347</v>
      </c>
      <c r="G67" s="13">
        <f>+G60*$D49</f>
        <v>12571.79839633448</v>
      </c>
    </row>
    <row r="68" spans="1:12">
      <c r="B68" s="9">
        <v>2011</v>
      </c>
      <c r="C68" s="6">
        <f t="shared" si="1"/>
        <v>561</v>
      </c>
      <c r="D68" s="13">
        <f t="shared" si="1"/>
        <v>6461.5612851668002</v>
      </c>
      <c r="E68" s="13">
        <f t="shared" si="1"/>
        <v>21373</v>
      </c>
      <c r="F68" s="144">
        <f t="shared" ref="F68" si="2">+F61*$H50</f>
        <v>39</v>
      </c>
      <c r="G68" s="13">
        <f>+G61*$D50</f>
        <v>7911</v>
      </c>
    </row>
    <row r="69" spans="1:12">
      <c r="B69" s="56"/>
    </row>
    <row r="70" spans="1:12">
      <c r="B70" s="56"/>
    </row>
    <row r="71" spans="1:12">
      <c r="A71" s="19" t="s">
        <v>113</v>
      </c>
      <c r="B71" s="3" t="s">
        <v>114</v>
      </c>
    </row>
    <row r="72" spans="1:12">
      <c r="B72" s="9"/>
      <c r="C72" s="9"/>
    </row>
    <row r="73" spans="1:12">
      <c r="B73" s="5"/>
      <c r="C73" s="7" t="s">
        <v>37</v>
      </c>
      <c r="D73" s="8" t="s">
        <v>38</v>
      </c>
      <c r="E73" s="8" t="s">
        <v>148</v>
      </c>
      <c r="F73" s="8" t="s">
        <v>39</v>
      </c>
      <c r="G73" s="8" t="s">
        <v>149</v>
      </c>
    </row>
    <row r="74" spans="1:12">
      <c r="B74" s="9" t="s">
        <v>87</v>
      </c>
      <c r="C74" s="6">
        <f>AVERAGE(C65:C68)</f>
        <v>538.03692585585748</v>
      </c>
      <c r="D74" s="13">
        <f>AVERAGE(D65:D68)</f>
        <v>8595.7863651364914</v>
      </c>
      <c r="E74" s="13">
        <f t="shared" ref="E74:G74" si="3">AVERAGE(E65:E68)</f>
        <v>18194.599095390746</v>
      </c>
      <c r="F74" s="13">
        <f>AVERAGE(F65:F68)</f>
        <v>496.71474238428101</v>
      </c>
      <c r="G74" s="13">
        <f t="shared" si="3"/>
        <v>7873.9996780215952</v>
      </c>
    </row>
    <row r="78" spans="1:12" ht="18.75">
      <c r="A78" s="37" t="s">
        <v>118</v>
      </c>
      <c r="B78" s="38"/>
      <c r="C78" s="38"/>
      <c r="D78" s="38"/>
      <c r="E78" s="38"/>
      <c r="F78" s="38"/>
      <c r="G78" s="38"/>
      <c r="H78" s="38"/>
    </row>
    <row r="79" spans="1:12">
      <c r="A79" s="9"/>
    </row>
    <row r="80" spans="1:12">
      <c r="A80" s="9"/>
      <c r="H80" s="84"/>
    </row>
    <row r="81" spans="1:8">
      <c r="A81" s="91" t="s">
        <v>161</v>
      </c>
      <c r="B81" s="92" t="s">
        <v>162</v>
      </c>
      <c r="C81" s="93"/>
      <c r="D81" s="93"/>
      <c r="E81" s="93"/>
      <c r="F81" s="93"/>
      <c r="G81" s="93"/>
      <c r="H81" s="84"/>
    </row>
    <row r="82" spans="1:8">
      <c r="A82" s="93"/>
      <c r="B82" s="94" t="s">
        <v>47</v>
      </c>
      <c r="C82" s="94" t="s">
        <v>158</v>
      </c>
      <c r="D82" s="93"/>
      <c r="E82" s="93"/>
      <c r="F82" s="93"/>
      <c r="G82" s="93"/>
      <c r="H82" s="84"/>
    </row>
    <row r="83" spans="1:8">
      <c r="A83" s="94"/>
      <c r="B83" s="94"/>
      <c r="C83" s="93"/>
      <c r="D83" s="93"/>
      <c r="E83" s="93"/>
      <c r="F83" s="93"/>
      <c r="G83" s="93"/>
      <c r="H83" s="84"/>
    </row>
    <row r="84" spans="1:8">
      <c r="A84" s="93"/>
      <c r="B84" s="168" t="str">
        <f>+'Capex Inputs'!A89</f>
        <v>IC6</v>
      </c>
      <c r="C84" s="176" t="str">
        <f>+'Capex Inputs'!B89</f>
        <v>Suppliers Forecast of Non-Network Capex ($000)</v>
      </c>
      <c r="D84" s="169"/>
      <c r="E84" s="169"/>
      <c r="F84" s="169"/>
      <c r="G84" s="169"/>
      <c r="H84" s="84"/>
    </row>
    <row r="85" spans="1:8">
      <c r="A85" s="93"/>
      <c r="B85" s="170"/>
      <c r="C85" s="171" t="str">
        <f>+'Capex Inputs'!C91</f>
        <v xml:space="preserve">Gasnet </v>
      </c>
      <c r="D85" s="172" t="str">
        <f>+'Capex Inputs'!D91</f>
        <v>Powerco</v>
      </c>
      <c r="E85" s="172" t="str">
        <f>+'Capex Inputs'!E91</f>
        <v>Vector Dist</v>
      </c>
      <c r="F85" s="172" t="str">
        <f>+'Capex Inputs'!F91</f>
        <v>Maui</v>
      </c>
      <c r="G85" s="172" t="str">
        <f>+'Capex Inputs'!G91</f>
        <v>Vector Trans</v>
      </c>
      <c r="H85" s="84"/>
    </row>
    <row r="86" spans="1:8">
      <c r="A86" s="93"/>
      <c r="B86" s="168">
        <f>+'Capex Inputs'!B92</f>
        <v>2012</v>
      </c>
      <c r="C86" s="177">
        <f>+'Capex Inputs'!C92</f>
        <v>100</v>
      </c>
      <c r="D86" s="178">
        <f>+'Capex Inputs'!D92</f>
        <v>1533.8305373136516</v>
      </c>
      <c r="E86" s="178">
        <f>+'Capex Inputs'!E92</f>
        <v>2223</v>
      </c>
      <c r="F86" s="178">
        <f>+'Capex Inputs'!F92</f>
        <v>0</v>
      </c>
      <c r="G86" s="178">
        <f>+'Capex Inputs'!G92</f>
        <v>4531</v>
      </c>
      <c r="H86" s="84"/>
    </row>
    <row r="87" spans="1:8">
      <c r="A87" s="93"/>
      <c r="B87" s="168">
        <f>+'Capex Inputs'!B93</f>
        <v>2013</v>
      </c>
      <c r="C87" s="177">
        <f>+'Capex Inputs'!C93</f>
        <v>83</v>
      </c>
      <c r="D87" s="178">
        <f>+'Capex Inputs'!D93</f>
        <v>1510.98997639555</v>
      </c>
      <c r="E87" s="178">
        <f>+'Capex Inputs'!E93</f>
        <v>3830</v>
      </c>
      <c r="F87" s="178">
        <f>+'Capex Inputs'!F93</f>
        <v>0</v>
      </c>
      <c r="G87" s="178">
        <f>+'Capex Inputs'!G93</f>
        <v>6793</v>
      </c>
      <c r="H87" s="84"/>
    </row>
    <row r="88" spans="1:8">
      <c r="A88" s="93"/>
      <c r="B88" s="168">
        <f>+'Capex Inputs'!B94</f>
        <v>2014</v>
      </c>
      <c r="C88" s="177">
        <f>+'Capex Inputs'!C94</f>
        <v>118</v>
      </c>
      <c r="D88" s="178">
        <f>+'Capex Inputs'!D94</f>
        <v>1260.98997639555</v>
      </c>
      <c r="E88" s="178">
        <f>+'Capex Inputs'!E94</f>
        <v>2724</v>
      </c>
      <c r="F88" s="178">
        <f>+'Capex Inputs'!F94</f>
        <v>0</v>
      </c>
      <c r="G88" s="178">
        <f>+'Capex Inputs'!G94</f>
        <v>6848</v>
      </c>
      <c r="H88" s="84"/>
    </row>
    <row r="89" spans="1:8">
      <c r="A89" s="93"/>
      <c r="B89" s="168">
        <f>+'Capex Inputs'!B95</f>
        <v>2015</v>
      </c>
      <c r="C89" s="177">
        <f>+'Capex Inputs'!C95</f>
        <v>100</v>
      </c>
      <c r="D89" s="178">
        <f>+'Capex Inputs'!D95</f>
        <v>1260.9899763955493</v>
      </c>
      <c r="E89" s="178">
        <f>+'Capex Inputs'!E95</f>
        <v>1463</v>
      </c>
      <c r="F89" s="178">
        <f>+'Capex Inputs'!F95</f>
        <v>50</v>
      </c>
      <c r="G89" s="178">
        <f>+'Capex Inputs'!G95</f>
        <v>2448</v>
      </c>
      <c r="H89" s="84"/>
    </row>
    <row r="90" spans="1:8">
      <c r="A90" s="93"/>
      <c r="B90" s="168">
        <f>+'Capex Inputs'!B96</f>
        <v>2016</v>
      </c>
      <c r="C90" s="177">
        <f>+'Capex Inputs'!C96</f>
        <v>170</v>
      </c>
      <c r="D90" s="178">
        <f>+'Capex Inputs'!D96</f>
        <v>1260.9899763955493</v>
      </c>
      <c r="E90" s="178">
        <f>+'Capex Inputs'!E96</f>
        <v>1742</v>
      </c>
      <c r="F90" s="178">
        <f>+'Capex Inputs'!F96</f>
        <v>0</v>
      </c>
      <c r="G90" s="178">
        <f>+'Capex Inputs'!G96</f>
        <v>2960</v>
      </c>
      <c r="H90" s="84"/>
    </row>
    <row r="91" spans="1:8">
      <c r="A91" s="93"/>
      <c r="B91" s="168">
        <f>+'Capex Inputs'!B97</f>
        <v>2017</v>
      </c>
      <c r="C91" s="177">
        <f>+'Capex Inputs'!C97</f>
        <v>170</v>
      </c>
      <c r="D91" s="178">
        <f>+'Capex Inputs'!D97</f>
        <v>1260.9899763955493</v>
      </c>
      <c r="E91" s="178">
        <f>+'Capex Inputs'!E97</f>
        <v>1603</v>
      </c>
      <c r="F91" s="178">
        <f>+'Capex Inputs'!F97</f>
        <v>0</v>
      </c>
      <c r="G91" s="178">
        <f>+'Capex Inputs'!G97</f>
        <v>2731</v>
      </c>
      <c r="H91" s="84"/>
    </row>
    <row r="92" spans="1:8">
      <c r="A92" s="93"/>
      <c r="B92" s="169"/>
      <c r="C92" s="169"/>
      <c r="D92" s="169"/>
      <c r="E92" s="169"/>
      <c r="F92" s="169"/>
      <c r="G92" s="169"/>
      <c r="H92" s="84"/>
    </row>
    <row r="93" spans="1:8">
      <c r="A93" s="93"/>
      <c r="B93" s="179" t="s">
        <v>87</v>
      </c>
      <c r="C93" s="180">
        <f>AVERAGE(C86:C91)</f>
        <v>123.5</v>
      </c>
      <c r="D93" s="180">
        <f t="shared" ref="D93:G93" si="4">AVERAGE(D86:D91)</f>
        <v>1348.1300698818998</v>
      </c>
      <c r="E93" s="180">
        <f t="shared" si="4"/>
        <v>2264.1666666666665</v>
      </c>
      <c r="F93" s="180">
        <f>AVERAGE(F86:F91)</f>
        <v>8.3333333333333339</v>
      </c>
      <c r="G93" s="180">
        <f t="shared" si="4"/>
        <v>4385.166666666667</v>
      </c>
      <c r="H93" s="84"/>
    </row>
    <row r="94" spans="1:8">
      <c r="A94" s="93"/>
      <c r="B94" s="100"/>
      <c r="C94" s="99"/>
      <c r="D94" s="99"/>
      <c r="E94" s="99"/>
      <c r="F94" s="99"/>
      <c r="G94" s="99"/>
      <c r="H94" s="84"/>
    </row>
    <row r="95" spans="1:8">
      <c r="H95" s="84"/>
    </row>
    <row r="96" spans="1:8">
      <c r="A96" s="19" t="s">
        <v>104</v>
      </c>
      <c r="B96" s="3" t="s">
        <v>105</v>
      </c>
    </row>
    <row r="97" spans="1:12">
      <c r="B97" s="9" t="s">
        <v>47</v>
      </c>
      <c r="C97" s="9" t="s">
        <v>106</v>
      </c>
    </row>
    <row r="98" spans="1:12">
      <c r="A98" s="9"/>
    </row>
    <row r="99" spans="1:12">
      <c r="B99" s="147" t="str">
        <f>+'Capex Inputs'!A15</f>
        <v>IC2</v>
      </c>
      <c r="C99" s="181" t="str">
        <f>+'Capex Inputs'!B15</f>
        <v>Disclosed Non-network Capex ($000)</v>
      </c>
      <c r="D99" s="148"/>
      <c r="E99" s="148"/>
      <c r="F99" s="148"/>
      <c r="G99" s="148"/>
    </row>
    <row r="100" spans="1:12">
      <c r="B100" s="149"/>
      <c r="C100" s="150" t="str">
        <f>+'Capex Inputs'!C17</f>
        <v xml:space="preserve">Gasnet </v>
      </c>
      <c r="D100" s="151" t="str">
        <f>+'Capex Inputs'!D17</f>
        <v>Powerco</v>
      </c>
      <c r="E100" s="151" t="str">
        <f>+'Capex Inputs'!E17</f>
        <v>Vector Dist</v>
      </c>
      <c r="F100" s="151" t="str">
        <f>+'Capex Inputs'!F17</f>
        <v>Maui</v>
      </c>
      <c r="G100" s="151" t="str">
        <f>+'Capex Inputs'!G17</f>
        <v>Vector Trans</v>
      </c>
    </row>
    <row r="101" spans="1:12">
      <c r="B101" s="147">
        <f>+'Capex Inputs'!B18</f>
        <v>2008</v>
      </c>
      <c r="C101" s="153">
        <f>+'Capex Inputs'!C18</f>
        <v>107.678</v>
      </c>
      <c r="D101" s="175">
        <f>+'Capex Inputs'!D18</f>
        <v>1025</v>
      </c>
      <c r="E101" s="175">
        <f>+'Capex Inputs'!E18</f>
        <v>6069</v>
      </c>
      <c r="F101" s="175">
        <f>+'Capex Inputs'!F18</f>
        <v>0</v>
      </c>
      <c r="G101" s="175">
        <f>+'Capex Inputs'!G18</f>
        <v>6128</v>
      </c>
    </row>
    <row r="102" spans="1:12">
      <c r="B102" s="147">
        <f>+'Capex Inputs'!B19</f>
        <v>2009</v>
      </c>
      <c r="C102" s="153">
        <f>+'Capex Inputs'!C19</f>
        <v>53.556050000000006</v>
      </c>
      <c r="D102" s="175">
        <f>+'Capex Inputs'!D19</f>
        <v>1519</v>
      </c>
      <c r="E102" s="175">
        <f>+'Capex Inputs'!E19</f>
        <v>4351</v>
      </c>
      <c r="F102" s="175">
        <f>+'Capex Inputs'!F19</f>
        <v>0</v>
      </c>
      <c r="G102" s="175">
        <f>+'Capex Inputs'!G19</f>
        <v>5457</v>
      </c>
    </row>
    <row r="103" spans="1:12">
      <c r="B103" s="147">
        <f>+'Capex Inputs'!B20</f>
        <v>2010</v>
      </c>
      <c r="C103" s="153">
        <f>+'Capex Inputs'!C20</f>
        <v>49</v>
      </c>
      <c r="D103" s="175">
        <f>+'Capex Inputs'!D20</f>
        <v>818</v>
      </c>
      <c r="E103" s="175">
        <f>+'Capex Inputs'!E20</f>
        <v>1065</v>
      </c>
      <c r="F103" s="175">
        <f>+'Capex Inputs'!F20</f>
        <v>0</v>
      </c>
      <c r="G103" s="175">
        <f>+'Capex Inputs'!G20</f>
        <v>1943</v>
      </c>
    </row>
    <row r="104" spans="1:12">
      <c r="B104" s="147">
        <f>+'Capex Inputs'!B21</f>
        <v>2011</v>
      </c>
      <c r="C104" s="153">
        <f>+'Capex Inputs'!C21</f>
        <v>154</v>
      </c>
      <c r="D104" s="175">
        <f>+'Capex Inputs'!D21</f>
        <v>1314.0441449343366</v>
      </c>
      <c r="E104" s="175">
        <f>+'Capex Inputs'!E21</f>
        <v>1372</v>
      </c>
      <c r="F104" s="175">
        <f>+'Capex Inputs'!F21</f>
        <v>28</v>
      </c>
      <c r="G104" s="175">
        <f>+'Capex Inputs'!G21</f>
        <v>3610</v>
      </c>
    </row>
    <row r="106" spans="1:12">
      <c r="B106" t="s">
        <v>147</v>
      </c>
      <c r="C106" s="56"/>
      <c r="D106" s="56"/>
      <c r="E106" s="56"/>
      <c r="F106" s="56"/>
      <c r="G106" s="56"/>
    </row>
    <row r="107" spans="1:12">
      <c r="B107" s="5"/>
      <c r="C107" s="7" t="s">
        <v>37</v>
      </c>
      <c r="D107" s="8" t="s">
        <v>38</v>
      </c>
      <c r="E107" s="8" t="s">
        <v>148</v>
      </c>
      <c r="F107" s="8" t="s">
        <v>39</v>
      </c>
      <c r="G107" s="8" t="s">
        <v>149</v>
      </c>
    </row>
    <row r="108" spans="1:12">
      <c r="B108" s="9">
        <v>2008</v>
      </c>
      <c r="C108" s="6">
        <f t="shared" ref="C108:E111" si="5">+C101*$D47</f>
        <v>112.86911782356472</v>
      </c>
      <c r="D108" s="13">
        <f t="shared" si="5"/>
        <v>1074.4148829765954</v>
      </c>
      <c r="E108" s="13">
        <f t="shared" si="5"/>
        <v>6361.5843168633728</v>
      </c>
      <c r="F108" s="144">
        <f>+F101*$H47</f>
        <v>0</v>
      </c>
      <c r="G108" s="13">
        <f>+G101*$D47</f>
        <v>6423.428685737148</v>
      </c>
      <c r="I108" s="138"/>
      <c r="J108" s="139" t="s">
        <v>188</v>
      </c>
      <c r="K108" s="140"/>
      <c r="L108" s="135"/>
    </row>
    <row r="109" spans="1:12">
      <c r="B109" s="9">
        <v>2009</v>
      </c>
      <c r="C109" s="6">
        <f>+C102*$D48</f>
        <v>53.864434165067181</v>
      </c>
      <c r="D109" s="13">
        <f>+D102*$D48</f>
        <v>1527.7466410748559</v>
      </c>
      <c r="E109" s="13">
        <f>+E102*$D48</f>
        <v>4376.0537428023026</v>
      </c>
      <c r="F109" s="144">
        <f>+F102*$H48</f>
        <v>0</v>
      </c>
      <c r="G109" s="13">
        <f>+G102*$D48</f>
        <v>5488.4222648752393</v>
      </c>
    </row>
    <row r="110" spans="1:12">
      <c r="B110" s="9">
        <v>2010</v>
      </c>
      <c r="C110" s="6">
        <f t="shared" si="5"/>
        <v>49.018709431080566</v>
      </c>
      <c r="D110" s="13">
        <f t="shared" si="5"/>
        <v>818.31233295150832</v>
      </c>
      <c r="E110" s="13">
        <f t="shared" si="5"/>
        <v>1065.4066437571594</v>
      </c>
      <c r="F110" s="144">
        <f>+F103*$H49</f>
        <v>0</v>
      </c>
      <c r="G110" s="13">
        <f>+G103*$D49</f>
        <v>1943.7418862161132</v>
      </c>
    </row>
    <row r="111" spans="1:12">
      <c r="B111" s="9">
        <v>2011</v>
      </c>
      <c r="C111" s="6">
        <f t="shared" si="5"/>
        <v>154</v>
      </c>
      <c r="D111" s="13">
        <f t="shared" si="5"/>
        <v>1314.0441449343366</v>
      </c>
      <c r="E111" s="13">
        <f t="shared" si="5"/>
        <v>1372</v>
      </c>
      <c r="F111" s="144">
        <f>+F104*$H50</f>
        <v>28</v>
      </c>
      <c r="G111" s="13">
        <f>+G104*$D50</f>
        <v>3610</v>
      </c>
    </row>
    <row r="112" spans="1:12">
      <c r="B112" s="56"/>
    </row>
    <row r="113" spans="1:8">
      <c r="B113" s="56"/>
    </row>
    <row r="114" spans="1:8">
      <c r="A114" s="19" t="s">
        <v>119</v>
      </c>
      <c r="B114" s="3" t="s">
        <v>176</v>
      </c>
    </row>
    <row r="115" spans="1:8">
      <c r="B115" s="9"/>
      <c r="C115" s="9"/>
    </row>
    <row r="116" spans="1:8">
      <c r="B116" s="5"/>
      <c r="C116" s="7" t="s">
        <v>37</v>
      </c>
      <c r="D116" s="8" t="s">
        <v>38</v>
      </c>
      <c r="E116" s="8" t="s">
        <v>148</v>
      </c>
      <c r="F116" s="8" t="s">
        <v>39</v>
      </c>
      <c r="G116" s="8" t="s">
        <v>149</v>
      </c>
    </row>
    <row r="117" spans="1:8">
      <c r="B117" s="9" t="s">
        <v>87</v>
      </c>
      <c r="C117" s="6">
        <f>AVERAGE(C108:C111)</f>
        <v>92.438065354928113</v>
      </c>
      <c r="D117" s="13">
        <f t="shared" ref="D117:G117" si="6">AVERAGE(D108:D111)</f>
        <v>1183.6295004843241</v>
      </c>
      <c r="E117" s="13">
        <f t="shared" si="6"/>
        <v>3293.7611758557086</v>
      </c>
      <c r="F117" s="13">
        <f>AVERAGE(F108:F111)</f>
        <v>7</v>
      </c>
      <c r="G117" s="13">
        <f t="shared" si="6"/>
        <v>4366.3982092071255</v>
      </c>
    </row>
    <row r="121" spans="1:8" ht="18.75">
      <c r="A121" s="37" t="s">
        <v>131</v>
      </c>
      <c r="B121" s="38"/>
      <c r="C121" s="38"/>
      <c r="D121" s="38"/>
      <c r="E121" s="38"/>
      <c r="F121" s="38"/>
      <c r="G121" s="38"/>
      <c r="H121" s="38"/>
    </row>
    <row r="124" spans="1:8">
      <c r="A124" s="3" t="s">
        <v>132</v>
      </c>
      <c r="B124" s="3" t="s">
        <v>136</v>
      </c>
    </row>
    <row r="125" spans="1:8">
      <c r="A125" s="3"/>
      <c r="B125" s="9" t="s">
        <v>129</v>
      </c>
      <c r="C125" s="9" t="s">
        <v>98</v>
      </c>
    </row>
    <row r="126" spans="1:8">
      <c r="A126" s="3"/>
      <c r="B126" s="9"/>
      <c r="C126" s="9"/>
      <c r="H126" s="84"/>
    </row>
    <row r="127" spans="1:8">
      <c r="A127" s="3"/>
      <c r="B127" s="170"/>
      <c r="C127" s="171" t="str">
        <f>+'Capex Inputs'!C37</f>
        <v xml:space="preserve">Gasnet </v>
      </c>
      <c r="D127" s="172" t="str">
        <f>+'Capex Inputs'!D37</f>
        <v>Powerco</v>
      </c>
      <c r="E127" s="172" t="str">
        <f>+'Capex Inputs'!E37</f>
        <v>Vector Dist</v>
      </c>
      <c r="F127" s="172" t="str">
        <f>+'Capex Inputs'!F37</f>
        <v>Maui</v>
      </c>
      <c r="G127" s="172" t="str">
        <f>+'Capex Inputs'!G37</f>
        <v>Vector Trans</v>
      </c>
      <c r="H127" s="84"/>
    </row>
    <row r="128" spans="1:8">
      <c r="A128" s="3"/>
      <c r="B128" s="182" t="str">
        <f>+'Capex Inputs'!B38</f>
        <v>Network Capex threshold</v>
      </c>
      <c r="C128" s="183">
        <f>+'Capex Inputs'!C38</f>
        <v>1.2</v>
      </c>
      <c r="D128" s="184">
        <f>+'Capex Inputs'!D38</f>
        <v>1.2</v>
      </c>
      <c r="E128" s="184">
        <f>+'Capex Inputs'!E38</f>
        <v>1.2</v>
      </c>
      <c r="F128" s="184">
        <f>+'Capex Inputs'!F38</f>
        <v>1.2</v>
      </c>
      <c r="G128" s="184">
        <f>+'Capex Inputs'!G38</f>
        <v>1.2</v>
      </c>
      <c r="H128" s="84"/>
    </row>
    <row r="129" spans="1:8">
      <c r="A129" s="3"/>
      <c r="B129" s="3"/>
      <c r="H129" s="84"/>
    </row>
    <row r="130" spans="1:8">
      <c r="A130" s="3"/>
      <c r="B130" s="3"/>
      <c r="H130" s="84"/>
    </row>
    <row r="131" spans="1:8">
      <c r="A131" s="3" t="s">
        <v>133</v>
      </c>
      <c r="B131" s="3" t="s">
        <v>178</v>
      </c>
    </row>
    <row r="132" spans="1:8">
      <c r="A132" s="3"/>
      <c r="B132" s="9" t="s">
        <v>47</v>
      </c>
      <c r="C132" s="9" t="s">
        <v>139</v>
      </c>
    </row>
    <row r="133" spans="1:8">
      <c r="A133" s="3"/>
      <c r="B133" s="3"/>
    </row>
    <row r="134" spans="1:8">
      <c r="A134" s="3"/>
      <c r="B134" s="29" t="str">
        <f>+A5</f>
        <v>CTC1</v>
      </c>
      <c r="C134" s="27" t="str">
        <f>+B5</f>
        <v>Annual average of the suppliers forecast of constant price network capex</v>
      </c>
    </row>
    <row r="135" spans="1:8">
      <c r="A135" s="3"/>
      <c r="B135" s="5"/>
      <c r="C135" s="7" t="s">
        <v>37</v>
      </c>
      <c r="D135" s="8" t="s">
        <v>38</v>
      </c>
      <c r="E135" s="8" t="s">
        <v>148</v>
      </c>
      <c r="F135" s="8" t="s">
        <v>39</v>
      </c>
      <c r="G135" s="8" t="s">
        <v>149</v>
      </c>
    </row>
    <row r="136" spans="1:8">
      <c r="A136" s="3"/>
      <c r="B136" s="66" t="str">
        <f t="shared" ref="B136:G136" si="7">+B17</f>
        <v>Average</v>
      </c>
      <c r="C136" s="65">
        <f>+C17</f>
        <v>600.5</v>
      </c>
      <c r="D136" s="64">
        <f t="shared" si="7"/>
        <v>10367.899725069168</v>
      </c>
      <c r="E136" s="64">
        <f t="shared" si="7"/>
        <v>17344.666666666668</v>
      </c>
      <c r="F136" s="64">
        <f t="shared" si="7"/>
        <v>8907.6666666666661</v>
      </c>
      <c r="G136" s="64">
        <f t="shared" si="7"/>
        <v>18301.833333333332</v>
      </c>
    </row>
    <row r="137" spans="1:8">
      <c r="A137" s="3"/>
      <c r="B137" s="3"/>
    </row>
    <row r="138" spans="1:8">
      <c r="A138" s="3"/>
      <c r="B138" s="29" t="str">
        <f>+A71</f>
        <v>CTC3</v>
      </c>
      <c r="C138" s="27" t="str">
        <f>+B71</f>
        <v>Suppliers historic average network capex</v>
      </c>
    </row>
    <row r="139" spans="1:8">
      <c r="A139" s="3"/>
      <c r="B139" s="5"/>
      <c r="C139" s="7" t="s">
        <v>37</v>
      </c>
      <c r="D139" s="8" t="s">
        <v>38</v>
      </c>
      <c r="E139" s="8" t="s">
        <v>148</v>
      </c>
      <c r="F139" s="8" t="s">
        <v>39</v>
      </c>
      <c r="G139" s="8" t="s">
        <v>149</v>
      </c>
    </row>
    <row r="140" spans="1:8">
      <c r="A140" s="3"/>
      <c r="B140" s="66" t="str">
        <f>+B74</f>
        <v>Average</v>
      </c>
      <c r="C140" s="65">
        <f t="shared" ref="C140:G140" si="8">+C74</f>
        <v>538.03692585585748</v>
      </c>
      <c r="D140" s="64">
        <f>+D74</f>
        <v>8595.7863651364914</v>
      </c>
      <c r="E140" s="64">
        <f t="shared" si="8"/>
        <v>18194.599095390746</v>
      </c>
      <c r="F140" s="64">
        <f t="shared" si="8"/>
        <v>496.71474238428101</v>
      </c>
      <c r="G140" s="64">
        <f t="shared" si="8"/>
        <v>7873.9996780215952</v>
      </c>
    </row>
    <row r="141" spans="1:8">
      <c r="A141" s="3"/>
      <c r="B141" s="3"/>
    </row>
    <row r="142" spans="1:8">
      <c r="A142" s="3"/>
      <c r="B142" s="27" t="str">
        <f>+B131</f>
        <v>Supplier's forecast relative to historic levels of network capex</v>
      </c>
    </row>
    <row r="143" spans="1:8">
      <c r="A143" s="3"/>
      <c r="B143" s="5"/>
      <c r="C143" s="7" t="s">
        <v>37</v>
      </c>
      <c r="D143" s="8" t="s">
        <v>38</v>
      </c>
      <c r="E143" s="8" t="s">
        <v>148</v>
      </c>
      <c r="F143" s="8" t="s">
        <v>39</v>
      </c>
      <c r="G143" s="8" t="s">
        <v>149</v>
      </c>
    </row>
    <row r="144" spans="1:8">
      <c r="A144" s="3"/>
      <c r="B144" s="41" t="s">
        <v>140</v>
      </c>
      <c r="C144" s="67">
        <f>+C136/C140</f>
        <v>1.1160944001097737</v>
      </c>
      <c r="D144" s="63">
        <f>+D136/D140</f>
        <v>1.2061607030067851</v>
      </c>
      <c r="E144" s="63">
        <f t="shared" ref="E144:F144" si="9">+E136/E140</f>
        <v>0.95328655364880277</v>
      </c>
      <c r="F144" s="63">
        <f t="shared" si="9"/>
        <v>17.933163456975254</v>
      </c>
      <c r="G144" s="63">
        <f>+G136/G140</f>
        <v>2.3243375770535732</v>
      </c>
    </row>
    <row r="145" spans="1:8">
      <c r="A145" s="3"/>
      <c r="B145" s="3"/>
    </row>
    <row r="147" spans="1:8">
      <c r="A147" s="3" t="s">
        <v>134</v>
      </c>
      <c r="B147" s="3" t="s">
        <v>186</v>
      </c>
    </row>
    <row r="148" spans="1:8">
      <c r="A148" s="3"/>
      <c r="B148" s="9" t="s">
        <v>47</v>
      </c>
      <c r="C148" s="9" t="s">
        <v>141</v>
      </c>
      <c r="H148" s="84"/>
    </row>
    <row r="149" spans="1:8">
      <c r="A149" s="3"/>
      <c r="B149" s="3"/>
      <c r="H149" s="84"/>
    </row>
    <row r="150" spans="1:8">
      <c r="A150" s="3"/>
      <c r="B150" s="106" t="s">
        <v>142</v>
      </c>
      <c r="C150" s="106"/>
      <c r="D150" s="106"/>
      <c r="E150" s="106"/>
      <c r="F150" s="106"/>
      <c r="G150" s="106"/>
      <c r="H150" s="84"/>
    </row>
    <row r="151" spans="1:8">
      <c r="A151" s="3"/>
      <c r="B151" s="107"/>
      <c r="C151" s="96" t="s">
        <v>37</v>
      </c>
      <c r="D151" s="97" t="s">
        <v>38</v>
      </c>
      <c r="E151" s="97" t="s">
        <v>148</v>
      </c>
      <c r="F151" s="97" t="s">
        <v>39</v>
      </c>
      <c r="G151" s="97" t="s">
        <v>149</v>
      </c>
      <c r="H151" s="84"/>
    </row>
    <row r="152" spans="1:8">
      <c r="A152" s="3"/>
      <c r="B152" s="106"/>
      <c r="C152" s="108">
        <f>+C128/C144</f>
        <v>1.0751778701532537</v>
      </c>
      <c r="D152" s="109">
        <f>+D128/D144</f>
        <v>0.99489230332954193</v>
      </c>
      <c r="E152" s="109">
        <f>+E128/E144</f>
        <v>1.2588030277012467</v>
      </c>
      <c r="F152" s="109">
        <f>+F128/F144</f>
        <v>6.6915132005516284E-2</v>
      </c>
      <c r="G152" s="109">
        <f>+G128/G144</f>
        <v>0.51627612608714513</v>
      </c>
      <c r="H152" s="84"/>
    </row>
    <row r="153" spans="1:8">
      <c r="A153" s="3"/>
      <c r="B153" s="23"/>
      <c r="C153" s="23"/>
      <c r="D153" s="23"/>
      <c r="E153" s="23"/>
      <c r="F153" s="23"/>
      <c r="G153" s="23"/>
      <c r="H153" s="84"/>
    </row>
    <row r="154" spans="1:8">
      <c r="A154" s="3"/>
      <c r="B154" s="23" t="s">
        <v>143</v>
      </c>
      <c r="C154" s="23"/>
      <c r="D154" s="23"/>
      <c r="E154" s="23"/>
      <c r="F154" s="23"/>
      <c r="G154" s="23"/>
      <c r="H154" s="84"/>
    </row>
    <row r="155" spans="1:8">
      <c r="A155" s="3"/>
      <c r="B155" s="69"/>
      <c r="C155" s="7" t="s">
        <v>37</v>
      </c>
      <c r="D155" s="8" t="s">
        <v>38</v>
      </c>
      <c r="E155" s="8" t="s">
        <v>148</v>
      </c>
      <c r="F155" s="8" t="s">
        <v>39</v>
      </c>
      <c r="G155" s="8" t="s">
        <v>149</v>
      </c>
      <c r="H155" s="84"/>
    </row>
    <row r="156" spans="1:8">
      <c r="A156" s="3"/>
      <c r="B156" s="190" t="s">
        <v>186</v>
      </c>
      <c r="C156" s="70">
        <f>MIN(C152,1)</f>
        <v>1</v>
      </c>
      <c r="D156" s="71">
        <f>MIN(D152,1)</f>
        <v>0.99489230332954193</v>
      </c>
      <c r="E156" s="71">
        <f>MIN(E152,1)</f>
        <v>1</v>
      </c>
      <c r="F156" s="71">
        <f>MIN(F152,1)</f>
        <v>6.6915132005516284E-2</v>
      </c>
      <c r="G156" s="71">
        <f>MIN(G152,1)</f>
        <v>0.51627612608714513</v>
      </c>
    </row>
    <row r="157" spans="1:8">
      <c r="A157" s="3"/>
      <c r="B157" s="3"/>
    </row>
    <row r="158" spans="1:8">
      <c r="A158" s="3"/>
      <c r="B158" s="3"/>
    </row>
    <row r="159" spans="1:8">
      <c r="A159" s="3" t="s">
        <v>135</v>
      </c>
      <c r="B159" s="3" t="s">
        <v>137</v>
      </c>
    </row>
    <row r="160" spans="1:8">
      <c r="A160" s="3"/>
      <c r="B160" s="9" t="s">
        <v>47</v>
      </c>
      <c r="C160" s="9" t="s">
        <v>163</v>
      </c>
    </row>
    <row r="161" spans="1:12">
      <c r="A161" s="3"/>
      <c r="B161" s="3"/>
    </row>
    <row r="162" spans="1:12">
      <c r="A162" s="3"/>
      <c r="B162" s="147" t="str">
        <f>+'Capex Inputs'!A24</f>
        <v>IC3</v>
      </c>
      <c r="C162" s="155" t="str">
        <f>+'Capex Inputs'!B24</f>
        <v>Suppliers Forecast of Network Capex ($000)</v>
      </c>
      <c r="D162" s="185"/>
      <c r="E162" s="148"/>
      <c r="F162" s="148"/>
      <c r="G162" s="148"/>
    </row>
    <row r="163" spans="1:12">
      <c r="A163" s="3"/>
      <c r="B163" s="149"/>
      <c r="C163" s="150" t="str">
        <f>+'Capex Inputs'!C26</f>
        <v xml:space="preserve">Gasnet </v>
      </c>
      <c r="D163" s="151" t="str">
        <f>+'Capex Inputs'!D26</f>
        <v>Powerco</v>
      </c>
      <c r="E163" s="151" t="str">
        <f>+'Capex Inputs'!E26</f>
        <v>Vector Dist</v>
      </c>
      <c r="F163" s="151" t="str">
        <f>+'Capex Inputs'!F26</f>
        <v>Maui</v>
      </c>
      <c r="G163" s="151" t="str">
        <f>+'Capex Inputs'!G26</f>
        <v>Vector Trans</v>
      </c>
    </row>
    <row r="164" spans="1:12">
      <c r="A164" s="3"/>
      <c r="B164" s="147">
        <f>+'Capex Inputs'!B27</f>
        <v>2012</v>
      </c>
      <c r="C164" s="153">
        <f>+'Capex Inputs'!C27</f>
        <v>560</v>
      </c>
      <c r="D164" s="175">
        <f>+'Capex Inputs'!D27</f>
        <v>9909.5943309000013</v>
      </c>
      <c r="E164" s="175">
        <f>+'Capex Inputs'!E27</f>
        <v>18687</v>
      </c>
      <c r="F164" s="175">
        <f>+'Capex Inputs'!F27</f>
        <v>1966</v>
      </c>
      <c r="G164" s="175">
        <f>+'Capex Inputs'!G27</f>
        <v>14100</v>
      </c>
    </row>
    <row r="165" spans="1:12">
      <c r="A165" s="3"/>
      <c r="B165" s="147">
        <f>+'Capex Inputs'!B28</f>
        <v>2013</v>
      </c>
      <c r="C165" s="153">
        <f>+'Capex Inputs'!C28</f>
        <v>606</v>
      </c>
      <c r="D165" s="175">
        <f>+'Capex Inputs'!D28</f>
        <v>9651.3120772688599</v>
      </c>
      <c r="E165" s="175">
        <f>+'Capex Inputs'!E28</f>
        <v>20704</v>
      </c>
      <c r="F165" s="175">
        <f>+'Capex Inputs'!F28</f>
        <v>4420</v>
      </c>
      <c r="G165" s="175">
        <f>+'Capex Inputs'!G28</f>
        <v>17808</v>
      </c>
    </row>
    <row r="166" spans="1:12">
      <c r="A166" s="3"/>
      <c r="B166" s="147">
        <f>+'Capex Inputs'!B29</f>
        <v>2014</v>
      </c>
      <c r="C166" s="153">
        <f>+'Capex Inputs'!C29</f>
        <v>593</v>
      </c>
      <c r="D166" s="175">
        <f>+'Capex Inputs'!D29</f>
        <v>9785.0324777951391</v>
      </c>
      <c r="E166" s="175">
        <f>+'Capex Inputs'!E29</f>
        <v>24534</v>
      </c>
      <c r="F166" s="175">
        <f>+'Capex Inputs'!F29</f>
        <v>40060</v>
      </c>
      <c r="G166" s="175">
        <f>+'Capex Inputs'!G29</f>
        <v>35312</v>
      </c>
    </row>
    <row r="167" spans="1:12">
      <c r="A167" s="3"/>
      <c r="B167" s="147">
        <f>+'Capex Inputs'!B30</f>
        <v>2015</v>
      </c>
      <c r="C167" s="153">
        <f>+'Capex Inputs'!C30</f>
        <v>608</v>
      </c>
      <c r="D167" s="175">
        <f>+'Capex Inputs'!D30</f>
        <v>10864.937265279001</v>
      </c>
      <c r="E167" s="175">
        <f>+'Capex Inputs'!E30</f>
        <v>15973</v>
      </c>
      <c r="F167" s="175">
        <f>+'Capex Inputs'!F30</f>
        <v>2185</v>
      </c>
      <c r="G167" s="175">
        <f>+'Capex Inputs'!G30</f>
        <v>16028</v>
      </c>
    </row>
    <row r="168" spans="1:12">
      <c r="A168" s="3"/>
      <c r="B168" s="147">
        <f>+'Capex Inputs'!B31</f>
        <v>2016</v>
      </c>
      <c r="C168" s="153">
        <f>+'Capex Inputs'!C31</f>
        <v>619</v>
      </c>
      <c r="D168" s="175">
        <f>+'Capex Inputs'!D31</f>
        <v>10953.5738070922</v>
      </c>
      <c r="E168" s="175">
        <f>+'Capex Inputs'!E31</f>
        <v>12073</v>
      </c>
      <c r="F168" s="175">
        <f>+'Capex Inputs'!F31</f>
        <v>1980</v>
      </c>
      <c r="G168" s="175">
        <f>+'Capex Inputs'!G31</f>
        <v>13368</v>
      </c>
    </row>
    <row r="169" spans="1:12">
      <c r="A169" s="3"/>
      <c r="B169" s="151">
        <f>+'Capex Inputs'!B32</f>
        <v>2017</v>
      </c>
      <c r="C169" s="153">
        <f>+'Capex Inputs'!C32</f>
        <v>617</v>
      </c>
      <c r="D169" s="175">
        <f>+'Capex Inputs'!D32</f>
        <v>11042.948392079799</v>
      </c>
      <c r="E169" s="175">
        <f>+'Capex Inputs'!E32</f>
        <v>12097</v>
      </c>
      <c r="F169" s="175">
        <f>+'Capex Inputs'!F32</f>
        <v>2835</v>
      </c>
      <c r="G169" s="175">
        <f>+'Capex Inputs'!G32</f>
        <v>13195</v>
      </c>
    </row>
    <row r="170" spans="1:12">
      <c r="A170" s="3"/>
      <c r="B170" s="68">
        <v>2018</v>
      </c>
      <c r="C170" s="186">
        <f>+C169</f>
        <v>617</v>
      </c>
      <c r="D170" s="187">
        <f t="shared" ref="D170:G170" si="10">+D169</f>
        <v>11042.948392079799</v>
      </c>
      <c r="E170" s="187">
        <f t="shared" si="10"/>
        <v>12097</v>
      </c>
      <c r="F170" s="187"/>
      <c r="G170" s="187">
        <f t="shared" si="10"/>
        <v>13195</v>
      </c>
      <c r="I170" s="138"/>
      <c r="J170" s="139" t="s">
        <v>188</v>
      </c>
      <c r="K170" s="140"/>
      <c r="L170" s="135"/>
    </row>
    <row r="171" spans="1:12">
      <c r="A171" s="3"/>
      <c r="B171" s="3"/>
    </row>
    <row r="172" spans="1:12">
      <c r="A172" s="3"/>
      <c r="B172" s="3"/>
    </row>
    <row r="173" spans="1:12">
      <c r="A173" s="3"/>
      <c r="B173" s="27" t="str">
        <f>+B159</f>
        <v>Scaled forecast of network capex (constant prices)</v>
      </c>
    </row>
    <row r="174" spans="1:12">
      <c r="A174" s="3"/>
      <c r="B174" s="5"/>
      <c r="C174" s="7" t="s">
        <v>37</v>
      </c>
      <c r="D174" s="8" t="s">
        <v>38</v>
      </c>
      <c r="E174" s="8" t="s">
        <v>148</v>
      </c>
      <c r="F174" s="8" t="s">
        <v>39</v>
      </c>
      <c r="G174" s="8" t="s">
        <v>149</v>
      </c>
    </row>
    <row r="175" spans="1:12">
      <c r="A175" s="3"/>
      <c r="B175" s="9">
        <v>2012</v>
      </c>
      <c r="C175" s="6">
        <f>+C164*C$156</f>
        <v>560</v>
      </c>
      <c r="D175" s="13">
        <f t="shared" ref="D175:G175" si="11">+D164*D$156</f>
        <v>9858.979128930474</v>
      </c>
      <c r="E175" s="13">
        <f t="shared" si="11"/>
        <v>18687</v>
      </c>
      <c r="F175" s="13">
        <f t="shared" si="11"/>
        <v>131.55514952284503</v>
      </c>
      <c r="G175" s="13">
        <f t="shared" si="11"/>
        <v>7279.4933778287459</v>
      </c>
    </row>
    <row r="176" spans="1:12">
      <c r="A176" s="3"/>
      <c r="B176" s="9">
        <v>2013</v>
      </c>
      <c r="C176" s="6">
        <f t="shared" ref="C176:G181" si="12">+C165*C$156</f>
        <v>606</v>
      </c>
      <c r="D176" s="13">
        <f t="shared" si="12"/>
        <v>9602.0161027062422</v>
      </c>
      <c r="E176" s="13">
        <f>+E165*E$156</f>
        <v>20704</v>
      </c>
      <c r="F176" s="13">
        <f t="shared" si="12"/>
        <v>295.76488346438197</v>
      </c>
      <c r="G176" s="13">
        <f t="shared" si="12"/>
        <v>9193.8452533598811</v>
      </c>
    </row>
    <row r="177" spans="1:8">
      <c r="B177" s="9">
        <v>2014</v>
      </c>
      <c r="C177" s="6">
        <f>+C166*C$156</f>
        <v>593</v>
      </c>
      <c r="D177" s="13">
        <f>+D166*D$156</f>
        <v>9735.0534999879801</v>
      </c>
      <c r="E177" s="13">
        <f t="shared" si="12"/>
        <v>24534</v>
      </c>
      <c r="F177" s="13">
        <f>+F166*F$156</f>
        <v>2680.6201881409825</v>
      </c>
      <c r="G177" s="13">
        <f t="shared" si="12"/>
        <v>18230.742564389267</v>
      </c>
    </row>
    <row r="178" spans="1:8">
      <c r="B178" s="9">
        <v>2015</v>
      </c>
      <c r="C178" s="6">
        <f>+C167*C$156</f>
        <v>608</v>
      </c>
      <c r="D178" s="13">
        <f>+D167*D$156</f>
        <v>10809.442461384398</v>
      </c>
      <c r="E178" s="13">
        <f t="shared" si="12"/>
        <v>15973</v>
      </c>
      <c r="F178" s="13">
        <f t="shared" si="12"/>
        <v>146.20956343205307</v>
      </c>
      <c r="G178" s="13">
        <f t="shared" si="12"/>
        <v>8274.8737489247615</v>
      </c>
    </row>
    <row r="179" spans="1:8">
      <c r="B179" s="9">
        <v>2016</v>
      </c>
      <c r="C179" s="6">
        <f t="shared" si="12"/>
        <v>619</v>
      </c>
      <c r="D179" s="13">
        <f t="shared" si="12"/>
        <v>10897.626274628099</v>
      </c>
      <c r="E179" s="13">
        <f t="shared" si="12"/>
        <v>12073</v>
      </c>
      <c r="F179" s="13">
        <f t="shared" si="12"/>
        <v>132.49196137092224</v>
      </c>
      <c r="G179" s="13">
        <f t="shared" si="12"/>
        <v>6901.5792535329565</v>
      </c>
    </row>
    <row r="180" spans="1:8">
      <c r="B180" s="9">
        <v>2017</v>
      </c>
      <c r="C180" s="6">
        <f t="shared" si="12"/>
        <v>617</v>
      </c>
      <c r="D180" s="13">
        <f>+D169*D$156</f>
        <v>10986.544361345534</v>
      </c>
      <c r="E180" s="13">
        <f t="shared" si="12"/>
        <v>12097</v>
      </c>
      <c r="F180" s="13">
        <f>+F169*F$156</f>
        <v>189.70439923563868</v>
      </c>
      <c r="G180" s="13">
        <f t="shared" si="12"/>
        <v>6812.2634837198802</v>
      </c>
    </row>
    <row r="181" spans="1:8">
      <c r="B181" s="9">
        <v>2018</v>
      </c>
      <c r="C181" s="6">
        <f t="shared" si="12"/>
        <v>617</v>
      </c>
      <c r="D181" s="13">
        <f t="shared" si="12"/>
        <v>10986.544361345534</v>
      </c>
      <c r="E181" s="13">
        <f t="shared" si="12"/>
        <v>12097</v>
      </c>
      <c r="F181" s="13"/>
      <c r="G181" s="13">
        <f t="shared" si="12"/>
        <v>6812.2634837198802</v>
      </c>
    </row>
    <row r="185" spans="1:8" ht="18.75">
      <c r="A185" s="37" t="s">
        <v>177</v>
      </c>
      <c r="B185" s="38"/>
      <c r="C185" s="38"/>
      <c r="D185" s="38"/>
      <c r="E185" s="38"/>
      <c r="F185" s="38"/>
      <c r="G185" s="38"/>
      <c r="H185" s="38"/>
    </row>
    <row r="186" spans="1:8">
      <c r="A186" s="93"/>
      <c r="B186" s="93"/>
      <c r="C186" s="93"/>
      <c r="D186" s="93"/>
      <c r="E186" s="93"/>
      <c r="F186" s="93"/>
      <c r="G186" s="93"/>
      <c r="H186" s="84"/>
    </row>
    <row r="187" spans="1:8">
      <c r="A187" s="93"/>
      <c r="B187" s="93"/>
      <c r="C187" s="93"/>
      <c r="D187" s="93"/>
      <c r="E187" s="93"/>
      <c r="F187" s="93"/>
      <c r="G187" s="93"/>
      <c r="H187" s="84"/>
    </row>
    <row r="188" spans="1:8">
      <c r="A188" s="92" t="s">
        <v>165</v>
      </c>
      <c r="B188" s="92" t="s">
        <v>164</v>
      </c>
      <c r="C188" s="93"/>
      <c r="D188" s="93"/>
      <c r="E188" s="93"/>
      <c r="F188" s="93"/>
      <c r="G188" s="93"/>
      <c r="H188" s="84"/>
    </row>
    <row r="189" spans="1:8">
      <c r="A189" s="92"/>
      <c r="B189" s="94" t="s">
        <v>129</v>
      </c>
      <c r="C189" s="94" t="s">
        <v>159</v>
      </c>
      <c r="D189" s="93"/>
      <c r="E189" s="93"/>
      <c r="F189" s="93"/>
      <c r="G189" s="93"/>
      <c r="H189" s="84"/>
    </row>
    <row r="190" spans="1:8">
      <c r="A190" s="92"/>
      <c r="B190" s="94"/>
      <c r="C190" s="94"/>
      <c r="D190" s="93"/>
      <c r="E190" s="93"/>
      <c r="F190" s="93"/>
      <c r="G190" s="93"/>
      <c r="H190" s="84"/>
    </row>
    <row r="191" spans="1:8">
      <c r="A191" s="92"/>
      <c r="B191" s="170"/>
      <c r="C191" s="171" t="str">
        <f>+'Capex Inputs'!C101</f>
        <v xml:space="preserve">Gasnet </v>
      </c>
      <c r="D191" s="172" t="str">
        <f>+'Capex Inputs'!D101</f>
        <v>Powerco</v>
      </c>
      <c r="E191" s="172" t="str">
        <f>+'Capex Inputs'!E101</f>
        <v>Vector Dist</v>
      </c>
      <c r="F191" s="172" t="str">
        <f>+'Capex Inputs'!F101</f>
        <v>Maui</v>
      </c>
      <c r="G191" s="172" t="str">
        <f>+'Capex Inputs'!G101</f>
        <v>Vector Trans</v>
      </c>
      <c r="H191" s="84"/>
    </row>
    <row r="192" spans="1:8">
      <c r="A192" s="92"/>
      <c r="B192" s="182" t="str">
        <f>+'Capex Inputs'!B102</f>
        <v>Non- Network Capex threshold</v>
      </c>
      <c r="C192" s="183">
        <f>+'Capex Inputs'!C102</f>
        <v>1.2</v>
      </c>
      <c r="D192" s="184">
        <f>+'Capex Inputs'!D102</f>
        <v>1.2</v>
      </c>
      <c r="E192" s="184">
        <f>+'Capex Inputs'!E102</f>
        <v>1.2</v>
      </c>
      <c r="F192" s="184">
        <f>+'Capex Inputs'!F102</f>
        <v>1.2</v>
      </c>
      <c r="G192" s="184">
        <f>+'Capex Inputs'!G102</f>
        <v>1.2</v>
      </c>
      <c r="H192" s="84"/>
    </row>
    <row r="193" spans="1:8">
      <c r="A193" s="92"/>
      <c r="B193" s="92"/>
      <c r="C193" s="93"/>
      <c r="D193" s="93"/>
      <c r="E193" s="93"/>
      <c r="F193" s="93"/>
      <c r="G193" s="93"/>
      <c r="H193" s="84"/>
    </row>
    <row r="194" spans="1:8">
      <c r="A194" s="92"/>
      <c r="B194" s="92"/>
      <c r="C194" s="93"/>
      <c r="D194" s="93"/>
      <c r="E194" s="93"/>
      <c r="F194" s="93"/>
      <c r="G194" s="93"/>
      <c r="H194" s="84"/>
    </row>
    <row r="195" spans="1:8">
      <c r="A195" s="92" t="s">
        <v>167</v>
      </c>
      <c r="B195" s="92" t="s">
        <v>166</v>
      </c>
      <c r="C195" s="93"/>
      <c r="D195" s="93"/>
      <c r="E195" s="93"/>
      <c r="F195" s="93"/>
      <c r="G195" s="93"/>
      <c r="H195" s="84"/>
    </row>
    <row r="196" spans="1:8">
      <c r="A196" s="92"/>
      <c r="B196" s="94" t="s">
        <v>47</v>
      </c>
      <c r="C196" s="94" t="s">
        <v>168</v>
      </c>
      <c r="D196" s="93"/>
      <c r="E196" s="93"/>
      <c r="F196" s="93"/>
      <c r="G196" s="93"/>
      <c r="H196" s="84"/>
    </row>
    <row r="197" spans="1:8">
      <c r="A197" s="92"/>
      <c r="B197" s="92"/>
      <c r="C197" s="93"/>
      <c r="D197" s="93"/>
      <c r="E197" s="93"/>
      <c r="F197" s="93"/>
      <c r="G197" s="93"/>
      <c r="H197" s="84"/>
    </row>
    <row r="198" spans="1:8">
      <c r="A198" s="92"/>
      <c r="B198" s="110" t="str">
        <f>+A81</f>
        <v>NNCC3</v>
      </c>
      <c r="C198" s="117" t="str">
        <f>+B81</f>
        <v>Annual average of the suppliers forecast of constant price non-network capex</v>
      </c>
      <c r="D198" s="93"/>
      <c r="E198" s="93"/>
      <c r="F198" s="93"/>
      <c r="G198" s="93"/>
      <c r="H198" s="84"/>
    </row>
    <row r="199" spans="1:8">
      <c r="A199" s="92"/>
      <c r="B199" s="95"/>
      <c r="C199" s="96" t="str">
        <f t="shared" ref="C199:G199" si="13">+C85</f>
        <v xml:space="preserve">Gasnet </v>
      </c>
      <c r="D199" s="97" t="str">
        <f t="shared" si="13"/>
        <v>Powerco</v>
      </c>
      <c r="E199" s="97" t="str">
        <f t="shared" si="13"/>
        <v>Vector Dist</v>
      </c>
      <c r="F199" s="97" t="str">
        <f t="shared" si="13"/>
        <v>Maui</v>
      </c>
      <c r="G199" s="97" t="str">
        <f t="shared" si="13"/>
        <v>Vector Trans</v>
      </c>
      <c r="H199" s="84"/>
    </row>
    <row r="200" spans="1:8">
      <c r="A200" s="92"/>
      <c r="B200" s="111" t="str">
        <f>+B93</f>
        <v>Average</v>
      </c>
      <c r="C200" s="112">
        <f t="shared" ref="C200:G200" si="14">+C93</f>
        <v>123.5</v>
      </c>
      <c r="D200" s="113">
        <f t="shared" si="14"/>
        <v>1348.1300698818998</v>
      </c>
      <c r="E200" s="113">
        <f t="shared" si="14"/>
        <v>2264.1666666666665</v>
      </c>
      <c r="F200" s="113">
        <f>+F93</f>
        <v>8.3333333333333339</v>
      </c>
      <c r="G200" s="113">
        <f t="shared" si="14"/>
        <v>4385.166666666667</v>
      </c>
      <c r="H200" s="84"/>
    </row>
    <row r="201" spans="1:8">
      <c r="A201" s="92"/>
      <c r="B201" s="92"/>
      <c r="C201" s="93"/>
      <c r="D201" s="93"/>
      <c r="E201" s="93"/>
      <c r="F201" s="93"/>
      <c r="G201" s="93"/>
      <c r="H201" s="84"/>
    </row>
    <row r="202" spans="1:8">
      <c r="A202" s="92"/>
      <c r="B202" s="110" t="str">
        <f>+A114</f>
        <v>NNCC2</v>
      </c>
      <c r="C202" s="117" t="str">
        <f t="shared" ref="C202" si="15">+B114</f>
        <v>Suppliers historic average non-network capex</v>
      </c>
      <c r="D202" s="93"/>
      <c r="E202" s="93"/>
      <c r="F202" s="93"/>
      <c r="G202" s="93"/>
      <c r="H202" s="84"/>
    </row>
    <row r="203" spans="1:8">
      <c r="A203" s="92"/>
      <c r="B203" s="95"/>
      <c r="C203" s="96" t="str">
        <f>+C116</f>
        <v xml:space="preserve">Gasnet </v>
      </c>
      <c r="D203" s="97" t="str">
        <f t="shared" ref="D203:G204" si="16">+D116</f>
        <v>Powerco</v>
      </c>
      <c r="E203" s="97" t="str">
        <f t="shared" si="16"/>
        <v>Vector Dist</v>
      </c>
      <c r="F203" s="97" t="str">
        <f t="shared" si="16"/>
        <v>Maui</v>
      </c>
      <c r="G203" s="97" t="str">
        <f t="shared" si="16"/>
        <v>Vector Trans</v>
      </c>
      <c r="H203" s="84"/>
    </row>
    <row r="204" spans="1:8">
      <c r="A204" s="92"/>
      <c r="B204" s="111" t="str">
        <f>+B117</f>
        <v>Average</v>
      </c>
      <c r="C204" s="112">
        <f>+C117</f>
        <v>92.438065354928113</v>
      </c>
      <c r="D204" s="113">
        <f t="shared" si="16"/>
        <v>1183.6295004843241</v>
      </c>
      <c r="E204" s="113">
        <f t="shared" si="16"/>
        <v>3293.7611758557086</v>
      </c>
      <c r="F204" s="113">
        <f>+F117</f>
        <v>7</v>
      </c>
      <c r="G204" s="113">
        <f t="shared" si="16"/>
        <v>4366.3982092071255</v>
      </c>
      <c r="H204" s="84"/>
    </row>
    <row r="205" spans="1:8">
      <c r="A205" s="92"/>
      <c r="B205" s="92"/>
      <c r="C205" s="93"/>
      <c r="D205" s="93"/>
      <c r="E205" s="93"/>
      <c r="F205" s="93"/>
      <c r="G205" s="93"/>
      <c r="H205" s="84"/>
    </row>
    <row r="206" spans="1:8">
      <c r="A206" s="92"/>
      <c r="B206" s="103" t="str">
        <f>+B195</f>
        <v>Supplier's forecast relative to historic levels of non-network capex</v>
      </c>
      <c r="C206" s="93"/>
      <c r="D206" s="93"/>
      <c r="E206" s="93"/>
      <c r="F206" s="93"/>
      <c r="G206" s="93"/>
      <c r="H206" s="84"/>
    </row>
    <row r="207" spans="1:8">
      <c r="A207" s="92"/>
      <c r="B207" s="95"/>
      <c r="C207" s="96" t="s">
        <v>37</v>
      </c>
      <c r="D207" s="97" t="s">
        <v>38</v>
      </c>
      <c r="E207" s="97" t="s">
        <v>148</v>
      </c>
      <c r="F207" s="97" t="s">
        <v>39</v>
      </c>
      <c r="G207" s="97" t="s">
        <v>149</v>
      </c>
      <c r="H207" s="84"/>
    </row>
    <row r="208" spans="1:8">
      <c r="A208" s="92"/>
      <c r="B208" s="114" t="s">
        <v>140</v>
      </c>
      <c r="C208" s="115">
        <f>+C200/C204</f>
        <v>1.3360296921598858</v>
      </c>
      <c r="D208" s="116">
        <f>+D200/D204</f>
        <v>1.138979781536591</v>
      </c>
      <c r="E208" s="116">
        <f>+E200/E204</f>
        <v>0.68741069730972315</v>
      </c>
      <c r="F208" s="116">
        <f>+F200/F204</f>
        <v>1.1904761904761905</v>
      </c>
      <c r="G208" s="116">
        <f>+G200/G204</f>
        <v>1.004298384288443</v>
      </c>
      <c r="H208" s="84"/>
    </row>
    <row r="209" spans="1:8">
      <c r="A209" s="92"/>
      <c r="B209" s="92"/>
      <c r="C209" s="93"/>
      <c r="D209" s="93"/>
      <c r="E209" s="93"/>
      <c r="F209" s="93"/>
      <c r="G209" s="93"/>
      <c r="H209" s="84"/>
    </row>
    <row r="210" spans="1:8">
      <c r="A210" s="93"/>
      <c r="B210" s="93"/>
      <c r="C210" s="93"/>
      <c r="D210" s="93"/>
      <c r="E210" s="93"/>
      <c r="F210" s="93"/>
      <c r="G210" s="93"/>
      <c r="H210" s="84"/>
    </row>
    <row r="211" spans="1:8">
      <c r="A211" s="92" t="s">
        <v>170</v>
      </c>
      <c r="B211" s="92" t="s">
        <v>169</v>
      </c>
      <c r="C211" s="93"/>
      <c r="D211" s="93"/>
      <c r="E211" s="93"/>
      <c r="F211" s="93"/>
      <c r="G211" s="93"/>
      <c r="H211" s="84"/>
    </row>
    <row r="212" spans="1:8">
      <c r="A212" s="92"/>
      <c r="B212" s="94" t="s">
        <v>47</v>
      </c>
      <c r="C212" s="94" t="s">
        <v>171</v>
      </c>
      <c r="D212" s="93"/>
      <c r="E212" s="93"/>
      <c r="F212" s="93"/>
      <c r="G212" s="93"/>
      <c r="H212" s="84"/>
    </row>
    <row r="213" spans="1:8">
      <c r="A213" s="92"/>
      <c r="B213" s="92"/>
      <c r="C213" s="93"/>
      <c r="D213" s="93"/>
      <c r="E213" s="93"/>
      <c r="F213" s="93"/>
      <c r="G213" s="93"/>
      <c r="H213" s="84"/>
    </row>
    <row r="214" spans="1:8">
      <c r="A214" s="92"/>
      <c r="B214" s="106" t="s">
        <v>191</v>
      </c>
      <c r="C214" s="106"/>
      <c r="D214" s="106"/>
      <c r="E214" s="106"/>
      <c r="F214" s="106"/>
      <c r="G214" s="106"/>
      <c r="H214" s="84"/>
    </row>
    <row r="215" spans="1:8">
      <c r="A215" s="92"/>
      <c r="B215" s="107"/>
      <c r="C215" s="96" t="s">
        <v>37</v>
      </c>
      <c r="D215" s="97" t="s">
        <v>38</v>
      </c>
      <c r="E215" s="97" t="s">
        <v>148</v>
      </c>
      <c r="F215" s="97" t="s">
        <v>39</v>
      </c>
      <c r="G215" s="97" t="s">
        <v>149</v>
      </c>
      <c r="H215" s="84"/>
    </row>
    <row r="216" spans="1:8">
      <c r="A216" s="92"/>
      <c r="B216" s="106"/>
      <c r="C216" s="108">
        <f>+C192/C208</f>
        <v>0.89818363097905851</v>
      </c>
      <c r="D216" s="109">
        <f>+D192/D208</f>
        <v>1.0535744527274109</v>
      </c>
      <c r="E216" s="109">
        <f>+E192/E208</f>
        <v>1.7456813004167173</v>
      </c>
      <c r="F216" s="109">
        <f>+F192/F208</f>
        <v>1.008</v>
      </c>
      <c r="G216" s="109">
        <f>+G192/G208</f>
        <v>1.1948640152898522</v>
      </c>
      <c r="H216" s="84"/>
    </row>
    <row r="217" spans="1:8">
      <c r="A217" s="92"/>
      <c r="B217" s="106"/>
      <c r="C217" s="106"/>
      <c r="D217" s="106"/>
      <c r="E217" s="106"/>
      <c r="F217" s="106"/>
      <c r="G217" s="106"/>
      <c r="H217" s="84"/>
    </row>
    <row r="218" spans="1:8">
      <c r="A218" s="92"/>
      <c r="B218" s="106" t="s">
        <v>172</v>
      </c>
      <c r="C218" s="106"/>
      <c r="D218" s="106"/>
      <c r="E218" s="106"/>
      <c r="F218" s="106"/>
      <c r="G218" s="106"/>
      <c r="H218" s="84"/>
    </row>
    <row r="219" spans="1:8">
      <c r="A219" s="92"/>
      <c r="B219" s="107"/>
      <c r="C219" s="96" t="s">
        <v>37</v>
      </c>
      <c r="D219" s="97" t="s">
        <v>38</v>
      </c>
      <c r="E219" s="97" t="s">
        <v>148</v>
      </c>
      <c r="F219" s="97" t="s">
        <v>39</v>
      </c>
      <c r="G219" s="97" t="s">
        <v>149</v>
      </c>
      <c r="H219" s="84"/>
    </row>
    <row r="220" spans="1:8">
      <c r="A220" s="92"/>
      <c r="B220" s="105" t="s">
        <v>169</v>
      </c>
      <c r="C220" s="108">
        <f>MIN(C216,1)</f>
        <v>0.89818363097905851</v>
      </c>
      <c r="D220" s="109">
        <f>MIN(D216,1)</f>
        <v>1</v>
      </c>
      <c r="E220" s="109">
        <f>MIN(E216,1)</f>
        <v>1</v>
      </c>
      <c r="F220" s="109">
        <f>MIN(F216,1)</f>
        <v>1</v>
      </c>
      <c r="G220" s="109">
        <f>MIN(G216,1)</f>
        <v>1</v>
      </c>
      <c r="H220" s="84"/>
    </row>
    <row r="221" spans="1:8">
      <c r="A221" s="92"/>
      <c r="B221" s="92"/>
      <c r="C221" s="93"/>
      <c r="D221" s="93"/>
      <c r="E221" s="93"/>
      <c r="F221" s="93"/>
      <c r="G221" s="93"/>
      <c r="H221" s="84"/>
    </row>
    <row r="222" spans="1:8">
      <c r="A222" s="92"/>
      <c r="B222" s="92"/>
      <c r="C222" s="93"/>
      <c r="D222" s="93"/>
      <c r="E222" s="93"/>
      <c r="F222" s="93"/>
      <c r="G222" s="93"/>
      <c r="H222" s="84"/>
    </row>
    <row r="223" spans="1:8">
      <c r="A223" s="92" t="s">
        <v>173</v>
      </c>
      <c r="B223" s="92" t="s">
        <v>174</v>
      </c>
      <c r="C223" s="93"/>
      <c r="D223" s="93"/>
      <c r="E223" s="93"/>
      <c r="F223" s="93"/>
      <c r="G223" s="93"/>
      <c r="H223" s="84"/>
    </row>
    <row r="224" spans="1:8">
      <c r="A224" s="92"/>
      <c r="B224" s="94" t="s">
        <v>47</v>
      </c>
      <c r="C224" s="94" t="s">
        <v>175</v>
      </c>
      <c r="D224" s="93"/>
      <c r="E224" s="93"/>
      <c r="F224" s="93"/>
      <c r="G224" s="93"/>
      <c r="H224" s="84"/>
    </row>
    <row r="225" spans="1:12">
      <c r="A225" s="92"/>
      <c r="B225" s="92"/>
      <c r="C225" s="93"/>
      <c r="D225" s="93"/>
      <c r="E225" s="93"/>
      <c r="F225" s="93"/>
      <c r="G225" s="93"/>
      <c r="H225" s="84"/>
    </row>
    <row r="226" spans="1:12">
      <c r="A226" s="92"/>
      <c r="B226" s="168" t="str">
        <f>+'Capex Inputs'!A89</f>
        <v>IC6</v>
      </c>
      <c r="C226" s="176" t="str">
        <f>+'Capex Inputs'!B89</f>
        <v>Suppliers Forecast of Non-Network Capex ($000)</v>
      </c>
      <c r="D226" s="188"/>
      <c r="E226" s="169"/>
      <c r="F226" s="169"/>
      <c r="G226" s="169"/>
      <c r="H226" s="84"/>
    </row>
    <row r="227" spans="1:12">
      <c r="A227" s="92"/>
      <c r="B227" s="170"/>
      <c r="C227" s="171" t="str">
        <f>+'Capex Inputs'!C91</f>
        <v xml:space="preserve">Gasnet </v>
      </c>
      <c r="D227" s="172" t="str">
        <f>+'Capex Inputs'!D91</f>
        <v>Powerco</v>
      </c>
      <c r="E227" s="172" t="str">
        <f>+'Capex Inputs'!E91</f>
        <v>Vector Dist</v>
      </c>
      <c r="F227" s="172" t="str">
        <f>+'Capex Inputs'!F91</f>
        <v>Maui</v>
      </c>
      <c r="G227" s="172" t="str">
        <f>+'Capex Inputs'!G91</f>
        <v>Vector Trans</v>
      </c>
      <c r="H227" s="84"/>
    </row>
    <row r="228" spans="1:12">
      <c r="A228" s="92"/>
      <c r="B228" s="168">
        <f>+'Capex Inputs'!B92</f>
        <v>2012</v>
      </c>
      <c r="C228" s="177">
        <f>+'Capex Inputs'!C92</f>
        <v>100</v>
      </c>
      <c r="D228" s="178">
        <f>+'Capex Inputs'!D92</f>
        <v>1533.8305373136516</v>
      </c>
      <c r="E228" s="178">
        <f>+'Capex Inputs'!E92</f>
        <v>2223</v>
      </c>
      <c r="F228" s="178">
        <f>+'Capex Inputs'!F92</f>
        <v>0</v>
      </c>
      <c r="G228" s="178">
        <f>+'Capex Inputs'!G92</f>
        <v>4531</v>
      </c>
      <c r="H228" s="84"/>
    </row>
    <row r="229" spans="1:12">
      <c r="A229" s="92"/>
      <c r="B229" s="168">
        <f>+'Capex Inputs'!B93</f>
        <v>2013</v>
      </c>
      <c r="C229" s="177">
        <f>+'Capex Inputs'!C93</f>
        <v>83</v>
      </c>
      <c r="D229" s="178">
        <f>+'Capex Inputs'!D93</f>
        <v>1510.98997639555</v>
      </c>
      <c r="E229" s="178">
        <f>+'Capex Inputs'!E93</f>
        <v>3830</v>
      </c>
      <c r="F229" s="178">
        <f>+'Capex Inputs'!F93</f>
        <v>0</v>
      </c>
      <c r="G229" s="178">
        <f>+'Capex Inputs'!G93</f>
        <v>6793</v>
      </c>
      <c r="H229" s="84"/>
    </row>
    <row r="230" spans="1:12">
      <c r="A230" s="92"/>
      <c r="B230" s="168">
        <f>+'Capex Inputs'!B94</f>
        <v>2014</v>
      </c>
      <c r="C230" s="177">
        <f>+'Capex Inputs'!C94</f>
        <v>118</v>
      </c>
      <c r="D230" s="178">
        <f>+'Capex Inputs'!D94</f>
        <v>1260.98997639555</v>
      </c>
      <c r="E230" s="178">
        <f>+'Capex Inputs'!E94</f>
        <v>2724</v>
      </c>
      <c r="F230" s="178">
        <f>+'Capex Inputs'!F94</f>
        <v>0</v>
      </c>
      <c r="G230" s="178">
        <f>+'Capex Inputs'!G94</f>
        <v>6848</v>
      </c>
      <c r="H230" s="84"/>
    </row>
    <row r="231" spans="1:12">
      <c r="A231" s="92"/>
      <c r="B231" s="168">
        <f>+'Capex Inputs'!B95</f>
        <v>2015</v>
      </c>
      <c r="C231" s="177">
        <f>+'Capex Inputs'!C95</f>
        <v>100</v>
      </c>
      <c r="D231" s="178">
        <f>+'Capex Inputs'!D95</f>
        <v>1260.9899763955493</v>
      </c>
      <c r="E231" s="178">
        <f>+'Capex Inputs'!E95</f>
        <v>1463</v>
      </c>
      <c r="F231" s="178">
        <f>+'Capex Inputs'!F95</f>
        <v>50</v>
      </c>
      <c r="G231" s="178">
        <f>+'Capex Inputs'!G95</f>
        <v>2448</v>
      </c>
      <c r="H231" s="84"/>
    </row>
    <row r="232" spans="1:12">
      <c r="A232" s="92"/>
      <c r="B232" s="168">
        <f>+'Capex Inputs'!B96</f>
        <v>2016</v>
      </c>
      <c r="C232" s="177">
        <f>+'Capex Inputs'!C96</f>
        <v>170</v>
      </c>
      <c r="D232" s="178">
        <f>+'Capex Inputs'!D96</f>
        <v>1260.9899763955493</v>
      </c>
      <c r="E232" s="178">
        <f>+'Capex Inputs'!E96</f>
        <v>1742</v>
      </c>
      <c r="F232" s="178">
        <f>+'Capex Inputs'!F96</f>
        <v>0</v>
      </c>
      <c r="G232" s="178">
        <f>+'Capex Inputs'!G96</f>
        <v>2960</v>
      </c>
      <c r="H232" s="84"/>
    </row>
    <row r="233" spans="1:12">
      <c r="A233" s="92"/>
      <c r="B233" s="172">
        <f>+'Capex Inputs'!B97</f>
        <v>2017</v>
      </c>
      <c r="C233" s="177">
        <f>+'Capex Inputs'!C97</f>
        <v>170</v>
      </c>
      <c r="D233" s="178">
        <f>+'Capex Inputs'!D97</f>
        <v>1260.9899763955493</v>
      </c>
      <c r="E233" s="178">
        <f>+'Capex Inputs'!E97</f>
        <v>1603</v>
      </c>
      <c r="F233" s="178">
        <f>+'Capex Inputs'!F97</f>
        <v>0</v>
      </c>
      <c r="G233" s="178">
        <f>+'Capex Inputs'!G97</f>
        <v>2731</v>
      </c>
      <c r="H233" s="84"/>
    </row>
    <row r="234" spans="1:12">
      <c r="A234" s="92"/>
      <c r="B234" s="118">
        <v>2018</v>
      </c>
      <c r="C234" s="186">
        <f>+C233</f>
        <v>170</v>
      </c>
      <c r="D234" s="187">
        <f t="shared" ref="D234:E234" si="17">+D233</f>
        <v>1260.9899763955493</v>
      </c>
      <c r="E234" s="187">
        <f t="shared" si="17"/>
        <v>1603</v>
      </c>
      <c r="F234" s="187"/>
      <c r="G234" s="187">
        <f>+G233</f>
        <v>2731</v>
      </c>
      <c r="H234" s="84"/>
      <c r="I234" s="138"/>
      <c r="J234" s="139" t="s">
        <v>188</v>
      </c>
      <c r="K234" s="140"/>
      <c r="L234" s="135"/>
    </row>
    <row r="235" spans="1:12">
      <c r="A235" s="92"/>
      <c r="B235" s="92"/>
      <c r="C235" s="93"/>
      <c r="D235" s="93"/>
      <c r="E235" s="93"/>
      <c r="F235" s="93"/>
      <c r="G235" s="93"/>
      <c r="H235" s="84"/>
    </row>
    <row r="236" spans="1:12">
      <c r="A236" s="92"/>
      <c r="B236" s="92"/>
      <c r="C236" s="93"/>
      <c r="D236" s="93"/>
      <c r="E236" s="93"/>
      <c r="F236" s="93"/>
      <c r="G236" s="93"/>
      <c r="H236" s="84"/>
    </row>
    <row r="237" spans="1:12">
      <c r="A237" s="92"/>
      <c r="B237" s="103" t="str">
        <f>+B223</f>
        <v>Scaled forecast of non-network capex (constant prices)</v>
      </c>
      <c r="C237" s="93"/>
      <c r="D237" s="93"/>
      <c r="E237" s="93"/>
      <c r="F237" s="93"/>
      <c r="G237" s="93"/>
      <c r="H237" s="84"/>
    </row>
    <row r="238" spans="1:12">
      <c r="A238" s="92"/>
      <c r="B238" s="95"/>
      <c r="C238" s="96" t="s">
        <v>37</v>
      </c>
      <c r="D238" s="97" t="s">
        <v>38</v>
      </c>
      <c r="E238" s="97" t="s">
        <v>148</v>
      </c>
      <c r="F238" s="97" t="s">
        <v>39</v>
      </c>
      <c r="G238" s="97" t="s">
        <v>149</v>
      </c>
      <c r="H238" s="84"/>
    </row>
    <row r="239" spans="1:12">
      <c r="A239" s="92"/>
      <c r="B239" s="94">
        <v>2012</v>
      </c>
      <c r="C239" s="98">
        <f>+C228*C$220</f>
        <v>89.818363097905845</v>
      </c>
      <c r="D239" s="99">
        <f>+D228*D$220</f>
        <v>1533.8305373136516</v>
      </c>
      <c r="E239" s="99">
        <f t="shared" ref="E239:G239" si="18">+E228*E$220</f>
        <v>2223</v>
      </c>
      <c r="F239" s="99">
        <f t="shared" si="18"/>
        <v>0</v>
      </c>
      <c r="G239" s="99">
        <f t="shared" si="18"/>
        <v>4531</v>
      </c>
      <c r="H239" s="84"/>
    </row>
    <row r="240" spans="1:12">
      <c r="A240" s="92"/>
      <c r="B240" s="94">
        <v>2013</v>
      </c>
      <c r="C240" s="98">
        <f t="shared" ref="C240:D245" si="19">+C229*C$220</f>
        <v>74.549241371261857</v>
      </c>
      <c r="D240" s="99">
        <f t="shared" si="19"/>
        <v>1510.98997639555</v>
      </c>
      <c r="E240" s="99">
        <f t="shared" ref="E240:G240" si="20">+E229*E$220</f>
        <v>3830</v>
      </c>
      <c r="F240" s="99">
        <f t="shared" si="20"/>
        <v>0</v>
      </c>
      <c r="G240" s="99">
        <f t="shared" si="20"/>
        <v>6793</v>
      </c>
      <c r="H240" s="84"/>
    </row>
    <row r="241" spans="1:8">
      <c r="A241" s="93"/>
      <c r="B241" s="94">
        <v>2014</v>
      </c>
      <c r="C241" s="98">
        <f t="shared" si="19"/>
        <v>105.98566845552891</v>
      </c>
      <c r="D241" s="99">
        <f t="shared" si="19"/>
        <v>1260.98997639555</v>
      </c>
      <c r="E241" s="99">
        <f t="shared" ref="E241:G241" si="21">+E230*E$220</f>
        <v>2724</v>
      </c>
      <c r="F241" s="99">
        <f t="shared" si="21"/>
        <v>0</v>
      </c>
      <c r="G241" s="99">
        <f t="shared" si="21"/>
        <v>6848</v>
      </c>
      <c r="H241" s="84"/>
    </row>
    <row r="242" spans="1:8">
      <c r="A242" s="93"/>
      <c r="B242" s="94">
        <v>2015</v>
      </c>
      <c r="C242" s="98">
        <f>+C231*C$220</f>
        <v>89.818363097905845</v>
      </c>
      <c r="D242" s="99">
        <f>+D231*D$220</f>
        <v>1260.9899763955493</v>
      </c>
      <c r="E242" s="99">
        <f>+E231*E$220</f>
        <v>1463</v>
      </c>
      <c r="F242" s="99">
        <f>+F231*F$220</f>
        <v>50</v>
      </c>
      <c r="G242" s="99">
        <f>+G231*G$220</f>
        <v>2448</v>
      </c>
      <c r="H242" s="84"/>
    </row>
    <row r="243" spans="1:8">
      <c r="A243" s="93"/>
      <c r="B243" s="94">
        <v>2016</v>
      </c>
      <c r="C243" s="98">
        <f t="shared" si="19"/>
        <v>152.69121726643993</v>
      </c>
      <c r="D243" s="99">
        <f t="shared" si="19"/>
        <v>1260.9899763955493</v>
      </c>
      <c r="E243" s="99">
        <f t="shared" ref="E243:G243" si="22">+E232*E$220</f>
        <v>1742</v>
      </c>
      <c r="F243" s="99">
        <f t="shared" si="22"/>
        <v>0</v>
      </c>
      <c r="G243" s="99">
        <f t="shared" si="22"/>
        <v>2960</v>
      </c>
      <c r="H243" s="84"/>
    </row>
    <row r="244" spans="1:8">
      <c r="A244" s="93"/>
      <c r="B244" s="94">
        <v>2017</v>
      </c>
      <c r="C244" s="98">
        <f>+C233*C$220</f>
        <v>152.69121726643993</v>
      </c>
      <c r="D244" s="99">
        <f t="shared" si="19"/>
        <v>1260.9899763955493</v>
      </c>
      <c r="E244" s="99">
        <f t="shared" ref="E244:G244" si="23">+E233*E$220</f>
        <v>1603</v>
      </c>
      <c r="F244" s="99">
        <f t="shared" si="23"/>
        <v>0</v>
      </c>
      <c r="G244" s="99">
        <f t="shared" si="23"/>
        <v>2731</v>
      </c>
      <c r="H244" s="84"/>
    </row>
    <row r="245" spans="1:8">
      <c r="A245" s="93"/>
      <c r="B245" s="94">
        <v>2018</v>
      </c>
      <c r="C245" s="98">
        <f t="shared" si="19"/>
        <v>152.69121726643993</v>
      </c>
      <c r="D245" s="99">
        <f t="shared" si="19"/>
        <v>1260.9899763955493</v>
      </c>
      <c r="E245" s="99">
        <f t="shared" ref="E245:G245" si="24">+E234*E$220</f>
        <v>1603</v>
      </c>
      <c r="F245" s="99"/>
      <c r="G245" s="99">
        <f t="shared" si="24"/>
        <v>2731</v>
      </c>
      <c r="H245" s="84"/>
    </row>
    <row r="246" spans="1:8">
      <c r="A246" s="93"/>
      <c r="B246" s="93"/>
      <c r="C246" s="93"/>
      <c r="D246" s="93"/>
      <c r="E246" s="93"/>
      <c r="F246" s="93"/>
      <c r="G246" s="93"/>
      <c r="H246" s="84"/>
    </row>
    <row r="247" spans="1:8">
      <c r="A247" s="93"/>
      <c r="B247" s="93"/>
      <c r="C247" s="93"/>
      <c r="D247" s="93"/>
      <c r="E247" s="93"/>
      <c r="F247" s="93"/>
      <c r="G247" s="93"/>
      <c r="H247" s="84"/>
    </row>
    <row r="248" spans="1:8">
      <c r="A248" s="93"/>
      <c r="B248" s="93"/>
      <c r="C248" s="93"/>
      <c r="D248" s="93"/>
      <c r="E248" s="93"/>
      <c r="F248" s="93"/>
      <c r="G248" s="93"/>
      <c r="H248" s="84"/>
    </row>
    <row r="249" spans="1:8" ht="18.75">
      <c r="A249" s="37" t="s">
        <v>120</v>
      </c>
      <c r="B249" s="38"/>
      <c r="C249" s="38"/>
      <c r="D249" s="38"/>
      <c r="E249" s="38"/>
      <c r="F249" s="38"/>
      <c r="G249" s="38"/>
      <c r="H249" s="38"/>
    </row>
    <row r="252" spans="1:8">
      <c r="A252" s="3" t="s">
        <v>124</v>
      </c>
      <c r="B252" s="3" t="s">
        <v>128</v>
      </c>
    </row>
    <row r="253" spans="1:8">
      <c r="B253" s="9" t="s">
        <v>129</v>
      </c>
      <c r="C253" s="9" t="s">
        <v>99</v>
      </c>
    </row>
    <row r="255" spans="1:8">
      <c r="B255" s="147" t="s">
        <v>99</v>
      </c>
      <c r="C255" s="148" t="s">
        <v>103</v>
      </c>
    </row>
    <row r="256" spans="1:8" ht="45">
      <c r="B256" s="160" t="s">
        <v>44</v>
      </c>
      <c r="C256" s="160" t="s">
        <v>40</v>
      </c>
      <c r="D256" s="46" t="s">
        <v>111</v>
      </c>
    </row>
    <row r="257" spans="2:7">
      <c r="B257" s="161">
        <f>+'Capex Inputs'!B56</f>
        <v>40451</v>
      </c>
      <c r="C257" s="196"/>
      <c r="D257" s="145"/>
      <c r="F257" s="131"/>
      <c r="G257" s="132" t="s">
        <v>187</v>
      </c>
    </row>
    <row r="258" spans="2:7">
      <c r="B258" s="162">
        <f>+'Capex Inputs'!B57</f>
        <v>40543</v>
      </c>
      <c r="C258" s="197"/>
      <c r="D258" s="142"/>
    </row>
    <row r="259" spans="2:7">
      <c r="B259" s="162">
        <f>+'Capex Inputs'!B58</f>
        <v>40633</v>
      </c>
      <c r="C259" s="197"/>
      <c r="D259" s="142"/>
    </row>
    <row r="260" spans="2:7">
      <c r="B260" s="162">
        <f>+'Capex Inputs'!B59</f>
        <v>40724</v>
      </c>
      <c r="C260" s="194"/>
      <c r="D260" s="141">
        <v>1310</v>
      </c>
    </row>
    <row r="261" spans="2:7">
      <c r="B261" s="162">
        <f>+'Capex Inputs'!B60</f>
        <v>40816</v>
      </c>
      <c r="C261" s="194"/>
      <c r="D261" s="141">
        <v>1310</v>
      </c>
    </row>
    <row r="262" spans="2:7">
      <c r="B262" s="162">
        <f>+'Capex Inputs'!B61</f>
        <v>40908</v>
      </c>
      <c r="C262" s="194"/>
      <c r="D262" s="141">
        <v>1313.5</v>
      </c>
    </row>
    <row r="263" spans="2:7">
      <c r="B263" s="162">
        <f>+'Capex Inputs'!B62</f>
        <v>40999</v>
      </c>
      <c r="C263" s="194"/>
      <c r="D263" s="141">
        <v>1316.5</v>
      </c>
    </row>
    <row r="264" spans="2:7">
      <c r="B264" s="162">
        <f>+'Capex Inputs'!B63</f>
        <v>41090</v>
      </c>
      <c r="C264" s="194"/>
      <c r="D264" s="141">
        <v>1319.75</v>
      </c>
    </row>
    <row r="265" spans="2:7">
      <c r="B265" s="162">
        <f>+'Capex Inputs'!B64</f>
        <v>41182</v>
      </c>
      <c r="C265" s="194"/>
      <c r="D265" s="141">
        <v>1324</v>
      </c>
    </row>
    <row r="266" spans="2:7">
      <c r="B266" s="162">
        <f>+'Capex Inputs'!B65</f>
        <v>41274</v>
      </c>
      <c r="C266" s="194"/>
      <c r="D266" s="141">
        <v>1327</v>
      </c>
    </row>
    <row r="267" spans="2:7">
      <c r="B267" s="162">
        <f>+'Capex Inputs'!B66</f>
        <v>41364</v>
      </c>
      <c r="C267" s="194"/>
      <c r="D267" s="141">
        <v>1330.3095874656569</v>
      </c>
    </row>
    <row r="268" spans="2:7">
      <c r="B268" s="162">
        <f>+'Capex Inputs'!B67</f>
        <v>41455</v>
      </c>
      <c r="C268" s="194"/>
      <c r="D268" s="141">
        <v>1333.9949460946921</v>
      </c>
    </row>
    <row r="269" spans="2:7">
      <c r="B269" s="162">
        <f>+'Capex Inputs'!B68</f>
        <v>41547</v>
      </c>
      <c r="C269" s="194"/>
      <c r="D269" s="141">
        <v>1338.3415244252164</v>
      </c>
    </row>
    <row r="270" spans="2:7">
      <c r="B270" s="162">
        <f>+'Capex Inputs'!B69</f>
        <v>41639</v>
      </c>
      <c r="C270" s="194"/>
      <c r="D270" s="141">
        <v>1343.4083065588266</v>
      </c>
    </row>
    <row r="271" spans="2:7">
      <c r="B271" s="162">
        <f>+'Capex Inputs'!B70</f>
        <v>41729</v>
      </c>
      <c r="C271" s="194"/>
      <c r="D271" s="141">
        <v>1349.182338770378</v>
      </c>
    </row>
    <row r="272" spans="2:7">
      <c r="B272" s="162">
        <f>+'Capex Inputs'!B71</f>
        <v>41820</v>
      </c>
      <c r="C272" s="194"/>
      <c r="D272" s="141">
        <v>1355.5602791244089</v>
      </c>
    </row>
    <row r="273" spans="2:4">
      <c r="B273" s="162">
        <f>+'Capex Inputs'!B72</f>
        <v>41912</v>
      </c>
      <c r="C273" s="194"/>
      <c r="D273" s="141">
        <v>1362.2863779441586</v>
      </c>
    </row>
    <row r="274" spans="2:4">
      <c r="B274" s="162">
        <f>+'Capex Inputs'!B73</f>
        <v>42004</v>
      </c>
      <c r="C274" s="194"/>
      <c r="D274" s="141">
        <v>1369.1823994769225</v>
      </c>
    </row>
    <row r="275" spans="2:4">
      <c r="B275" s="162">
        <f>+'Capex Inputs'!B74</f>
        <v>42094</v>
      </c>
      <c r="C275" s="194"/>
      <c r="D275" s="141">
        <v>1376.3032933163231</v>
      </c>
    </row>
    <row r="276" spans="2:4">
      <c r="B276" s="162">
        <f>+'Capex Inputs'!B75</f>
        <v>42185</v>
      </c>
      <c r="C276" s="194"/>
      <c r="D276" s="141">
        <v>1383.8019380597896</v>
      </c>
    </row>
    <row r="277" spans="2:4">
      <c r="B277" s="162">
        <f>+'Capex Inputs'!B76</f>
        <v>42277</v>
      </c>
      <c r="C277" s="194"/>
      <c r="D277" s="141">
        <v>1391.7116670943883</v>
      </c>
    </row>
    <row r="278" spans="2:4">
      <c r="B278" s="162">
        <f>+'Capex Inputs'!B77</f>
        <v>42369</v>
      </c>
      <c r="C278" s="194"/>
      <c r="D278" s="141">
        <v>1400.0106253935883</v>
      </c>
    </row>
    <row r="279" spans="2:4">
      <c r="B279" s="162">
        <f>+'Capex Inputs'!B78</f>
        <v>42460</v>
      </c>
      <c r="C279" s="194"/>
      <c r="D279" s="141">
        <v>1408.595202338666</v>
      </c>
    </row>
    <row r="280" spans="2:4">
      <c r="B280" s="162">
        <f>+'Capex Inputs'!B79</f>
        <v>42551</v>
      </c>
      <c r="C280" s="194"/>
      <c r="D280" s="141">
        <v>1417.2964694381965</v>
      </c>
    </row>
    <row r="281" spans="2:4">
      <c r="B281" s="162">
        <f>+'Capex Inputs'!B80</f>
        <v>42643</v>
      </c>
      <c r="C281" s="194"/>
      <c r="D281" s="141">
        <v>1425.9497559975357</v>
      </c>
    </row>
    <row r="282" spans="2:4">
      <c r="B282" s="162">
        <f>+'Capex Inputs'!B81</f>
        <v>42735</v>
      </c>
      <c r="C282" s="194"/>
      <c r="D282" s="141">
        <v>1434.4092378789978</v>
      </c>
    </row>
    <row r="283" spans="2:4">
      <c r="B283" s="162">
        <f>+'Capex Inputs'!B82</f>
        <v>42825</v>
      </c>
      <c r="C283" s="194"/>
      <c r="D283" s="141">
        <v>1442.6767462817231</v>
      </c>
    </row>
    <row r="284" spans="2:4">
      <c r="B284" s="162">
        <f>+'Capex Inputs'!B83</f>
        <v>42916</v>
      </c>
      <c r="C284" s="194"/>
      <c r="D284" s="141">
        <v>1449.3567286341665</v>
      </c>
    </row>
    <row r="285" spans="2:4">
      <c r="B285" s="162">
        <f>+'Capex Inputs'!B84</f>
        <v>43008</v>
      </c>
      <c r="C285" s="194"/>
      <c r="D285" s="141">
        <v>1455.5606336729902</v>
      </c>
    </row>
    <row r="286" spans="2:4">
      <c r="B286" s="162">
        <f>+'Capex Inputs'!B85</f>
        <v>43100</v>
      </c>
      <c r="C286" s="194"/>
      <c r="D286" s="141">
        <v>1462.5852535174604</v>
      </c>
    </row>
    <row r="287" spans="2:4">
      <c r="B287" s="162">
        <f>+'Capex Inputs'!B86</f>
        <v>43190</v>
      </c>
      <c r="C287" s="194"/>
      <c r="D287" s="141">
        <v>1470.1906968357512</v>
      </c>
    </row>
    <row r="288" spans="2:4">
      <c r="B288" s="163">
        <f>+'Capex Inputs'!B87</f>
        <v>43281</v>
      </c>
      <c r="C288" s="195"/>
      <c r="D288" s="143">
        <v>1477.8356884592974</v>
      </c>
    </row>
    <row r="292" spans="2:8">
      <c r="B292" t="s">
        <v>130</v>
      </c>
    </row>
    <row r="294" spans="2:8" ht="60">
      <c r="B294" s="61" t="s">
        <v>102</v>
      </c>
      <c r="C294" s="60" t="s">
        <v>89</v>
      </c>
      <c r="D294" s="60" t="s">
        <v>195</v>
      </c>
      <c r="F294" s="61" t="s">
        <v>102</v>
      </c>
      <c r="G294" s="60" t="s">
        <v>89</v>
      </c>
      <c r="H294" s="60" t="s">
        <v>196</v>
      </c>
    </row>
    <row r="295" spans="2:8">
      <c r="B295" s="10">
        <v>40724</v>
      </c>
      <c r="C295" s="43">
        <f>VLOOKUP(B295,$B$257:$D$288,3,FALSE)</f>
        <v>1310</v>
      </c>
      <c r="D295" s="57">
        <f>+C295/$C$295</f>
        <v>1</v>
      </c>
      <c r="F295" s="10">
        <v>40908</v>
      </c>
      <c r="G295" s="43">
        <f>VLOOKUP(F295,$B$257:$D$288,3,FALSE)</f>
        <v>1313.5</v>
      </c>
      <c r="H295" s="57">
        <f t="shared" ref="H295:H301" si="25">+G295/$G$295</f>
        <v>1</v>
      </c>
    </row>
    <row r="296" spans="2:8">
      <c r="B296" s="10">
        <v>41090</v>
      </c>
      <c r="C296" s="43">
        <f t="shared" ref="C296:C302" si="26">VLOOKUP(B296,$B$257:$D$288,3,FALSE)</f>
        <v>1319.75</v>
      </c>
      <c r="D296" s="57">
        <f>+C296/$C$295</f>
        <v>1.0074427480916031</v>
      </c>
      <c r="F296" s="10">
        <v>41274</v>
      </c>
      <c r="G296" s="43">
        <f t="shared" ref="G296:G301" si="27">VLOOKUP(F296,$B$257:$D$288,3,FALSE)</f>
        <v>1327</v>
      </c>
      <c r="H296" s="57">
        <f t="shared" si="25"/>
        <v>1.0102778835173201</v>
      </c>
    </row>
    <row r="297" spans="2:8">
      <c r="B297" s="10">
        <v>41455</v>
      </c>
      <c r="C297" s="43">
        <f t="shared" si="26"/>
        <v>1333.9949460946921</v>
      </c>
      <c r="D297" s="57">
        <f>+C297/$C$295</f>
        <v>1.0183167527440398</v>
      </c>
      <c r="F297" s="10">
        <v>41639</v>
      </c>
      <c r="G297" s="43">
        <f t="shared" si="27"/>
        <v>1343.4083065588266</v>
      </c>
      <c r="H297" s="57">
        <f t="shared" si="25"/>
        <v>1.0227699326675497</v>
      </c>
    </row>
    <row r="298" spans="2:8">
      <c r="B298" s="10">
        <v>41820</v>
      </c>
      <c r="C298" s="43">
        <f t="shared" si="26"/>
        <v>1355.5602791244089</v>
      </c>
      <c r="D298" s="57">
        <f>+C298/$C$295</f>
        <v>1.0347788390262664</v>
      </c>
      <c r="F298" s="10">
        <v>42004</v>
      </c>
      <c r="G298" s="43">
        <f t="shared" si="27"/>
        <v>1369.1823994769225</v>
      </c>
      <c r="H298" s="57">
        <f t="shared" si="25"/>
        <v>1.0423923863547182</v>
      </c>
    </row>
    <row r="299" spans="2:8">
      <c r="B299" s="10">
        <v>42185</v>
      </c>
      <c r="C299" s="43">
        <f t="shared" si="26"/>
        <v>1383.8019380597896</v>
      </c>
      <c r="D299" s="57">
        <f t="shared" ref="D299:D301" si="28">+C299/$C$295</f>
        <v>1.0563373572975492</v>
      </c>
      <c r="F299" s="10">
        <v>42369</v>
      </c>
      <c r="G299" s="43">
        <f t="shared" si="27"/>
        <v>1400.0106253935883</v>
      </c>
      <c r="H299" s="57">
        <f t="shared" si="25"/>
        <v>1.0658626763559864</v>
      </c>
    </row>
    <row r="300" spans="2:8">
      <c r="B300" s="10">
        <v>42551</v>
      </c>
      <c r="C300" s="43">
        <f t="shared" si="26"/>
        <v>1417.2964694381965</v>
      </c>
      <c r="D300" s="57">
        <f t="shared" si="28"/>
        <v>1.0819057018612186</v>
      </c>
      <c r="F300" s="10">
        <v>42735</v>
      </c>
      <c r="G300" s="43">
        <f t="shared" si="27"/>
        <v>1434.4092378789978</v>
      </c>
      <c r="H300" s="57">
        <f t="shared" si="25"/>
        <v>1.092051189858392</v>
      </c>
    </row>
    <row r="301" spans="2:8">
      <c r="B301" s="10">
        <v>42916</v>
      </c>
      <c r="C301" s="43">
        <f>VLOOKUP(B301,$B$257:$D$288,3,FALSE)</f>
        <v>1449.3567286341665</v>
      </c>
      <c r="D301" s="57">
        <f t="shared" si="28"/>
        <v>1.1063791821634859</v>
      </c>
      <c r="F301" s="10">
        <v>43100</v>
      </c>
      <c r="G301" s="43">
        <f t="shared" si="27"/>
        <v>1462.5852535174604</v>
      </c>
      <c r="H301" s="57">
        <f t="shared" si="25"/>
        <v>1.1135022866520445</v>
      </c>
    </row>
    <row r="302" spans="2:8">
      <c r="B302" s="10">
        <v>43281</v>
      </c>
      <c r="C302" s="43">
        <f t="shared" si="26"/>
        <v>1477.8356884592974</v>
      </c>
      <c r="D302" s="57">
        <f>+C302/$C$295</f>
        <v>1.1281188461521354</v>
      </c>
      <c r="F302" s="10"/>
      <c r="G302" s="43"/>
      <c r="H302" s="57"/>
    </row>
    <row r="303" spans="2:8">
      <c r="B303" s="56"/>
      <c r="C303" s="43"/>
    </row>
    <row r="304" spans="2:8">
      <c r="B304" s="56"/>
      <c r="C304" s="43"/>
    </row>
    <row r="305" spans="1:13">
      <c r="A305" s="92" t="s">
        <v>123</v>
      </c>
      <c r="B305" s="92" t="s">
        <v>127</v>
      </c>
      <c r="C305" s="93"/>
      <c r="D305" s="93"/>
      <c r="E305" s="93"/>
      <c r="F305" s="93"/>
      <c r="G305" s="93"/>
    </row>
    <row r="306" spans="1:13">
      <c r="A306" s="92"/>
      <c r="B306" s="94" t="s">
        <v>47</v>
      </c>
      <c r="C306" s="94" t="s">
        <v>192</v>
      </c>
      <c r="D306" s="93"/>
      <c r="E306" s="93"/>
      <c r="F306" s="93"/>
      <c r="G306" s="93"/>
    </row>
    <row r="307" spans="1:13">
      <c r="A307" s="93"/>
      <c r="B307" s="119"/>
      <c r="C307" s="120"/>
      <c r="D307" s="93"/>
      <c r="E307" s="93"/>
      <c r="F307" s="93"/>
      <c r="G307" s="93"/>
    </row>
    <row r="308" spans="1:13">
      <c r="A308" s="93"/>
      <c r="B308" s="121"/>
      <c r="C308" s="96" t="s">
        <v>37</v>
      </c>
      <c r="D308" s="97" t="s">
        <v>38</v>
      </c>
      <c r="E308" s="97" t="s">
        <v>148</v>
      </c>
      <c r="F308" s="97" t="s">
        <v>39</v>
      </c>
      <c r="G308" s="97" t="s">
        <v>149</v>
      </c>
    </row>
    <row r="309" spans="1:13">
      <c r="A309" s="93"/>
      <c r="B309" s="94">
        <v>2012</v>
      </c>
      <c r="C309" s="122">
        <f>C239*$D296</f>
        <v>90.486858548443692</v>
      </c>
      <c r="D309" s="123">
        <f t="shared" ref="D309:G309" si="29">D239*$D296</f>
        <v>1545.2464516180853</v>
      </c>
      <c r="E309" s="123">
        <f t="shared" si="29"/>
        <v>2239.5452290076337</v>
      </c>
      <c r="F309" s="146">
        <f>F239*$H296</f>
        <v>0</v>
      </c>
      <c r="G309" s="123">
        <f t="shared" si="29"/>
        <v>4564.723091603053</v>
      </c>
      <c r="I309" s="138"/>
      <c r="J309" s="139" t="s">
        <v>188</v>
      </c>
      <c r="K309" s="140"/>
      <c r="L309" s="135"/>
      <c r="M309" s="20"/>
    </row>
    <row r="310" spans="1:13">
      <c r="A310" s="93"/>
      <c r="B310" s="94">
        <v>2013</v>
      </c>
      <c r="C310" s="122">
        <f t="shared" ref="C310:G315" si="30">C240*$D297</f>
        <v>75.914741392715001</v>
      </c>
      <c r="D310" s="123">
        <f t="shared" si="30"/>
        <v>1538.6664061919098</v>
      </c>
      <c r="E310" s="123">
        <f t="shared" si="30"/>
        <v>3900.1531630096724</v>
      </c>
      <c r="F310" s="146">
        <f t="shared" ref="F310:F314" si="31">F240*$H297</f>
        <v>0</v>
      </c>
      <c r="G310" s="123">
        <f t="shared" si="30"/>
        <v>6917.4257013902625</v>
      </c>
      <c r="I310" s="20"/>
      <c r="J310" s="20"/>
      <c r="K310" s="20"/>
      <c r="L310" s="20"/>
      <c r="M310" s="20"/>
    </row>
    <row r="311" spans="1:13">
      <c r="A311" s="93"/>
      <c r="B311" s="94">
        <v>2014</v>
      </c>
      <c r="C311" s="122">
        <f t="shared" si="30"/>
        <v>109.67172695783499</v>
      </c>
      <c r="D311" s="123">
        <f>D241*$D298</f>
        <v>1304.8457437983463</v>
      </c>
      <c r="E311" s="123">
        <f t="shared" si="30"/>
        <v>2818.7375575075498</v>
      </c>
      <c r="F311" s="146">
        <f>F241*$H298</f>
        <v>0</v>
      </c>
      <c r="G311" s="123">
        <f t="shared" si="30"/>
        <v>7086.1654896518721</v>
      </c>
      <c r="I311" s="20"/>
      <c r="J311" s="20"/>
      <c r="K311" s="20"/>
      <c r="L311" s="20"/>
      <c r="M311" s="20"/>
    </row>
    <row r="312" spans="1:13">
      <c r="A312" s="93"/>
      <c r="B312" s="94">
        <v>2015</v>
      </c>
      <c r="C312" s="122">
        <f t="shared" si="30"/>
        <v>94.878492311633579</v>
      </c>
      <c r="D312" s="123">
        <f>D242*$D299</f>
        <v>1332.0308192443736</v>
      </c>
      <c r="E312" s="123">
        <f t="shared" si="30"/>
        <v>1545.4215537263144</v>
      </c>
      <c r="F312" s="146">
        <f>F242*$H299</f>
        <v>53.293133817799323</v>
      </c>
      <c r="G312" s="123">
        <f>G242*$D299</f>
        <v>2585.9138506644003</v>
      </c>
      <c r="I312" s="20"/>
      <c r="J312" s="20"/>
      <c r="K312" s="20"/>
      <c r="L312" s="20"/>
      <c r="M312" s="20"/>
    </row>
    <row r="313" spans="1:13">
      <c r="A313" s="93"/>
      <c r="B313" s="94">
        <v>2016</v>
      </c>
      <c r="C313" s="122">
        <f t="shared" si="30"/>
        <v>165.19749858469152</v>
      </c>
      <c r="D313" s="123">
        <f t="shared" si="30"/>
        <v>1364.2722454521881</v>
      </c>
      <c r="E313" s="123">
        <f t="shared" si="30"/>
        <v>1884.6797326422427</v>
      </c>
      <c r="F313" s="146">
        <f t="shared" si="31"/>
        <v>0</v>
      </c>
      <c r="G313" s="123">
        <f t="shared" si="30"/>
        <v>3202.440877509207</v>
      </c>
      <c r="I313" s="20"/>
      <c r="J313" s="20"/>
      <c r="K313" s="20"/>
      <c r="L313" s="20"/>
      <c r="M313" s="20"/>
    </row>
    <row r="314" spans="1:13">
      <c r="A314" s="93"/>
      <c r="B314" s="94">
        <v>2017</v>
      </c>
      <c r="C314" s="122">
        <f>C244*$D301</f>
        <v>168.93438408279096</v>
      </c>
      <c r="D314" s="123">
        <f t="shared" si="30"/>
        <v>1395.1330588008611</v>
      </c>
      <c r="E314" s="123">
        <f t="shared" si="30"/>
        <v>1773.5258290080678</v>
      </c>
      <c r="F314" s="146">
        <f t="shared" si="31"/>
        <v>0</v>
      </c>
      <c r="G314" s="123">
        <f t="shared" si="30"/>
        <v>3021.52154648848</v>
      </c>
      <c r="I314" s="20"/>
      <c r="J314" s="20"/>
      <c r="K314" s="20"/>
      <c r="L314" s="20"/>
      <c r="M314" s="20"/>
    </row>
    <row r="315" spans="1:13">
      <c r="A315" s="93"/>
      <c r="B315" s="94">
        <v>2018</v>
      </c>
      <c r="C315" s="122">
        <f>C245*$D302</f>
        <v>172.25383984018123</v>
      </c>
      <c r="D315" s="123">
        <f t="shared" si="30"/>
        <v>1422.5465571807556</v>
      </c>
      <c r="E315" s="123">
        <f t="shared" si="30"/>
        <v>1808.3745103818731</v>
      </c>
      <c r="F315" s="23"/>
      <c r="G315" s="123">
        <f>G245*$D302</f>
        <v>3080.892568841482</v>
      </c>
      <c r="I315" s="20"/>
      <c r="J315" s="20"/>
      <c r="K315" s="20"/>
      <c r="L315" s="20"/>
      <c r="M315" s="20"/>
    </row>
    <row r="316" spans="1:13">
      <c r="B316" s="9"/>
      <c r="C316" s="89"/>
      <c r="D316" s="23"/>
      <c r="E316" s="23"/>
      <c r="F316" s="23"/>
      <c r="G316" s="23"/>
    </row>
    <row r="317" spans="1:13">
      <c r="B317" s="10"/>
      <c r="C317" s="89"/>
      <c r="D317" s="23"/>
      <c r="E317" s="23"/>
      <c r="F317" s="23"/>
      <c r="G317" s="23"/>
    </row>
    <row r="318" spans="1:13">
      <c r="A318" s="3" t="s">
        <v>122</v>
      </c>
      <c r="B318" s="3" t="s">
        <v>126</v>
      </c>
      <c r="C318" s="89"/>
      <c r="D318" s="23"/>
      <c r="E318" s="23"/>
      <c r="F318" s="23"/>
      <c r="G318" s="23"/>
    </row>
    <row r="319" spans="1:13">
      <c r="B319" s="9" t="s">
        <v>47</v>
      </c>
      <c r="C319" s="14" t="s">
        <v>146</v>
      </c>
      <c r="D319" s="23"/>
      <c r="E319" s="23"/>
      <c r="F319" s="23"/>
      <c r="G319" s="23"/>
    </row>
    <row r="320" spans="1:13">
      <c r="B320" s="10"/>
      <c r="C320" s="89"/>
      <c r="D320" s="23"/>
      <c r="E320" s="23"/>
      <c r="F320" s="23"/>
      <c r="G320" s="23"/>
    </row>
    <row r="321" spans="1:13">
      <c r="B321" s="62"/>
      <c r="C321" s="90" t="s">
        <v>37</v>
      </c>
      <c r="D321" s="50" t="s">
        <v>38</v>
      </c>
      <c r="E321" s="50" t="s">
        <v>148</v>
      </c>
      <c r="F321" s="50" t="s">
        <v>39</v>
      </c>
      <c r="G321" s="50" t="s">
        <v>149</v>
      </c>
    </row>
    <row r="322" spans="1:13">
      <c r="B322" s="9">
        <v>2012</v>
      </c>
      <c r="C322" s="87">
        <f t="shared" ref="C322:C328" si="32">C175*$D296</f>
        <v>564.16793893129773</v>
      </c>
      <c r="D322" s="88">
        <f t="shared" ref="D322:G322" si="33">D175*$D296</f>
        <v>9932.3570270274759</v>
      </c>
      <c r="E322" s="88">
        <f t="shared" si="33"/>
        <v>18826.082633587786</v>
      </c>
      <c r="F322" s="146">
        <f t="shared" ref="F322:F327" si="34">F175*$H296</f>
        <v>132.90725802574445</v>
      </c>
      <c r="G322" s="88">
        <f t="shared" si="33"/>
        <v>7333.6728132744183</v>
      </c>
      <c r="I322" s="138"/>
      <c r="J322" s="139" t="s">
        <v>188</v>
      </c>
      <c r="K322" s="140"/>
      <c r="L322" s="135"/>
      <c r="M322" s="20"/>
    </row>
    <row r="323" spans="1:13">
      <c r="B323" s="9">
        <v>2013</v>
      </c>
      <c r="C323" s="87">
        <f t="shared" si="32"/>
        <v>617.09995216288814</v>
      </c>
      <c r="D323" s="88">
        <f t="shared" ref="D323:E328" si="35">D176*$D297</f>
        <v>9777.893857503801</v>
      </c>
      <c r="E323" s="88">
        <f t="shared" si="35"/>
        <v>21083.230048812598</v>
      </c>
      <c r="F323" s="146">
        <f t="shared" si="34"/>
        <v>302.49942994629163</v>
      </c>
      <c r="G323" s="88">
        <f t="shared" ref="G323:G327" si="36">G176*$D297</f>
        <v>9362.2466436326376</v>
      </c>
      <c r="I323" s="20"/>
      <c r="J323" s="20"/>
      <c r="K323" s="20"/>
      <c r="L323" s="20"/>
      <c r="M323" s="20"/>
    </row>
    <row r="324" spans="1:13">
      <c r="B324" s="9">
        <v>2014</v>
      </c>
      <c r="C324" s="87">
        <f t="shared" si="32"/>
        <v>613.62385154257595</v>
      </c>
      <c r="D324" s="88">
        <f>D177*$D298</f>
        <v>10073.627358576154</v>
      </c>
      <c r="E324" s="88">
        <f t="shared" si="35"/>
        <v>25387.264036670422</v>
      </c>
      <c r="F324" s="146">
        <f t="shared" si="34"/>
        <v>2794.2580748269124</v>
      </c>
      <c r="G324" s="88">
        <f t="shared" si="36"/>
        <v>18864.786625365465</v>
      </c>
      <c r="I324" s="20"/>
      <c r="J324" s="20"/>
      <c r="K324" s="20"/>
      <c r="L324" s="20"/>
      <c r="M324" s="20"/>
    </row>
    <row r="325" spans="1:13">
      <c r="B325" s="9">
        <v>2015</v>
      </c>
      <c r="C325" s="87">
        <f t="shared" si="32"/>
        <v>642.25311323690994</v>
      </c>
      <c r="D325" s="88">
        <f>D178*$D299</f>
        <v>11418.41788351871</v>
      </c>
      <c r="E325" s="88">
        <f t="shared" si="35"/>
        <v>16872.876608113755</v>
      </c>
      <c r="F325" s="146">
        <f>F178*$H299</f>
        <v>155.83931658852845</v>
      </c>
      <c r="G325" s="88">
        <f t="shared" si="36"/>
        <v>8741.0582679100462</v>
      </c>
      <c r="I325" s="20"/>
      <c r="J325" s="20"/>
      <c r="K325" s="20"/>
      <c r="L325" s="20"/>
      <c r="M325" s="20"/>
    </row>
    <row r="326" spans="1:13">
      <c r="B326" s="9">
        <v>2016</v>
      </c>
      <c r="C326" s="87">
        <f t="shared" si="32"/>
        <v>669.69962945209431</v>
      </c>
      <c r="D326" s="88">
        <f t="shared" si="35"/>
        <v>11790.204003272771</v>
      </c>
      <c r="E326" s="88">
        <f t="shared" si="35"/>
        <v>13061.847538570491</v>
      </c>
      <c r="F326" s="146">
        <f t="shared" si="34"/>
        <v>144.68800406178775</v>
      </c>
      <c r="G326" s="88">
        <f t="shared" si="36"/>
        <v>7466.8579462443986</v>
      </c>
      <c r="I326" s="20"/>
      <c r="J326" s="20"/>
      <c r="K326" s="20"/>
      <c r="L326" s="20"/>
      <c r="M326" s="20"/>
    </row>
    <row r="327" spans="1:13">
      <c r="B327" s="9">
        <v>2017</v>
      </c>
      <c r="C327" s="87">
        <f t="shared" si="32"/>
        <v>682.63595539487073</v>
      </c>
      <c r="D327" s="88">
        <f t="shared" si="35"/>
        <v>12155.283965308328</v>
      </c>
      <c r="E327" s="88">
        <f t="shared" si="35"/>
        <v>13383.868966631688</v>
      </c>
      <c r="F327" s="146">
        <f t="shared" si="34"/>
        <v>211.23628233683604</v>
      </c>
      <c r="G327" s="88">
        <f t="shared" si="36"/>
        <v>7536.9465018001802</v>
      </c>
      <c r="I327" s="20"/>
      <c r="J327" s="20"/>
      <c r="K327" s="20"/>
      <c r="L327" s="20"/>
      <c r="M327" s="20"/>
    </row>
    <row r="328" spans="1:13">
      <c r="B328" s="9">
        <v>2018</v>
      </c>
      <c r="C328" s="87">
        <f t="shared" si="32"/>
        <v>696.04932807586761</v>
      </c>
      <c r="D328" s="88">
        <f t="shared" si="35"/>
        <v>12394.127748120372</v>
      </c>
      <c r="E328" s="88">
        <f t="shared" si="35"/>
        <v>13646.853681902383</v>
      </c>
      <c r="F328" s="88"/>
      <c r="G328" s="88">
        <f>G181*$D302</f>
        <v>7685.0428209383981</v>
      </c>
      <c r="I328" s="20"/>
      <c r="J328" s="20"/>
      <c r="K328" s="20"/>
      <c r="L328" s="20"/>
      <c r="M328" s="20"/>
    </row>
    <row r="329" spans="1:13">
      <c r="B329" s="9"/>
      <c r="C329" s="13"/>
      <c r="D329" s="13"/>
      <c r="E329" s="13"/>
      <c r="F329" s="13"/>
      <c r="G329" s="13"/>
    </row>
    <row r="330" spans="1:13">
      <c r="B330" s="9"/>
      <c r="C330" s="13"/>
      <c r="D330" s="13"/>
      <c r="E330" s="13"/>
      <c r="F330" s="13"/>
      <c r="G330" s="13"/>
      <c r="I330" s="73"/>
      <c r="J330" s="73"/>
      <c r="K330" s="73"/>
      <c r="L330" s="73"/>
      <c r="M330" s="73"/>
    </row>
    <row r="331" spans="1:13">
      <c r="A331" s="3" t="s">
        <v>121</v>
      </c>
      <c r="B331" s="3" t="s">
        <v>125</v>
      </c>
      <c r="I331" s="73"/>
      <c r="J331" s="73"/>
      <c r="K331" s="73"/>
      <c r="L331" s="73"/>
      <c r="M331" s="73"/>
    </row>
    <row r="332" spans="1:13">
      <c r="B332" s="9" t="s">
        <v>47</v>
      </c>
      <c r="C332" s="9" t="s">
        <v>144</v>
      </c>
      <c r="I332" s="73"/>
      <c r="J332" s="73"/>
      <c r="K332" s="73"/>
      <c r="L332" s="73"/>
      <c r="M332" s="73"/>
    </row>
    <row r="333" spans="1:13">
      <c r="C333" s="4"/>
      <c r="D333" s="4"/>
      <c r="E333" s="4"/>
      <c r="F333" s="4"/>
      <c r="G333" s="4"/>
      <c r="H333" s="4"/>
      <c r="I333" s="73"/>
      <c r="J333" s="73"/>
      <c r="K333" s="73"/>
      <c r="L333" s="73"/>
      <c r="M333" s="73"/>
    </row>
    <row r="334" spans="1:13">
      <c r="A334" s="3"/>
      <c r="B334" s="27" t="s">
        <v>125</v>
      </c>
      <c r="C334" s="4"/>
      <c r="D334" s="4"/>
      <c r="E334" s="4"/>
      <c r="F334" s="4"/>
      <c r="G334" s="4"/>
      <c r="H334" s="4"/>
      <c r="I334" s="73"/>
      <c r="J334" s="73"/>
      <c r="K334" s="73"/>
      <c r="L334" s="73"/>
      <c r="M334" s="73"/>
    </row>
    <row r="335" spans="1:13">
      <c r="A335" s="3"/>
      <c r="B335" s="62"/>
      <c r="C335" s="7" t="s">
        <v>37</v>
      </c>
      <c r="D335" s="8" t="s">
        <v>38</v>
      </c>
      <c r="E335" s="8" t="s">
        <v>148</v>
      </c>
      <c r="F335" s="8" t="s">
        <v>39</v>
      </c>
      <c r="G335" s="8" t="s">
        <v>149</v>
      </c>
      <c r="H335" s="4"/>
      <c r="I335" s="73"/>
      <c r="J335" s="73"/>
      <c r="K335" s="73"/>
      <c r="L335" s="73"/>
      <c r="M335" s="73"/>
    </row>
    <row r="336" spans="1:13">
      <c r="B336" s="9">
        <v>2012</v>
      </c>
      <c r="C336" s="6">
        <f>+C309+C322</f>
        <v>654.65479747974143</v>
      </c>
      <c r="D336" s="13">
        <f t="shared" ref="D336:G336" si="37">+D309+D322</f>
        <v>11477.60347864556</v>
      </c>
      <c r="E336" s="13">
        <f t="shared" si="37"/>
        <v>21065.627862595422</v>
      </c>
      <c r="F336" s="13">
        <f t="shared" si="37"/>
        <v>132.90725802574445</v>
      </c>
      <c r="G336" s="13">
        <f t="shared" si="37"/>
        <v>11898.39590487747</v>
      </c>
      <c r="H336" s="4"/>
      <c r="I336" s="73"/>
      <c r="J336" s="73"/>
      <c r="K336" s="73"/>
      <c r="L336" s="73"/>
      <c r="M336" s="73"/>
    </row>
    <row r="337" spans="2:8">
      <c r="B337" s="9">
        <v>2013</v>
      </c>
      <c r="C337" s="6">
        <f t="shared" ref="C337:G342" si="38">+C310+C323</f>
        <v>693.01469355560312</v>
      </c>
      <c r="D337" s="13">
        <f t="shared" si="38"/>
        <v>11316.56026369571</v>
      </c>
      <c r="E337" s="13">
        <f t="shared" si="38"/>
        <v>24983.383211822271</v>
      </c>
      <c r="F337" s="13">
        <f t="shared" si="38"/>
        <v>302.49942994629163</v>
      </c>
      <c r="G337" s="13">
        <f t="shared" si="38"/>
        <v>16279.6723450229</v>
      </c>
      <c r="H337" s="4"/>
    </row>
    <row r="338" spans="2:8">
      <c r="B338" s="9">
        <v>2014</v>
      </c>
      <c r="C338" s="6">
        <f>+C311+C324</f>
        <v>723.2955785004109</v>
      </c>
      <c r="D338" s="13">
        <f t="shared" si="38"/>
        <v>11378.473102374501</v>
      </c>
      <c r="E338" s="13">
        <f t="shared" si="38"/>
        <v>28206.001594177971</v>
      </c>
      <c r="F338" s="13">
        <f t="shared" si="38"/>
        <v>2794.2580748269124</v>
      </c>
      <c r="G338" s="13">
        <f t="shared" si="38"/>
        <v>25950.952115017339</v>
      </c>
      <c r="H338" s="4"/>
    </row>
    <row r="339" spans="2:8">
      <c r="B339" s="9">
        <v>2015</v>
      </c>
      <c r="C339" s="6">
        <f>+C312+C325</f>
        <v>737.13160554854358</v>
      </c>
      <c r="D339" s="13">
        <f t="shared" si="38"/>
        <v>12750.448702763084</v>
      </c>
      <c r="E339" s="13">
        <f t="shared" si="38"/>
        <v>18418.29816184007</v>
      </c>
      <c r="F339" s="13">
        <f t="shared" si="38"/>
        <v>209.13245040632776</v>
      </c>
      <c r="G339" s="13">
        <f t="shared" si="38"/>
        <v>11326.972118574446</v>
      </c>
    </row>
    <row r="340" spans="2:8">
      <c r="B340" s="9">
        <v>2016</v>
      </c>
      <c r="C340" s="6">
        <f t="shared" si="38"/>
        <v>834.89712803678583</v>
      </c>
      <c r="D340" s="13">
        <f t="shared" si="38"/>
        <v>13154.476248724959</v>
      </c>
      <c r="E340" s="13">
        <f t="shared" si="38"/>
        <v>14946.527271212733</v>
      </c>
      <c r="F340" s="13">
        <f>+F313+F326</f>
        <v>144.68800406178775</v>
      </c>
      <c r="G340" s="13">
        <f t="shared" si="38"/>
        <v>10669.298823753605</v>
      </c>
    </row>
    <row r="341" spans="2:8">
      <c r="B341" s="9">
        <v>2017</v>
      </c>
      <c r="C341" s="6">
        <f t="shared" si="38"/>
        <v>851.57033947766172</v>
      </c>
      <c r="D341" s="13">
        <f t="shared" si="38"/>
        <v>13550.417024109189</v>
      </c>
      <c r="E341" s="13">
        <f t="shared" si="38"/>
        <v>15157.394795639755</v>
      </c>
      <c r="F341" s="13">
        <f t="shared" si="38"/>
        <v>211.23628233683604</v>
      </c>
      <c r="G341" s="13">
        <f t="shared" si="38"/>
        <v>10558.46804828866</v>
      </c>
    </row>
    <row r="342" spans="2:8">
      <c r="B342" s="9">
        <v>2018</v>
      </c>
      <c r="C342" s="6">
        <f>+C315+C328</f>
        <v>868.30316791604878</v>
      </c>
      <c r="D342" s="13">
        <f>+D315+D328</f>
        <v>13816.674305301129</v>
      </c>
      <c r="E342" s="13">
        <f t="shared" si="38"/>
        <v>15455.228192284256</v>
      </c>
      <c r="F342" s="13"/>
      <c r="G342" s="13">
        <f t="shared" si="38"/>
        <v>10765.935389779879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8" scale="5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G102"/>
  <sheetViews>
    <sheetView topLeftCell="A17" zoomScale="80" zoomScaleNormal="80" workbookViewId="0">
      <selection activeCell="E46" sqref="E46"/>
    </sheetView>
  </sheetViews>
  <sheetFormatPr defaultRowHeight="15"/>
  <cols>
    <col min="1" max="1" width="15" customWidth="1"/>
    <col min="2" max="7" width="15.7109375" customWidth="1"/>
  </cols>
  <sheetData>
    <row r="3" spans="1:7" ht="18.75">
      <c r="A3" s="37" t="s">
        <v>94</v>
      </c>
      <c r="B3" s="38"/>
      <c r="C3" s="38"/>
      <c r="D3" s="38"/>
      <c r="E3" s="38"/>
      <c r="F3" s="38"/>
      <c r="G3" s="38"/>
    </row>
    <row r="6" spans="1:7">
      <c r="A6" s="19" t="s">
        <v>95</v>
      </c>
      <c r="B6" s="3" t="s">
        <v>152</v>
      </c>
    </row>
    <row r="8" spans="1:7">
      <c r="B8" s="5"/>
      <c r="C8" s="7" t="s">
        <v>37</v>
      </c>
      <c r="D8" s="8" t="s">
        <v>38</v>
      </c>
      <c r="E8" s="8" t="s">
        <v>148</v>
      </c>
      <c r="F8" s="8" t="s">
        <v>39</v>
      </c>
      <c r="G8" s="8" t="s">
        <v>149</v>
      </c>
    </row>
    <row r="9" spans="1:7">
      <c r="A9" s="19"/>
      <c r="B9" s="9">
        <v>2008</v>
      </c>
      <c r="C9" s="6">
        <v>636.77099999999996</v>
      </c>
      <c r="D9" s="13">
        <v>8516.4962759922309</v>
      </c>
      <c r="E9" s="13">
        <v>16357.238820000002</v>
      </c>
      <c r="F9" s="13">
        <v>701</v>
      </c>
      <c r="G9" s="13">
        <v>5066.3067300000002</v>
      </c>
    </row>
    <row r="10" spans="1:7">
      <c r="A10" s="19"/>
      <c r="B10" s="9">
        <v>2009</v>
      </c>
      <c r="C10" s="6">
        <v>400.17500000000001</v>
      </c>
      <c r="D10" s="13">
        <v>8706.9021182849192</v>
      </c>
      <c r="E10" s="13">
        <v>22825.832339700271</v>
      </c>
      <c r="F10" s="13">
        <v>326</v>
      </c>
      <c r="G10" s="13">
        <v>5670</v>
      </c>
    </row>
    <row r="11" spans="1:7">
      <c r="B11" s="9">
        <v>2010</v>
      </c>
      <c r="C11" s="6">
        <v>521</v>
      </c>
      <c r="D11" s="13">
        <v>10233.565399999999</v>
      </c>
      <c r="E11" s="13">
        <v>11298</v>
      </c>
      <c r="F11" s="13">
        <v>896</v>
      </c>
      <c r="G11" s="13">
        <v>12567</v>
      </c>
    </row>
    <row r="12" spans="1:7">
      <c r="B12" s="9">
        <v>2011</v>
      </c>
      <c r="C12" s="6">
        <v>561</v>
      </c>
      <c r="D12" s="13">
        <v>6461.5612851668002</v>
      </c>
      <c r="E12" s="13">
        <v>21373</v>
      </c>
      <c r="F12" s="13">
        <v>39</v>
      </c>
      <c r="G12" s="13">
        <v>7911</v>
      </c>
    </row>
    <row r="15" spans="1:7">
      <c r="A15" s="19" t="s">
        <v>96</v>
      </c>
      <c r="B15" s="3" t="s">
        <v>151</v>
      </c>
    </row>
    <row r="17" spans="1:7">
      <c r="B17" s="5"/>
      <c r="C17" s="7" t="s">
        <v>37</v>
      </c>
      <c r="D17" s="8" t="s">
        <v>38</v>
      </c>
      <c r="E17" s="8" t="s">
        <v>148</v>
      </c>
      <c r="F17" s="8" t="s">
        <v>39</v>
      </c>
      <c r="G17" s="8" t="s">
        <v>149</v>
      </c>
    </row>
    <row r="18" spans="1:7">
      <c r="B18" s="9">
        <v>2008</v>
      </c>
      <c r="C18" s="6">
        <v>107.678</v>
      </c>
      <c r="D18" s="13">
        <v>1025</v>
      </c>
      <c r="E18" s="13">
        <v>6069</v>
      </c>
      <c r="F18" s="13">
        <v>0</v>
      </c>
      <c r="G18" s="13">
        <v>6128</v>
      </c>
    </row>
    <row r="19" spans="1:7">
      <c r="B19" s="9">
        <v>2009</v>
      </c>
      <c r="C19" s="6">
        <v>53.556050000000006</v>
      </c>
      <c r="D19" s="13">
        <v>1519</v>
      </c>
      <c r="E19" s="13">
        <v>4351</v>
      </c>
      <c r="F19" s="13">
        <v>0</v>
      </c>
      <c r="G19" s="13">
        <v>5457</v>
      </c>
    </row>
    <row r="20" spans="1:7">
      <c r="B20" s="9">
        <v>2010</v>
      </c>
      <c r="C20" s="6">
        <v>49</v>
      </c>
      <c r="D20" s="13">
        <v>818</v>
      </c>
      <c r="E20" s="13">
        <v>1065</v>
      </c>
      <c r="F20" s="13">
        <v>0</v>
      </c>
      <c r="G20" s="13">
        <v>1943</v>
      </c>
    </row>
    <row r="21" spans="1:7">
      <c r="B21" s="9">
        <v>2011</v>
      </c>
      <c r="C21" s="6">
        <v>154</v>
      </c>
      <c r="D21" s="13">
        <v>1314.0441449343366</v>
      </c>
      <c r="E21" s="13">
        <v>1372</v>
      </c>
      <c r="F21" s="13">
        <v>28</v>
      </c>
      <c r="G21" s="13">
        <v>3610</v>
      </c>
    </row>
    <row r="24" spans="1:7">
      <c r="A24" s="19" t="s">
        <v>97</v>
      </c>
      <c r="B24" s="3" t="s">
        <v>150</v>
      </c>
    </row>
    <row r="25" spans="1:7">
      <c r="A25" s="19"/>
      <c r="B25" s="3"/>
    </row>
    <row r="26" spans="1:7">
      <c r="A26" s="19"/>
      <c r="B26" s="5"/>
      <c r="C26" s="7" t="s">
        <v>37</v>
      </c>
      <c r="D26" s="8" t="s">
        <v>38</v>
      </c>
      <c r="E26" s="8" t="s">
        <v>148</v>
      </c>
      <c r="F26" s="8" t="s">
        <v>39</v>
      </c>
      <c r="G26" s="8" t="s">
        <v>149</v>
      </c>
    </row>
    <row r="27" spans="1:7">
      <c r="A27" s="19"/>
      <c r="B27" s="9">
        <v>2012</v>
      </c>
      <c r="C27" s="6">
        <v>560</v>
      </c>
      <c r="D27" s="13">
        <v>9909.5943309000013</v>
      </c>
      <c r="E27" s="13">
        <v>18687</v>
      </c>
      <c r="F27" s="13">
        <v>1966</v>
      </c>
      <c r="G27" s="13">
        <v>14100</v>
      </c>
    </row>
    <row r="28" spans="1:7">
      <c r="A28" s="19"/>
      <c r="B28" s="9">
        <v>2013</v>
      </c>
      <c r="C28" s="6">
        <v>606</v>
      </c>
      <c r="D28" s="13">
        <v>9651.3120772688599</v>
      </c>
      <c r="E28" s="13">
        <v>20704</v>
      </c>
      <c r="F28" s="13">
        <v>4420</v>
      </c>
      <c r="G28" s="13">
        <v>17808</v>
      </c>
    </row>
    <row r="29" spans="1:7">
      <c r="A29" s="19"/>
      <c r="B29" s="9">
        <v>2014</v>
      </c>
      <c r="C29" s="6">
        <v>593</v>
      </c>
      <c r="D29" s="13">
        <v>9785.0324777951391</v>
      </c>
      <c r="E29" s="13">
        <v>24534</v>
      </c>
      <c r="F29" s="13">
        <v>40060</v>
      </c>
      <c r="G29" s="13">
        <v>35312</v>
      </c>
    </row>
    <row r="30" spans="1:7">
      <c r="A30" s="19"/>
      <c r="B30" s="9">
        <v>2015</v>
      </c>
      <c r="C30" s="6">
        <v>608</v>
      </c>
      <c r="D30" s="13">
        <v>10864.937265279001</v>
      </c>
      <c r="E30" s="13">
        <v>15973</v>
      </c>
      <c r="F30" s="13">
        <v>2185</v>
      </c>
      <c r="G30" s="13">
        <v>16028</v>
      </c>
    </row>
    <row r="31" spans="1:7">
      <c r="A31" s="19"/>
      <c r="B31" s="9">
        <v>2016</v>
      </c>
      <c r="C31" s="6">
        <v>619</v>
      </c>
      <c r="D31" s="13">
        <v>10953.5738070922</v>
      </c>
      <c r="E31" s="13">
        <v>12073</v>
      </c>
      <c r="F31" s="13">
        <v>1980</v>
      </c>
      <c r="G31" s="13">
        <v>13368</v>
      </c>
    </row>
    <row r="32" spans="1:7">
      <c r="A32" s="19"/>
      <c r="B32" s="9">
        <v>2017</v>
      </c>
      <c r="C32" s="6">
        <v>617</v>
      </c>
      <c r="D32" s="13">
        <v>11042.948392079799</v>
      </c>
      <c r="E32" s="13">
        <v>12097</v>
      </c>
      <c r="F32" s="13">
        <v>2835</v>
      </c>
      <c r="G32" s="13">
        <v>13195</v>
      </c>
    </row>
    <row r="33" spans="1:7">
      <c r="A33" s="19"/>
      <c r="B33" s="3"/>
    </row>
    <row r="34" spans="1:7">
      <c r="A34" s="19"/>
      <c r="B34" s="3"/>
    </row>
    <row r="35" spans="1:7">
      <c r="A35" s="91" t="s">
        <v>98</v>
      </c>
      <c r="B35" s="92" t="s">
        <v>100</v>
      </c>
      <c r="C35" s="93"/>
      <c r="D35" s="93"/>
      <c r="E35" s="93"/>
      <c r="F35" s="93"/>
      <c r="G35" s="93"/>
    </row>
    <row r="36" spans="1:7">
      <c r="A36" s="91"/>
      <c r="B36" s="92"/>
      <c r="C36" s="93"/>
      <c r="D36" s="93"/>
      <c r="E36" s="93"/>
      <c r="F36" s="93"/>
      <c r="G36" s="93"/>
    </row>
    <row r="37" spans="1:7">
      <c r="A37" s="91"/>
      <c r="B37" s="95"/>
      <c r="C37" s="96" t="s">
        <v>37</v>
      </c>
      <c r="D37" s="97" t="s">
        <v>38</v>
      </c>
      <c r="E37" s="97" t="s">
        <v>148</v>
      </c>
      <c r="F37" s="97" t="s">
        <v>39</v>
      </c>
      <c r="G37" s="97" t="s">
        <v>149</v>
      </c>
    </row>
    <row r="38" spans="1:7">
      <c r="A38" s="91"/>
      <c r="B38" s="105" t="s">
        <v>100</v>
      </c>
      <c r="C38" s="101">
        <v>1.2</v>
      </c>
      <c r="D38" s="102">
        <v>1.2</v>
      </c>
      <c r="E38" s="102">
        <v>1.2</v>
      </c>
      <c r="F38" s="102">
        <v>1.2</v>
      </c>
      <c r="G38" s="102">
        <v>1.2</v>
      </c>
    </row>
    <row r="39" spans="1:7">
      <c r="A39" s="19"/>
      <c r="B39" s="3"/>
    </row>
    <row r="40" spans="1:7">
      <c r="A40" s="19" t="s">
        <v>99</v>
      </c>
      <c r="B40" s="3" t="s">
        <v>101</v>
      </c>
    </row>
    <row r="42" spans="1:7" ht="15.75">
      <c r="B42" t="s">
        <v>103</v>
      </c>
      <c r="F42" s="39"/>
    </row>
    <row r="43" spans="1:7">
      <c r="B43" s="8" t="s">
        <v>44</v>
      </c>
      <c r="C43" s="8" t="s">
        <v>40</v>
      </c>
      <c r="F43" s="11"/>
      <c r="G43" s="9"/>
    </row>
    <row r="44" spans="1:7">
      <c r="B44" s="10">
        <v>39355</v>
      </c>
      <c r="C44" s="198"/>
      <c r="D44" s="18"/>
      <c r="E44" s="18"/>
      <c r="F44" s="18"/>
      <c r="G44" s="9"/>
    </row>
    <row r="45" spans="1:7">
      <c r="B45" s="10">
        <v>39447</v>
      </c>
      <c r="C45" s="198"/>
      <c r="D45" s="18"/>
      <c r="E45" s="18"/>
      <c r="F45" s="18"/>
      <c r="G45" s="9"/>
    </row>
    <row r="46" spans="1:7">
      <c r="B46" s="10">
        <v>39538</v>
      </c>
      <c r="C46" s="198"/>
      <c r="D46" s="18"/>
      <c r="E46" s="18"/>
      <c r="F46" s="18"/>
      <c r="G46" s="9"/>
    </row>
    <row r="47" spans="1:7">
      <c r="B47" s="10">
        <v>39629</v>
      </c>
      <c r="C47" s="198"/>
      <c r="D47" s="18"/>
      <c r="E47" s="18"/>
      <c r="F47" s="18"/>
      <c r="G47" s="9"/>
    </row>
    <row r="48" spans="1:7">
      <c r="B48" s="10">
        <v>39721</v>
      </c>
      <c r="C48" s="198"/>
      <c r="D48" s="18"/>
      <c r="E48" s="18"/>
      <c r="F48" s="18"/>
      <c r="G48" s="9"/>
    </row>
    <row r="49" spans="2:7">
      <c r="B49" s="10">
        <v>39813</v>
      </c>
      <c r="C49" s="198"/>
      <c r="D49" s="18"/>
      <c r="E49" s="18"/>
      <c r="F49" s="18"/>
      <c r="G49" s="9"/>
    </row>
    <row r="50" spans="2:7">
      <c r="B50" s="10">
        <v>39903</v>
      </c>
      <c r="C50" s="198"/>
      <c r="D50" s="18"/>
      <c r="E50" s="18"/>
      <c r="F50" s="18"/>
      <c r="G50" s="9"/>
    </row>
    <row r="51" spans="2:7">
      <c r="B51" s="10">
        <v>39994</v>
      </c>
      <c r="C51" s="198"/>
      <c r="D51" s="18"/>
      <c r="E51" s="18"/>
      <c r="F51" s="18"/>
      <c r="G51" s="9"/>
    </row>
    <row r="52" spans="2:7">
      <c r="B52" s="10">
        <v>40086</v>
      </c>
      <c r="C52" s="198"/>
      <c r="D52" s="18"/>
      <c r="E52" s="18"/>
      <c r="F52" s="18"/>
      <c r="G52" s="9"/>
    </row>
    <row r="53" spans="2:7">
      <c r="B53" s="10">
        <v>40178</v>
      </c>
      <c r="C53" s="198"/>
      <c r="D53" s="18"/>
      <c r="E53" s="18"/>
      <c r="F53" s="18"/>
      <c r="G53" s="9"/>
    </row>
    <row r="54" spans="2:7">
      <c r="B54" s="10">
        <v>40268</v>
      </c>
      <c r="C54" s="198"/>
      <c r="D54" s="18"/>
      <c r="E54" s="18"/>
      <c r="F54" s="18"/>
      <c r="G54" s="9"/>
    </row>
    <row r="55" spans="2:7">
      <c r="B55" s="10">
        <v>40359</v>
      </c>
      <c r="C55" s="198"/>
      <c r="D55" s="18"/>
      <c r="E55" s="18"/>
      <c r="F55" s="18"/>
      <c r="G55" s="9"/>
    </row>
    <row r="56" spans="2:7">
      <c r="B56" s="10">
        <v>40451</v>
      </c>
      <c r="C56" s="198"/>
      <c r="D56" s="18"/>
      <c r="E56" s="18"/>
      <c r="F56" s="18"/>
      <c r="G56" s="9"/>
    </row>
    <row r="57" spans="2:7">
      <c r="B57" s="10">
        <v>40543</v>
      </c>
      <c r="C57" s="198"/>
      <c r="D57" s="18"/>
      <c r="E57" s="18"/>
      <c r="F57" s="18"/>
      <c r="G57" s="9"/>
    </row>
    <row r="58" spans="2:7">
      <c r="B58" s="10">
        <v>40633</v>
      </c>
      <c r="C58" s="198"/>
      <c r="D58" s="18"/>
      <c r="E58" s="18"/>
      <c r="F58" s="18"/>
      <c r="G58" s="9"/>
    </row>
    <row r="59" spans="2:7">
      <c r="B59" s="10">
        <v>40724</v>
      </c>
      <c r="C59" s="198"/>
      <c r="D59" s="18"/>
      <c r="E59" s="18"/>
      <c r="F59" s="18"/>
    </row>
    <row r="60" spans="2:7">
      <c r="B60" s="10">
        <v>40816</v>
      </c>
      <c r="C60" s="198"/>
      <c r="D60" s="18"/>
      <c r="E60" s="18"/>
      <c r="F60" s="18"/>
    </row>
    <row r="61" spans="2:7">
      <c r="B61" s="10">
        <v>40908</v>
      </c>
      <c r="C61" s="198"/>
      <c r="D61" s="18"/>
      <c r="E61" s="18"/>
      <c r="F61" s="18"/>
    </row>
    <row r="62" spans="2:7">
      <c r="B62" s="10">
        <v>40999</v>
      </c>
      <c r="C62" s="198"/>
      <c r="D62" s="18"/>
      <c r="E62" s="18"/>
      <c r="F62" s="18"/>
    </row>
    <row r="63" spans="2:7">
      <c r="B63" s="10">
        <v>41090</v>
      </c>
      <c r="C63" s="198"/>
      <c r="D63" s="18"/>
      <c r="E63" s="18"/>
      <c r="F63" s="18"/>
    </row>
    <row r="64" spans="2:7">
      <c r="B64" s="10">
        <v>41182</v>
      </c>
      <c r="C64" s="198"/>
      <c r="D64" s="18"/>
      <c r="E64" s="18"/>
      <c r="F64" s="18"/>
    </row>
    <row r="65" spans="2:6">
      <c r="B65" s="10">
        <v>41274</v>
      </c>
      <c r="C65" s="198"/>
      <c r="D65" s="18"/>
      <c r="E65" s="18"/>
      <c r="F65" s="18"/>
    </row>
    <row r="66" spans="2:6">
      <c r="B66" s="10">
        <v>41364</v>
      </c>
      <c r="C66" s="198"/>
      <c r="D66" s="18"/>
      <c r="E66" s="18"/>
      <c r="F66" s="18"/>
    </row>
    <row r="67" spans="2:6">
      <c r="B67" s="10">
        <v>41455</v>
      </c>
      <c r="C67" s="198"/>
      <c r="D67" s="18"/>
      <c r="E67" s="18"/>
      <c r="F67" s="18"/>
    </row>
    <row r="68" spans="2:6">
      <c r="B68" s="10">
        <v>41547</v>
      </c>
      <c r="C68" s="198"/>
      <c r="D68" s="18"/>
      <c r="E68" s="18"/>
      <c r="F68" s="18"/>
    </row>
    <row r="69" spans="2:6">
      <c r="B69" s="10">
        <v>41639</v>
      </c>
      <c r="C69" s="198"/>
      <c r="D69" s="18"/>
      <c r="E69" s="18"/>
      <c r="F69" s="18"/>
    </row>
    <row r="70" spans="2:6">
      <c r="B70" s="10">
        <v>41729</v>
      </c>
      <c r="C70" s="198"/>
      <c r="D70" s="18"/>
    </row>
    <row r="71" spans="2:6">
      <c r="B71" s="10">
        <v>41820</v>
      </c>
      <c r="C71" s="198"/>
      <c r="D71" s="18"/>
    </row>
    <row r="72" spans="2:6">
      <c r="B72" s="10">
        <v>41912</v>
      </c>
      <c r="C72" s="198"/>
      <c r="D72" s="18"/>
    </row>
    <row r="73" spans="2:6">
      <c r="B73" s="10">
        <v>42004</v>
      </c>
      <c r="C73" s="198"/>
      <c r="D73" s="18"/>
    </row>
    <row r="74" spans="2:6">
      <c r="B74" s="10">
        <v>42094</v>
      </c>
      <c r="C74" s="198"/>
      <c r="D74" s="18"/>
    </row>
    <row r="75" spans="2:6">
      <c r="B75" s="10">
        <v>42185</v>
      </c>
      <c r="C75" s="198"/>
      <c r="D75" s="18"/>
    </row>
    <row r="76" spans="2:6">
      <c r="B76" s="10">
        <v>42277</v>
      </c>
      <c r="C76" s="198"/>
      <c r="D76" s="18"/>
    </row>
    <row r="77" spans="2:6">
      <c r="B77" s="10">
        <v>42369</v>
      </c>
      <c r="C77" s="198"/>
      <c r="D77" s="18"/>
    </row>
    <row r="78" spans="2:6">
      <c r="B78" s="10">
        <v>42460</v>
      </c>
      <c r="C78" s="198"/>
      <c r="D78" s="18"/>
    </row>
    <row r="79" spans="2:6">
      <c r="B79" s="10">
        <v>42551</v>
      </c>
      <c r="C79" s="198"/>
      <c r="D79" s="18"/>
    </row>
    <row r="80" spans="2:6">
      <c r="B80" s="10">
        <v>42643</v>
      </c>
      <c r="C80" s="198"/>
      <c r="D80" s="18"/>
    </row>
    <row r="81" spans="1:7">
      <c r="B81" s="10">
        <v>42735</v>
      </c>
      <c r="C81" s="198"/>
      <c r="D81" s="18"/>
    </row>
    <row r="82" spans="1:7">
      <c r="B82" s="10">
        <v>42825</v>
      </c>
      <c r="C82" s="198"/>
      <c r="D82" s="18"/>
    </row>
    <row r="83" spans="1:7">
      <c r="B83" s="10">
        <v>42916</v>
      </c>
      <c r="C83" s="198"/>
      <c r="D83" s="18"/>
    </row>
    <row r="84" spans="1:7">
      <c r="B84" s="10">
        <v>43008</v>
      </c>
      <c r="C84" s="198"/>
      <c r="D84" s="18"/>
    </row>
    <row r="85" spans="1:7">
      <c r="B85" s="10">
        <v>43100</v>
      </c>
      <c r="C85" s="198"/>
      <c r="D85" s="18"/>
    </row>
    <row r="86" spans="1:7">
      <c r="B86" s="10">
        <v>43190</v>
      </c>
      <c r="C86" s="198"/>
      <c r="D86" s="18"/>
    </row>
    <row r="87" spans="1:7">
      <c r="B87" s="10">
        <v>43281</v>
      </c>
      <c r="C87" s="198"/>
      <c r="D87" s="18"/>
    </row>
    <row r="88" spans="1:7">
      <c r="D88" s="18"/>
    </row>
    <row r="89" spans="1:7">
      <c r="A89" s="91" t="s">
        <v>158</v>
      </c>
      <c r="B89" s="92" t="s">
        <v>156</v>
      </c>
      <c r="C89" s="93"/>
      <c r="D89" s="93"/>
      <c r="E89" s="93"/>
      <c r="F89" s="93"/>
      <c r="G89" s="93"/>
    </row>
    <row r="90" spans="1:7">
      <c r="A90" s="91"/>
      <c r="B90" s="92"/>
      <c r="C90" s="93"/>
      <c r="D90" s="93"/>
      <c r="E90" s="93"/>
      <c r="F90" s="93"/>
      <c r="G90" s="93"/>
    </row>
    <row r="91" spans="1:7">
      <c r="A91" s="91"/>
      <c r="B91" s="95"/>
      <c r="C91" s="96" t="s">
        <v>37</v>
      </c>
      <c r="D91" s="97" t="s">
        <v>38</v>
      </c>
      <c r="E91" s="97" t="s">
        <v>148</v>
      </c>
      <c r="F91" s="97" t="s">
        <v>39</v>
      </c>
      <c r="G91" s="97" t="s">
        <v>149</v>
      </c>
    </row>
    <row r="92" spans="1:7">
      <c r="A92" s="91"/>
      <c r="B92" s="94">
        <v>2012</v>
      </c>
      <c r="C92" s="98">
        <v>100</v>
      </c>
      <c r="D92" s="99">
        <v>1533.8305373136516</v>
      </c>
      <c r="E92" s="99">
        <v>2223</v>
      </c>
      <c r="F92" s="99">
        <v>0</v>
      </c>
      <c r="G92" s="99">
        <v>4531</v>
      </c>
    </row>
    <row r="93" spans="1:7">
      <c r="A93" s="91"/>
      <c r="B93" s="94">
        <v>2013</v>
      </c>
      <c r="C93" s="98">
        <v>83</v>
      </c>
      <c r="D93" s="99">
        <v>1510.98997639555</v>
      </c>
      <c r="E93" s="99">
        <v>3830</v>
      </c>
      <c r="F93" s="99">
        <v>0</v>
      </c>
      <c r="G93" s="99">
        <v>6793</v>
      </c>
    </row>
    <row r="94" spans="1:7">
      <c r="A94" s="91"/>
      <c r="B94" s="94">
        <v>2014</v>
      </c>
      <c r="C94" s="98">
        <v>118</v>
      </c>
      <c r="D94" s="99">
        <v>1260.98997639555</v>
      </c>
      <c r="E94" s="99">
        <v>2724</v>
      </c>
      <c r="F94" s="99">
        <v>0</v>
      </c>
      <c r="G94" s="99">
        <v>6848</v>
      </c>
    </row>
    <row r="95" spans="1:7">
      <c r="A95" s="91"/>
      <c r="B95" s="94">
        <v>2015</v>
      </c>
      <c r="C95" s="98">
        <v>100</v>
      </c>
      <c r="D95" s="99">
        <v>1260.9899763955493</v>
      </c>
      <c r="E95" s="99">
        <v>1463</v>
      </c>
      <c r="F95" s="99">
        <v>50</v>
      </c>
      <c r="G95" s="99">
        <v>2448</v>
      </c>
    </row>
    <row r="96" spans="1:7">
      <c r="A96" s="91"/>
      <c r="B96" s="94">
        <v>2016</v>
      </c>
      <c r="C96" s="98">
        <v>170</v>
      </c>
      <c r="D96" s="99">
        <v>1260.9899763955493</v>
      </c>
      <c r="E96" s="99">
        <v>1742</v>
      </c>
      <c r="F96" s="99">
        <v>0</v>
      </c>
      <c r="G96" s="99">
        <v>2960</v>
      </c>
    </row>
    <row r="97" spans="1:7">
      <c r="A97" s="91"/>
      <c r="B97" s="94">
        <v>2017</v>
      </c>
      <c r="C97" s="98">
        <v>170</v>
      </c>
      <c r="D97" s="99">
        <v>1260.9899763955493</v>
      </c>
      <c r="E97" s="99">
        <v>1603</v>
      </c>
      <c r="F97" s="99">
        <v>0</v>
      </c>
      <c r="G97" s="99">
        <v>2731</v>
      </c>
    </row>
    <row r="98" spans="1:7">
      <c r="A98" s="91"/>
      <c r="B98" s="92"/>
      <c r="C98" s="93"/>
      <c r="D98" s="93"/>
      <c r="E98" s="93"/>
      <c r="F98" s="93"/>
      <c r="G98" s="93"/>
    </row>
    <row r="99" spans="1:7">
      <c r="A99" s="91" t="s">
        <v>159</v>
      </c>
      <c r="B99" s="92" t="s">
        <v>157</v>
      </c>
      <c r="C99" s="93"/>
      <c r="D99" s="93"/>
      <c r="E99" s="93"/>
      <c r="F99" s="93"/>
      <c r="G99" s="93"/>
    </row>
    <row r="100" spans="1:7">
      <c r="A100" s="91"/>
      <c r="B100" s="92"/>
      <c r="C100" s="93"/>
      <c r="D100" s="93"/>
      <c r="E100" s="93"/>
      <c r="F100" s="93"/>
      <c r="G100" s="93"/>
    </row>
    <row r="101" spans="1:7">
      <c r="A101" s="91"/>
      <c r="B101" s="95"/>
      <c r="C101" s="96" t="s">
        <v>37</v>
      </c>
      <c r="D101" s="97" t="s">
        <v>38</v>
      </c>
      <c r="E101" s="97" t="s">
        <v>148</v>
      </c>
      <c r="F101" s="97" t="s">
        <v>39</v>
      </c>
      <c r="G101" s="97" t="s">
        <v>149</v>
      </c>
    </row>
    <row r="102" spans="1:7">
      <c r="A102" s="91"/>
      <c r="B102" s="104" t="s">
        <v>160</v>
      </c>
      <c r="C102" s="101">
        <v>1.2</v>
      </c>
      <c r="D102" s="102">
        <v>1.2</v>
      </c>
      <c r="E102" s="102">
        <v>1.2</v>
      </c>
      <c r="F102" s="102">
        <v>1.2</v>
      </c>
      <c r="G102" s="102">
        <v>1.2</v>
      </c>
    </row>
  </sheetData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Output</vt:lpstr>
      <vt:lpstr>Opex</vt:lpstr>
      <vt:lpstr>Opex Inputs</vt:lpstr>
      <vt:lpstr>Capex</vt:lpstr>
      <vt:lpstr>Capex Inputs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Young</dc:creator>
  <cp:lastModifiedBy>Lawrence Young</cp:lastModifiedBy>
  <cp:lastPrinted>2013-02-25T00:48:55Z</cp:lastPrinted>
  <dcterms:created xsi:type="dcterms:W3CDTF">2012-09-24T22:24:00Z</dcterms:created>
  <dcterms:modified xsi:type="dcterms:W3CDTF">2013-02-26T02:18:20Z</dcterms:modified>
</cp:coreProperties>
</file>